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22onsloane1-my.sharepoint.com/personal/sithembiso_22onsloane_co/Documents/TEKSA/1. PROJECTS/3) Awarded Projects/SOUTH AFRICA/3) SLOANE/PROGRAMMES/AB Programme/Reports and Templates/Source Files/Samples and tamplates/IKHWEZI DEAL ROOM/"/>
    </mc:Choice>
  </mc:AlternateContent>
  <xr:revisionPtr revIDLastSave="974" documentId="8_{ECEF7C17-17BF-48E3-9F89-C7F472D9ED34}" xr6:coauthVersionLast="47" xr6:coauthVersionMax="47" xr10:uidLastSave="{FE919402-842F-4811-9DB9-1E5FDF5E5806}"/>
  <bookViews>
    <workbookView xWindow="-108" yWindow="-108" windowWidth="23256" windowHeight="12456" tabRatio="795" firstSheet="4" activeTab="11" xr2:uid="{00000000-000D-0000-FFFF-FFFF00000000}"/>
  </bookViews>
  <sheets>
    <sheet name="Cover Page" sheetId="49" r:id="rId1"/>
    <sheet name="1. Assumptions" sheetId="42" r:id="rId2"/>
    <sheet name="2. Dashboards" sheetId="52" r:id="rId3"/>
    <sheet name="3. Budget" sheetId="51" r:id="rId4"/>
    <sheet name="4. Financing" sheetId="1" r:id="rId5"/>
    <sheet name="5. Sales forecast" sheetId="28" r:id="rId6"/>
    <sheet name="6. Income Statement" sheetId="9" r:id="rId7"/>
    <sheet name="7. Cash Flow Statement" sheetId="11" r:id="rId8"/>
    <sheet name="8. Balance Sheet" sheetId="44" r:id="rId9"/>
    <sheet name="7. Beginning Balance Sheet" sheetId="16" state="hidden" r:id="rId10"/>
    <sheet name="10. Breakeven Analysis" sheetId="17" r:id="rId11"/>
    <sheet name="9. Financial Ratios" sheetId="24" r:id="rId12"/>
    <sheet name="11. Depreciation &amp;Amoritization" sheetId="8" r:id="rId13"/>
    <sheet name="12. Historical Income Statement" sheetId="41" r:id="rId14"/>
    <sheet name="13 History Cash Flow Statement " sheetId="32" r:id="rId15"/>
    <sheet name="14. History Balance Sheet" sheetId="33" r:id="rId16"/>
    <sheet name="15. Debtors &amp; Creditors" sheetId="45" r:id="rId17"/>
    <sheet name="Production" sheetId="53" r:id="rId18"/>
    <sheet name="Enterprise budgets" sheetId="54" r:id="rId19"/>
    <sheet name="Cashflow" sheetId="55" r:id="rId20"/>
    <sheet name="Capex" sheetId="56" r:id="rId21"/>
  </sheets>
  <externalReferences>
    <externalReference r:id="rId22"/>
  </externalReferences>
  <definedNames>
    <definedName name="_12_000" localSheetId="13">'[1]6. Budget breakdown'!#REF!</definedName>
    <definedName name="_12_000" localSheetId="14">#REF!</definedName>
    <definedName name="_12_000" localSheetId="15">#REF!</definedName>
    <definedName name="_12_000" localSheetId="8">#REF!</definedName>
    <definedName name="_12_000" localSheetId="0">#REF!</definedName>
    <definedName name="_12_000">#REF!</definedName>
    <definedName name="_xlnm.Print_Area" localSheetId="13">'12. Historical Income Statement'!$A$1:$P$113</definedName>
    <definedName name="_xlnm.Print_Area" localSheetId="6">'6. Income Statement'!$A$4:$Q$105</definedName>
    <definedName name="_xlnm.Print_Titles" localSheetId="13">'12. Historical Income Statement'!$1:$8</definedName>
    <definedName name="_xlnm.Print_Titles" localSheetId="14">'13 History Cash Flow Statement '!$5:$10</definedName>
    <definedName name="_xlnm.Print_Titles" localSheetId="15">'14. History Balance Sheet'!$1:$6</definedName>
    <definedName name="_xlnm.Print_Titles" localSheetId="6">'6. Income Statement'!$4:$10</definedName>
    <definedName name="_xlnm.Print_Titles" localSheetId="9">'7. Beginning Balance Sheet'!$1:$6</definedName>
    <definedName name="_xlnm.Print_Titles" localSheetId="7">'7. Cash Flow Statement'!$3:$8</definedName>
    <definedName name="_xlnm.Print_Titles" localSheetId="8">'8. Balance Sheet'!$1:$6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8" l="1"/>
  <c r="I15" i="1"/>
  <c r="J15" i="1" s="1"/>
  <c r="I14" i="1"/>
  <c r="J14" i="1" s="1"/>
  <c r="I16" i="1"/>
  <c r="J16" i="1" s="1"/>
  <c r="G16" i="1"/>
  <c r="G15" i="1"/>
  <c r="G14" i="1"/>
  <c r="J9" i="1" l="1"/>
  <c r="I9" i="1"/>
  <c r="D22" i="42"/>
  <c r="B22" i="42"/>
  <c r="F25" i="44" l="1"/>
  <c r="F24" i="44"/>
  <c r="M17" i="56"/>
  <c r="M13" i="56"/>
  <c r="C9" i="1"/>
  <c r="C8" i="1"/>
  <c r="C7" i="1"/>
  <c r="C6" i="1"/>
  <c r="C5" i="1"/>
  <c r="C4" i="1"/>
  <c r="E9" i="1"/>
  <c r="E10" i="1"/>
  <c r="E8" i="1"/>
  <c r="E7" i="1"/>
  <c r="E6" i="1"/>
  <c r="E5" i="1"/>
  <c r="E4" i="1"/>
  <c r="M8" i="56"/>
  <c r="M9" i="56"/>
  <c r="M5" i="56"/>
  <c r="M7" i="56"/>
  <c r="M6" i="56"/>
  <c r="F23" i="44" l="1"/>
  <c r="M10" i="56"/>
  <c r="C18" i="44" l="1"/>
  <c r="C15" i="44"/>
  <c r="C16" i="44"/>
  <c r="I5" i="1"/>
  <c r="J5" i="1" s="1"/>
  <c r="I6" i="1"/>
  <c r="J6" i="1" s="1"/>
  <c r="I7" i="1"/>
  <c r="J7" i="1" s="1"/>
  <c r="I8" i="1"/>
  <c r="J8" i="1" s="1"/>
  <c r="I10" i="1"/>
  <c r="J10" i="1" s="1"/>
  <c r="E26" i="1"/>
  <c r="E21" i="1"/>
  <c r="D49" i="9"/>
  <c r="D47" i="9"/>
  <c r="A25" i="51"/>
  <c r="A24" i="51"/>
  <c r="B39" i="51"/>
  <c r="B38" i="51"/>
  <c r="B37" i="51"/>
  <c r="B36" i="51"/>
  <c r="E21" i="9" s="1"/>
  <c r="F21" i="9" s="1"/>
  <c r="G21" i="9" s="1"/>
  <c r="B35" i="51"/>
  <c r="B34" i="51"/>
  <c r="B33" i="51"/>
  <c r="B32" i="51"/>
  <c r="E17" i="9" s="1"/>
  <c r="E12" i="51"/>
  <c r="E11" i="51"/>
  <c r="E10" i="51"/>
  <c r="E9" i="51"/>
  <c r="E8" i="51"/>
  <c r="E7" i="51"/>
  <c r="E6" i="51"/>
  <c r="E5" i="51"/>
  <c r="A39" i="51"/>
  <c r="D24" i="9" s="1"/>
  <c r="A38" i="51"/>
  <c r="D23" i="9" s="1"/>
  <c r="A37" i="51"/>
  <c r="D22" i="9" s="1"/>
  <c r="A36" i="51"/>
  <c r="D21" i="9" s="1"/>
  <c r="A35" i="51"/>
  <c r="A34" i="51"/>
  <c r="A33" i="51"/>
  <c r="A32" i="51"/>
  <c r="D12" i="51"/>
  <c r="D53" i="9" s="1"/>
  <c r="D11" i="51"/>
  <c r="D52" i="9" s="1"/>
  <c r="D10" i="51"/>
  <c r="D51" i="9" s="1"/>
  <c r="D9" i="51"/>
  <c r="D50" i="9" s="1"/>
  <c r="D8" i="51"/>
  <c r="D7" i="51"/>
  <c r="D48" i="9" s="1"/>
  <c r="D6" i="51"/>
  <c r="D5" i="51"/>
  <c r="P10" i="9"/>
  <c r="O10" i="9"/>
  <c r="N10" i="9"/>
  <c r="M10" i="9"/>
  <c r="L10" i="9"/>
  <c r="K10" i="9"/>
  <c r="J10" i="9"/>
  <c r="I10" i="9"/>
  <c r="H10" i="9"/>
  <c r="G10" i="9"/>
  <c r="F10" i="9"/>
  <c r="E10" i="9"/>
  <c r="D20" i="9"/>
  <c r="E20" i="9"/>
  <c r="F20" i="9" s="1"/>
  <c r="E22" i="9"/>
  <c r="F22" i="9" s="1"/>
  <c r="G22" i="9" s="1"/>
  <c r="H22" i="9" s="1"/>
  <c r="I22" i="9" s="1"/>
  <c r="J22" i="9" s="1"/>
  <c r="K22" i="9" s="1"/>
  <c r="L22" i="9" s="1"/>
  <c r="M22" i="9" s="1"/>
  <c r="N22" i="9" s="1"/>
  <c r="O22" i="9" s="1"/>
  <c r="P22" i="9" s="1"/>
  <c r="E23" i="9"/>
  <c r="F23" i="9" s="1"/>
  <c r="G23" i="9" s="1"/>
  <c r="H23" i="9" s="1"/>
  <c r="I23" i="9" s="1"/>
  <c r="J23" i="9" s="1"/>
  <c r="K23" i="9" s="1"/>
  <c r="L23" i="9" s="1"/>
  <c r="M23" i="9" s="1"/>
  <c r="N23" i="9" s="1"/>
  <c r="O23" i="9" s="1"/>
  <c r="P23" i="9" s="1"/>
  <c r="E24" i="9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E27" i="9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E19" i="9"/>
  <c r="E18" i="9"/>
  <c r="D34" i="42"/>
  <c r="D33" i="42"/>
  <c r="B35" i="42"/>
  <c r="B34" i="42"/>
  <c r="B33" i="42"/>
  <c r="D30" i="42"/>
  <c r="B30" i="42"/>
  <c r="B29" i="42"/>
  <c r="B28" i="42"/>
  <c r="C35" i="42"/>
  <c r="D35" i="42" s="1"/>
  <c r="C34" i="42"/>
  <c r="C33" i="42"/>
  <c r="C30" i="42"/>
  <c r="C29" i="42"/>
  <c r="D29" i="42" s="1"/>
  <c r="C28" i="42"/>
  <c r="D28" i="42" s="1"/>
  <c r="B109" i="53"/>
  <c r="B108" i="53"/>
  <c r="B107" i="53"/>
  <c r="B103" i="53"/>
  <c r="B102" i="53"/>
  <c r="B101" i="53"/>
  <c r="C8" i="28"/>
  <c r="C10" i="28" s="1"/>
  <c r="E14" i="9" s="1"/>
  <c r="N8" i="28"/>
  <c r="N10" i="28" s="1"/>
  <c r="P14" i="9" s="1"/>
  <c r="D19" i="56"/>
  <c r="B51" i="55" s="1"/>
  <c r="B23" i="51" s="1"/>
  <c r="D18" i="56"/>
  <c r="B50" i="55" s="1"/>
  <c r="B22" i="51" s="1"/>
  <c r="D17" i="56"/>
  <c r="B49" i="55" s="1"/>
  <c r="B21" i="51" s="1"/>
  <c r="D16" i="56"/>
  <c r="B48" i="55" s="1"/>
  <c r="B97" i="55" s="1"/>
  <c r="D15" i="56"/>
  <c r="B47" i="55" s="1"/>
  <c r="B19" i="51" s="1"/>
  <c r="D14" i="56"/>
  <c r="B46" i="55" s="1"/>
  <c r="D13" i="56"/>
  <c r="B45" i="55" s="1"/>
  <c r="B94" i="55" s="1"/>
  <c r="D12" i="56"/>
  <c r="B44" i="55" s="1"/>
  <c r="B93" i="55" s="1"/>
  <c r="D11" i="56"/>
  <c r="B43" i="55" s="1"/>
  <c r="B92" i="55" s="1"/>
  <c r="D10" i="56"/>
  <c r="D9" i="56"/>
  <c r="B41" i="55" s="1"/>
  <c r="B13" i="51" s="1"/>
  <c r="D8" i="56"/>
  <c r="B40" i="55" s="1"/>
  <c r="B89" i="55" s="1"/>
  <c r="D7" i="56"/>
  <c r="B39" i="55" s="1"/>
  <c r="B88" i="55" s="1"/>
  <c r="D6" i="56"/>
  <c r="B38" i="55" s="1"/>
  <c r="B87" i="55" s="1"/>
  <c r="D5" i="56"/>
  <c r="B37" i="55" s="1"/>
  <c r="B86" i="55" s="1"/>
  <c r="D4" i="56"/>
  <c r="D3" i="56"/>
  <c r="B35" i="55" s="1"/>
  <c r="D2" i="56"/>
  <c r="B34" i="55" s="1"/>
  <c r="D1" i="56"/>
  <c r="B33" i="55" s="1"/>
  <c r="F81" i="55"/>
  <c r="E81" i="55"/>
  <c r="D81" i="55"/>
  <c r="C81" i="55"/>
  <c r="A81" i="55"/>
  <c r="A79" i="55"/>
  <c r="A78" i="55"/>
  <c r="A77" i="55"/>
  <c r="A76" i="55"/>
  <c r="A75" i="55"/>
  <c r="A74" i="55"/>
  <c r="A72" i="55"/>
  <c r="A71" i="55"/>
  <c r="A64" i="55"/>
  <c r="A62" i="55"/>
  <c r="A61" i="55"/>
  <c r="A60" i="55"/>
  <c r="A59" i="55"/>
  <c r="A58" i="55"/>
  <c r="A57" i="55"/>
  <c r="A51" i="55"/>
  <c r="A23" i="51" s="1"/>
  <c r="A50" i="55"/>
  <c r="A22" i="51" s="1"/>
  <c r="A49" i="55"/>
  <c r="A21" i="51" s="1"/>
  <c r="A48" i="55"/>
  <c r="A97" i="55" s="1"/>
  <c r="A47" i="55"/>
  <c r="A19" i="51" s="1"/>
  <c r="A46" i="55"/>
  <c r="A18" i="51" s="1"/>
  <c r="A45" i="55"/>
  <c r="A94" i="55" s="1"/>
  <c r="A44" i="55"/>
  <c r="A93" i="55" s="1"/>
  <c r="A43" i="55"/>
  <c r="A92" i="55" s="1"/>
  <c r="B42" i="55"/>
  <c r="B91" i="55" s="1"/>
  <c r="A42" i="55"/>
  <c r="A91" i="55" s="1"/>
  <c r="A41" i="55"/>
  <c r="A90" i="55" s="1"/>
  <c r="A40" i="55"/>
  <c r="A89" i="55" s="1"/>
  <c r="A39" i="55"/>
  <c r="A11" i="51" s="1"/>
  <c r="A38" i="55"/>
  <c r="A10" i="51" s="1"/>
  <c r="A37" i="55"/>
  <c r="A86" i="55" s="1"/>
  <c r="B36" i="55"/>
  <c r="B85" i="55" s="1"/>
  <c r="A36" i="55"/>
  <c r="A85" i="55" s="1"/>
  <c r="A35" i="55"/>
  <c r="A84" i="55" s="1"/>
  <c r="A34" i="55"/>
  <c r="A6" i="51" s="1"/>
  <c r="A33" i="55"/>
  <c r="A82" i="55" s="1"/>
  <c r="M32" i="55"/>
  <c r="L32" i="55"/>
  <c r="K32" i="55"/>
  <c r="J32" i="55"/>
  <c r="I32" i="55"/>
  <c r="H32" i="55"/>
  <c r="G32" i="55"/>
  <c r="F32" i="55"/>
  <c r="E32" i="55"/>
  <c r="D32" i="55"/>
  <c r="C32" i="55"/>
  <c r="C30" i="55"/>
  <c r="N28" i="55"/>
  <c r="B79" i="55" s="1"/>
  <c r="C79" i="55" s="1"/>
  <c r="D79" i="55" s="1"/>
  <c r="E79" i="55" s="1"/>
  <c r="F79" i="55" s="1"/>
  <c r="N27" i="55"/>
  <c r="B78" i="55" s="1"/>
  <c r="C78" i="55" s="1"/>
  <c r="D78" i="55" s="1"/>
  <c r="E78" i="55" s="1"/>
  <c r="F78" i="55" s="1"/>
  <c r="N26" i="55"/>
  <c r="N25" i="55"/>
  <c r="B77" i="55" s="1"/>
  <c r="C77" i="55" s="1"/>
  <c r="D77" i="55" s="1"/>
  <c r="E77" i="55" s="1"/>
  <c r="F77" i="55" s="1"/>
  <c r="M25" i="55"/>
  <c r="L25" i="55"/>
  <c r="K25" i="55"/>
  <c r="J25" i="55"/>
  <c r="I25" i="55"/>
  <c r="H25" i="55"/>
  <c r="G25" i="55"/>
  <c r="F25" i="55"/>
  <c r="E25" i="55"/>
  <c r="D25" i="55"/>
  <c r="C25" i="55"/>
  <c r="B25" i="55"/>
  <c r="B22" i="55" s="1"/>
  <c r="N24" i="55"/>
  <c r="B76" i="55" s="1"/>
  <c r="C76" i="55" s="1"/>
  <c r="D76" i="55" s="1"/>
  <c r="E76" i="55" s="1"/>
  <c r="F76" i="55" s="1"/>
  <c r="N23" i="55"/>
  <c r="B75" i="55" s="1"/>
  <c r="A18" i="55"/>
  <c r="A70" i="55" s="1"/>
  <c r="A17" i="55"/>
  <c r="A69" i="55" s="1"/>
  <c r="A16" i="55"/>
  <c r="A68" i="55" s="1"/>
  <c r="A15" i="55"/>
  <c r="A67" i="55" s="1"/>
  <c r="A14" i="55"/>
  <c r="A66" i="55" s="1"/>
  <c r="A13" i="55"/>
  <c r="A65" i="55" s="1"/>
  <c r="C5" i="55"/>
  <c r="I58" i="54"/>
  <c r="M57" i="54"/>
  <c r="M56" i="54"/>
  <c r="K56" i="54"/>
  <c r="L54" i="54"/>
  <c r="L55" i="54" s="1"/>
  <c r="K54" i="54"/>
  <c r="J54" i="54"/>
  <c r="J56" i="54" s="1"/>
  <c r="I52" i="54"/>
  <c r="K58" i="54" s="1"/>
  <c r="T51" i="54"/>
  <c r="S51" i="54"/>
  <c r="R51" i="54"/>
  <c r="Q51" i="54"/>
  <c r="F51" i="54"/>
  <c r="E51" i="54"/>
  <c r="D51" i="54"/>
  <c r="C51" i="54"/>
  <c r="P49" i="54"/>
  <c r="P52" i="54" s="1"/>
  <c r="B49" i="54"/>
  <c r="K45" i="54"/>
  <c r="L45" i="54" s="1"/>
  <c r="L43" i="54"/>
  <c r="L42" i="54"/>
  <c r="L41" i="54"/>
  <c r="S40" i="54"/>
  <c r="K40" i="54"/>
  <c r="L40" i="54" s="1"/>
  <c r="E40" i="54"/>
  <c r="S39" i="54"/>
  <c r="K39" i="54"/>
  <c r="L39" i="54" s="1"/>
  <c r="E39" i="54"/>
  <c r="R38" i="54"/>
  <c r="S38" i="54" s="1"/>
  <c r="D38" i="54"/>
  <c r="E38" i="54" s="1"/>
  <c r="R37" i="54"/>
  <c r="S37" i="54" s="1"/>
  <c r="E37" i="54"/>
  <c r="D37" i="54"/>
  <c r="L35" i="54"/>
  <c r="S34" i="54"/>
  <c r="L34" i="54"/>
  <c r="E34" i="54"/>
  <c r="S33" i="54"/>
  <c r="L33" i="54"/>
  <c r="E33" i="54"/>
  <c r="S32" i="54"/>
  <c r="E32" i="54"/>
  <c r="P31" i="54"/>
  <c r="S31" i="54" s="1"/>
  <c r="I31" i="54"/>
  <c r="L31" i="54" s="1"/>
  <c r="B31" i="54"/>
  <c r="E31" i="54" s="1"/>
  <c r="L30" i="54"/>
  <c r="S29" i="54"/>
  <c r="E29" i="54"/>
  <c r="L27" i="54"/>
  <c r="S26" i="54"/>
  <c r="S27" i="54" s="1"/>
  <c r="L26" i="54"/>
  <c r="E26" i="54"/>
  <c r="S25" i="54"/>
  <c r="L25" i="54"/>
  <c r="E25" i="54"/>
  <c r="S24" i="54"/>
  <c r="L24" i="54"/>
  <c r="E24" i="54"/>
  <c r="S23" i="54"/>
  <c r="L23" i="54"/>
  <c r="E23" i="54"/>
  <c r="S22" i="54"/>
  <c r="L22" i="54"/>
  <c r="E22" i="54"/>
  <c r="S21" i="54"/>
  <c r="L21" i="54"/>
  <c r="E21" i="54"/>
  <c r="S20" i="54"/>
  <c r="L20" i="54"/>
  <c r="L28" i="54" s="1"/>
  <c r="E20" i="54"/>
  <c r="S19" i="54"/>
  <c r="E19" i="54"/>
  <c r="L18" i="54"/>
  <c r="S17" i="54"/>
  <c r="E17" i="54"/>
  <c r="S15" i="54"/>
  <c r="S16" i="54" s="1"/>
  <c r="L15" i="54"/>
  <c r="E15" i="54"/>
  <c r="E16" i="54" s="1"/>
  <c r="S14" i="54"/>
  <c r="L14" i="54"/>
  <c r="E14" i="54"/>
  <c r="S13" i="54"/>
  <c r="L13" i="54"/>
  <c r="L16" i="54" s="1"/>
  <c r="E13" i="54"/>
  <c r="Q6" i="54"/>
  <c r="R42" i="54" s="1"/>
  <c r="S42" i="54" s="1"/>
  <c r="L6" i="54"/>
  <c r="L8" i="54" s="1"/>
  <c r="C6" i="54"/>
  <c r="D42" i="54" s="1"/>
  <c r="E42" i="54" s="1"/>
  <c r="A90" i="53"/>
  <c r="M3" i="55" s="1"/>
  <c r="A84" i="53"/>
  <c r="L3" i="55" s="1"/>
  <c r="A78" i="53"/>
  <c r="K3" i="55" s="1"/>
  <c r="A72" i="53"/>
  <c r="J3" i="55" s="1"/>
  <c r="A66" i="53"/>
  <c r="I3" i="55" s="1"/>
  <c r="A60" i="53"/>
  <c r="H3" i="55" s="1"/>
  <c r="A54" i="53"/>
  <c r="G3" i="55" s="1"/>
  <c r="A48" i="53"/>
  <c r="F3" i="55" s="1"/>
  <c r="A42" i="53"/>
  <c r="E3" i="55" s="1"/>
  <c r="A36" i="53"/>
  <c r="D3" i="55" s="1"/>
  <c r="A30" i="53"/>
  <c r="C3" i="55" s="1"/>
  <c r="A24" i="53"/>
  <c r="B3" i="55" s="1"/>
  <c r="B13" i="53"/>
  <c r="B12" i="53"/>
  <c r="B11" i="53"/>
  <c r="B5" i="53"/>
  <c r="B7" i="53" s="1"/>
  <c r="C23" i="42"/>
  <c r="E23" i="42"/>
  <c r="C26" i="52" s="1"/>
  <c r="Q49" i="11"/>
  <c r="F16" i="44"/>
  <c r="F15" i="44"/>
  <c r="G15" i="44" s="1"/>
  <c r="H15" i="44" s="1"/>
  <c r="I15" i="44" s="1"/>
  <c r="J15" i="44" s="1"/>
  <c r="K15" i="44" s="1"/>
  <c r="F18" i="44"/>
  <c r="C14" i="44"/>
  <c r="F13" i="44"/>
  <c r="C13" i="44"/>
  <c r="E27" i="51" l="1"/>
  <c r="B11" i="51"/>
  <c r="B12" i="51"/>
  <c r="A87" i="55"/>
  <c r="A88" i="55"/>
  <c r="B90" i="55"/>
  <c r="A95" i="55"/>
  <c r="A96" i="55"/>
  <c r="A12" i="51"/>
  <c r="A13" i="51"/>
  <c r="A14" i="51"/>
  <c r="A83" i="55"/>
  <c r="A15" i="51"/>
  <c r="A16" i="51"/>
  <c r="A17" i="51"/>
  <c r="A20" i="51"/>
  <c r="A5" i="51"/>
  <c r="A7" i="51"/>
  <c r="A8" i="51"/>
  <c r="A9" i="51"/>
  <c r="B10" i="51"/>
  <c r="B5" i="51"/>
  <c r="B82" i="55"/>
  <c r="B18" i="51"/>
  <c r="B95" i="55"/>
  <c r="B84" i="55"/>
  <c r="B7" i="51"/>
  <c r="B83" i="55"/>
  <c r="B6" i="51"/>
  <c r="B8" i="51"/>
  <c r="B9" i="51"/>
  <c r="B96" i="55"/>
  <c r="B14" i="51"/>
  <c r="B15" i="51"/>
  <c r="B16" i="51"/>
  <c r="B17" i="51"/>
  <c r="B20" i="51"/>
  <c r="J11" i="1"/>
  <c r="I11" i="1"/>
  <c r="Q22" i="9"/>
  <c r="Q24" i="9"/>
  <c r="H21" i="9"/>
  <c r="I21" i="9" s="1"/>
  <c r="J21" i="9" s="1"/>
  <c r="K21" i="9" s="1"/>
  <c r="L21" i="9" s="1"/>
  <c r="M21" i="9" s="1"/>
  <c r="N21" i="9" s="1"/>
  <c r="O21" i="9" s="1"/>
  <c r="P21" i="9" s="1"/>
  <c r="Q23" i="9"/>
  <c r="Q27" i="9"/>
  <c r="G20" i="9"/>
  <c r="H20" i="9" s="1"/>
  <c r="I20" i="9" s="1"/>
  <c r="J20" i="9" s="1"/>
  <c r="K20" i="9" s="1"/>
  <c r="L20" i="9" s="1"/>
  <c r="M20" i="9" s="1"/>
  <c r="N20" i="9" s="1"/>
  <c r="O20" i="9" s="1"/>
  <c r="P20" i="9" s="1"/>
  <c r="J19" i="55"/>
  <c r="L44" i="54"/>
  <c r="L36" i="54"/>
  <c r="S35" i="54"/>
  <c r="E27" i="54"/>
  <c r="M15" i="55" s="1"/>
  <c r="K57" i="54"/>
  <c r="I56" i="54"/>
  <c r="E35" i="54"/>
  <c r="M17" i="55" s="1"/>
  <c r="B15" i="53"/>
  <c r="I27" i="53" s="1"/>
  <c r="B14" i="53"/>
  <c r="F51" i="53" s="1"/>
  <c r="B14" i="55"/>
  <c r="B16" i="55"/>
  <c r="B16" i="53"/>
  <c r="I28" i="53" s="1"/>
  <c r="K13" i="55"/>
  <c r="J13" i="55"/>
  <c r="B13" i="55"/>
  <c r="B74" i="55"/>
  <c r="C75" i="55"/>
  <c r="G17" i="55"/>
  <c r="F28" i="53"/>
  <c r="H28" i="53"/>
  <c r="I13" i="55"/>
  <c r="D13" i="55"/>
  <c r="C13" i="55"/>
  <c r="H13" i="55"/>
  <c r="G13" i="55"/>
  <c r="F13" i="55"/>
  <c r="E13" i="55"/>
  <c r="M16" i="55"/>
  <c r="J16" i="55"/>
  <c r="I16" i="55"/>
  <c r="L16" i="55"/>
  <c r="K16" i="55"/>
  <c r="G16" i="55"/>
  <c r="E16" i="55"/>
  <c r="L13" i="55"/>
  <c r="C16" i="55"/>
  <c r="K15" i="55"/>
  <c r="J15" i="55"/>
  <c r="H15" i="55"/>
  <c r="I15" i="55"/>
  <c r="H86" i="53"/>
  <c r="H81" i="53"/>
  <c r="H76" i="53"/>
  <c r="F74" i="53"/>
  <c r="F69" i="53"/>
  <c r="F64" i="53"/>
  <c r="I44" i="53"/>
  <c r="I39" i="53"/>
  <c r="I34" i="53"/>
  <c r="G32" i="53"/>
  <c r="I70" i="53"/>
  <c r="E56" i="53"/>
  <c r="G86" i="53"/>
  <c r="G81" i="53"/>
  <c r="G76" i="53"/>
  <c r="E74" i="53"/>
  <c r="E69" i="53"/>
  <c r="E64" i="53"/>
  <c r="H44" i="53"/>
  <c r="H39" i="53"/>
  <c r="H34" i="53"/>
  <c r="F32" i="53"/>
  <c r="F88" i="53"/>
  <c r="H63" i="53"/>
  <c r="G63" i="53"/>
  <c r="H88" i="53"/>
  <c r="F81" i="53"/>
  <c r="F76" i="53"/>
  <c r="I56" i="53"/>
  <c r="I51" i="53"/>
  <c r="I46" i="53"/>
  <c r="G44" i="53"/>
  <c r="G39" i="53"/>
  <c r="G34" i="53"/>
  <c r="E32" i="53"/>
  <c r="E94" i="53"/>
  <c r="I68" i="53"/>
  <c r="I63" i="53"/>
  <c r="G56" i="53"/>
  <c r="G51" i="53"/>
  <c r="E34" i="53"/>
  <c r="H68" i="53"/>
  <c r="H58" i="53"/>
  <c r="F46" i="53"/>
  <c r="I75" i="53"/>
  <c r="G58" i="53"/>
  <c r="F94" i="53"/>
  <c r="G88" i="53"/>
  <c r="E86" i="53"/>
  <c r="E81" i="53"/>
  <c r="E76" i="53"/>
  <c r="H56" i="53"/>
  <c r="H51" i="53"/>
  <c r="H46" i="53"/>
  <c r="F44" i="53"/>
  <c r="F39" i="53"/>
  <c r="F34" i="53"/>
  <c r="E44" i="53"/>
  <c r="E88" i="53"/>
  <c r="F56" i="53"/>
  <c r="G68" i="53"/>
  <c r="E51" i="53"/>
  <c r="E39" i="53"/>
  <c r="E93" i="53"/>
  <c r="I87" i="53"/>
  <c r="I82" i="53"/>
  <c r="G80" i="53"/>
  <c r="G75" i="53"/>
  <c r="G70" i="53"/>
  <c r="E68" i="53"/>
  <c r="E63" i="53"/>
  <c r="E58" i="53"/>
  <c r="H38" i="53"/>
  <c r="H33" i="53"/>
  <c r="G26" i="53"/>
  <c r="G87" i="53"/>
  <c r="G82" i="53"/>
  <c r="E80" i="53"/>
  <c r="E75" i="53"/>
  <c r="E70" i="53"/>
  <c r="H50" i="53"/>
  <c r="H45" i="53"/>
  <c r="H40" i="53"/>
  <c r="F38" i="53"/>
  <c r="F33" i="53"/>
  <c r="E26" i="53"/>
  <c r="F75" i="53"/>
  <c r="H27" i="53"/>
  <c r="G27" i="53"/>
  <c r="F27" i="53"/>
  <c r="E27" i="53"/>
  <c r="I32" i="53"/>
  <c r="E40" i="53"/>
  <c r="E50" i="53"/>
  <c r="I57" i="53"/>
  <c r="H75" i="53"/>
  <c r="I86" i="53"/>
  <c r="K14" i="55"/>
  <c r="J14" i="55"/>
  <c r="F14" i="55"/>
  <c r="I14" i="55"/>
  <c r="E14" i="55"/>
  <c r="H14" i="55"/>
  <c r="G14" i="55"/>
  <c r="C14" i="55"/>
  <c r="L57" i="54"/>
  <c r="L59" i="54"/>
  <c r="L56" i="54"/>
  <c r="H16" i="55"/>
  <c r="S41" i="54"/>
  <c r="R43" i="54" s="1"/>
  <c r="S43" i="54" s="1"/>
  <c r="D14" i="55"/>
  <c r="H19" i="55"/>
  <c r="J57" i="54"/>
  <c r="J59" i="54"/>
  <c r="D16" i="55"/>
  <c r="E6" i="54"/>
  <c r="E8" i="54" s="1"/>
  <c r="F16" i="55"/>
  <c r="F68" i="53"/>
  <c r="F26" i="53"/>
  <c r="E33" i="53"/>
  <c r="I40" i="53"/>
  <c r="I50" i="53"/>
  <c r="H69" i="53"/>
  <c r="E87" i="53"/>
  <c r="L58" i="54"/>
  <c r="L14" i="55"/>
  <c r="I19" i="55"/>
  <c r="B32" i="55"/>
  <c r="N32" i="55" s="1"/>
  <c r="D21" i="56"/>
  <c r="F15" i="55"/>
  <c r="K46" i="54"/>
  <c r="L46" i="54" s="1"/>
  <c r="L47" i="54" s="1"/>
  <c r="M13" i="55"/>
  <c r="H32" i="53"/>
  <c r="H57" i="53"/>
  <c r="F50" i="53"/>
  <c r="J58" i="54"/>
  <c r="G50" i="53"/>
  <c r="I57" i="54"/>
  <c r="M59" i="54"/>
  <c r="M55" i="54"/>
  <c r="M58" i="54"/>
  <c r="K55" i="54"/>
  <c r="H26" i="53"/>
  <c r="G33" i="53"/>
  <c r="E62" i="53"/>
  <c r="I69" i="53"/>
  <c r="F87" i="53"/>
  <c r="I55" i="54"/>
  <c r="I59" i="54"/>
  <c r="M14" i="55"/>
  <c r="F19" i="55"/>
  <c r="E19" i="55"/>
  <c r="D19" i="55"/>
  <c r="C19" i="55"/>
  <c r="B19" i="55"/>
  <c r="M19" i="55"/>
  <c r="L19" i="55"/>
  <c r="F40" i="53"/>
  <c r="I76" i="53"/>
  <c r="E41" i="54"/>
  <c r="G19" i="55"/>
  <c r="C22" i="55"/>
  <c r="D30" i="55"/>
  <c r="E30" i="55" s="1"/>
  <c r="G40" i="53"/>
  <c r="F58" i="53"/>
  <c r="G69" i="53"/>
  <c r="S6" i="54"/>
  <c r="S8" i="54" s="1"/>
  <c r="I26" i="53"/>
  <c r="I33" i="53"/>
  <c r="E52" i="53"/>
  <c r="F62" i="53"/>
  <c r="H87" i="53"/>
  <c r="J55" i="54"/>
  <c r="K59" i="54"/>
  <c r="K19" i="55"/>
  <c r="D20" i="42"/>
  <c r="B20" i="42"/>
  <c r="C18" i="42"/>
  <c r="C22" i="42"/>
  <c r="C21" i="42"/>
  <c r="C19" i="42"/>
  <c r="C17" i="42"/>
  <c r="B81" i="55" l="1"/>
  <c r="Q20" i="9"/>
  <c r="J7" i="51"/>
  <c r="Q21" i="9"/>
  <c r="J17" i="55"/>
  <c r="B17" i="55"/>
  <c r="C17" i="55"/>
  <c r="B15" i="55"/>
  <c r="D15" i="55"/>
  <c r="C15" i="55"/>
  <c r="F17" i="55"/>
  <c r="H17" i="55"/>
  <c r="D17" i="55"/>
  <c r="E15" i="55"/>
  <c r="E17" i="55"/>
  <c r="L17" i="55"/>
  <c r="L15" i="55"/>
  <c r="K17" i="55"/>
  <c r="N17" i="55" s="1"/>
  <c r="B69" i="55" s="1"/>
  <c r="C69" i="55" s="1"/>
  <c r="D69" i="55" s="1"/>
  <c r="E69" i="55" s="1"/>
  <c r="F69" i="55" s="1"/>
  <c r="G15" i="55"/>
  <c r="N15" i="55" s="1"/>
  <c r="B67" i="55" s="1"/>
  <c r="C67" i="55" s="1"/>
  <c r="D67" i="55" s="1"/>
  <c r="E67" i="55" s="1"/>
  <c r="F67" i="55" s="1"/>
  <c r="I17" i="55"/>
  <c r="J94" i="53"/>
  <c r="L94" i="53" s="1"/>
  <c r="E28" i="53"/>
  <c r="G28" i="53"/>
  <c r="J27" i="53"/>
  <c r="L27" i="53" s="1"/>
  <c r="B9" i="55" s="1"/>
  <c r="G46" i="53"/>
  <c r="F86" i="53"/>
  <c r="I88" i="53"/>
  <c r="J88" i="53" s="1"/>
  <c r="L88" i="53" s="1"/>
  <c r="I58" i="53"/>
  <c r="J58" i="53" s="1"/>
  <c r="L58" i="53" s="1"/>
  <c r="G10" i="55" s="1"/>
  <c r="I80" i="53"/>
  <c r="J33" i="53"/>
  <c r="L33" i="53" s="1"/>
  <c r="N14" i="55"/>
  <c r="B66" i="55" s="1"/>
  <c r="C66" i="55" s="1"/>
  <c r="D66" i="55" s="1"/>
  <c r="E66" i="55" s="1"/>
  <c r="F66" i="55" s="1"/>
  <c r="J44" i="53"/>
  <c r="L44" i="53" s="1"/>
  <c r="J34" i="53"/>
  <c r="L34" i="53" s="1"/>
  <c r="F93" i="53"/>
  <c r="J93" i="53" s="1"/>
  <c r="L93" i="53" s="1"/>
  <c r="M9" i="55" s="1"/>
  <c r="H70" i="53"/>
  <c r="H52" i="53"/>
  <c r="F70" i="53"/>
  <c r="G52" i="53"/>
  <c r="I74" i="53"/>
  <c r="F92" i="53"/>
  <c r="E92" i="53"/>
  <c r="F52" i="53"/>
  <c r="F82" i="53"/>
  <c r="G45" i="53"/>
  <c r="I62" i="53"/>
  <c r="I38" i="53"/>
  <c r="J38" i="53" s="1"/>
  <c r="L38" i="53" s="1"/>
  <c r="D8" i="55" s="1"/>
  <c r="H74" i="53"/>
  <c r="I64" i="53"/>
  <c r="F63" i="53"/>
  <c r="J63" i="53" s="1"/>
  <c r="L63" i="53" s="1"/>
  <c r="H9" i="55" s="1"/>
  <c r="E82" i="53"/>
  <c r="F45" i="53"/>
  <c r="F80" i="53"/>
  <c r="G57" i="53"/>
  <c r="F57" i="53"/>
  <c r="H64" i="53"/>
  <c r="E46" i="53"/>
  <c r="J46" i="53" s="1"/>
  <c r="L46" i="53" s="1"/>
  <c r="E10" i="55" s="1"/>
  <c r="G38" i="53"/>
  <c r="I52" i="53"/>
  <c r="H82" i="53"/>
  <c r="G64" i="53"/>
  <c r="I45" i="53"/>
  <c r="E57" i="53"/>
  <c r="J57" i="53" s="1"/>
  <c r="L57" i="53" s="1"/>
  <c r="G9" i="55" s="1"/>
  <c r="G74" i="53"/>
  <c r="J74" i="53" s="1"/>
  <c r="L74" i="53" s="1"/>
  <c r="J8" i="55" s="1"/>
  <c r="I81" i="53"/>
  <c r="J81" i="53" s="1"/>
  <c r="L81" i="53" s="1"/>
  <c r="K9" i="55" s="1"/>
  <c r="H62" i="53"/>
  <c r="E45" i="53"/>
  <c r="H80" i="53"/>
  <c r="G62" i="53"/>
  <c r="E38" i="53"/>
  <c r="N16" i="55"/>
  <c r="B68" i="55" s="1"/>
  <c r="C68" i="55" s="1"/>
  <c r="D68" i="55" s="1"/>
  <c r="E68" i="55" s="1"/>
  <c r="F68" i="55" s="1"/>
  <c r="J69" i="53"/>
  <c r="L69" i="53" s="1"/>
  <c r="I9" i="55" s="1"/>
  <c r="M52" i="54"/>
  <c r="L49" i="54"/>
  <c r="F30" i="55"/>
  <c r="E22" i="55"/>
  <c r="J28" i="53"/>
  <c r="L28" i="53" s="1"/>
  <c r="B10" i="55" s="1"/>
  <c r="J56" i="53"/>
  <c r="L56" i="53" s="1"/>
  <c r="J40" i="53"/>
  <c r="L40" i="53" s="1"/>
  <c r="D10" i="55" s="1"/>
  <c r="C18" i="55"/>
  <c r="B18" i="55"/>
  <c r="M18" i="55"/>
  <c r="K18" i="55"/>
  <c r="I18" i="55"/>
  <c r="J18" i="55"/>
  <c r="F18" i="55"/>
  <c r="H18" i="55"/>
  <c r="E18" i="55"/>
  <c r="L18" i="55"/>
  <c r="G18" i="55"/>
  <c r="D18" i="55"/>
  <c r="C74" i="55"/>
  <c r="D75" i="55"/>
  <c r="J26" i="53"/>
  <c r="L26" i="53" s="1"/>
  <c r="J68" i="53"/>
  <c r="L68" i="53" s="1"/>
  <c r="J86" i="53"/>
  <c r="L86" i="53" s="1"/>
  <c r="J32" i="53"/>
  <c r="L32" i="53" s="1"/>
  <c r="S46" i="54"/>
  <c r="D22" i="55"/>
  <c r="J76" i="53"/>
  <c r="L76" i="53" s="1"/>
  <c r="J10" i="55" s="1"/>
  <c r="N13" i="55"/>
  <c r="B65" i="55" s="1"/>
  <c r="J87" i="53"/>
  <c r="L87" i="53" s="1"/>
  <c r="L9" i="55" s="1"/>
  <c r="S44" i="54"/>
  <c r="T49" i="54" s="1"/>
  <c r="J75" i="53"/>
  <c r="L75" i="53" s="1"/>
  <c r="J9" i="55" s="1"/>
  <c r="J39" i="53"/>
  <c r="L39" i="53" s="1"/>
  <c r="D9" i="55" s="1"/>
  <c r="D43" i="54"/>
  <c r="E43" i="54" s="1"/>
  <c r="E44" i="54" s="1"/>
  <c r="N19" i="55"/>
  <c r="B71" i="55" s="1"/>
  <c r="C71" i="55" s="1"/>
  <c r="D71" i="55" s="1"/>
  <c r="E71" i="55" s="1"/>
  <c r="F71" i="55" s="1"/>
  <c r="J50" i="53"/>
  <c r="L50" i="53" s="1"/>
  <c r="J51" i="53"/>
  <c r="L51" i="53" s="1"/>
  <c r="F9" i="55" s="1"/>
  <c r="C20" i="42"/>
  <c r="E20" i="42" s="1"/>
  <c r="E17" i="42"/>
  <c r="E18" i="42"/>
  <c r="E19" i="42"/>
  <c r="E21" i="42"/>
  <c r="E22" i="42"/>
  <c r="R27" i="9" s="1"/>
  <c r="S27" i="9" s="1"/>
  <c r="T27" i="9" s="1"/>
  <c r="U27" i="9" s="1"/>
  <c r="H26" i="1" l="1"/>
  <c r="H25" i="1"/>
  <c r="H24" i="1"/>
  <c r="R23" i="9"/>
  <c r="S23" i="9" s="1"/>
  <c r="T23" i="9" s="1"/>
  <c r="U23" i="9" s="1"/>
  <c r="R20" i="9"/>
  <c r="S20" i="9" s="1"/>
  <c r="T20" i="9" s="1"/>
  <c r="U20" i="9" s="1"/>
  <c r="R22" i="9"/>
  <c r="S22" i="9" s="1"/>
  <c r="T22" i="9" s="1"/>
  <c r="U22" i="9" s="1"/>
  <c r="R24" i="9"/>
  <c r="S24" i="9" s="1"/>
  <c r="T24" i="9" s="1"/>
  <c r="U24" i="9" s="1"/>
  <c r="R21" i="9"/>
  <c r="S21" i="9" s="1"/>
  <c r="T21" i="9" s="1"/>
  <c r="U21" i="9" s="1"/>
  <c r="M10" i="55"/>
  <c r="L10" i="55"/>
  <c r="J70" i="53"/>
  <c r="L70" i="53" s="1"/>
  <c r="I10" i="55" s="1"/>
  <c r="J82" i="53"/>
  <c r="L82" i="53" s="1"/>
  <c r="K10" i="55"/>
  <c r="J62" i="53"/>
  <c r="L62" i="53" s="1"/>
  <c r="J80" i="53"/>
  <c r="L80" i="53" s="1"/>
  <c r="J52" i="53"/>
  <c r="L52" i="53" s="1"/>
  <c r="F10" i="55" s="1"/>
  <c r="J64" i="53"/>
  <c r="L64" i="53" s="1"/>
  <c r="H10" i="55" s="1"/>
  <c r="H8" i="55"/>
  <c r="H5" i="55" s="1"/>
  <c r="L35" i="53"/>
  <c r="D8" i="28" s="1"/>
  <c r="J92" i="53"/>
  <c r="L92" i="53" s="1"/>
  <c r="E8" i="55"/>
  <c r="N18" i="55"/>
  <c r="B70" i="55" s="1"/>
  <c r="C70" i="55" s="1"/>
  <c r="D70" i="55" s="1"/>
  <c r="E70" i="55" s="1"/>
  <c r="F70" i="55" s="1"/>
  <c r="J45" i="53"/>
  <c r="L45" i="53" s="1"/>
  <c r="E9" i="55" s="1"/>
  <c r="N9" i="55" s="1"/>
  <c r="B61" i="55" s="1"/>
  <c r="C61" i="55" s="1"/>
  <c r="D61" i="55" s="1"/>
  <c r="E61" i="55" s="1"/>
  <c r="F61" i="55" s="1"/>
  <c r="I20" i="55"/>
  <c r="I12" i="55" s="1"/>
  <c r="C20" i="55"/>
  <c r="C12" i="55" s="1"/>
  <c r="C52" i="55" s="1"/>
  <c r="H20" i="55"/>
  <c r="H12" i="55" s="1"/>
  <c r="D20" i="55"/>
  <c r="D12" i="55" s="1"/>
  <c r="G20" i="55"/>
  <c r="G12" i="55" s="1"/>
  <c r="F20" i="55"/>
  <c r="F12" i="55" s="1"/>
  <c r="E20" i="55"/>
  <c r="E12" i="55" s="1"/>
  <c r="K20" i="55"/>
  <c r="K12" i="55" s="1"/>
  <c r="J20" i="55"/>
  <c r="J12" i="55" s="1"/>
  <c r="M20" i="55"/>
  <c r="M12" i="55" s="1"/>
  <c r="L20" i="55"/>
  <c r="L12" i="55" s="1"/>
  <c r="B20" i="55"/>
  <c r="N10" i="55"/>
  <c r="B62" i="55" s="1"/>
  <c r="C62" i="55" s="1"/>
  <c r="D62" i="55" s="1"/>
  <c r="E62" i="55" s="1"/>
  <c r="F62" i="55" s="1"/>
  <c r="C65" i="55"/>
  <c r="B12" i="55"/>
  <c r="G30" i="55"/>
  <c r="F22" i="55"/>
  <c r="E75" i="55"/>
  <c r="D74" i="55"/>
  <c r="D5" i="55"/>
  <c r="L59" i="53"/>
  <c r="H8" i="28" s="1"/>
  <c r="H10" i="28" s="1"/>
  <c r="J14" i="9" s="1"/>
  <c r="G8" i="55"/>
  <c r="G5" i="55" s="1"/>
  <c r="L8" i="55"/>
  <c r="L5" i="55" s="1"/>
  <c r="L89" i="53"/>
  <c r="M8" i="28" s="1"/>
  <c r="M10" i="28" s="1"/>
  <c r="O14" i="9" s="1"/>
  <c r="J5" i="55"/>
  <c r="K8" i="55"/>
  <c r="K5" i="55" s="1"/>
  <c r="L83" i="53"/>
  <c r="L8" i="28" s="1"/>
  <c r="L10" i="28" s="1"/>
  <c r="N14" i="9" s="1"/>
  <c r="L41" i="53"/>
  <c r="F8" i="55"/>
  <c r="F5" i="55" s="1"/>
  <c r="L53" i="53"/>
  <c r="G8" i="28" s="1"/>
  <c r="G10" i="28" s="1"/>
  <c r="I14" i="9" s="1"/>
  <c r="I8" i="55"/>
  <c r="L77" i="53"/>
  <c r="K8" i="28" s="1"/>
  <c r="K10" i="28" s="1"/>
  <c r="M14" i="9" s="1"/>
  <c r="L29" i="53"/>
  <c r="M29" i="53" s="1"/>
  <c r="B8" i="55"/>
  <c r="E33" i="42"/>
  <c r="E30" i="42"/>
  <c r="E34" i="42"/>
  <c r="E29" i="42"/>
  <c r="E28" i="42"/>
  <c r="E35" i="42"/>
  <c r="H31" i="1"/>
  <c r="H30" i="1"/>
  <c r="H29" i="1"/>
  <c r="H28" i="1"/>
  <c r="H27" i="1"/>
  <c r="D10" i="28" l="1"/>
  <c r="F14" i="9" s="1"/>
  <c r="L65" i="53"/>
  <c r="I8" i="28" s="1"/>
  <c r="I10" i="28" s="1"/>
  <c r="K14" i="9" s="1"/>
  <c r="L71" i="53"/>
  <c r="J8" i="28" s="1"/>
  <c r="J10" i="28" s="1"/>
  <c r="L14" i="9" s="1"/>
  <c r="I5" i="55"/>
  <c r="E8" i="28"/>
  <c r="M8" i="55"/>
  <c r="M5" i="55" s="1"/>
  <c r="L95" i="53"/>
  <c r="L47" i="53"/>
  <c r="F8" i="28" s="1"/>
  <c r="F10" i="28" s="1"/>
  <c r="H14" i="9" s="1"/>
  <c r="E5" i="55"/>
  <c r="E52" i="55"/>
  <c r="N8" i="55"/>
  <c r="B60" i="55" s="1"/>
  <c r="C60" i="55" s="1"/>
  <c r="E74" i="55"/>
  <c r="F75" i="55"/>
  <c r="F74" i="55" s="1"/>
  <c r="G52" i="55"/>
  <c r="D52" i="55"/>
  <c r="B7" i="55"/>
  <c r="B59" i="55" s="1"/>
  <c r="B6" i="55"/>
  <c r="N12" i="55"/>
  <c r="F49" i="54"/>
  <c r="E46" i="54"/>
  <c r="F52" i="55"/>
  <c r="H30" i="55"/>
  <c r="G22" i="55"/>
  <c r="N20" i="55"/>
  <c r="B72" i="55" s="1"/>
  <c r="D65" i="55"/>
  <c r="F19" i="9"/>
  <c r="F18" i="9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F17" i="9"/>
  <c r="D19" i="9"/>
  <c r="D18" i="9"/>
  <c r="D17" i="9"/>
  <c r="D46" i="9"/>
  <c r="B43" i="51"/>
  <c r="E58" i="9"/>
  <c r="F58" i="9" s="1"/>
  <c r="G58" i="9" s="1"/>
  <c r="H58" i="9" s="1"/>
  <c r="I58" i="9" s="1"/>
  <c r="J58" i="9" s="1"/>
  <c r="K58" i="9" s="1"/>
  <c r="L58" i="9" s="1"/>
  <c r="M58" i="9" s="1"/>
  <c r="N58" i="9" s="1"/>
  <c r="O58" i="9" s="1"/>
  <c r="P58" i="9" s="1"/>
  <c r="E57" i="9"/>
  <c r="F57" i="9" s="1"/>
  <c r="G57" i="9" s="1"/>
  <c r="H57" i="9" s="1"/>
  <c r="I57" i="9" s="1"/>
  <c r="J57" i="9" s="1"/>
  <c r="K57" i="9" s="1"/>
  <c r="L57" i="9" s="1"/>
  <c r="M57" i="9" s="1"/>
  <c r="N57" i="9" s="1"/>
  <c r="O57" i="9" s="1"/>
  <c r="P57" i="9" s="1"/>
  <c r="E56" i="9"/>
  <c r="F56" i="9" s="1"/>
  <c r="G56" i="9" s="1"/>
  <c r="H56" i="9" s="1"/>
  <c r="I56" i="9" s="1"/>
  <c r="J56" i="9" s="1"/>
  <c r="K56" i="9" s="1"/>
  <c r="L56" i="9" s="1"/>
  <c r="M56" i="9" s="1"/>
  <c r="N56" i="9" s="1"/>
  <c r="O56" i="9" s="1"/>
  <c r="P56" i="9" s="1"/>
  <c r="E54" i="9"/>
  <c r="E53" i="9"/>
  <c r="E52" i="9"/>
  <c r="E51" i="9"/>
  <c r="E50" i="9"/>
  <c r="E49" i="9"/>
  <c r="E48" i="9"/>
  <c r="E47" i="9"/>
  <c r="E46" i="9"/>
  <c r="C36" i="52" l="1"/>
  <c r="E17" i="1"/>
  <c r="B8" i="28"/>
  <c r="B10" i="28" s="1"/>
  <c r="E10" i="28"/>
  <c r="G14" i="9" s="1"/>
  <c r="C34" i="52"/>
  <c r="C38" i="52" s="1"/>
  <c r="G19" i="9"/>
  <c r="G17" i="9"/>
  <c r="I30" i="55"/>
  <c r="H22" i="55"/>
  <c r="H52" i="55" s="1"/>
  <c r="C72" i="55"/>
  <c r="B64" i="55"/>
  <c r="B5" i="55"/>
  <c r="B58" i="55"/>
  <c r="B57" i="55" s="1"/>
  <c r="B98" i="55" s="1"/>
  <c r="C57" i="55"/>
  <c r="D60" i="55"/>
  <c r="E65" i="55"/>
  <c r="J6" i="51"/>
  <c r="E18" i="1" l="1"/>
  <c r="E76" i="8" s="1"/>
  <c r="I17" i="1"/>
  <c r="G17" i="1"/>
  <c r="G18" i="1" s="1"/>
  <c r="F26" i="44"/>
  <c r="H19" i="9"/>
  <c r="H17" i="9"/>
  <c r="F65" i="55"/>
  <c r="D72" i="55"/>
  <c r="C64" i="55"/>
  <c r="C98" i="55" s="1"/>
  <c r="D57" i="55"/>
  <c r="E60" i="55"/>
  <c r="B52" i="55"/>
  <c r="N5" i="55"/>
  <c r="J30" i="55"/>
  <c r="I22" i="55"/>
  <c r="I52" i="55" s="1"/>
  <c r="J17" i="1" l="1"/>
  <c r="J18" i="1" s="1"/>
  <c r="I18" i="1"/>
  <c r="E77" i="8" s="1"/>
  <c r="B53" i="55"/>
  <c r="B24" i="51"/>
  <c r="I19" i="9"/>
  <c r="I17" i="9"/>
  <c r="J22" i="55"/>
  <c r="J52" i="55" s="1"/>
  <c r="K30" i="55"/>
  <c r="E57" i="55"/>
  <c r="F60" i="55"/>
  <c r="F57" i="55" s="1"/>
  <c r="E72" i="55"/>
  <c r="D64" i="55"/>
  <c r="D98" i="55" s="1"/>
  <c r="B27" i="51" l="1"/>
  <c r="C53" i="55"/>
  <c r="D53" i="55" s="1"/>
  <c r="E53" i="55" s="1"/>
  <c r="F53" i="55" s="1"/>
  <c r="G53" i="55" s="1"/>
  <c r="H53" i="55" s="1"/>
  <c r="I53" i="55" s="1"/>
  <c r="J53" i="55" s="1"/>
  <c r="B25" i="51"/>
  <c r="J19" i="9"/>
  <c r="J17" i="9"/>
  <c r="F72" i="55"/>
  <c r="F64" i="55" s="1"/>
  <c r="F98" i="55" s="1"/>
  <c r="E64" i="55"/>
  <c r="E98" i="55" s="1"/>
  <c r="L30" i="55"/>
  <c r="K22" i="55"/>
  <c r="K52" i="55" s="1"/>
  <c r="J5" i="51" l="1"/>
  <c r="J9" i="51" s="1"/>
  <c r="K7" i="51" s="1"/>
  <c r="K53" i="55"/>
  <c r="K19" i="9"/>
  <c r="K17" i="9"/>
  <c r="L22" i="55"/>
  <c r="L52" i="55" s="1"/>
  <c r="M30" i="55"/>
  <c r="K14" i="33"/>
  <c r="K13" i="33"/>
  <c r="K12" i="33"/>
  <c r="F51" i="9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F50" i="9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F46" i="9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K6" i="51" l="1"/>
  <c r="K5" i="51"/>
  <c r="K9" i="51"/>
  <c r="L53" i="55"/>
  <c r="L19" i="9"/>
  <c r="L17" i="9"/>
  <c r="M22" i="55"/>
  <c r="N30" i="55"/>
  <c r="K28" i="24"/>
  <c r="J28" i="24"/>
  <c r="I28" i="24"/>
  <c r="H28" i="24"/>
  <c r="G28" i="24"/>
  <c r="K27" i="24"/>
  <c r="J27" i="24"/>
  <c r="I27" i="24"/>
  <c r="H27" i="24"/>
  <c r="G27" i="24"/>
  <c r="K26" i="24"/>
  <c r="J26" i="24"/>
  <c r="I26" i="24"/>
  <c r="H26" i="24"/>
  <c r="G26" i="24"/>
  <c r="K25" i="24"/>
  <c r="J25" i="24"/>
  <c r="I25" i="24"/>
  <c r="H25" i="24"/>
  <c r="G25" i="24"/>
  <c r="L24" i="24"/>
  <c r="K24" i="24"/>
  <c r="J24" i="24"/>
  <c r="I24" i="24"/>
  <c r="H24" i="24"/>
  <c r="K31" i="24"/>
  <c r="J31" i="24"/>
  <c r="I31" i="24"/>
  <c r="H31" i="24"/>
  <c r="G31" i="24"/>
  <c r="M19" i="9" l="1"/>
  <c r="M17" i="9"/>
  <c r="M52" i="55"/>
  <c r="M53" i="55" s="1"/>
  <c r="N22" i="55"/>
  <c r="K34" i="24"/>
  <c r="J34" i="24"/>
  <c r="I34" i="24"/>
  <c r="H34" i="24"/>
  <c r="G34" i="24"/>
  <c r="K32" i="24"/>
  <c r="J32" i="24"/>
  <c r="I32" i="24"/>
  <c r="H32" i="24"/>
  <c r="G32" i="24"/>
  <c r="N19" i="9" l="1"/>
  <c r="N17" i="9"/>
  <c r="B58" i="41"/>
  <c r="B57" i="41"/>
  <c r="B56" i="41"/>
  <c r="B55" i="41"/>
  <c r="B54" i="41"/>
  <c r="B53" i="41"/>
  <c r="B52" i="41"/>
  <c r="B51" i="41"/>
  <c r="B50" i="41"/>
  <c r="O19" i="9" l="1"/>
  <c r="O17" i="9"/>
  <c r="F49" i="9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F48" i="9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F52" i="9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F47" i="9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5" i="41"/>
  <c r="J14" i="41"/>
  <c r="J13" i="41"/>
  <c r="G5" i="51"/>
  <c r="P19" i="9" l="1"/>
  <c r="P17" i="9"/>
  <c r="E32" i="51"/>
  <c r="E34" i="51"/>
  <c r="E33" i="51"/>
  <c r="B25" i="52"/>
  <c r="F54" i="9"/>
  <c r="G54" i="9" s="1"/>
  <c r="H54" i="9" s="1"/>
  <c r="I54" i="9" s="1"/>
  <c r="J54" i="9" s="1"/>
  <c r="K54" i="9" s="1"/>
  <c r="L54" i="9" s="1"/>
  <c r="M54" i="9" s="1"/>
  <c r="N54" i="9" s="1"/>
  <c r="O54" i="9" s="1"/>
  <c r="P54" i="9" s="1"/>
  <c r="F53" i="9"/>
  <c r="G53" i="9" s="1"/>
  <c r="H53" i="9" s="1"/>
  <c r="I53" i="9" s="1"/>
  <c r="J53" i="9" s="1"/>
  <c r="K53" i="9" s="1"/>
  <c r="L53" i="9" s="1"/>
  <c r="M53" i="9" s="1"/>
  <c r="N53" i="9" s="1"/>
  <c r="O53" i="9" s="1"/>
  <c r="P53" i="9" s="1"/>
  <c r="J16" i="41"/>
  <c r="J42" i="41"/>
  <c r="J43" i="41"/>
  <c r="J44" i="41"/>
  <c r="J45" i="41"/>
  <c r="E36" i="51" l="1"/>
  <c r="J51" i="41"/>
  <c r="J55" i="41"/>
  <c r="J58" i="41"/>
  <c r="J53" i="41"/>
  <c r="J52" i="41"/>
  <c r="J54" i="41"/>
  <c r="J57" i="41"/>
  <c r="J50" i="41"/>
  <c r="J56" i="41"/>
  <c r="Q54" i="9" l="1"/>
  <c r="R54" i="9" s="1"/>
  <c r="S54" i="9" s="1"/>
  <c r="T54" i="9" s="1"/>
  <c r="U54" i="9" s="1"/>
  <c r="F14" i="44"/>
  <c r="F17" i="44"/>
  <c r="E49" i="11"/>
  <c r="F16" i="11"/>
  <c r="G16" i="11" s="1"/>
  <c r="H16" i="11" s="1"/>
  <c r="I16" i="11" s="1"/>
  <c r="J16" i="11" s="1"/>
  <c r="F17" i="1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E47" i="8"/>
  <c r="E92" i="8"/>
  <c r="F34" i="41"/>
  <c r="I34" i="41"/>
  <c r="C7" i="45"/>
  <c r="D7" i="45"/>
  <c r="E7" i="45" s="1"/>
  <c r="F7" i="45" s="1"/>
  <c r="G34" i="41"/>
  <c r="H34" i="41"/>
  <c r="F15" i="33"/>
  <c r="F21" i="33"/>
  <c r="G15" i="33"/>
  <c r="G21" i="33"/>
  <c r="H15" i="33"/>
  <c r="H21" i="33"/>
  <c r="I15" i="33"/>
  <c r="I21" i="33"/>
  <c r="J15" i="33"/>
  <c r="J21" i="33"/>
  <c r="F29" i="33"/>
  <c r="E47" i="41"/>
  <c r="E81" i="41"/>
  <c r="E98" i="41"/>
  <c r="G29" i="33"/>
  <c r="F47" i="41"/>
  <c r="F81" i="41"/>
  <c r="F98" i="41"/>
  <c r="H29" i="33"/>
  <c r="G47" i="41"/>
  <c r="G81" i="41"/>
  <c r="G98" i="41"/>
  <c r="I29" i="33"/>
  <c r="H47" i="41"/>
  <c r="H81" i="41"/>
  <c r="H98" i="41"/>
  <c r="J29" i="33"/>
  <c r="I47" i="41"/>
  <c r="I81" i="41"/>
  <c r="I98" i="41"/>
  <c r="F44" i="33"/>
  <c r="G44" i="33"/>
  <c r="H44" i="33"/>
  <c r="H47" i="33" s="1"/>
  <c r="H50" i="33" s="1"/>
  <c r="I44" i="33"/>
  <c r="J44" i="33"/>
  <c r="H7" i="24"/>
  <c r="I7" i="24" s="1"/>
  <c r="J7" i="24" s="1"/>
  <c r="K7" i="24" s="1"/>
  <c r="E103" i="8"/>
  <c r="I28" i="1"/>
  <c r="E104" i="8" s="1"/>
  <c r="E46" i="8"/>
  <c r="E15" i="8"/>
  <c r="E16" i="8"/>
  <c r="E14" i="8"/>
  <c r="E126" i="8"/>
  <c r="E127" i="8"/>
  <c r="E125" i="8"/>
  <c r="E149" i="8"/>
  <c r="E150" i="8"/>
  <c r="E148" i="8"/>
  <c r="Q37" i="11"/>
  <c r="R37" i="11" s="1"/>
  <c r="G45" i="44"/>
  <c r="G39" i="44"/>
  <c r="F49" i="44"/>
  <c r="P31" i="11"/>
  <c r="O31" i="11"/>
  <c r="N31" i="11"/>
  <c r="M31" i="11"/>
  <c r="L31" i="11"/>
  <c r="K31" i="11"/>
  <c r="J31" i="11"/>
  <c r="I31" i="11"/>
  <c r="H31" i="11"/>
  <c r="G31" i="11"/>
  <c r="F31" i="11"/>
  <c r="F19" i="45"/>
  <c r="F20" i="45" s="1"/>
  <c r="E19" i="45"/>
  <c r="E20" i="45" s="1"/>
  <c r="D19" i="45"/>
  <c r="D20" i="45" s="1"/>
  <c r="C19" i="45"/>
  <c r="C20" i="45" s="1"/>
  <c r="B19" i="45"/>
  <c r="B20" i="45" s="1"/>
  <c r="B16" i="45"/>
  <c r="B17" i="45" s="1"/>
  <c r="C16" i="45"/>
  <c r="C17" i="45" s="1"/>
  <c r="D16" i="45"/>
  <c r="D17" i="45" s="1"/>
  <c r="E16" i="45"/>
  <c r="E17" i="45" s="1"/>
  <c r="F16" i="45"/>
  <c r="F17" i="45" s="1"/>
  <c r="F36" i="33"/>
  <c r="G36" i="33"/>
  <c r="G47" i="33" s="1"/>
  <c r="G50" i="33" s="1"/>
  <c r="H36" i="33"/>
  <c r="I36" i="33"/>
  <c r="J36" i="33"/>
  <c r="J46" i="41"/>
  <c r="J59" i="41"/>
  <c r="J60" i="41"/>
  <c r="J61" i="41"/>
  <c r="J62" i="41"/>
  <c r="J63" i="41"/>
  <c r="J64" i="41"/>
  <c r="J65" i="41"/>
  <c r="J66" i="41"/>
  <c r="J67" i="41"/>
  <c r="J68" i="41"/>
  <c r="J69" i="41"/>
  <c r="J70" i="41"/>
  <c r="J71" i="41"/>
  <c r="J72" i="41"/>
  <c r="J73" i="41"/>
  <c r="J74" i="41"/>
  <c r="J75" i="41"/>
  <c r="J76" i="41"/>
  <c r="J77" i="41"/>
  <c r="J78" i="41"/>
  <c r="J79" i="41"/>
  <c r="J80" i="41"/>
  <c r="J89" i="41"/>
  <c r="J92" i="41"/>
  <c r="J93" i="41"/>
  <c r="J94" i="41"/>
  <c r="J95" i="41"/>
  <c r="J96" i="41"/>
  <c r="J97" i="41"/>
  <c r="J25" i="32"/>
  <c r="J29" i="32" s="1"/>
  <c r="I25" i="32"/>
  <c r="K24" i="32"/>
  <c r="K23" i="32"/>
  <c r="K22" i="32"/>
  <c r="K21" i="32"/>
  <c r="K20" i="32"/>
  <c r="K19" i="32"/>
  <c r="K18" i="32"/>
  <c r="K17" i="32"/>
  <c r="K16" i="32"/>
  <c r="H25" i="32"/>
  <c r="H29" i="32" s="1"/>
  <c r="G25" i="32"/>
  <c r="G29" i="32" s="1"/>
  <c r="G46" i="32" s="1"/>
  <c r="F25" i="32"/>
  <c r="F29" i="32" s="1"/>
  <c r="F46" i="32" s="1"/>
  <c r="F35" i="32"/>
  <c r="F41" i="32"/>
  <c r="G35" i="32"/>
  <c r="G41" i="32"/>
  <c r="K52" i="32"/>
  <c r="H41" i="32"/>
  <c r="I41" i="32"/>
  <c r="J41" i="32"/>
  <c r="K40" i="32"/>
  <c r="K39" i="32"/>
  <c r="H35" i="32"/>
  <c r="I35" i="32"/>
  <c r="J35" i="32"/>
  <c r="K34" i="32"/>
  <c r="K33" i="32"/>
  <c r="I29" i="32"/>
  <c r="K28" i="32"/>
  <c r="K27" i="32"/>
  <c r="K26" i="32"/>
  <c r="J27" i="1"/>
  <c r="J29" i="1"/>
  <c r="J30" i="1"/>
  <c r="F6" i="41"/>
  <c r="G6" i="41" s="1"/>
  <c r="H6" i="41" s="1"/>
  <c r="I6" i="41" s="1"/>
  <c r="E29" i="1"/>
  <c r="E30" i="1"/>
  <c r="F39" i="16"/>
  <c r="F47" i="16" s="1"/>
  <c r="F45" i="16"/>
  <c r="F15" i="16"/>
  <c r="F25" i="16"/>
  <c r="C18" i="16"/>
  <c r="C19" i="16"/>
  <c r="C20" i="16"/>
  <c r="C21" i="16"/>
  <c r="C22" i="16"/>
  <c r="C23" i="16"/>
  <c r="C24" i="16"/>
  <c r="A1" i="16"/>
  <c r="E25" i="1"/>
  <c r="G18" i="44" l="1"/>
  <c r="H18" i="44" s="1"/>
  <c r="I18" i="44" s="1"/>
  <c r="J18" i="44" s="1"/>
  <c r="K18" i="44" s="1"/>
  <c r="G16" i="44"/>
  <c r="H16" i="44" s="1"/>
  <c r="I16" i="44" s="1"/>
  <c r="J16" i="44" s="1"/>
  <c r="K16" i="44" s="1"/>
  <c r="L159" i="8"/>
  <c r="K16" i="24"/>
  <c r="K15" i="24"/>
  <c r="I20" i="24"/>
  <c r="I21" i="24"/>
  <c r="J16" i="24"/>
  <c r="J15" i="24"/>
  <c r="I16" i="24"/>
  <c r="I15" i="24"/>
  <c r="H46" i="32"/>
  <c r="H58" i="32" s="1"/>
  <c r="G16" i="24"/>
  <c r="G15" i="24"/>
  <c r="H20" i="24"/>
  <c r="H21" i="24"/>
  <c r="H16" i="24"/>
  <c r="H15" i="24"/>
  <c r="K140" i="8"/>
  <c r="K21" i="24"/>
  <c r="K20" i="24"/>
  <c r="G20" i="24"/>
  <c r="G21" i="24"/>
  <c r="N32" i="8"/>
  <c r="J20" i="24"/>
  <c r="J21" i="24"/>
  <c r="F29" i="16"/>
  <c r="I46" i="32"/>
  <c r="I58" i="32" s="1"/>
  <c r="J46" i="32"/>
  <c r="J58" i="32" s="1"/>
  <c r="M132" i="8"/>
  <c r="E14" i="45"/>
  <c r="J33" i="24"/>
  <c r="D14" i="45"/>
  <c r="I33" i="24"/>
  <c r="F14" i="45"/>
  <c r="K33" i="24"/>
  <c r="C14" i="45"/>
  <c r="H33" i="24"/>
  <c r="H24" i="33"/>
  <c r="G135" i="8"/>
  <c r="O136" i="8"/>
  <c r="H29" i="8"/>
  <c r="P158" i="8"/>
  <c r="G132" i="8"/>
  <c r="G133" i="8" s="1"/>
  <c r="H135" i="8"/>
  <c r="M139" i="8"/>
  <c r="G136" i="8"/>
  <c r="I135" i="8"/>
  <c r="J135" i="8"/>
  <c r="L139" i="8"/>
  <c r="R140" i="8"/>
  <c r="J140" i="8"/>
  <c r="N136" i="8"/>
  <c r="R132" i="8"/>
  <c r="J132" i="8"/>
  <c r="M21" i="8"/>
  <c r="O154" i="8"/>
  <c r="M93" i="9" s="1"/>
  <c r="J36" i="8"/>
  <c r="Q139" i="8"/>
  <c r="I139" i="8"/>
  <c r="O140" i="8"/>
  <c r="G140" i="8"/>
  <c r="K136" i="8"/>
  <c r="Q132" i="8"/>
  <c r="I132" i="8"/>
  <c r="H21" i="8"/>
  <c r="M135" i="8"/>
  <c r="E17" i="8"/>
  <c r="L135" i="8"/>
  <c r="O135" i="8"/>
  <c r="P139" i="8"/>
  <c r="H139" i="8"/>
  <c r="N140" i="8"/>
  <c r="R136" i="8"/>
  <c r="J136" i="8"/>
  <c r="N132" i="8"/>
  <c r="M29" i="8"/>
  <c r="J98" i="41"/>
  <c r="G13" i="44"/>
  <c r="N158" i="8"/>
  <c r="G158" i="8"/>
  <c r="O162" i="8"/>
  <c r="P163" i="8"/>
  <c r="G159" i="8"/>
  <c r="I25" i="8"/>
  <c r="O33" i="8"/>
  <c r="I154" i="8"/>
  <c r="G93" i="9" s="1"/>
  <c r="R36" i="8"/>
  <c r="I162" i="8"/>
  <c r="K163" i="8"/>
  <c r="K155" i="8"/>
  <c r="Q24" i="8"/>
  <c r="Q159" i="8"/>
  <c r="I158" i="8"/>
  <c r="O158" i="8"/>
  <c r="M162" i="8"/>
  <c r="H162" i="8"/>
  <c r="O163" i="8"/>
  <c r="M154" i="8"/>
  <c r="K93" i="9" s="1"/>
  <c r="E151" i="8"/>
  <c r="H158" i="8"/>
  <c r="E128" i="8"/>
  <c r="R135" i="8"/>
  <c r="Q158" i="8"/>
  <c r="K135" i="8"/>
  <c r="Q162" i="8"/>
  <c r="L162" i="8"/>
  <c r="G162" i="8"/>
  <c r="O139" i="8"/>
  <c r="K139" i="8"/>
  <c r="G139" i="8"/>
  <c r="M163" i="8"/>
  <c r="H163" i="8"/>
  <c r="O159" i="8"/>
  <c r="I159" i="8"/>
  <c r="Q140" i="8"/>
  <c r="M140" i="8"/>
  <c r="I140" i="8"/>
  <c r="Q136" i="8"/>
  <c r="M136" i="8"/>
  <c r="I136" i="8"/>
  <c r="O155" i="8"/>
  <c r="P132" i="8"/>
  <c r="L132" i="8"/>
  <c r="H132" i="8"/>
  <c r="N20" i="8"/>
  <c r="L90" i="9" s="1"/>
  <c r="K24" i="8"/>
  <c r="N28" i="8"/>
  <c r="L131" i="8"/>
  <c r="J92" i="9" s="1"/>
  <c r="L158" i="8"/>
  <c r="J158" i="8"/>
  <c r="I163" i="8"/>
  <c r="P159" i="8"/>
  <c r="K159" i="8"/>
  <c r="R155" i="8"/>
  <c r="J155" i="8"/>
  <c r="Q135" i="8"/>
  <c r="M158" i="8"/>
  <c r="R158" i="8"/>
  <c r="P135" i="8"/>
  <c r="N135" i="8"/>
  <c r="K158" i="8"/>
  <c r="P162" i="8"/>
  <c r="K162" i="8"/>
  <c r="R139" i="8"/>
  <c r="N139" i="8"/>
  <c r="J139" i="8"/>
  <c r="Q163" i="8"/>
  <c r="L163" i="8"/>
  <c r="G163" i="8"/>
  <c r="M159" i="8"/>
  <c r="H159" i="8"/>
  <c r="P140" i="8"/>
  <c r="L140" i="8"/>
  <c r="H140" i="8"/>
  <c r="P136" i="8"/>
  <c r="L136" i="8"/>
  <c r="H136" i="8"/>
  <c r="N155" i="8"/>
  <c r="G155" i="8"/>
  <c r="G156" i="8" s="1"/>
  <c r="O132" i="8"/>
  <c r="K132" i="8"/>
  <c r="R21" i="8"/>
  <c r="O25" i="8"/>
  <c r="R29" i="8"/>
  <c r="H28" i="8"/>
  <c r="I33" i="8"/>
  <c r="M37" i="8"/>
  <c r="K36" i="8"/>
  <c r="J47" i="33"/>
  <c r="J50" i="33" s="1"/>
  <c r="G19" i="45"/>
  <c r="F47" i="33"/>
  <c r="F50" i="33" s="1"/>
  <c r="K14" i="24"/>
  <c r="G14" i="24"/>
  <c r="K29" i="33"/>
  <c r="H53" i="33"/>
  <c r="G17" i="45"/>
  <c r="K21" i="33"/>
  <c r="K15" i="33"/>
  <c r="K41" i="32"/>
  <c r="G58" i="32"/>
  <c r="J81" i="41"/>
  <c r="F50" i="16"/>
  <c r="R162" i="8"/>
  <c r="N162" i="8"/>
  <c r="J162" i="8"/>
  <c r="R163" i="8"/>
  <c r="N163" i="8"/>
  <c r="J163" i="8"/>
  <c r="R159" i="8"/>
  <c r="N159" i="8"/>
  <c r="J159" i="8"/>
  <c r="K25" i="32"/>
  <c r="Q155" i="8"/>
  <c r="M155" i="8"/>
  <c r="I155" i="8"/>
  <c r="Q21" i="8"/>
  <c r="L21" i="8"/>
  <c r="R20" i="8"/>
  <c r="P90" i="9" s="1"/>
  <c r="H20" i="8"/>
  <c r="F90" i="9" s="1"/>
  <c r="M25" i="8"/>
  <c r="H25" i="8"/>
  <c r="O24" i="8"/>
  <c r="J24" i="8"/>
  <c r="Q29" i="8"/>
  <c r="L29" i="8"/>
  <c r="R28" i="8"/>
  <c r="L28" i="8"/>
  <c r="G28" i="8"/>
  <c r="M33" i="8"/>
  <c r="H33" i="8"/>
  <c r="K32" i="8"/>
  <c r="L37" i="8"/>
  <c r="G154" i="8"/>
  <c r="E93" i="9" s="1"/>
  <c r="K154" i="8"/>
  <c r="I93" i="9" s="1"/>
  <c r="N131" i="8"/>
  <c r="L92" i="9" s="1"/>
  <c r="O36" i="8"/>
  <c r="G36" i="8"/>
  <c r="J24" i="33"/>
  <c r="G24" i="33"/>
  <c r="P155" i="8"/>
  <c r="L155" i="8"/>
  <c r="H155" i="8"/>
  <c r="G16" i="45"/>
  <c r="G20" i="45"/>
  <c r="P21" i="8"/>
  <c r="J21" i="8"/>
  <c r="L20" i="8"/>
  <c r="J90" i="9" s="1"/>
  <c r="Q25" i="8"/>
  <c r="L25" i="8"/>
  <c r="G25" i="8"/>
  <c r="N24" i="8"/>
  <c r="I24" i="8"/>
  <c r="P29" i="8"/>
  <c r="J29" i="8"/>
  <c r="P28" i="8"/>
  <c r="K28" i="8"/>
  <c r="Q33" i="8"/>
  <c r="L33" i="8"/>
  <c r="R32" i="8"/>
  <c r="J32" i="8"/>
  <c r="Q37" i="8"/>
  <c r="I37" i="8"/>
  <c r="Q154" i="8"/>
  <c r="O93" i="9" s="1"/>
  <c r="N36" i="8"/>
  <c r="L32" i="8"/>
  <c r="I24" i="33"/>
  <c r="E34" i="41"/>
  <c r="G33" i="24" s="1"/>
  <c r="N21" i="8"/>
  <c r="I21" i="8"/>
  <c r="P20" i="8"/>
  <c r="N90" i="9" s="1"/>
  <c r="J20" i="8"/>
  <c r="H90" i="9" s="1"/>
  <c r="P25" i="8"/>
  <c r="K25" i="8"/>
  <c r="R24" i="8"/>
  <c r="M24" i="8"/>
  <c r="G24" i="8"/>
  <c r="N29" i="8"/>
  <c r="I29" i="8"/>
  <c r="O28" i="8"/>
  <c r="J28" i="8"/>
  <c r="P33" i="8"/>
  <c r="K33" i="8"/>
  <c r="O32" i="8"/>
  <c r="G32" i="8"/>
  <c r="P37" i="8"/>
  <c r="H37" i="8"/>
  <c r="K131" i="8"/>
  <c r="I92" i="9" s="1"/>
  <c r="H36" i="8"/>
  <c r="I14" i="24"/>
  <c r="L21" i="24"/>
  <c r="F24" i="33"/>
  <c r="M24" i="24"/>
  <c r="J34" i="41"/>
  <c r="L16" i="24"/>
  <c r="H14" i="24"/>
  <c r="K44" i="33"/>
  <c r="K35" i="32"/>
  <c r="K29" i="32"/>
  <c r="I47" i="33"/>
  <c r="K36" i="33"/>
  <c r="J47" i="41"/>
  <c r="H45" i="44"/>
  <c r="S37" i="11"/>
  <c r="T37" i="11" s="1"/>
  <c r="H131" i="8"/>
  <c r="F92" i="9" s="1"/>
  <c r="P131" i="8"/>
  <c r="N92" i="9" s="1"/>
  <c r="H39" i="44"/>
  <c r="L154" i="8"/>
  <c r="J93" i="9" s="1"/>
  <c r="N154" i="8"/>
  <c r="L93" i="9" s="1"/>
  <c r="P154" i="8"/>
  <c r="N93" i="9" s="1"/>
  <c r="R154" i="8"/>
  <c r="P93" i="9" s="1"/>
  <c r="H154" i="8"/>
  <c r="J154" i="8"/>
  <c r="H93" i="9" s="1"/>
  <c r="J131" i="8"/>
  <c r="H92" i="9" s="1"/>
  <c r="R131" i="8"/>
  <c r="P92" i="9" s="1"/>
  <c r="L20" i="24"/>
  <c r="G33" i="8"/>
  <c r="Q32" i="8"/>
  <c r="M32" i="8"/>
  <c r="I32" i="8"/>
  <c r="O37" i="8"/>
  <c r="K37" i="8"/>
  <c r="G37" i="8"/>
  <c r="Q36" i="8"/>
  <c r="M36" i="8"/>
  <c r="I36" i="8"/>
  <c r="J14" i="24"/>
  <c r="O21" i="8"/>
  <c r="K21" i="8"/>
  <c r="G21" i="8"/>
  <c r="Q20" i="8"/>
  <c r="O90" i="9" s="1"/>
  <c r="O20" i="8"/>
  <c r="M90" i="9" s="1"/>
  <c r="M20" i="8"/>
  <c r="K90" i="9" s="1"/>
  <c r="K20" i="8"/>
  <c r="I90" i="9" s="1"/>
  <c r="I20" i="8"/>
  <c r="G90" i="9" s="1"/>
  <c r="G20" i="8"/>
  <c r="R25" i="8"/>
  <c r="N25" i="8"/>
  <c r="J25" i="8"/>
  <c r="P24" i="8"/>
  <c r="L24" i="8"/>
  <c r="H24" i="8"/>
  <c r="O29" i="8"/>
  <c r="K29" i="8"/>
  <c r="G29" i="8"/>
  <c r="Q28" i="8"/>
  <c r="M28" i="8"/>
  <c r="I28" i="8"/>
  <c r="R33" i="8"/>
  <c r="N33" i="8"/>
  <c r="J33" i="8"/>
  <c r="P32" i="8"/>
  <c r="H32" i="8"/>
  <c r="R37" i="8"/>
  <c r="N37" i="8"/>
  <c r="J37" i="8"/>
  <c r="I131" i="8"/>
  <c r="G92" i="9" s="1"/>
  <c r="G131" i="8"/>
  <c r="Q131" i="8"/>
  <c r="O92" i="9" s="1"/>
  <c r="O131" i="8"/>
  <c r="M92" i="9" s="1"/>
  <c r="M131" i="8"/>
  <c r="K92" i="9" s="1"/>
  <c r="P36" i="8"/>
  <c r="L36" i="8"/>
  <c r="L32" i="24"/>
  <c r="Q58" i="9"/>
  <c r="R58" i="9" s="1"/>
  <c r="S58" i="9" s="1"/>
  <c r="T58" i="9" s="1"/>
  <c r="U58" i="9" s="1"/>
  <c r="Q57" i="9"/>
  <c r="R57" i="9" s="1"/>
  <c r="S57" i="9" s="1"/>
  <c r="T57" i="9" s="1"/>
  <c r="U57" i="9" s="1"/>
  <c r="Q56" i="9"/>
  <c r="R56" i="9" s="1"/>
  <c r="S56" i="9" s="1"/>
  <c r="T56" i="9" s="1"/>
  <c r="U56" i="9" s="1"/>
  <c r="Q53" i="9"/>
  <c r="R53" i="9" s="1"/>
  <c r="S53" i="9" s="1"/>
  <c r="T53" i="9" s="1"/>
  <c r="U53" i="9" s="1"/>
  <c r="Q52" i="9"/>
  <c r="R52" i="9" s="1"/>
  <c r="S52" i="9" s="1"/>
  <c r="T52" i="9" s="1"/>
  <c r="U52" i="9" s="1"/>
  <c r="Q51" i="9"/>
  <c r="R51" i="9" s="1"/>
  <c r="S51" i="9" s="1"/>
  <c r="T51" i="9" s="1"/>
  <c r="U51" i="9" s="1"/>
  <c r="Q50" i="9"/>
  <c r="R50" i="9" s="1"/>
  <c r="S50" i="9" s="1"/>
  <c r="T50" i="9" s="1"/>
  <c r="U50" i="9" s="1"/>
  <c r="Q49" i="9"/>
  <c r="R49" i="9" s="1"/>
  <c r="S49" i="9" s="1"/>
  <c r="T49" i="9" s="1"/>
  <c r="U49" i="9" s="1"/>
  <c r="Q48" i="9"/>
  <c r="R48" i="9" s="1"/>
  <c r="S48" i="9" s="1"/>
  <c r="T48" i="9" s="1"/>
  <c r="U48" i="9" s="1"/>
  <c r="Q47" i="9"/>
  <c r="R47" i="9" s="1"/>
  <c r="S47" i="9" s="1"/>
  <c r="T47" i="9" s="1"/>
  <c r="U47" i="9" s="1"/>
  <c r="Q46" i="9"/>
  <c r="R46" i="9" s="1"/>
  <c r="S46" i="9" s="1"/>
  <c r="T46" i="9" s="1"/>
  <c r="U46" i="9" s="1"/>
  <c r="Q17" i="11"/>
  <c r="K16" i="11"/>
  <c r="L16" i="11" s="1"/>
  <c r="M16" i="11" s="1"/>
  <c r="N16" i="11" s="1"/>
  <c r="O16" i="11" s="1"/>
  <c r="P16" i="11" s="1"/>
  <c r="L15" i="24" l="1"/>
  <c r="J35" i="24"/>
  <c r="J19" i="24"/>
  <c r="J53" i="33"/>
  <c r="K35" i="24"/>
  <c r="K19" i="24"/>
  <c r="G53" i="33"/>
  <c r="H19" i="24"/>
  <c r="H35" i="24"/>
  <c r="I19" i="24"/>
  <c r="I35" i="24"/>
  <c r="G19" i="24"/>
  <c r="G35" i="24"/>
  <c r="L35" i="24" s="1"/>
  <c r="Q16" i="11"/>
  <c r="F20" i="44"/>
  <c r="E29" i="11" s="1"/>
  <c r="H133" i="8"/>
  <c r="I133" i="8" s="1"/>
  <c r="J133" i="8" s="1"/>
  <c r="K133" i="8" s="1"/>
  <c r="L133" i="8" s="1"/>
  <c r="M133" i="8" s="1"/>
  <c r="N133" i="8" s="1"/>
  <c r="O133" i="8" s="1"/>
  <c r="P133" i="8" s="1"/>
  <c r="Q133" i="8" s="1"/>
  <c r="R133" i="8" s="1"/>
  <c r="G137" i="8" s="1"/>
  <c r="H137" i="8" s="1"/>
  <c r="I137" i="8" s="1"/>
  <c r="J137" i="8" s="1"/>
  <c r="K137" i="8" s="1"/>
  <c r="L137" i="8" s="1"/>
  <c r="M137" i="8" s="1"/>
  <c r="N137" i="8" s="1"/>
  <c r="O137" i="8" s="1"/>
  <c r="P137" i="8" s="1"/>
  <c r="Q137" i="8" s="1"/>
  <c r="R137" i="8" s="1"/>
  <c r="G141" i="8" s="1"/>
  <c r="H141" i="8" s="1"/>
  <c r="I141" i="8" s="1"/>
  <c r="J141" i="8" s="1"/>
  <c r="K141" i="8" s="1"/>
  <c r="L141" i="8" s="1"/>
  <c r="M141" i="8" s="1"/>
  <c r="N141" i="8" s="1"/>
  <c r="O141" i="8" s="1"/>
  <c r="P141" i="8" s="1"/>
  <c r="Q141" i="8" s="1"/>
  <c r="R141" i="8" s="1"/>
  <c r="S135" i="8"/>
  <c r="E38" i="41"/>
  <c r="E85" i="41" s="1"/>
  <c r="S136" i="8"/>
  <c r="S140" i="8"/>
  <c r="S139" i="8"/>
  <c r="S162" i="8"/>
  <c r="S159" i="8"/>
  <c r="S163" i="8"/>
  <c r="S132" i="8"/>
  <c r="S158" i="8"/>
  <c r="S25" i="8"/>
  <c r="S24" i="8"/>
  <c r="R90" i="9" s="1"/>
  <c r="G14" i="44"/>
  <c r="H14" i="44" s="1"/>
  <c r="I14" i="44" s="1"/>
  <c r="J14" i="44" s="1"/>
  <c r="K14" i="44" s="1"/>
  <c r="G17" i="44"/>
  <c r="H17" i="44" s="1"/>
  <c r="I17" i="44" s="1"/>
  <c r="J17" i="44" s="1"/>
  <c r="K17" i="44" s="1"/>
  <c r="B14" i="45"/>
  <c r="G14" i="45" s="1"/>
  <c r="H14" i="45" s="1"/>
  <c r="I14" i="45" s="1"/>
  <c r="J14" i="45" s="1"/>
  <c r="K14" i="45" s="1"/>
  <c r="L14" i="45" s="1"/>
  <c r="M14" i="45" s="1"/>
  <c r="E91" i="8"/>
  <c r="G95" i="8" s="1"/>
  <c r="L33" i="24"/>
  <c r="K24" i="33"/>
  <c r="S155" i="8"/>
  <c r="H156" i="8"/>
  <c r="I156" i="8" s="1"/>
  <c r="J156" i="8" s="1"/>
  <c r="K156" i="8" s="1"/>
  <c r="L156" i="8" s="1"/>
  <c r="M156" i="8" s="1"/>
  <c r="N156" i="8" s="1"/>
  <c r="O156" i="8" s="1"/>
  <c r="P156" i="8" s="1"/>
  <c r="Q156" i="8" s="1"/>
  <c r="R156" i="8" s="1"/>
  <c r="G160" i="8" s="1"/>
  <c r="H160" i="8" s="1"/>
  <c r="I160" i="8" s="1"/>
  <c r="J160" i="8" s="1"/>
  <c r="K160" i="8" s="1"/>
  <c r="L160" i="8" s="1"/>
  <c r="M160" i="8" s="1"/>
  <c r="N160" i="8" s="1"/>
  <c r="O160" i="8" s="1"/>
  <c r="P160" i="8" s="1"/>
  <c r="Q160" i="8" s="1"/>
  <c r="R160" i="8" s="1"/>
  <c r="G164" i="8" s="1"/>
  <c r="H164" i="8" s="1"/>
  <c r="I164" i="8" s="1"/>
  <c r="J164" i="8" s="1"/>
  <c r="K164" i="8" s="1"/>
  <c r="L164" i="8" s="1"/>
  <c r="M164" i="8" s="1"/>
  <c r="N164" i="8" s="1"/>
  <c r="O164" i="8" s="1"/>
  <c r="P164" i="8" s="1"/>
  <c r="Q164" i="8" s="1"/>
  <c r="R164" i="8" s="1"/>
  <c r="S28" i="8"/>
  <c r="S90" i="9" s="1"/>
  <c r="F53" i="33"/>
  <c r="L34" i="24"/>
  <c r="H13" i="44"/>
  <c r="S37" i="8"/>
  <c r="E92" i="9"/>
  <c r="Q92" i="9" s="1"/>
  <c r="R92" i="9" s="1"/>
  <c r="S131" i="8"/>
  <c r="G22" i="8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1" i="8"/>
  <c r="S36" i="8"/>
  <c r="U90" i="9" s="1"/>
  <c r="I50" i="33"/>
  <c r="K47" i="33"/>
  <c r="L14" i="24"/>
  <c r="I45" i="44"/>
  <c r="U37" i="11"/>
  <c r="S32" i="8"/>
  <c r="T90" i="9" s="1"/>
  <c r="S29" i="8"/>
  <c r="S33" i="8"/>
  <c r="S154" i="8"/>
  <c r="F93" i="9"/>
  <c r="I39" i="44"/>
  <c r="E90" i="9"/>
  <c r="S20" i="8"/>
  <c r="F58" i="32"/>
  <c r="K58" i="32" s="1"/>
  <c r="K46" i="32"/>
  <c r="E31" i="11" l="1"/>
  <c r="Q29" i="11"/>
  <c r="Q31" i="11" s="1"/>
  <c r="E25" i="9"/>
  <c r="B13" i="45"/>
  <c r="J10" i="41"/>
  <c r="F13" i="45"/>
  <c r="I38" i="41"/>
  <c r="E13" i="45"/>
  <c r="H38" i="41"/>
  <c r="D13" i="45"/>
  <c r="G38" i="41"/>
  <c r="C13" i="45"/>
  <c r="F38" i="41"/>
  <c r="G20" i="44"/>
  <c r="H95" i="8"/>
  <c r="I13" i="44"/>
  <c r="H20" i="44"/>
  <c r="L19" i="24"/>
  <c r="Q90" i="9"/>
  <c r="Q93" i="9"/>
  <c r="I53" i="33"/>
  <c r="K50" i="33"/>
  <c r="G26" i="8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E102" i="41"/>
  <c r="S92" i="9"/>
  <c r="T92" i="9" s="1"/>
  <c r="U92" i="9" s="1"/>
  <c r="J39" i="44"/>
  <c r="G82" i="8"/>
  <c r="J45" i="44"/>
  <c r="R25" i="9" l="1"/>
  <c r="E26" i="9"/>
  <c r="F25" i="9"/>
  <c r="E37" i="9"/>
  <c r="I95" i="8"/>
  <c r="E55" i="9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R29" i="11"/>
  <c r="L28" i="24"/>
  <c r="L31" i="24"/>
  <c r="L25" i="24"/>
  <c r="L26" i="24"/>
  <c r="L27" i="24"/>
  <c r="E107" i="41"/>
  <c r="E113" i="41" s="1"/>
  <c r="F85" i="41"/>
  <c r="J38" i="41"/>
  <c r="K38" i="41" s="1"/>
  <c r="H85" i="41"/>
  <c r="I85" i="41"/>
  <c r="K20" i="41"/>
  <c r="K29" i="41"/>
  <c r="L19" i="33"/>
  <c r="K30" i="41"/>
  <c r="K15" i="41"/>
  <c r="L33" i="33"/>
  <c r="K24" i="41"/>
  <c r="K17" i="41"/>
  <c r="L14" i="33"/>
  <c r="L41" i="33"/>
  <c r="L34" i="33"/>
  <c r="K18" i="41"/>
  <c r="L15" i="33"/>
  <c r="L42" i="33"/>
  <c r="K19" i="41"/>
  <c r="L12" i="33"/>
  <c r="L39" i="33"/>
  <c r="K16" i="41"/>
  <c r="K21" i="41"/>
  <c r="L20" i="33"/>
  <c r="L47" i="33"/>
  <c r="L40" i="33"/>
  <c r="K22" i="41"/>
  <c r="L21" i="33"/>
  <c r="L50" i="33"/>
  <c r="K23" i="41"/>
  <c r="L18" i="33"/>
  <c r="L43" i="33"/>
  <c r="K32" i="41"/>
  <c r="K28" i="41"/>
  <c r="K25" i="41"/>
  <c r="L28" i="33"/>
  <c r="L13" i="33"/>
  <c r="L44" i="33"/>
  <c r="K26" i="41"/>
  <c r="L29" i="33"/>
  <c r="L27" i="33"/>
  <c r="K27" i="41"/>
  <c r="L24" i="33"/>
  <c r="K13" i="41"/>
  <c r="L35" i="33"/>
  <c r="K14" i="41"/>
  <c r="L36" i="33"/>
  <c r="K31" i="41"/>
  <c r="K34" i="41"/>
  <c r="K81" i="41"/>
  <c r="G13" i="45"/>
  <c r="H13" i="45" s="1"/>
  <c r="I13" i="45" s="1"/>
  <c r="J13" i="45" s="1"/>
  <c r="K13" i="45" s="1"/>
  <c r="L13" i="45" s="1"/>
  <c r="M13" i="45" s="1"/>
  <c r="G85" i="41"/>
  <c r="I20" i="44"/>
  <c r="J13" i="44"/>
  <c r="K45" i="44"/>
  <c r="K53" i="33"/>
  <c r="G83" i="8"/>
  <c r="H83" i="8" s="1"/>
  <c r="K39" i="44"/>
  <c r="R93" i="9"/>
  <c r="S93" i="9" s="1"/>
  <c r="T93" i="9" s="1"/>
  <c r="U93" i="9" s="1"/>
  <c r="G26" i="44"/>
  <c r="H82" i="8"/>
  <c r="S25" i="9" s="1"/>
  <c r="R15" i="11"/>
  <c r="G30" i="8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F26" i="9" l="1"/>
  <c r="G26" i="9" s="1"/>
  <c r="H26" i="9" s="1"/>
  <c r="I26" i="9" s="1"/>
  <c r="J26" i="9" s="1"/>
  <c r="K26" i="9" s="1"/>
  <c r="L26" i="9" s="1"/>
  <c r="M26" i="9" s="1"/>
  <c r="N26" i="9" s="1"/>
  <c r="O26" i="9" s="1"/>
  <c r="P26" i="9" s="1"/>
  <c r="J95" i="8"/>
  <c r="G25" i="9"/>
  <c r="F37" i="9"/>
  <c r="R31" i="11"/>
  <c r="S29" i="11"/>
  <c r="J85" i="41"/>
  <c r="K85" i="41" s="1"/>
  <c r="F102" i="41"/>
  <c r="G102" i="41"/>
  <c r="H102" i="41"/>
  <c r="I102" i="41"/>
  <c r="E117" i="41"/>
  <c r="J20" i="44"/>
  <c r="K13" i="44"/>
  <c r="K20" i="44" s="1"/>
  <c r="K95" i="8"/>
  <c r="I82" i="8"/>
  <c r="T25" i="9" s="1"/>
  <c r="S15" i="11"/>
  <c r="H26" i="44"/>
  <c r="I83" i="8"/>
  <c r="G34" i="8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E77" i="9"/>
  <c r="E15" i="11"/>
  <c r="Q26" i="9" l="1"/>
  <c r="R26" i="9" s="1"/>
  <c r="S26" i="9" s="1"/>
  <c r="T26" i="9" s="1"/>
  <c r="U26" i="9" s="1"/>
  <c r="H25" i="9"/>
  <c r="G37" i="9"/>
  <c r="G42" i="9" s="1"/>
  <c r="T29" i="11"/>
  <c r="U29" i="11" s="1"/>
  <c r="U31" i="11" s="1"/>
  <c r="S31" i="11"/>
  <c r="F42" i="9"/>
  <c r="I107" i="41"/>
  <c r="I113" i="41" s="1"/>
  <c r="Q19" i="9"/>
  <c r="Q18" i="9"/>
  <c r="R18" i="9" s="1"/>
  <c r="S18" i="9" s="1"/>
  <c r="T18" i="9" s="1"/>
  <c r="U18" i="9" s="1"/>
  <c r="E42" i="9"/>
  <c r="Q17" i="9"/>
  <c r="G107" i="41"/>
  <c r="G117" i="41" s="1"/>
  <c r="H107" i="41"/>
  <c r="H113" i="41" s="1"/>
  <c r="F107" i="41"/>
  <c r="F113" i="41" s="1"/>
  <c r="J102" i="41"/>
  <c r="I26" i="44"/>
  <c r="J83" i="8"/>
  <c r="F15" i="1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G38" i="8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F77" i="9"/>
  <c r="J82" i="8"/>
  <c r="U25" i="9" s="1"/>
  <c r="T15" i="11"/>
  <c r="I25" i="9" l="1"/>
  <c r="H37" i="9"/>
  <c r="H42" i="9" s="1"/>
  <c r="R19" i="9"/>
  <c r="R17" i="9"/>
  <c r="G24" i="44"/>
  <c r="E81" i="9"/>
  <c r="T31" i="11"/>
  <c r="F81" i="9"/>
  <c r="F117" i="41"/>
  <c r="G113" i="41"/>
  <c r="J113" i="41" s="1"/>
  <c r="K113" i="41" s="1"/>
  <c r="K102" i="41"/>
  <c r="H117" i="41"/>
  <c r="I117" i="41"/>
  <c r="J107" i="41"/>
  <c r="K107" i="41" s="1"/>
  <c r="K83" i="8"/>
  <c r="Q15" i="11"/>
  <c r="G77" i="9"/>
  <c r="G81" i="9" s="1"/>
  <c r="K82" i="8"/>
  <c r="U15" i="11"/>
  <c r="J26" i="44"/>
  <c r="H24" i="44" l="1"/>
  <c r="J25" i="9"/>
  <c r="I37" i="9"/>
  <c r="I42" i="9" s="1"/>
  <c r="S19" i="9"/>
  <c r="R37" i="9"/>
  <c r="S17" i="9"/>
  <c r="J117" i="41"/>
  <c r="K26" i="44"/>
  <c r="H77" i="9"/>
  <c r="H81" i="9" s="1"/>
  <c r="K25" i="9" l="1"/>
  <c r="J37" i="9"/>
  <c r="J42" i="9" s="1"/>
  <c r="T19" i="9"/>
  <c r="S37" i="9"/>
  <c r="T17" i="9"/>
  <c r="I24" i="44"/>
  <c r="J24" i="44" s="1"/>
  <c r="K117" i="41"/>
  <c r="I77" i="9"/>
  <c r="I81" i="9" s="1"/>
  <c r="L25" i="9" l="1"/>
  <c r="K37" i="9"/>
  <c r="K42" i="9" s="1"/>
  <c r="U19" i="9"/>
  <c r="T37" i="9"/>
  <c r="U17" i="9"/>
  <c r="J77" i="9"/>
  <c r="J81" i="9" s="1"/>
  <c r="M25" i="9" l="1"/>
  <c r="L37" i="9"/>
  <c r="L42" i="9" s="1"/>
  <c r="U37" i="9"/>
  <c r="K24" i="44"/>
  <c r="K77" i="9"/>
  <c r="K81" i="9" s="1"/>
  <c r="N25" i="9" l="1"/>
  <c r="M37" i="9"/>
  <c r="M42" i="9" s="1"/>
  <c r="L77" i="9"/>
  <c r="L81" i="9" s="1"/>
  <c r="O25" i="9" l="1"/>
  <c r="N37" i="9"/>
  <c r="N42" i="9" s="1"/>
  <c r="M77" i="9"/>
  <c r="M81" i="9" s="1"/>
  <c r="P25" i="9" l="1"/>
  <c r="O37" i="9"/>
  <c r="O42" i="9" s="1"/>
  <c r="N77" i="9"/>
  <c r="N81" i="9" s="1"/>
  <c r="Q14" i="9"/>
  <c r="P37" i="9" l="1"/>
  <c r="P42" i="9" s="1"/>
  <c r="Q25" i="9"/>
  <c r="Q37" i="9" s="1"/>
  <c r="G12" i="17" s="1"/>
  <c r="C15" i="52"/>
  <c r="R14" i="9"/>
  <c r="S14" i="9" s="1"/>
  <c r="T14" i="9" s="1"/>
  <c r="U14" i="9" s="1"/>
  <c r="G11" i="17"/>
  <c r="H16" i="45"/>
  <c r="O77" i="9"/>
  <c r="O81" i="9" s="1"/>
  <c r="Q42" i="9" l="1"/>
  <c r="M26" i="24" s="1"/>
  <c r="H19" i="45"/>
  <c r="H20" i="45" s="1"/>
  <c r="E21" i="11" s="1"/>
  <c r="M25" i="24"/>
  <c r="G13" i="17"/>
  <c r="G14" i="17" s="1"/>
  <c r="P77" i="9"/>
  <c r="P81" i="9" s="1"/>
  <c r="Q55" i="9"/>
  <c r="R55" i="9" s="1"/>
  <c r="S55" i="9" s="1"/>
  <c r="T55" i="9" s="1"/>
  <c r="U55" i="9" s="1"/>
  <c r="G25" i="44"/>
  <c r="M32" i="24" s="1"/>
  <c r="H17" i="45"/>
  <c r="G46" i="44" l="1"/>
  <c r="G49" i="44" s="1"/>
  <c r="F21" i="11"/>
  <c r="G21" i="11" s="1"/>
  <c r="H21" i="11" s="1"/>
  <c r="I21" i="11" s="1"/>
  <c r="J21" i="11" s="1"/>
  <c r="K21" i="11" s="1"/>
  <c r="L21" i="11" s="1"/>
  <c r="M21" i="11" s="1"/>
  <c r="N21" i="11" s="1"/>
  <c r="O21" i="11" s="1"/>
  <c r="P21" i="11" s="1"/>
  <c r="Q21" i="11" s="1"/>
  <c r="E20" i="11"/>
  <c r="M31" i="24"/>
  <c r="Q77" i="9"/>
  <c r="G15" i="17" l="1"/>
  <c r="M27" i="24"/>
  <c r="Q81" i="9"/>
  <c r="R77" i="9"/>
  <c r="H15" i="17" s="1"/>
  <c r="F20" i="11"/>
  <c r="G20" i="11" s="1"/>
  <c r="H20" i="11" s="1"/>
  <c r="I20" i="11" s="1"/>
  <c r="J20" i="11" s="1"/>
  <c r="K20" i="11" s="1"/>
  <c r="L20" i="11" s="1"/>
  <c r="M20" i="11" s="1"/>
  <c r="N20" i="11" s="1"/>
  <c r="O20" i="11" s="1"/>
  <c r="P20" i="11" s="1"/>
  <c r="Q20" i="11" s="1"/>
  <c r="G17" i="17" l="1"/>
  <c r="S77" i="9"/>
  <c r="M34" i="24"/>
  <c r="F27" i="44"/>
  <c r="F30" i="44" s="1"/>
  <c r="C20" i="52" l="1"/>
  <c r="C21" i="52" s="1"/>
  <c r="E102" i="8"/>
  <c r="J28" i="1"/>
  <c r="E28" i="1"/>
  <c r="U77" i="9"/>
  <c r="T77" i="9"/>
  <c r="E19" i="11"/>
  <c r="M33" i="24"/>
  <c r="I15" i="17"/>
  <c r="H109" i="8" l="1"/>
  <c r="J109" i="8"/>
  <c r="L109" i="8"/>
  <c r="N109" i="8"/>
  <c r="P109" i="8"/>
  <c r="R109" i="8"/>
  <c r="H112" i="8"/>
  <c r="L112" i="8"/>
  <c r="P112" i="8"/>
  <c r="H116" i="8"/>
  <c r="L116" i="8"/>
  <c r="P116" i="8"/>
  <c r="G109" i="8"/>
  <c r="G110" i="8" s="1"/>
  <c r="I109" i="8"/>
  <c r="K109" i="8"/>
  <c r="M109" i="8"/>
  <c r="O109" i="8"/>
  <c r="Q109" i="8"/>
  <c r="J112" i="8"/>
  <c r="N112" i="8"/>
  <c r="R112" i="8"/>
  <c r="J116" i="8"/>
  <c r="N116" i="8"/>
  <c r="R116" i="8"/>
  <c r="I112" i="8"/>
  <c r="Q112" i="8"/>
  <c r="M116" i="8"/>
  <c r="H113" i="8"/>
  <c r="L113" i="8"/>
  <c r="P113" i="8"/>
  <c r="H117" i="8"/>
  <c r="L117" i="8"/>
  <c r="P117" i="8"/>
  <c r="O112" i="8"/>
  <c r="G113" i="8"/>
  <c r="K117" i="8"/>
  <c r="E105" i="8"/>
  <c r="K112" i="8"/>
  <c r="G116" i="8"/>
  <c r="O116" i="8"/>
  <c r="I113" i="8"/>
  <c r="M113" i="8"/>
  <c r="Q113" i="8"/>
  <c r="I117" i="8"/>
  <c r="M117" i="8"/>
  <c r="Q117" i="8"/>
  <c r="K116" i="8"/>
  <c r="O113" i="8"/>
  <c r="O117" i="8"/>
  <c r="M112" i="8"/>
  <c r="I116" i="8"/>
  <c r="Q116" i="8"/>
  <c r="J113" i="8"/>
  <c r="N113" i="8"/>
  <c r="R113" i="8"/>
  <c r="J117" i="8"/>
  <c r="N117" i="8"/>
  <c r="R117" i="8"/>
  <c r="G112" i="8"/>
  <c r="K113" i="8"/>
  <c r="G117" i="8"/>
  <c r="H108" i="8"/>
  <c r="F91" i="9" s="1"/>
  <c r="O108" i="8"/>
  <c r="M91" i="9" s="1"/>
  <c r="Q108" i="8"/>
  <c r="O91" i="9" s="1"/>
  <c r="L108" i="8"/>
  <c r="J91" i="9" s="1"/>
  <c r="G108" i="8"/>
  <c r="R108" i="8"/>
  <c r="P91" i="9" s="1"/>
  <c r="K108" i="8"/>
  <c r="I91" i="9" s="1"/>
  <c r="M108" i="8"/>
  <c r="K91" i="9" s="1"/>
  <c r="J108" i="8"/>
  <c r="H91" i="9" s="1"/>
  <c r="P108" i="8"/>
  <c r="N91" i="9" s="1"/>
  <c r="I108" i="8"/>
  <c r="G91" i="9" s="1"/>
  <c r="N108" i="8"/>
  <c r="L91" i="9" s="1"/>
  <c r="J15" i="17"/>
  <c r="E27" i="1"/>
  <c r="F19" i="1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K15" i="17"/>
  <c r="H110" i="8" l="1"/>
  <c r="I110" i="8" s="1"/>
  <c r="J110" i="8" s="1"/>
  <c r="K110" i="8" s="1"/>
  <c r="L110" i="8" s="1"/>
  <c r="M110" i="8" s="1"/>
  <c r="N110" i="8" s="1"/>
  <c r="O110" i="8" s="1"/>
  <c r="P110" i="8" s="1"/>
  <c r="Q110" i="8" s="1"/>
  <c r="R110" i="8" s="1"/>
  <c r="G114" i="8" s="1"/>
  <c r="H114" i="8" s="1"/>
  <c r="I114" i="8" s="1"/>
  <c r="J114" i="8" s="1"/>
  <c r="K114" i="8" s="1"/>
  <c r="L114" i="8" s="1"/>
  <c r="M114" i="8" s="1"/>
  <c r="N114" i="8" s="1"/>
  <c r="O114" i="8" s="1"/>
  <c r="P114" i="8" s="1"/>
  <c r="Q114" i="8" s="1"/>
  <c r="R114" i="8" s="1"/>
  <c r="G118" i="8" s="1"/>
  <c r="H118" i="8" s="1"/>
  <c r="I118" i="8" s="1"/>
  <c r="J118" i="8" s="1"/>
  <c r="K118" i="8" s="1"/>
  <c r="L118" i="8" s="1"/>
  <c r="M118" i="8" s="1"/>
  <c r="N118" i="8" s="1"/>
  <c r="O118" i="8" s="1"/>
  <c r="P118" i="8" s="1"/>
  <c r="Q118" i="8" s="1"/>
  <c r="R118" i="8" s="1"/>
  <c r="Q19" i="11"/>
  <c r="E91" i="9"/>
  <c r="S108" i="8"/>
  <c r="S117" i="8"/>
  <c r="S109" i="8"/>
  <c r="S112" i="8"/>
  <c r="S116" i="8"/>
  <c r="S113" i="8"/>
  <c r="Q91" i="9" l="1"/>
  <c r="R91" i="9" l="1"/>
  <c r="S91" i="9" l="1"/>
  <c r="T91" i="9" l="1"/>
  <c r="U91" i="9" l="1"/>
  <c r="M16" i="24" l="1"/>
  <c r="R19" i="11" l="1"/>
  <c r="N33" i="24"/>
  <c r="N34" i="24"/>
  <c r="I19" i="45"/>
  <c r="H12" i="17"/>
  <c r="H46" i="44" l="1"/>
  <c r="I20" i="45"/>
  <c r="J19" i="45"/>
  <c r="I12" i="17"/>
  <c r="O33" i="24"/>
  <c r="O34" i="24"/>
  <c r="S19" i="11"/>
  <c r="H49" i="44" l="1"/>
  <c r="R21" i="11"/>
  <c r="J12" i="17"/>
  <c r="K19" i="45"/>
  <c r="T19" i="11"/>
  <c r="P34" i="24"/>
  <c r="P33" i="24"/>
  <c r="J20" i="45"/>
  <c r="I46" i="44"/>
  <c r="K12" i="17" l="1"/>
  <c r="L19" i="45"/>
  <c r="M19" i="45" s="1"/>
  <c r="I49" i="44"/>
  <c r="S21" i="11"/>
  <c r="K20" i="45"/>
  <c r="J46" i="44"/>
  <c r="N16" i="24"/>
  <c r="U19" i="11"/>
  <c r="Q34" i="24"/>
  <c r="Q33" i="24"/>
  <c r="O16" i="24" l="1"/>
  <c r="T21" i="11"/>
  <c r="J49" i="44"/>
  <c r="K46" i="44"/>
  <c r="L20" i="45"/>
  <c r="M20" i="45" s="1"/>
  <c r="P16" i="24" l="1"/>
  <c r="K49" i="44"/>
  <c r="U21" i="11"/>
  <c r="Q16" i="24" l="1"/>
  <c r="R42" i="9" l="1"/>
  <c r="N26" i="24" s="1"/>
  <c r="N24" i="24"/>
  <c r="D15" i="52" l="1"/>
  <c r="H11" i="17"/>
  <c r="R81" i="9"/>
  <c r="N27" i="24"/>
  <c r="I16" i="45"/>
  <c r="N25" i="24"/>
  <c r="H13" i="17" l="1"/>
  <c r="H14" i="17" s="1"/>
  <c r="H17" i="17" s="1"/>
  <c r="D20" i="52" s="1"/>
  <c r="D21" i="52" s="1"/>
  <c r="H25" i="44"/>
  <c r="I17" i="45"/>
  <c r="E15" i="52"/>
  <c r="J16" i="45"/>
  <c r="I11" i="17"/>
  <c r="S42" i="9"/>
  <c r="O27" i="24"/>
  <c r="O24" i="24"/>
  <c r="O25" i="24"/>
  <c r="I13" i="17" l="1"/>
  <c r="I14" i="17" s="1"/>
  <c r="I17" i="17" s="1"/>
  <c r="E20" i="52" s="1"/>
  <c r="E21" i="52" s="1"/>
  <c r="J17" i="45"/>
  <c r="I25" i="44"/>
  <c r="T42" i="9"/>
  <c r="F15" i="52"/>
  <c r="K16" i="45"/>
  <c r="P25" i="24"/>
  <c r="P24" i="24"/>
  <c r="J11" i="17"/>
  <c r="P27" i="24"/>
  <c r="O26" i="24"/>
  <c r="S81" i="9"/>
  <c r="N32" i="24"/>
  <c r="N31" i="24"/>
  <c r="R20" i="11"/>
  <c r="J13" i="17" l="1"/>
  <c r="J14" i="17" s="1"/>
  <c r="J17" i="17" s="1"/>
  <c r="F20" i="52" s="1"/>
  <c r="F21" i="52" s="1"/>
  <c r="P26" i="24"/>
  <c r="T81" i="9"/>
  <c r="O31" i="24"/>
  <c r="O32" i="24"/>
  <c r="S20" i="11"/>
  <c r="K17" i="45"/>
  <c r="J25" i="44"/>
  <c r="Q27" i="24"/>
  <c r="L16" i="45"/>
  <c r="Q24" i="24"/>
  <c r="Q25" i="24"/>
  <c r="G15" i="52"/>
  <c r="U42" i="9"/>
  <c r="K11" i="17"/>
  <c r="K13" i="17" l="1"/>
  <c r="K14" i="17" s="1"/>
  <c r="K17" i="17" s="1"/>
  <c r="G20" i="52" s="1"/>
  <c r="G21" i="52" s="1"/>
  <c r="U81" i="9"/>
  <c r="Q26" i="24"/>
  <c r="K25" i="44"/>
  <c r="L17" i="45"/>
  <c r="M17" i="45" s="1"/>
  <c r="P32" i="24"/>
  <c r="T20" i="11"/>
  <c r="P31" i="24"/>
  <c r="M16" i="45"/>
  <c r="Q32" i="24" l="1"/>
  <c r="Q31" i="24"/>
  <c r="U20" i="11"/>
  <c r="E11" i="1"/>
  <c r="F20" i="1" l="1"/>
  <c r="E90" i="8"/>
  <c r="G96" i="8" s="1"/>
  <c r="H96" i="8" s="1"/>
  <c r="I96" i="8" s="1"/>
  <c r="J96" i="8" s="1"/>
  <c r="K96" i="8" s="1"/>
  <c r="F33" i="44" l="1"/>
  <c r="F35" i="44" s="1"/>
  <c r="C17" i="52" s="1"/>
  <c r="F21" i="1"/>
  <c r="G24" i="1"/>
  <c r="G33" i="44"/>
  <c r="H33" i="44" s="1"/>
  <c r="G31" i="1" l="1"/>
  <c r="F40" i="44"/>
  <c r="F42" i="44" s="1"/>
  <c r="F52" i="44" s="1"/>
  <c r="F55" i="44" s="1"/>
  <c r="F58" i="44" s="1"/>
  <c r="F61" i="44" s="1"/>
  <c r="I33" i="44"/>
  <c r="J31" i="1" l="1"/>
  <c r="J32" i="1" s="1"/>
  <c r="E45" i="8"/>
  <c r="G32" i="1"/>
  <c r="E31" i="1" s="1"/>
  <c r="J33" i="44"/>
  <c r="E36" i="11" l="1"/>
  <c r="Q36" i="11" s="1"/>
  <c r="R36" i="11" s="1"/>
  <c r="S36" i="11" s="1"/>
  <c r="T36" i="11" s="1"/>
  <c r="U36" i="11" s="1"/>
  <c r="E24" i="1"/>
  <c r="E32" i="1" s="1"/>
  <c r="I64" i="8"/>
  <c r="J55" i="8"/>
  <c r="L68" i="8"/>
  <c r="R51" i="8"/>
  <c r="P94" i="9" s="1"/>
  <c r="P95" i="9" s="1"/>
  <c r="G64" i="8"/>
  <c r="P68" i="8"/>
  <c r="N64" i="8"/>
  <c r="K55" i="8"/>
  <c r="O51" i="8"/>
  <c r="M94" i="9" s="1"/>
  <c r="M95" i="9" s="1"/>
  <c r="Q59" i="8"/>
  <c r="O63" i="8"/>
  <c r="H56" i="8"/>
  <c r="K64" i="8"/>
  <c r="P67" i="8"/>
  <c r="N68" i="8"/>
  <c r="R68" i="8"/>
  <c r="L55" i="8"/>
  <c r="Q56" i="8"/>
  <c r="H64" i="8"/>
  <c r="H51" i="8"/>
  <c r="F94" i="9" s="1"/>
  <c r="F95" i="9" s="1"/>
  <c r="L56" i="8"/>
  <c r="H67" i="8"/>
  <c r="K56" i="8"/>
  <c r="G51" i="8"/>
  <c r="K68" i="8"/>
  <c r="Q67" i="8"/>
  <c r="Q60" i="8"/>
  <c r="M60" i="8"/>
  <c r="G56" i="8"/>
  <c r="Q55" i="8"/>
  <c r="N63" i="8"/>
  <c r="M56" i="8"/>
  <c r="J59" i="8"/>
  <c r="O55" i="8"/>
  <c r="M52" i="8"/>
  <c r="K35" i="11" s="1"/>
  <c r="K38" i="11" s="1"/>
  <c r="O56" i="8"/>
  <c r="L60" i="8"/>
  <c r="M68" i="8"/>
  <c r="G52" i="8"/>
  <c r="H68" i="8"/>
  <c r="K67" i="8"/>
  <c r="O64" i="8"/>
  <c r="G59" i="8"/>
  <c r="O67" i="8"/>
  <c r="I52" i="8"/>
  <c r="G35" i="11" s="1"/>
  <c r="G38" i="11" s="1"/>
  <c r="J51" i="8"/>
  <c r="H94" i="9" s="1"/>
  <c r="H95" i="9" s="1"/>
  <c r="J64" i="8"/>
  <c r="G60" i="8"/>
  <c r="G63" i="8"/>
  <c r="L51" i="8"/>
  <c r="J94" i="9" s="1"/>
  <c r="J95" i="9" s="1"/>
  <c r="J63" i="8"/>
  <c r="M59" i="8"/>
  <c r="Q51" i="8"/>
  <c r="O94" i="9" s="1"/>
  <c r="O95" i="9" s="1"/>
  <c r="R60" i="8"/>
  <c r="L59" i="8"/>
  <c r="P55" i="8"/>
  <c r="K51" i="8"/>
  <c r="I94" i="9" s="1"/>
  <c r="I95" i="9" s="1"/>
  <c r="Q64" i="8"/>
  <c r="M64" i="8"/>
  <c r="K63" i="8"/>
  <c r="R52" i="8"/>
  <c r="P35" i="11" s="1"/>
  <c r="P38" i="11" s="1"/>
  <c r="E48" i="8"/>
  <c r="H55" i="8"/>
  <c r="P63" i="8"/>
  <c r="L64" i="8"/>
  <c r="R56" i="8"/>
  <c r="Q63" i="8"/>
  <c r="H63" i="8"/>
  <c r="M63" i="8"/>
  <c r="P52" i="8"/>
  <c r="N35" i="11" s="1"/>
  <c r="N38" i="11" s="1"/>
  <c r="J67" i="8"/>
  <c r="O59" i="8"/>
  <c r="P51" i="8"/>
  <c r="N94" i="9" s="1"/>
  <c r="N95" i="9" s="1"/>
  <c r="P59" i="8"/>
  <c r="H52" i="8"/>
  <c r="F35" i="11" s="1"/>
  <c r="F38" i="11" s="1"/>
  <c r="J68" i="8"/>
  <c r="I63" i="8"/>
  <c r="O68" i="8"/>
  <c r="N59" i="8"/>
  <c r="M51" i="8"/>
  <c r="K94" i="9" s="1"/>
  <c r="K95" i="9" s="1"/>
  <c r="L52" i="8"/>
  <c r="J35" i="11" s="1"/>
  <c r="J38" i="11" s="1"/>
  <c r="I56" i="8"/>
  <c r="J60" i="8"/>
  <c r="I51" i="8"/>
  <c r="G94" i="9" s="1"/>
  <c r="G95" i="9" s="1"/>
  <c r="N60" i="8"/>
  <c r="R67" i="8"/>
  <c r="J52" i="8"/>
  <c r="H35" i="11" s="1"/>
  <c r="H38" i="11" s="1"/>
  <c r="O52" i="8"/>
  <c r="M35" i="11" s="1"/>
  <c r="M38" i="11" s="1"/>
  <c r="I68" i="8"/>
  <c r="N67" i="8"/>
  <c r="N52" i="8"/>
  <c r="L35" i="11" s="1"/>
  <c r="L38" i="11" s="1"/>
  <c r="R55" i="8"/>
  <c r="P60" i="8"/>
  <c r="Q52" i="8"/>
  <c r="O35" i="11" s="1"/>
  <c r="O38" i="11" s="1"/>
  <c r="N56" i="8"/>
  <c r="I60" i="8"/>
  <c r="M67" i="8"/>
  <c r="P64" i="8"/>
  <c r="K60" i="8"/>
  <c r="K59" i="8"/>
  <c r="M55" i="8"/>
  <c r="R64" i="8"/>
  <c r="I55" i="8"/>
  <c r="H59" i="8"/>
  <c r="I59" i="8"/>
  <c r="J56" i="8"/>
  <c r="I67" i="8"/>
  <c r="K52" i="8"/>
  <c r="I35" i="11" s="1"/>
  <c r="I38" i="11" s="1"/>
  <c r="G68" i="8"/>
  <c r="H60" i="8"/>
  <c r="R63" i="8"/>
  <c r="R59" i="8"/>
  <c r="G55" i="8"/>
  <c r="N51" i="8"/>
  <c r="L94" i="9" s="1"/>
  <c r="L95" i="9" s="1"/>
  <c r="L67" i="8"/>
  <c r="Q68" i="8"/>
  <c r="L63" i="8"/>
  <c r="N55" i="8"/>
  <c r="P56" i="8"/>
  <c r="G67" i="8"/>
  <c r="O60" i="8"/>
  <c r="K33" i="44"/>
  <c r="S56" i="8" l="1"/>
  <c r="R35" i="11" s="1"/>
  <c r="R38" i="11" s="1"/>
  <c r="S59" i="8"/>
  <c r="S94" i="9" s="1"/>
  <c r="S95" i="9" s="1"/>
  <c r="N23" i="11"/>
  <c r="N99" i="9"/>
  <c r="N18" i="11"/>
  <c r="M99" i="9"/>
  <c r="M23" i="11"/>
  <c r="M18" i="11"/>
  <c r="H23" i="11"/>
  <c r="H99" i="9"/>
  <c r="H18" i="11"/>
  <c r="S67" i="8"/>
  <c r="U94" i="9" s="1"/>
  <c r="U95" i="9" s="1"/>
  <c r="S51" i="8"/>
  <c r="E94" i="9"/>
  <c r="G53" i="8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E35" i="11"/>
  <c r="S52" i="8"/>
  <c r="S68" i="8"/>
  <c r="U35" i="11" s="1"/>
  <c r="U38" i="11" s="1"/>
  <c r="O99" i="9"/>
  <c r="O18" i="11"/>
  <c r="O23" i="11"/>
  <c r="S64" i="8"/>
  <c r="T35" i="11" s="1"/>
  <c r="T38" i="11" s="1"/>
  <c r="I18" i="11"/>
  <c r="I23" i="11"/>
  <c r="I99" i="9"/>
  <c r="G18" i="11"/>
  <c r="G99" i="9"/>
  <c r="G23" i="11"/>
  <c r="F23" i="11"/>
  <c r="F99" i="9"/>
  <c r="F18" i="11"/>
  <c r="P99" i="9"/>
  <c r="P23" i="11"/>
  <c r="P18" i="11"/>
  <c r="J23" i="11"/>
  <c r="J18" i="11"/>
  <c r="J99" i="9"/>
  <c r="S55" i="8"/>
  <c r="R94" i="9" s="1"/>
  <c r="R95" i="9" s="1"/>
  <c r="S63" i="8"/>
  <c r="T94" i="9" s="1"/>
  <c r="T95" i="9" s="1"/>
  <c r="K99" i="9"/>
  <c r="K23" i="11"/>
  <c r="K18" i="11"/>
  <c r="S60" i="8"/>
  <c r="S35" i="11" s="1"/>
  <c r="S38" i="11" s="1"/>
  <c r="L23" i="11"/>
  <c r="L99" i="9"/>
  <c r="L18" i="11"/>
  <c r="E38" i="11" l="1"/>
  <c r="Q35" i="11"/>
  <c r="Q38" i="11" s="1"/>
  <c r="F14" i="11"/>
  <c r="F22" i="11" s="1"/>
  <c r="F25" i="11" s="1"/>
  <c r="F43" i="11" s="1"/>
  <c r="F102" i="9"/>
  <c r="F105" i="9" s="1"/>
  <c r="U99" i="9"/>
  <c r="U18" i="11"/>
  <c r="U23" i="11"/>
  <c r="G40" i="44"/>
  <c r="G42" i="44" s="1"/>
  <c r="G52" i="44" s="1"/>
  <c r="G57" i="8"/>
  <c r="H57" i="8" s="1"/>
  <c r="I57" i="8" s="1"/>
  <c r="J57" i="8" s="1"/>
  <c r="K57" i="8" s="1"/>
  <c r="L57" i="8" s="1"/>
  <c r="M57" i="8" s="1"/>
  <c r="N57" i="8" s="1"/>
  <c r="O57" i="8" s="1"/>
  <c r="P57" i="8" s="1"/>
  <c r="Q57" i="8" s="1"/>
  <c r="R57" i="8" s="1"/>
  <c r="G14" i="11"/>
  <c r="G22" i="11" s="1"/>
  <c r="G102" i="9"/>
  <c r="G105" i="9" s="1"/>
  <c r="P102" i="9"/>
  <c r="P105" i="9" s="1"/>
  <c r="P14" i="11"/>
  <c r="P22" i="11" s="1"/>
  <c r="H102" i="9"/>
  <c r="H14" i="11"/>
  <c r="H22" i="11" s="1"/>
  <c r="H25" i="11" s="1"/>
  <c r="H43" i="11" s="1"/>
  <c r="L102" i="9"/>
  <c r="L105" i="9" s="1"/>
  <c r="L14" i="11"/>
  <c r="L22" i="11" s="1"/>
  <c r="L25" i="11" s="1"/>
  <c r="L43" i="11" s="1"/>
  <c r="K102" i="9"/>
  <c r="K14" i="11"/>
  <c r="K22" i="11" s="1"/>
  <c r="K25" i="11" s="1"/>
  <c r="K43" i="11" s="1"/>
  <c r="I14" i="11"/>
  <c r="I22" i="11" s="1"/>
  <c r="I25" i="11" s="1"/>
  <c r="I43" i="11" s="1"/>
  <c r="I102" i="9"/>
  <c r="I105" i="9" s="1"/>
  <c r="M102" i="9"/>
  <c r="M105" i="9" s="1"/>
  <c r="M14" i="11"/>
  <c r="M22" i="11" s="1"/>
  <c r="J102" i="9"/>
  <c r="J105" i="9" s="1"/>
  <c r="J14" i="11"/>
  <c r="J22" i="11" s="1"/>
  <c r="R18" i="11"/>
  <c r="R99" i="9"/>
  <c r="R23" i="11"/>
  <c r="N14" i="11"/>
  <c r="N22" i="11" s="1"/>
  <c r="N25" i="11" s="1"/>
  <c r="N43" i="11" s="1"/>
  <c r="N102" i="9"/>
  <c r="Q94" i="9"/>
  <c r="Q95" i="9" s="1"/>
  <c r="Q99" i="9" s="1"/>
  <c r="E95" i="9"/>
  <c r="O14" i="11"/>
  <c r="O22" i="11" s="1"/>
  <c r="O25" i="11" s="1"/>
  <c r="O43" i="11" s="1"/>
  <c r="O102" i="9"/>
  <c r="O105" i="9" s="1"/>
  <c r="T18" i="11"/>
  <c r="T99" i="9"/>
  <c r="T23" i="11"/>
  <c r="S23" i="11"/>
  <c r="S99" i="9"/>
  <c r="S18" i="11"/>
  <c r="N105" i="9" l="1"/>
  <c r="P24" i="11"/>
  <c r="S102" i="9"/>
  <c r="S24" i="11" s="1"/>
  <c r="S14" i="11"/>
  <c r="S22" i="11" s="1"/>
  <c r="H105" i="9"/>
  <c r="J24" i="11"/>
  <c r="J25" i="11" s="1"/>
  <c r="J43" i="11" s="1"/>
  <c r="R102" i="9"/>
  <c r="R14" i="11"/>
  <c r="R22" i="11" s="1"/>
  <c r="G61" i="8"/>
  <c r="H61" i="8" s="1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H40" i="44"/>
  <c r="H42" i="44" s="1"/>
  <c r="H52" i="44" s="1"/>
  <c r="U102" i="9"/>
  <c r="U24" i="11" s="1"/>
  <c r="U14" i="11"/>
  <c r="U22" i="11" s="1"/>
  <c r="M24" i="11"/>
  <c r="M25" i="11" s="1"/>
  <c r="M43" i="11" s="1"/>
  <c r="K105" i="9"/>
  <c r="P25" i="11"/>
  <c r="P43" i="11" s="1"/>
  <c r="T14" i="11"/>
  <c r="T22" i="11" s="1"/>
  <c r="T102" i="9"/>
  <c r="Q102" i="9"/>
  <c r="Q105" i="9" s="1"/>
  <c r="E99" i="9"/>
  <c r="E18" i="11"/>
  <c r="Q18" i="11" s="1"/>
  <c r="E23" i="11"/>
  <c r="Q23" i="11" s="1"/>
  <c r="S105" i="9" l="1"/>
  <c r="S25" i="11"/>
  <c r="S43" i="11" s="1"/>
  <c r="U25" i="11"/>
  <c r="U43" i="11" s="1"/>
  <c r="R24" i="11"/>
  <c r="R25" i="11" s="1"/>
  <c r="R43" i="11" s="1"/>
  <c r="R105" i="9"/>
  <c r="G65" i="8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I40" i="44"/>
  <c r="I42" i="44" s="1"/>
  <c r="I52" i="44" s="1"/>
  <c r="O28" i="24"/>
  <c r="E16" i="52"/>
  <c r="E25" i="52" s="1"/>
  <c r="E102" i="9"/>
  <c r="E14" i="11"/>
  <c r="G34" i="44"/>
  <c r="M28" i="24"/>
  <c r="C16" i="52"/>
  <c r="C25" i="52" s="1"/>
  <c r="U105" i="9"/>
  <c r="T24" i="11"/>
  <c r="T25" i="11" s="1"/>
  <c r="T43" i="11" s="1"/>
  <c r="T105" i="9"/>
  <c r="G16" i="52" l="1"/>
  <c r="Q28" i="24"/>
  <c r="H34" i="44"/>
  <c r="G35" i="44"/>
  <c r="Q14" i="11"/>
  <c r="Q22" i="11" s="1"/>
  <c r="E22" i="11"/>
  <c r="E25" i="11" s="1"/>
  <c r="E43" i="11" s="1"/>
  <c r="E55" i="11" s="1"/>
  <c r="F49" i="11" s="1"/>
  <c r="F55" i="11" s="1"/>
  <c r="G49" i="11" s="1"/>
  <c r="G24" i="11"/>
  <c r="E105" i="9"/>
  <c r="G69" i="8"/>
  <c r="H69" i="8" s="1"/>
  <c r="I69" i="8" s="1"/>
  <c r="J69" i="8" s="1"/>
  <c r="K69" i="8" s="1"/>
  <c r="L69" i="8" s="1"/>
  <c r="M69" i="8" s="1"/>
  <c r="N69" i="8" s="1"/>
  <c r="O69" i="8" s="1"/>
  <c r="P69" i="8" s="1"/>
  <c r="Q69" i="8" s="1"/>
  <c r="R69" i="8" s="1"/>
  <c r="J40" i="44"/>
  <c r="F16" i="52"/>
  <c r="F25" i="52" s="1"/>
  <c r="P28" i="24"/>
  <c r="D16" i="52"/>
  <c r="D25" i="52" s="1"/>
  <c r="N28" i="24"/>
  <c r="J42" i="44" l="1"/>
  <c r="J52" i="44" s="1"/>
  <c r="K40" i="44"/>
  <c r="K42" i="44" s="1"/>
  <c r="K52" i="44" s="1"/>
  <c r="H35" i="44"/>
  <c r="I34" i="44"/>
  <c r="G25" i="11"/>
  <c r="G43" i="11" s="1"/>
  <c r="G55" i="11" s="1"/>
  <c r="H49" i="11" s="1"/>
  <c r="H55" i="11" s="1"/>
  <c r="I49" i="11" s="1"/>
  <c r="I55" i="11" s="1"/>
  <c r="J49" i="11" s="1"/>
  <c r="J55" i="11" s="1"/>
  <c r="K49" i="11" s="1"/>
  <c r="K55" i="11" s="1"/>
  <c r="L49" i="11" s="1"/>
  <c r="L55" i="11" s="1"/>
  <c r="M49" i="11" s="1"/>
  <c r="M55" i="11" s="1"/>
  <c r="N49" i="11" s="1"/>
  <c r="N55" i="11" s="1"/>
  <c r="O49" i="11" s="1"/>
  <c r="O55" i="11" s="1"/>
  <c r="P49" i="11" s="1"/>
  <c r="P55" i="11" s="1"/>
  <c r="Q24" i="11"/>
  <c r="Q25" i="11" s="1"/>
  <c r="Q43" i="11" s="1"/>
  <c r="Q55" i="11" s="1"/>
  <c r="D17" i="52"/>
  <c r="M20" i="24"/>
  <c r="G55" i="44"/>
  <c r="M21" i="24"/>
  <c r="G27" i="52"/>
  <c r="G25" i="52"/>
  <c r="C29" i="52" l="1"/>
  <c r="C18" i="52"/>
  <c r="C30" i="52" s="1"/>
  <c r="R49" i="11"/>
  <c r="R55" i="11" s="1"/>
  <c r="G23" i="44"/>
  <c r="C28" i="52"/>
  <c r="I35" i="44"/>
  <c r="J34" i="44"/>
  <c r="E17" i="52"/>
  <c r="N21" i="24"/>
  <c r="H55" i="44"/>
  <c r="N20" i="24"/>
  <c r="Q14" i="24"/>
  <c r="I55" i="44" l="1"/>
  <c r="O21" i="24"/>
  <c r="O20" i="24"/>
  <c r="F17" i="52"/>
  <c r="K34" i="44"/>
  <c r="K35" i="44" s="1"/>
  <c r="Q20" i="24" s="1"/>
  <c r="J35" i="44"/>
  <c r="G27" i="44"/>
  <c r="M15" i="24"/>
  <c r="S49" i="11"/>
  <c r="S55" i="11" s="1"/>
  <c r="H23" i="44"/>
  <c r="D18" i="52"/>
  <c r="D30" i="52" s="1"/>
  <c r="E18" i="52" l="1"/>
  <c r="E30" i="52" s="1"/>
  <c r="T49" i="11"/>
  <c r="T55" i="11" s="1"/>
  <c r="I23" i="44"/>
  <c r="N15" i="24"/>
  <c r="H27" i="44"/>
  <c r="Q21" i="24"/>
  <c r="K55" i="44"/>
  <c r="G30" i="44"/>
  <c r="M14" i="24"/>
  <c r="P21" i="24"/>
  <c r="P20" i="24"/>
  <c r="J55" i="44"/>
  <c r="G17" i="52"/>
  <c r="I27" i="44" l="1"/>
  <c r="O15" i="24"/>
  <c r="N14" i="24"/>
  <c r="H30" i="44"/>
  <c r="F18" i="52"/>
  <c r="F30" i="52" s="1"/>
  <c r="J23" i="44"/>
  <c r="U49" i="11"/>
  <c r="U55" i="11" s="1"/>
  <c r="M35" i="24"/>
  <c r="M19" i="24"/>
  <c r="G58" i="44"/>
  <c r="G61" i="44" s="1"/>
  <c r="N19" i="24" l="1"/>
  <c r="H58" i="44"/>
  <c r="H61" i="44" s="1"/>
  <c r="N35" i="24"/>
  <c r="J27" i="44"/>
  <c r="P15" i="24"/>
  <c r="K23" i="44"/>
  <c r="G18" i="52"/>
  <c r="G30" i="52" s="1"/>
  <c r="I30" i="44"/>
  <c r="O14" i="24"/>
  <c r="K27" i="44" l="1"/>
  <c r="K30" i="44" s="1"/>
  <c r="Q15" i="24"/>
  <c r="O19" i="24"/>
  <c r="I58" i="44"/>
  <c r="I61" i="44" s="1"/>
  <c r="O35" i="24"/>
  <c r="J30" i="44"/>
  <c r="P14" i="24"/>
  <c r="Q19" i="24"/>
  <c r="Q35" i="24"/>
  <c r="K58" i="44"/>
  <c r="K61" i="44" s="1"/>
  <c r="P35" i="24" l="1"/>
  <c r="J58" i="44"/>
  <c r="J61" i="44" s="1"/>
  <c r="P19" i="24"/>
  <c r="S52" i="54"/>
  <c r="D52" i="54"/>
  <c r="E52" i="54"/>
  <c r="R52" i="54"/>
  <c r="T52" i="54"/>
  <c r="Q52" i="54"/>
  <c r="C52" i="54"/>
  <c r="B52" i="54"/>
  <c r="F52" i="54"/>
  <c r="C55" i="54"/>
  <c r="E55" i="54"/>
  <c r="Q55" i="54"/>
  <c r="T55" i="54"/>
  <c r="D55" i="54"/>
  <c r="R55" i="54"/>
  <c r="P55" i="54"/>
  <c r="F55" i="54"/>
  <c r="B55" i="54"/>
  <c r="S55" i="54"/>
  <c r="E56" i="54"/>
  <c r="T56" i="54"/>
  <c r="C56" i="54"/>
  <c r="P56" i="54"/>
  <c r="S56" i="54"/>
  <c r="R56" i="54"/>
  <c r="Q56" i="54"/>
  <c r="D56" i="54"/>
  <c r="B56" i="54"/>
  <c r="F56" i="54"/>
  <c r="E54" i="54"/>
  <c r="Q54" i="54"/>
  <c r="P54" i="54"/>
  <c r="D54" i="54"/>
  <c r="F54" i="54"/>
  <c r="R54" i="54"/>
  <c r="C54" i="54"/>
  <c r="T54" i="54"/>
  <c r="B54" i="54"/>
  <c r="S54" i="54"/>
  <c r="T53" i="54"/>
  <c r="F53" i="54"/>
  <c r="D53" i="54"/>
  <c r="E53" i="54"/>
  <c r="C53" i="54"/>
  <c r="R53" i="54"/>
  <c r="Q53" i="54"/>
  <c r="P53" i="54"/>
  <c r="B53" i="54"/>
  <c r="S53" i="54"/>
</calcChain>
</file>

<file path=xl/sharedStrings.xml><?xml version="1.0" encoding="utf-8"?>
<sst xmlns="http://schemas.openxmlformats.org/spreadsheetml/2006/main" count="1282" uniqueCount="473">
  <si>
    <t>Amount</t>
  </si>
  <si>
    <t>Totals</t>
  </si>
  <si>
    <t>Depreciation</t>
  </si>
  <si>
    <t>Notes</t>
  </si>
  <si>
    <t>Fixed Assets</t>
  </si>
  <si>
    <t>Buildings</t>
  </si>
  <si>
    <t>Vehicles</t>
  </si>
  <si>
    <t>Total Fixed Assets</t>
  </si>
  <si>
    <t>Sources of Funding</t>
  </si>
  <si>
    <t>Commercial Loan</t>
  </si>
  <si>
    <t>Term in Months</t>
  </si>
  <si>
    <t>Commercial Mortgage</t>
  </si>
  <si>
    <t>Total Sources of Funding</t>
  </si>
  <si>
    <t>Outside Investors</t>
  </si>
  <si>
    <t>Monthly Payments</t>
  </si>
  <si>
    <t>Additional Loans or Debt</t>
  </si>
  <si>
    <t>Year One</t>
  </si>
  <si>
    <t>Year Three</t>
  </si>
  <si>
    <t>Assumptions</t>
  </si>
  <si>
    <t>Year Two</t>
  </si>
  <si>
    <t>Interest</t>
  </si>
  <si>
    <t>Line of Credit</t>
  </si>
  <si>
    <t>Principal Amount</t>
  </si>
  <si>
    <t>Interest Rate</t>
  </si>
  <si>
    <t>Loan Term in Months</t>
  </si>
  <si>
    <t>Principal</t>
  </si>
  <si>
    <t>Monthly Payment Amount</t>
  </si>
  <si>
    <t>Loan Balance</t>
  </si>
  <si>
    <t>Cost of Sales</t>
  </si>
  <si>
    <t>Total Fixed Business Expenses</t>
  </si>
  <si>
    <t>Accounts Receivable</t>
  </si>
  <si>
    <t>Taxes</t>
  </si>
  <si>
    <t>Line of Credit Balance</t>
  </si>
  <si>
    <t>Assets</t>
  </si>
  <si>
    <t>Current Assets</t>
  </si>
  <si>
    <t>Cash</t>
  </si>
  <si>
    <t>Inventory</t>
  </si>
  <si>
    <t>Prepaid Expenses</t>
  </si>
  <si>
    <t>Other Current</t>
  </si>
  <si>
    <t>Total Current Assets</t>
  </si>
  <si>
    <t>Less:  Accumulated Depreciation</t>
  </si>
  <si>
    <t>Total Assets</t>
  </si>
  <si>
    <t>Liabilities and Owner's Equity</t>
  </si>
  <si>
    <t>Accounts Payable</t>
  </si>
  <si>
    <t>Notes Payable</t>
  </si>
  <si>
    <t>Mortgage Payable</t>
  </si>
  <si>
    <t>Liabilities</t>
  </si>
  <si>
    <t>Total Liabilities</t>
  </si>
  <si>
    <t>Owner's Equity</t>
  </si>
  <si>
    <t>Common Stock</t>
  </si>
  <si>
    <t>Retained Earnings</t>
  </si>
  <si>
    <t>Dividends Dispersed</t>
  </si>
  <si>
    <t>Total Owner's Equity</t>
  </si>
  <si>
    <t>%</t>
  </si>
  <si>
    <t>Balance Sheet (For Existing Businesses Only)</t>
  </si>
  <si>
    <t>Total Liabilities and Owner's Equity</t>
  </si>
  <si>
    <t>Annual Sales Revenue</t>
  </si>
  <si>
    <t>Liquidity</t>
  </si>
  <si>
    <t>Current Ratio</t>
  </si>
  <si>
    <t>Quick Ratio</t>
  </si>
  <si>
    <t>Debt to Equity Ratio</t>
  </si>
  <si>
    <t>Profitability</t>
  </si>
  <si>
    <t xml:space="preserve">Sales Growth </t>
  </si>
  <si>
    <t>COGS to Sales</t>
  </si>
  <si>
    <t>Gross Profit Margin</t>
  </si>
  <si>
    <t>Net Profit Margin</t>
  </si>
  <si>
    <t>Days in Receivables</t>
  </si>
  <si>
    <t>Accounts Receivable Turnover</t>
  </si>
  <si>
    <t>Days in Inventory</t>
  </si>
  <si>
    <t>Inventory Turnover</t>
  </si>
  <si>
    <t>Sales to Total Assets</t>
  </si>
  <si>
    <t>Efficiency</t>
  </si>
  <si>
    <t>Amortized Start-up Expenses</t>
  </si>
  <si>
    <t>DO NOT USE THIS PAGE FOR ANY DATA ENTRY</t>
  </si>
  <si>
    <t>The opening balance sheet is now shown on the "start-up" page inputs, so this page is unnecessary.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</si>
  <si>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</si>
  <si>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</si>
  <si>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</si>
  <si>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</si>
  <si>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</si>
  <si>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</si>
  <si>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</si>
  <si>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</si>
  <si>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</si>
  <si>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</si>
  <si>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</si>
  <si>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</si>
  <si>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Real Estate-Land</t>
  </si>
  <si>
    <t>Credit Card Debt</t>
  </si>
  <si>
    <t>Vehicle Loans</t>
  </si>
  <si>
    <t>Other Bank Debt</t>
  </si>
  <si>
    <t xml:space="preserve">       Credit Card Debt</t>
  </si>
  <si>
    <t xml:space="preserve">       Other Bank Debt</t>
  </si>
  <si>
    <t xml:space="preserve">       Vehicle Loans</t>
  </si>
  <si>
    <t>Owner's Loan</t>
  </si>
  <si>
    <t>Other Leasehold Improvements</t>
  </si>
  <si>
    <t>Installations and Customazation</t>
  </si>
  <si>
    <t xml:space="preserve">Estimates based on current prices </t>
  </si>
  <si>
    <t xml:space="preserve">Total </t>
  </si>
  <si>
    <t>Plant Property &amp; Equipment (PPE)</t>
  </si>
  <si>
    <t>n/a</t>
  </si>
  <si>
    <t>Year Four</t>
  </si>
  <si>
    <t>Year Five</t>
  </si>
  <si>
    <t>Discount allowed</t>
  </si>
  <si>
    <t>Discount received</t>
  </si>
  <si>
    <t>Bad debts recovered</t>
  </si>
  <si>
    <t>Other income</t>
  </si>
  <si>
    <t>Gains on disposal of assets</t>
  </si>
  <si>
    <t xml:space="preserve"> </t>
  </si>
  <si>
    <t>Finance costs</t>
  </si>
  <si>
    <t>Cash flows from operating activities</t>
  </si>
  <si>
    <t>Cash generated from operations</t>
  </si>
  <si>
    <t>Interest income</t>
  </si>
  <si>
    <t>Tax paid</t>
  </si>
  <si>
    <t>Net cash from operating activities</t>
  </si>
  <si>
    <t>Cash flows from investing activities</t>
  </si>
  <si>
    <t>Sale of property, plant, and equipment</t>
  </si>
  <si>
    <t>Net cash from investing activities</t>
  </si>
  <si>
    <t>Cash flows from financing activities</t>
  </si>
  <si>
    <t>Repayment of other financial liabilities</t>
  </si>
  <si>
    <t>Dividends paid</t>
  </si>
  <si>
    <t>Total cash movement for the year</t>
  </si>
  <si>
    <t>Property, plant, and equipment</t>
  </si>
  <si>
    <t>Goodwill</t>
  </si>
  <si>
    <t>Deffered tax</t>
  </si>
  <si>
    <t>Total Non-current Assets</t>
  </si>
  <si>
    <t>Current assets</t>
  </si>
  <si>
    <t>inventories</t>
  </si>
  <si>
    <t>Trade and other receivables</t>
  </si>
  <si>
    <t>Cash and cash equivalents</t>
  </si>
  <si>
    <t>Total current assets</t>
  </si>
  <si>
    <t xml:space="preserve">Share capital </t>
  </si>
  <si>
    <t>Retained income</t>
  </si>
  <si>
    <t>Total equity</t>
  </si>
  <si>
    <t>Non-current liabilities</t>
  </si>
  <si>
    <t>Loans from shareholders</t>
  </si>
  <si>
    <t>Other financial liabilities</t>
  </si>
  <si>
    <t>Total non-current liabilities</t>
  </si>
  <si>
    <t>Current liabilities</t>
  </si>
  <si>
    <t>Current tax payable</t>
  </si>
  <si>
    <t>Trade and other payables</t>
  </si>
  <si>
    <t>Provisions</t>
  </si>
  <si>
    <t>Total current liabilities</t>
  </si>
  <si>
    <t>Government grants</t>
  </si>
  <si>
    <t>Dividend payable</t>
  </si>
  <si>
    <t xml:space="preserve">Shareholder's equity </t>
  </si>
  <si>
    <t>Donations</t>
  </si>
  <si>
    <t>5 year average</t>
  </si>
  <si>
    <t>Figures are in Rand</t>
  </si>
  <si>
    <t xml:space="preserve">  Revenue</t>
  </si>
  <si>
    <t xml:space="preserve">  Cost of Sales</t>
  </si>
  <si>
    <t xml:space="preserve">  Gross Profit</t>
  </si>
  <si>
    <t xml:space="preserve">  Other income</t>
  </si>
  <si>
    <t xml:space="preserve">  Operating expenses</t>
  </si>
  <si>
    <t xml:space="preserve">  Operating profit</t>
  </si>
  <si>
    <t xml:space="preserve">  Interest received</t>
  </si>
  <si>
    <t xml:space="preserve">  Interest Expense</t>
  </si>
  <si>
    <t xml:space="preserve">  Profit before tax</t>
  </si>
  <si>
    <t xml:space="preserve">  Tax</t>
  </si>
  <si>
    <t xml:space="preserve">  Net income</t>
  </si>
  <si>
    <t xml:space="preserve">  Effective tax rate </t>
  </si>
  <si>
    <t xml:space="preserve">Inflation </t>
  </si>
  <si>
    <t xml:space="preserve">  Operating Profit </t>
  </si>
  <si>
    <t xml:space="preserve">  Net Income</t>
  </si>
  <si>
    <t xml:space="preserve">  Taxes</t>
  </si>
  <si>
    <t>Effective Corporate Tax rate</t>
  </si>
  <si>
    <t>Net cash from financing activities</t>
  </si>
  <si>
    <t xml:space="preserve">  Cash flows from operating activities</t>
  </si>
  <si>
    <t xml:space="preserve">  Cash flows from investing activities </t>
  </si>
  <si>
    <t xml:space="preserve">  Cash flows from financing activities</t>
  </si>
  <si>
    <t xml:space="preserve">  Total cash movement for the year</t>
  </si>
  <si>
    <t xml:space="preserve">  Cash at the beginning of the year </t>
  </si>
  <si>
    <t xml:space="preserve">  Ending Cash Balance</t>
  </si>
  <si>
    <t>5 year margins</t>
  </si>
  <si>
    <t>Purchase of property, plant, and equipment</t>
  </si>
  <si>
    <t>Interest received</t>
  </si>
  <si>
    <t>Interest paid</t>
  </si>
  <si>
    <t>Interest Expenses</t>
  </si>
  <si>
    <t>Capital paid</t>
  </si>
  <si>
    <t>Net borrowings</t>
  </si>
  <si>
    <t>Cash at the beginning of the year</t>
  </si>
  <si>
    <t>Ending cash balance</t>
  </si>
  <si>
    <t>Profit before taxation</t>
  </si>
  <si>
    <t>Depreciation and amortisation</t>
  </si>
  <si>
    <t>Profit on sale of assets</t>
  </si>
  <si>
    <t>Movements in provisions</t>
  </si>
  <si>
    <t xml:space="preserve">Trade and other receivables </t>
  </si>
  <si>
    <t>Non-Current Assets</t>
  </si>
  <si>
    <t>Base Year</t>
  </si>
  <si>
    <t>5 Year Average</t>
  </si>
  <si>
    <t>5 Year Margins (% of Sales)</t>
  </si>
  <si>
    <t xml:space="preserve">            Property, plant, and equipment</t>
  </si>
  <si>
    <t xml:space="preserve">  Total Assets</t>
  </si>
  <si>
    <t xml:space="preserve">  Total Liabilities</t>
  </si>
  <si>
    <t>Depreciation period (years)</t>
  </si>
  <si>
    <t xml:space="preserve">Annual Depreciation </t>
  </si>
  <si>
    <t>Pre-paid expenses</t>
  </si>
  <si>
    <t>Amortization period (years)</t>
  </si>
  <si>
    <t>Annual Amortization</t>
  </si>
  <si>
    <t>Payables days</t>
  </si>
  <si>
    <t>Receivables days</t>
  </si>
  <si>
    <t>Additions to Inventories</t>
  </si>
  <si>
    <t>Inventory additions</t>
  </si>
  <si>
    <t>Does the statement Balance?</t>
  </si>
  <si>
    <t xml:space="preserve">  Total Liabilities &amp; Owner's Equity</t>
  </si>
  <si>
    <t>Total Assets minus Total Liabilities &amp; Owner's Equity</t>
  </si>
  <si>
    <t>Year 1</t>
  </si>
  <si>
    <t>Year 2</t>
  </si>
  <si>
    <t>Year 3</t>
  </si>
  <si>
    <t>Year 4</t>
  </si>
  <si>
    <t>Year 5</t>
  </si>
  <si>
    <t>Monthly Amortization</t>
  </si>
  <si>
    <t xml:space="preserve">Monthly Depreciation </t>
  </si>
  <si>
    <t>Initial Amount</t>
  </si>
  <si>
    <t>Amortization term in years</t>
  </si>
  <si>
    <t>End of year Balance</t>
  </si>
  <si>
    <t>Amortization</t>
  </si>
  <si>
    <t>Sept</t>
  </si>
  <si>
    <t xml:space="preserve">Gross Profit </t>
  </si>
  <si>
    <t xml:space="preserve">Breakeven Sales </t>
  </si>
  <si>
    <t>Comments</t>
  </si>
  <si>
    <t xml:space="preserve">Amortization </t>
  </si>
  <si>
    <t xml:space="preserve">Depreciation </t>
  </si>
  <si>
    <t>Cash Ratio</t>
  </si>
  <si>
    <t>Solvency</t>
  </si>
  <si>
    <t>Debt to Assets Ratio</t>
  </si>
  <si>
    <t>Debt to Capital ratio</t>
  </si>
  <si>
    <t>Operational Expenses to Sales</t>
  </si>
  <si>
    <t>5 yr Avrg</t>
  </si>
  <si>
    <t>Historical</t>
  </si>
  <si>
    <t>Forecast</t>
  </si>
  <si>
    <t>Receivables - annually</t>
  </si>
  <si>
    <t>Receivables - monthly</t>
  </si>
  <si>
    <t>Payables - annually</t>
  </si>
  <si>
    <t>Payables - monthly</t>
  </si>
  <si>
    <t>Key Input Assumptions</t>
  </si>
  <si>
    <t xml:space="preserve">  2. Other Bank Debt Amortization</t>
  </si>
  <si>
    <t xml:space="preserve">  1. Commercial Loan Amortization</t>
  </si>
  <si>
    <t xml:space="preserve"> 4.  Depreciation of Start-Up Assets</t>
  </si>
  <si>
    <t xml:space="preserve"> 5.  Commercial Mortgage</t>
  </si>
  <si>
    <t xml:space="preserve"> 6.  Credit Card Debt</t>
  </si>
  <si>
    <t xml:space="preserve">Monthly Payment </t>
  </si>
  <si>
    <t>Monthly Payment</t>
  </si>
  <si>
    <t xml:space="preserve">  3.  Amortization of Start-Up costs</t>
  </si>
  <si>
    <t>As per SARS</t>
  </si>
  <si>
    <t>Total Once-off Cost</t>
  </si>
  <si>
    <t>Total Budget</t>
  </si>
  <si>
    <t xml:space="preserve">Historical Income Statement </t>
  </si>
  <si>
    <t xml:space="preserve">Historical Cash Flow Statement </t>
  </si>
  <si>
    <t xml:space="preserve">Sources of funding </t>
  </si>
  <si>
    <t>History balance sheet</t>
  </si>
  <si>
    <t xml:space="preserve">Amortization Schedule </t>
  </si>
  <si>
    <t xml:space="preserve">Projected Balance Sheet </t>
  </si>
  <si>
    <t xml:space="preserve">Projected Income Statement </t>
  </si>
  <si>
    <t xml:space="preserve">Projected Cash Flow Statement </t>
  </si>
  <si>
    <t>Projected Balance Sheet</t>
  </si>
  <si>
    <t xml:space="preserve">Key Financial Ratios </t>
  </si>
  <si>
    <t>Breakeven Analysis</t>
  </si>
  <si>
    <t>Indicator</t>
  </si>
  <si>
    <t>Net Income</t>
  </si>
  <si>
    <t xml:space="preserve">     Key Financial Indicators</t>
  </si>
  <si>
    <t>Equity Value</t>
  </si>
  <si>
    <t>Sales</t>
  </si>
  <si>
    <t>Cost of borrowing</t>
  </si>
  <si>
    <t>Cost of sale line item</t>
  </si>
  <si>
    <t>Non core employee costs</t>
  </si>
  <si>
    <t>Other monthly expenses</t>
  </si>
  <si>
    <t>PRESS ANY OF THE BUTTONS ON THE LEFT TO GO TO A SPECIFIC SECTION</t>
  </si>
  <si>
    <t>Equity Injection</t>
  </si>
  <si>
    <t>Debt Funding</t>
  </si>
  <si>
    <t>Revenue Stream</t>
  </si>
  <si>
    <t>IRR</t>
  </si>
  <si>
    <t>NPV</t>
  </si>
  <si>
    <t>Initial Investment</t>
  </si>
  <si>
    <t>Cashflows</t>
  </si>
  <si>
    <t>Year 1 Money x</t>
  </si>
  <si>
    <t>Based on inflation target as per SARB (renge is 4% to 6%)</t>
  </si>
  <si>
    <t>Market-related, subject to credit scoring by lenders per instrument</t>
  </si>
  <si>
    <t>Break Even Surplus</t>
  </si>
  <si>
    <t>Macro Assumptions</t>
  </si>
  <si>
    <t>Worst Case</t>
  </si>
  <si>
    <t>Best Case</t>
  </si>
  <si>
    <t>Base Case</t>
  </si>
  <si>
    <t>Selected Case</t>
  </si>
  <si>
    <t>We assume the current tax rate stays put for the next 5 years</t>
  </si>
  <si>
    <t>Select a scenario you want to run, use the drop down menu button</t>
  </si>
  <si>
    <t>Possible Case Scenarios</t>
  </si>
  <si>
    <t>Quantity</t>
  </si>
  <si>
    <t>Terminal Value</t>
  </si>
  <si>
    <t>Discount Rate</t>
  </si>
  <si>
    <t>CAPEX: Once-off Costs</t>
  </si>
  <si>
    <t>Total</t>
  </si>
  <si>
    <t>Budget Split</t>
  </si>
  <si>
    <t>Capex</t>
  </si>
  <si>
    <t xml:space="preserve">Cost of Sales </t>
  </si>
  <si>
    <t>Overgheads</t>
  </si>
  <si>
    <t>Break Even Sales</t>
  </si>
  <si>
    <t>CAPEX</t>
  </si>
  <si>
    <t>TOTAL</t>
  </si>
  <si>
    <t>Overheads: Fixed (monthly)</t>
  </si>
  <si>
    <t>Corporate tax rate in South Africa</t>
  </si>
  <si>
    <t>Revenue Avg. Growth Rate p.a. (low road)</t>
  </si>
  <si>
    <t>Cost Avg. Growth Rate p.a. (low road)</t>
  </si>
  <si>
    <t xml:space="preserve">Base Year Sales                                                                                                                                                                             </t>
  </si>
  <si>
    <t>Land/farm will be purchased</t>
  </si>
  <si>
    <t xml:space="preserve">The land has a building that will also be purchased </t>
  </si>
  <si>
    <t xml:space="preserve">Some intallation and customization costs will be incurred to get the farm operational </t>
  </si>
  <si>
    <t>The borehole needs repairs to become operational again, including purchase of a new pump and replacing PVC linig</t>
  </si>
  <si>
    <t>One vehicle will be purchased, a farm bakkie</t>
  </si>
  <si>
    <t>Operating Capital that needs debt financing</t>
  </si>
  <si>
    <t>Discount Rate for comparable companies</t>
  </si>
  <si>
    <t>Based on the PWC VC/PE valuation survey repport for 2024</t>
  </si>
  <si>
    <t>Total area to be planted/year</t>
  </si>
  <si>
    <t>m²</t>
  </si>
  <si>
    <t>Available area to be used in phase one</t>
  </si>
  <si>
    <t>Number of months under production</t>
  </si>
  <si>
    <t>Growing program</t>
  </si>
  <si>
    <t>Area planted/month</t>
  </si>
  <si>
    <t>Number of crops</t>
  </si>
  <si>
    <t>Area planted/each of the 3 crops/month</t>
  </si>
  <si>
    <t>Yield/ha (kg) baby leeks</t>
  </si>
  <si>
    <t>kg</t>
  </si>
  <si>
    <t>Mature leeks yield up to 12000 kg to 40000kg per hectare</t>
  </si>
  <si>
    <t>Yield/ha (kg) baby fennel</t>
  </si>
  <si>
    <t>Mature fennel yield up to 10000 kg to 20000kg per hectare</t>
  </si>
  <si>
    <t>Yield/ha (kg) wild rocket</t>
  </si>
  <si>
    <t>Production/m²(kg) baby leeks</t>
  </si>
  <si>
    <t>Production/m²(kg) baby fennel</t>
  </si>
  <si>
    <t>Production/m²(kg) wild rocket</t>
  </si>
  <si>
    <t>Production/planted area/month(kg) baby leeks</t>
  </si>
  <si>
    <t>Production/planted area/month(kg) baby fennel</t>
  </si>
  <si>
    <t>Production/planted area/month(kg) wild rocket</t>
  </si>
  <si>
    <t xml:space="preserve">All othe Costs increase yearly by </t>
  </si>
  <si>
    <t>Labour by</t>
  </si>
  <si>
    <t>Prices increase yearly by</t>
  </si>
  <si>
    <t>Production and Income</t>
  </si>
  <si>
    <t>Weekly punnets delivered</t>
  </si>
  <si>
    <t>Weight/punnet</t>
  </si>
  <si>
    <t>Week</t>
  </si>
  <si>
    <t>Market</t>
  </si>
  <si>
    <t>Total weight</t>
  </si>
  <si>
    <t>Unit Price</t>
  </si>
  <si>
    <t>Total amount</t>
  </si>
  <si>
    <t>Baby Leeks 200g</t>
  </si>
  <si>
    <t>g</t>
  </si>
  <si>
    <t>Baby Fennel 200g</t>
  </si>
  <si>
    <t>Wild Rocket 80g</t>
  </si>
  <si>
    <t>Yearly income</t>
  </si>
  <si>
    <t>Fennel</t>
  </si>
  <si>
    <t>Wild Rocket</t>
  </si>
  <si>
    <t>Baby Leeks</t>
  </si>
  <si>
    <t>1ha</t>
  </si>
  <si>
    <t>Income:</t>
  </si>
  <si>
    <t>Population</t>
  </si>
  <si>
    <t>punnets</t>
  </si>
  <si>
    <t>Product</t>
  </si>
  <si>
    <t>Unit price</t>
  </si>
  <si>
    <t>Income</t>
  </si>
  <si>
    <t>Total Income</t>
  </si>
  <si>
    <t>Variable Costs:</t>
  </si>
  <si>
    <t>Unit</t>
  </si>
  <si>
    <t>Land preparation</t>
  </si>
  <si>
    <t>Plough</t>
  </si>
  <si>
    <t>tractor hrs</t>
  </si>
  <si>
    <t>Disc</t>
  </si>
  <si>
    <t>Ridge</t>
  </si>
  <si>
    <t xml:space="preserve">Total Land Prep </t>
  </si>
  <si>
    <t>Seed &amp; Seedlings</t>
  </si>
  <si>
    <t>PKTS</t>
  </si>
  <si>
    <t>Labour</t>
  </si>
  <si>
    <t>Planting</t>
  </si>
  <si>
    <t>Lab days</t>
  </si>
  <si>
    <t>Weeding</t>
  </si>
  <si>
    <t>Spraying</t>
  </si>
  <si>
    <t>Irrigation</t>
  </si>
  <si>
    <t>Harvesting and packing</t>
  </si>
  <si>
    <t>Bed levelling</t>
  </si>
  <si>
    <t>Lab Days</t>
  </si>
  <si>
    <t>Manuring</t>
  </si>
  <si>
    <t>Fertilizers</t>
  </si>
  <si>
    <t xml:space="preserve">Total Labour </t>
  </si>
  <si>
    <t>Mega L</t>
  </si>
  <si>
    <t>Compost &amp; Manure</t>
  </si>
  <si>
    <t>Cubes</t>
  </si>
  <si>
    <t>2.3.4</t>
  </si>
  <si>
    <t>KG</t>
  </si>
  <si>
    <t>LAN</t>
  </si>
  <si>
    <t>Kelpack</t>
  </si>
  <si>
    <t>Lt</t>
  </si>
  <si>
    <t>TOTAL FERTS</t>
  </si>
  <si>
    <t>Chemicals</t>
  </si>
  <si>
    <t>Trichodema</t>
  </si>
  <si>
    <t>ltrs</t>
  </si>
  <si>
    <t>Bacillus</t>
  </si>
  <si>
    <t>Cypermethrin</t>
  </si>
  <si>
    <t>Lts</t>
  </si>
  <si>
    <t>Lampda</t>
  </si>
  <si>
    <t>Total Chemicals</t>
  </si>
  <si>
    <t>Packaging</t>
  </si>
  <si>
    <t>Transport</t>
  </si>
  <si>
    <t>Match</t>
  </si>
  <si>
    <t xml:space="preserve">TOTAL VARIABLE </t>
  </si>
  <si>
    <t>Gross Margin</t>
  </si>
  <si>
    <t>Effect of yield &amp; price on gross margin</t>
  </si>
  <si>
    <t>Plant population</t>
  </si>
  <si>
    <t>Direct Costs</t>
  </si>
  <si>
    <t>Price per kg</t>
  </si>
  <si>
    <t>Yield (Kg/ha)</t>
  </si>
  <si>
    <t>Year 1 Monthly Cashflow</t>
  </si>
  <si>
    <t>Month</t>
  </si>
  <si>
    <t xml:space="preserve">Loan </t>
  </si>
  <si>
    <t>Grant</t>
  </si>
  <si>
    <t>Baby Fennel</t>
  </si>
  <si>
    <t>From working capital</t>
  </si>
  <si>
    <t>Variable Costs</t>
  </si>
  <si>
    <t>Overheads</t>
  </si>
  <si>
    <t>Electricity</t>
  </si>
  <si>
    <t>Salaries</t>
  </si>
  <si>
    <t>Permanent wages</t>
  </si>
  <si>
    <t>Consultancy</t>
  </si>
  <si>
    <t>Communication</t>
  </si>
  <si>
    <t>Working capital for second month</t>
  </si>
  <si>
    <t>Sundries</t>
  </si>
  <si>
    <t>Surplus/Deficit</t>
  </si>
  <si>
    <t>Cum Surplus/Deficit</t>
  </si>
  <si>
    <t>5 Yearly Cashflow</t>
  </si>
  <si>
    <t>1 ha Nethouse (Galvanised structure)</t>
  </si>
  <si>
    <t>Nash Enterprises</t>
  </si>
  <si>
    <t xml:space="preserve">Tunnel repair </t>
  </si>
  <si>
    <t>Greenhouse repair</t>
  </si>
  <si>
    <t>Security fence 1129m (7.2ha)</t>
  </si>
  <si>
    <t>Gido</t>
  </si>
  <si>
    <t>Packhouse repairs</t>
  </si>
  <si>
    <t xml:space="preserve">Ikhwezi/Agriintellect </t>
  </si>
  <si>
    <t>Borehole equipment</t>
  </si>
  <si>
    <t>Working capital</t>
  </si>
  <si>
    <t>Packhouse Panneting machine</t>
  </si>
  <si>
    <t>Packhouse 5kg table scales</t>
  </si>
  <si>
    <t>Packhouse 100kg+ platform scale</t>
  </si>
  <si>
    <t>Packhouse Drying Buckets</t>
  </si>
  <si>
    <t xml:space="preserve"> Packhouse Crates</t>
  </si>
  <si>
    <t xml:space="preserve">Packhouse Meto-gun machine </t>
  </si>
  <si>
    <t>55Hp tractor</t>
  </si>
  <si>
    <t>Dicla</t>
  </si>
  <si>
    <t>Tipper trailer</t>
  </si>
  <si>
    <t>Computer</t>
  </si>
  <si>
    <t xml:space="preserve">Dam 213000liters </t>
  </si>
  <si>
    <t xml:space="preserve">Agriintellect </t>
  </si>
  <si>
    <t>Delivery bakkies</t>
  </si>
  <si>
    <t>BB Mahindra 0120010100</t>
  </si>
  <si>
    <t>Base Year Revenue</t>
  </si>
  <si>
    <t>Micro Assumptions</t>
  </si>
  <si>
    <t xml:space="preserve">Baby Leeks 200g </t>
  </si>
  <si>
    <t>Monthly Production Yield</t>
  </si>
  <si>
    <t>Monthly Yield</t>
  </si>
  <si>
    <t xml:space="preserve">Unit Price </t>
  </si>
  <si>
    <t>Sales Per Month</t>
  </si>
  <si>
    <t>Costs Per Month</t>
  </si>
  <si>
    <t>Net Income p.m</t>
  </si>
  <si>
    <t>Total Fixed Monthly Cost</t>
  </si>
  <si>
    <t>Total  Variable Monthly Cost</t>
  </si>
  <si>
    <t>Baby Leeks, Baby Fennel, Wild Rocket</t>
  </si>
  <si>
    <t>Rate of return</t>
  </si>
  <si>
    <t>Machinery, hard ware &amp; software</t>
  </si>
  <si>
    <t>Working Capital Provision</t>
  </si>
  <si>
    <t>To cover working capital for the first month (May 2025)</t>
  </si>
  <si>
    <t>Refer to Ikhwezi Market Report Section 7.3 Projecte Growth Rates</t>
  </si>
  <si>
    <t>Financial Model for Ikhwezi Farms (Pty) Ltd</t>
  </si>
  <si>
    <t>Operating Costs: Varible (monthly)</t>
  </si>
  <si>
    <t>Variable cost p.m</t>
  </si>
  <si>
    <t>Fixed Cost p.m</t>
  </si>
  <si>
    <t>Based on Ikhwezi yield projections</t>
  </si>
  <si>
    <t>Based on Ikhwezi price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</si>
</sst>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4" formatCode="_-&quot;R&quot;* #,##0.00_-;\-&quot;R&quot;* #,##0.00_-;_-&quot;R&quot;* &quot;-&quot;??_-;_-@_-"/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_(&quot;$&quot;* #,##0_);_(&quot;$&quot;* \(#,##0\);_(&quot;$&quot;* &quot;-&quot;??_);_(@_)"/>
    <numFmt numFmtId="169" formatCode="_(* #,##0_);_(* \(#,##0\);_(* &quot;-&quot;??_);_(@_)"/>
    <numFmt numFmtId="170" formatCode="0.0"/>
    <numFmt numFmtId="171" formatCode="&quot;R&quot;\ #,##0.00"/>
    <numFmt numFmtId="172" formatCode="&quot;R&quot;\ #,##0"/>
    <numFmt numFmtId="173" formatCode="[$R-1C09]\ #,##0"/>
    <numFmt numFmtId="174" formatCode="_(* #,##0.000_);_(* \(#,##0.000\);_(* &quot;-&quot;??_);_(@_)"/>
    <numFmt numFmtId="175" formatCode="#,##0.000_);\(#,##0.000\)"/>
    <numFmt numFmtId="176" formatCode="_(* #,##0.0000_);_(* \(#,##0.0000\);_(* &quot;-&quot;??_);_(@_)"/>
    <numFmt numFmtId="177" formatCode="&quot;R&quot;#,##0"/>
    <numFmt numFmtId="178" formatCode="#,##0.0"/>
    <numFmt numFmtId="179" formatCode="&quot;R&quot;#,##0.0"/>
    <numFmt numFmtId="180" formatCode="&quot; &quot;[$R-809]#,##0.00&quot; &quot;;&quot;-&quot;[$R-809]#,##0.00&quot; &quot;;&quot; &quot;[$R-809]&quot;-&quot;00&quot; &quot;;&quot; &quot;@&quot; &quot;"/>
    <numFmt numFmtId="181" formatCode="&quot; &quot;[$R-1C09]&quot; &quot;#,##0.00&quot; &quot;;&quot; &quot;[$R-1C09]&quot; -&quot;#,##0.00&quot; &quot;;&quot; &quot;[$R-1C09]&quot; -&quot;00&quot; &quot;;&quot; &quot;@&quot; &quot;"/>
    <numFmt numFmtId="182" formatCode="[$R-1C09]\ #,##0.00"/>
    <numFmt numFmtId="183" formatCode="&quot;R&quot;\ #,##0.00;[Red]&quot;R&quot;\ \-#,##0.00"/>
    <numFmt numFmtId="184" formatCode="[$R-431]#,##0.00"/>
    <numFmt numFmtId="185" formatCode="&quot;R&quot;#,##0.00"/>
  </numFmts>
  <fonts count="71" x14ac:knownFonts="1">
    <font>
      <sz val="9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u/>
      <sz val="9"/>
      <color theme="10"/>
      <name val="Arial"/>
      <family val="2"/>
    </font>
    <font>
      <u/>
      <sz val="9"/>
      <color theme="11"/>
      <name val="Arial"/>
      <family val="2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b/>
      <sz val="9"/>
      <color indexed="1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12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u/>
      <sz val="9"/>
      <color theme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70C0"/>
      <name val="Calibri"/>
      <family val="2"/>
      <scheme val="minor"/>
    </font>
    <font>
      <sz val="9"/>
      <color theme="0"/>
      <name val="Arial"/>
      <family val="2"/>
    </font>
    <font>
      <b/>
      <i/>
      <sz val="9"/>
      <name val="Arial"/>
      <family val="2"/>
    </font>
    <font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0070C0"/>
      <name val="Arial"/>
      <family val="2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9"/>
      <color rgb="FF0070C0"/>
      <name val="Arial"/>
      <family val="2"/>
    </font>
    <font>
      <b/>
      <sz val="8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u/>
      <sz val="8"/>
      <color rgb="FF000000"/>
      <name val="Calibri"/>
      <family val="2"/>
    </font>
    <font>
      <sz val="9"/>
      <color rgb="FF000000"/>
      <name val="Arial"/>
      <family val="2"/>
    </font>
    <font>
      <b/>
      <sz val="11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gradientFill degree="90">
        <stop position="0">
          <color theme="0"/>
        </stop>
        <stop position="1">
          <color rgb="FF99FFCC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61" fillId="0" borderId="0"/>
    <xf numFmtId="0" fontId="1" fillId="0" borderId="0"/>
    <xf numFmtId="43" fontId="66" fillId="0" borderId="0" applyFont="0" applyFill="0" applyBorder="0" applyAlignment="0" applyProtection="0"/>
  </cellStyleXfs>
  <cellXfs count="631">
    <xf numFmtId="0" fontId="0" fillId="0" borderId="0" xfId="0"/>
    <xf numFmtId="0" fontId="6" fillId="0" borderId="0" xfId="0" applyFont="1"/>
    <xf numFmtId="0" fontId="5" fillId="0" borderId="0" xfId="0" applyFont="1"/>
    <xf numFmtId="0" fontId="8" fillId="0" borderId="0" xfId="0" applyFont="1"/>
    <xf numFmtId="0" fontId="7" fillId="0" borderId="0" xfId="0" applyFont="1"/>
    <xf numFmtId="15" fontId="6" fillId="0" borderId="0" xfId="0" applyNumberFormat="1" applyFont="1"/>
    <xf numFmtId="0" fontId="8" fillId="0" borderId="0" xfId="0" applyFont="1" applyAlignment="1">
      <alignment horizontal="right"/>
    </xf>
    <xf numFmtId="169" fontId="7" fillId="0" borderId="0" xfId="1" applyNumberFormat="1" applyFont="1" applyBorder="1"/>
    <xf numFmtId="169" fontId="7" fillId="0" borderId="0" xfId="0" applyNumberFormat="1" applyFont="1"/>
    <xf numFmtId="0" fontId="4" fillId="0" borderId="0" xfId="0" applyFont="1"/>
    <xf numFmtId="0" fontId="9" fillId="0" borderId="0" xfId="0" applyFont="1"/>
    <xf numFmtId="0" fontId="10" fillId="0" borderId="0" xfId="0" applyFont="1"/>
    <xf numFmtId="168" fontId="10" fillId="0" borderId="0" xfId="2" applyNumberFormat="1" applyFont="1" applyFill="1" applyBorder="1"/>
    <xf numFmtId="169" fontId="10" fillId="0" borderId="0" xfId="1" applyNumberFormat="1" applyFont="1"/>
    <xf numFmtId="169" fontId="10" fillId="0" borderId="0" xfId="1" applyNumberFormat="1" applyFont="1" applyFill="1" applyBorder="1"/>
    <xf numFmtId="169" fontId="10" fillId="0" borderId="1" xfId="1" applyNumberFormat="1" applyFont="1" applyBorder="1"/>
    <xf numFmtId="168" fontId="10" fillId="0" borderId="0" xfId="0" applyNumberFormat="1" applyFont="1"/>
    <xf numFmtId="169" fontId="10" fillId="0" borderId="0" xfId="0" applyNumberFormat="1" applyFont="1"/>
    <xf numFmtId="166" fontId="10" fillId="0" borderId="0" xfId="1" applyFont="1" applyFill="1" applyBorder="1"/>
    <xf numFmtId="169" fontId="10" fillId="0" borderId="2" xfId="1" applyNumberFormat="1" applyFont="1" applyBorder="1"/>
    <xf numFmtId="165" fontId="10" fillId="0" borderId="0" xfId="2" applyFont="1" applyFill="1" applyBorder="1"/>
    <xf numFmtId="169" fontId="10" fillId="0" borderId="1" xfId="1" applyNumberFormat="1" applyFont="1" applyFill="1" applyBorder="1"/>
    <xf numFmtId="10" fontId="10" fillId="0" borderId="0" xfId="3" applyNumberFormat="1" applyFont="1" applyFill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9" fontId="10" fillId="0" borderId="0" xfId="1" applyNumberFormat="1" applyFont="1" applyBorder="1"/>
    <xf numFmtId="0" fontId="10" fillId="0" borderId="0" xfId="0" applyFont="1" applyAlignment="1">
      <alignment horizontal="right"/>
    </xf>
    <xf numFmtId="10" fontId="6" fillId="0" borderId="0" xfId="3" applyNumberFormat="1" applyFont="1" applyFill="1" applyBorder="1"/>
    <xf numFmtId="14" fontId="6" fillId="2" borderId="3" xfId="0" applyNumberFormat="1" applyFont="1" applyFill="1" applyBorder="1" applyAlignment="1" applyProtection="1">
      <alignment horizontal="right"/>
      <protection locked="0"/>
    </xf>
    <xf numFmtId="169" fontId="10" fillId="2" borderId="0" xfId="1" applyNumberFormat="1" applyFont="1" applyFill="1" applyBorder="1" applyProtection="1">
      <protection locked="0"/>
    </xf>
    <xf numFmtId="169" fontId="10" fillId="2" borderId="1" xfId="1" applyNumberFormat="1" applyFont="1" applyFill="1" applyBorder="1" applyProtection="1">
      <protection locked="0"/>
    </xf>
    <xf numFmtId="169" fontId="10" fillId="2" borderId="0" xfId="1" applyNumberFormat="1" applyFont="1" applyFill="1" applyProtection="1">
      <protection locked="0"/>
    </xf>
    <xf numFmtId="0" fontId="11" fillId="0" borderId="0" xfId="0" applyFont="1"/>
    <xf numFmtId="0" fontId="12" fillId="0" borderId="0" xfId="0" applyFont="1"/>
    <xf numFmtId="170" fontId="6" fillId="0" borderId="0" xfId="0" applyNumberFormat="1" applyFont="1"/>
    <xf numFmtId="171" fontId="9" fillId="0" borderId="0" xfId="0" applyNumberFormat="1" applyFont="1"/>
    <xf numFmtId="172" fontId="9" fillId="0" borderId="0" xfId="0" applyNumberFormat="1" applyFont="1"/>
    <xf numFmtId="172" fontId="0" fillId="0" borderId="0" xfId="0" applyNumberFormat="1"/>
    <xf numFmtId="0" fontId="3" fillId="0" borderId="0" xfId="6"/>
    <xf numFmtId="0" fontId="3" fillId="3" borderId="0" xfId="6" applyFill="1"/>
    <xf numFmtId="173" fontId="3" fillId="3" borderId="0" xfId="6" applyNumberFormat="1" applyFill="1"/>
    <xf numFmtId="172" fontId="9" fillId="0" borderId="0" xfId="1" applyNumberFormat="1" applyFont="1"/>
    <xf numFmtId="0" fontId="6" fillId="0" borderId="1" xfId="0" applyFont="1" applyBorder="1"/>
    <xf numFmtId="0" fontId="15" fillId="0" borderId="0" xfId="0" applyFont="1"/>
    <xf numFmtId="0" fontId="16" fillId="0" borderId="0" xfId="0" applyFont="1"/>
    <xf numFmtId="15" fontId="17" fillId="0" borderId="0" xfId="0" applyNumberFormat="1" applyFont="1"/>
    <xf numFmtId="0" fontId="17" fillId="0" borderId="0" xfId="0" applyFont="1"/>
    <xf numFmtId="0" fontId="17" fillId="0" borderId="0" xfId="0" applyFont="1" applyAlignment="1">
      <alignment horizontal="right"/>
    </xf>
    <xf numFmtId="171" fontId="16" fillId="0" borderId="0" xfId="2" applyNumberFormat="1" applyFont="1"/>
    <xf numFmtId="171" fontId="16" fillId="0" borderId="0" xfId="0" applyNumberFormat="1" applyFont="1"/>
    <xf numFmtId="0" fontId="16" fillId="0" borderId="0" xfId="0" applyFont="1" applyProtection="1">
      <protection locked="0"/>
    </xf>
    <xf numFmtId="171" fontId="16" fillId="0" borderId="0" xfId="1" applyNumberFormat="1" applyFont="1"/>
    <xf numFmtId="0" fontId="17" fillId="0" borderId="5" xfId="0" applyFont="1" applyBorder="1"/>
    <xf numFmtId="0" fontId="16" fillId="0" borderId="5" xfId="0" applyFont="1" applyBorder="1"/>
    <xf numFmtId="166" fontId="16" fillId="0" borderId="0" xfId="1" applyFont="1" applyProtection="1">
      <protection locked="0"/>
    </xf>
    <xf numFmtId="172" fontId="16" fillId="0" borderId="0" xfId="1" applyNumberFormat="1" applyFont="1"/>
    <xf numFmtId="166" fontId="16" fillId="0" borderId="0" xfId="0" applyNumberFormat="1" applyFont="1" applyProtection="1">
      <protection locked="0"/>
    </xf>
    <xf numFmtId="171" fontId="16" fillId="0" borderId="1" xfId="0" applyNumberFormat="1" applyFont="1" applyBorder="1"/>
    <xf numFmtId="0" fontId="19" fillId="0" borderId="0" xfId="0" applyFont="1"/>
    <xf numFmtId="172" fontId="16" fillId="0" borderId="0" xfId="0" applyNumberFormat="1" applyFont="1"/>
    <xf numFmtId="10" fontId="16" fillId="0" borderId="0" xfId="3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6" fillId="3" borderId="0" xfId="0" applyFont="1" applyFill="1"/>
    <xf numFmtId="0" fontId="10" fillId="3" borderId="0" xfId="0" applyFont="1" applyFill="1"/>
    <xf numFmtId="0" fontId="17" fillId="0" borderId="1" xfId="0" applyFont="1" applyBorder="1"/>
    <xf numFmtId="166" fontId="16" fillId="3" borderId="0" xfId="1" applyFont="1" applyFill="1" applyBorder="1"/>
    <xf numFmtId="169" fontId="16" fillId="0" borderId="0" xfId="0" applyNumberFormat="1" applyFont="1"/>
    <xf numFmtId="0" fontId="17" fillId="3" borderId="0" xfId="0" applyFont="1" applyFill="1"/>
    <xf numFmtId="0" fontId="23" fillId="0" borderId="0" xfId="0" applyFont="1"/>
    <xf numFmtId="0" fontId="22" fillId="0" borderId="0" xfId="0" applyFont="1" applyAlignment="1">
      <alignment horizontal="right"/>
    </xf>
    <xf numFmtId="169" fontId="20" fillId="0" borderId="0" xfId="1" applyNumberFormat="1" applyFont="1" applyBorder="1"/>
    <xf numFmtId="169" fontId="20" fillId="0" borderId="0" xfId="0" applyNumberFormat="1" applyFont="1"/>
    <xf numFmtId="0" fontId="15" fillId="3" borderId="0" xfId="0" applyFont="1" applyFill="1"/>
    <xf numFmtId="0" fontId="16" fillId="3" borderId="0" xfId="0" applyFont="1" applyFill="1"/>
    <xf numFmtId="0" fontId="0" fillId="3" borderId="0" xfId="0" applyFill="1"/>
    <xf numFmtId="0" fontId="23" fillId="3" borderId="0" xfId="0" applyFont="1" applyFill="1"/>
    <xf numFmtId="0" fontId="4" fillId="3" borderId="0" xfId="0" applyFont="1" applyFill="1"/>
    <xf numFmtId="0" fontId="9" fillId="0" borderId="1" xfId="0" applyFont="1" applyBorder="1"/>
    <xf numFmtId="0" fontId="16" fillId="0" borderId="1" xfId="0" applyFont="1" applyBorder="1"/>
    <xf numFmtId="37" fontId="16" fillId="0" borderId="0" xfId="0" applyNumberFormat="1" applyFont="1"/>
    <xf numFmtId="37" fontId="16" fillId="0" borderId="0" xfId="1" applyNumberFormat="1" applyFont="1" applyBorder="1"/>
    <xf numFmtId="37" fontId="16" fillId="0" borderId="0" xfId="1" applyNumberFormat="1" applyFont="1"/>
    <xf numFmtId="37" fontId="16" fillId="3" borderId="0" xfId="1" applyNumberFormat="1" applyFont="1" applyFill="1" applyBorder="1"/>
    <xf numFmtId="3" fontId="16" fillId="0" borderId="0" xfId="0" applyNumberFormat="1" applyFont="1"/>
    <xf numFmtId="0" fontId="17" fillId="0" borderId="6" xfId="0" applyFont="1" applyBorder="1"/>
    <xf numFmtId="37" fontId="16" fillId="3" borderId="0" xfId="1" applyNumberFormat="1" applyFont="1" applyFill="1" applyBorder="1" applyProtection="1">
      <protection locked="0"/>
    </xf>
    <xf numFmtId="37" fontId="17" fillId="0" borderId="0" xfId="1" applyNumberFormat="1" applyFont="1" applyBorder="1"/>
    <xf numFmtId="0" fontId="16" fillId="0" borderId="6" xfId="0" applyFont="1" applyBorder="1"/>
    <xf numFmtId="37" fontId="16" fillId="0" borderId="0" xfId="1" applyNumberFormat="1" applyFont="1" applyBorder="1" applyAlignment="1">
      <alignment horizontal="right"/>
    </xf>
    <xf numFmtId="37" fontId="16" fillId="0" borderId="0" xfId="0" applyNumberFormat="1" applyFont="1" applyAlignment="1">
      <alignment horizontal="right"/>
    </xf>
    <xf numFmtId="0" fontId="25" fillId="3" borderId="0" xfId="6" applyFont="1" applyFill="1"/>
    <xf numFmtId="172" fontId="4" fillId="0" borderId="0" xfId="0" applyNumberFormat="1" applyFont="1"/>
    <xf numFmtId="172" fontId="16" fillId="0" borderId="9" xfId="0" applyNumberFormat="1" applyFont="1" applyBorder="1"/>
    <xf numFmtId="0" fontId="27" fillId="0" borderId="0" xfId="0" applyFont="1"/>
    <xf numFmtId="0" fontId="28" fillId="0" borderId="0" xfId="0" applyFont="1"/>
    <xf numFmtId="0" fontId="29" fillId="0" borderId="0" xfId="0" applyFont="1" applyAlignment="1">
      <alignment horizontal="right"/>
    </xf>
    <xf numFmtId="0" fontId="29" fillId="0" borderId="0" xfId="0" applyFont="1"/>
    <xf numFmtId="37" fontId="23" fillId="0" borderId="0" xfId="1" applyNumberFormat="1" applyFont="1" applyBorder="1"/>
    <xf numFmtId="37" fontId="30" fillId="0" borderId="0" xfId="1" applyNumberFormat="1" applyFont="1" applyBorder="1"/>
    <xf numFmtId="0" fontId="29" fillId="0" borderId="1" xfId="0" applyFont="1" applyBorder="1"/>
    <xf numFmtId="0" fontId="23" fillId="0" borderId="1" xfId="0" applyFont="1" applyBorder="1"/>
    <xf numFmtId="37" fontId="23" fillId="0" borderId="1" xfId="1" applyNumberFormat="1" applyFont="1" applyBorder="1"/>
    <xf numFmtId="37" fontId="23" fillId="0" borderId="0" xfId="1" applyNumberFormat="1" applyFont="1"/>
    <xf numFmtId="0" fontId="29" fillId="3" borderId="0" xfId="0" applyFont="1" applyFill="1"/>
    <xf numFmtId="0" fontId="29" fillId="0" borderId="6" xfId="0" applyFont="1" applyBorder="1"/>
    <xf numFmtId="0" fontId="23" fillId="0" borderId="6" xfId="0" applyFont="1" applyBorder="1"/>
    <xf numFmtId="37" fontId="23" fillId="0" borderId="0" xfId="0" applyNumberFormat="1" applyFont="1"/>
    <xf numFmtId="0" fontId="29" fillId="0" borderId="5" xfId="0" applyFont="1" applyBorder="1"/>
    <xf numFmtId="0" fontId="23" fillId="0" borderId="5" xfId="0" applyFont="1" applyBorder="1"/>
    <xf numFmtId="9" fontId="23" fillId="0" borderId="5" xfId="3" applyFont="1" applyBorder="1"/>
    <xf numFmtId="164" fontId="30" fillId="3" borderId="0" xfId="2" applyNumberFormat="1" applyFont="1" applyFill="1" applyAlignment="1" applyProtection="1">
      <alignment horizontal="left"/>
      <protection locked="0"/>
    </xf>
    <xf numFmtId="0" fontId="29" fillId="3" borderId="0" xfId="0" applyFont="1" applyFill="1" applyAlignment="1">
      <alignment horizontal="center" vertical="center"/>
    </xf>
    <xf numFmtId="169" fontId="23" fillId="0" borderId="0" xfId="1" applyNumberFormat="1" applyFont="1"/>
    <xf numFmtId="169" fontId="23" fillId="0" borderId="1" xfId="1" applyNumberFormat="1" applyFont="1" applyBorder="1"/>
    <xf numFmtId="169" fontId="23" fillId="0" borderId="0" xfId="0" applyNumberFormat="1" applyFont="1"/>
    <xf numFmtId="169" fontId="23" fillId="0" borderId="0" xfId="1" applyNumberFormat="1" applyFont="1" applyBorder="1"/>
    <xf numFmtId="0" fontId="29" fillId="0" borderId="0" xfId="0" applyFont="1" applyAlignment="1">
      <alignment horizontal="left"/>
    </xf>
    <xf numFmtId="37" fontId="23" fillId="0" borderId="5" xfId="1" applyNumberFormat="1" applyFont="1" applyBorder="1"/>
    <xf numFmtId="0" fontId="29" fillId="0" borderId="1" xfId="0" applyFont="1" applyBorder="1" applyAlignment="1">
      <alignment horizontal="right"/>
    </xf>
    <xf numFmtId="37" fontId="23" fillId="0" borderId="6" xfId="0" applyNumberFormat="1" applyFont="1" applyBorder="1"/>
    <xf numFmtId="169" fontId="23" fillId="0" borderId="5" xfId="1" applyNumberFormat="1" applyFont="1" applyBorder="1"/>
    <xf numFmtId="37" fontId="23" fillId="0" borderId="1" xfId="0" applyNumberFormat="1" applyFont="1" applyBorder="1"/>
    <xf numFmtId="37" fontId="23" fillId="0" borderId="5" xfId="0" applyNumberFormat="1" applyFont="1" applyBorder="1"/>
    <xf numFmtId="0" fontId="15" fillId="3" borderId="0" xfId="0" applyFont="1" applyFill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3" borderId="0" xfId="0" applyFont="1" applyFill="1" applyAlignment="1">
      <alignment horizontal="right"/>
    </xf>
    <xf numFmtId="0" fontId="10" fillId="0" borderId="1" xfId="0" applyFont="1" applyBorder="1"/>
    <xf numFmtId="0" fontId="8" fillId="0" borderId="5" xfId="0" applyFont="1" applyBorder="1"/>
    <xf numFmtId="169" fontId="23" fillId="0" borderId="1" xfId="0" applyNumberFormat="1" applyFont="1" applyBorder="1"/>
    <xf numFmtId="164" fontId="23" fillId="3" borderId="0" xfId="2" applyNumberFormat="1" applyFont="1" applyFill="1" applyAlignment="1" applyProtection="1">
      <alignment horizontal="left"/>
      <protection locked="0"/>
    </xf>
    <xf numFmtId="9" fontId="16" fillId="0" borderId="0" xfId="3" applyFont="1"/>
    <xf numFmtId="167" fontId="23" fillId="0" borderId="0" xfId="3" applyNumberFormat="1" applyFont="1"/>
    <xf numFmtId="167" fontId="23" fillId="0" borderId="0" xfId="0" applyNumberFormat="1" applyFont="1"/>
    <xf numFmtId="167" fontId="16" fillId="0" borderId="0" xfId="3" applyNumberFormat="1" applyFont="1"/>
    <xf numFmtId="174" fontId="23" fillId="0" borderId="0" xfId="1" applyNumberFormat="1" applyFont="1"/>
    <xf numFmtId="37" fontId="23" fillId="3" borderId="0" xfId="1" applyNumberFormat="1" applyFont="1" applyFill="1" applyBorder="1"/>
    <xf numFmtId="37" fontId="29" fillId="0" borderId="0" xfId="1" applyNumberFormat="1" applyFont="1" applyBorder="1"/>
    <xf numFmtId="3" fontId="23" fillId="0" borderId="0" xfId="0" applyNumberFormat="1" applyFont="1"/>
    <xf numFmtId="37" fontId="23" fillId="3" borderId="5" xfId="1" applyNumberFormat="1" applyFont="1" applyFill="1" applyBorder="1"/>
    <xf numFmtId="0" fontId="15" fillId="0" borderId="1" xfId="0" applyFont="1" applyBorder="1"/>
    <xf numFmtId="37" fontId="23" fillId="0" borderId="6" xfId="1" applyNumberFormat="1" applyFont="1" applyBorder="1"/>
    <xf numFmtId="172" fontId="23" fillId="0" borderId="0" xfId="1" applyNumberFormat="1" applyFont="1" applyBorder="1"/>
    <xf numFmtId="0" fontId="32" fillId="0" borderId="0" xfId="0" applyFont="1"/>
    <xf numFmtId="9" fontId="23" fillId="0" borderId="0" xfId="3" applyFont="1" applyBorder="1"/>
    <xf numFmtId="167" fontId="23" fillId="0" borderId="5" xfId="3" applyNumberFormat="1" applyFont="1" applyBorder="1"/>
    <xf numFmtId="167" fontId="23" fillId="0" borderId="0" xfId="3" applyNumberFormat="1" applyFont="1" applyBorder="1"/>
    <xf numFmtId="175" fontId="23" fillId="0" borderId="0" xfId="1" applyNumberFormat="1" applyFont="1" applyBorder="1"/>
    <xf numFmtId="164" fontId="23" fillId="3" borderId="1" xfId="2" applyNumberFormat="1" applyFont="1" applyFill="1" applyBorder="1" applyAlignment="1" applyProtection="1">
      <alignment horizontal="left"/>
      <protection locked="0"/>
    </xf>
    <xf numFmtId="164" fontId="23" fillId="3" borderId="5" xfId="2" applyNumberFormat="1" applyFont="1" applyFill="1" applyBorder="1" applyAlignment="1" applyProtection="1">
      <alignment horizontal="left"/>
      <protection locked="0"/>
    </xf>
    <xf numFmtId="164" fontId="23" fillId="3" borderId="0" xfId="2" applyNumberFormat="1" applyFont="1" applyFill="1" applyBorder="1" applyAlignment="1" applyProtection="1">
      <alignment horizontal="left"/>
      <protection locked="0"/>
    </xf>
    <xf numFmtId="0" fontId="32" fillId="0" borderId="1" xfId="0" applyFont="1" applyBorder="1"/>
    <xf numFmtId="164" fontId="23" fillId="3" borderId="6" xfId="2" applyNumberFormat="1" applyFont="1" applyFill="1" applyBorder="1" applyAlignment="1" applyProtection="1">
      <alignment horizontal="left"/>
      <protection locked="0"/>
    </xf>
    <xf numFmtId="0" fontId="0" fillId="0" borderId="1" xfId="0" applyBorder="1"/>
    <xf numFmtId="0" fontId="15" fillId="3" borderId="0" xfId="0" applyFont="1" applyFill="1" applyAlignment="1">
      <alignment vertical="center"/>
    </xf>
    <xf numFmtId="0" fontId="31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171" fontId="23" fillId="0" borderId="0" xfId="0" applyNumberFormat="1" applyFont="1"/>
    <xf numFmtId="37" fontId="30" fillId="0" borderId="0" xfId="1" applyNumberFormat="1" applyFont="1" applyBorder="1" applyAlignment="1">
      <alignment horizontal="right"/>
    </xf>
    <xf numFmtId="37" fontId="23" fillId="0" borderId="5" xfId="1" applyNumberFormat="1" applyFont="1" applyBorder="1" applyAlignment="1">
      <alignment horizontal="right"/>
    </xf>
    <xf numFmtId="37" fontId="23" fillId="0" borderId="0" xfId="1" applyNumberFormat="1" applyFont="1" applyBorder="1" applyAlignment="1">
      <alignment horizontal="right"/>
    </xf>
    <xf numFmtId="37" fontId="23" fillId="0" borderId="1" xfId="1" applyNumberFormat="1" applyFont="1" applyBorder="1" applyAlignment="1">
      <alignment horizontal="right"/>
    </xf>
    <xf numFmtId="37" fontId="23" fillId="0" borderId="6" xfId="1" applyNumberFormat="1" applyFont="1" applyBorder="1" applyAlignment="1">
      <alignment horizontal="right"/>
    </xf>
    <xf numFmtId="37" fontId="30" fillId="0" borderId="1" xfId="1" applyNumberFormat="1" applyFont="1" applyBorder="1" applyAlignment="1">
      <alignment horizontal="right"/>
    </xf>
    <xf numFmtId="37" fontId="23" fillId="0" borderId="0" xfId="1" applyNumberFormat="1" applyFont="1" applyAlignment="1">
      <alignment horizontal="right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right" vertical="center" wrapText="1"/>
    </xf>
    <xf numFmtId="0" fontId="29" fillId="3" borderId="0" xfId="0" applyFont="1" applyFill="1" applyAlignment="1">
      <alignment horizontal="left" vertical="center"/>
    </xf>
    <xf numFmtId="167" fontId="23" fillId="0" borderId="0" xfId="3" applyNumberFormat="1" applyFont="1" applyBorder="1" applyAlignment="1">
      <alignment horizontal="right"/>
    </xf>
    <xf numFmtId="166" fontId="23" fillId="0" borderId="0" xfId="1" applyFont="1"/>
    <xf numFmtId="167" fontId="16" fillId="0" borderId="0" xfId="3" applyNumberFormat="1" applyFont="1" applyBorder="1" applyAlignment="1">
      <alignment horizontal="right"/>
    </xf>
    <xf numFmtId="167" fontId="16" fillId="0" borderId="5" xfId="3" applyNumberFormat="1" applyFont="1" applyBorder="1" applyAlignment="1">
      <alignment horizontal="right"/>
    </xf>
    <xf numFmtId="167" fontId="16" fillId="0" borderId="6" xfId="3" applyNumberFormat="1" applyFont="1" applyBorder="1" applyAlignment="1">
      <alignment horizontal="right"/>
    </xf>
    <xf numFmtId="167" fontId="16" fillId="0" borderId="1" xfId="3" applyNumberFormat="1" applyFont="1" applyBorder="1" applyAlignment="1">
      <alignment horizontal="right"/>
    </xf>
    <xf numFmtId="37" fontId="30" fillId="3" borderId="0" xfId="1" applyNumberFormat="1" applyFont="1" applyFill="1" applyBorder="1" applyAlignment="1">
      <alignment horizontal="right"/>
    </xf>
    <xf numFmtId="37" fontId="16" fillId="0" borderId="1" xfId="0" applyNumberFormat="1" applyFont="1" applyBorder="1"/>
    <xf numFmtId="0" fontId="17" fillId="0" borderId="4" xfId="0" applyFont="1" applyBorder="1"/>
    <xf numFmtId="0" fontId="16" fillId="0" borderId="0" xfId="0" applyFont="1" applyAlignment="1" applyProtection="1">
      <alignment horizontal="left" indent="1"/>
      <protection locked="0"/>
    </xf>
    <xf numFmtId="166" fontId="16" fillId="0" borderId="0" xfId="1" applyFont="1" applyAlignment="1" applyProtection="1">
      <alignment horizontal="left" vertical="top" indent="1"/>
      <protection locked="0"/>
    </xf>
    <xf numFmtId="166" fontId="16" fillId="0" borderId="0" xfId="1" applyFont="1" applyAlignment="1" applyProtection="1">
      <alignment horizontal="left" indent="1"/>
      <protection locked="0"/>
    </xf>
    <xf numFmtId="172" fontId="16" fillId="0" borderId="0" xfId="1" applyNumberFormat="1" applyFont="1" applyBorder="1"/>
    <xf numFmtId="10" fontId="16" fillId="0" borderId="0" xfId="3" applyNumberFormat="1" applyFont="1" applyBorder="1"/>
    <xf numFmtId="0" fontId="16" fillId="0" borderId="4" xfId="0" applyFont="1" applyBorder="1"/>
    <xf numFmtId="37" fontId="23" fillId="0" borderId="6" xfId="0" applyNumberFormat="1" applyFont="1" applyBorder="1" applyAlignment="1">
      <alignment horizontal="right" vertical="center"/>
    </xf>
    <xf numFmtId="37" fontId="23" fillId="3" borderId="0" xfId="1" applyNumberFormat="1" applyFont="1" applyFill="1" applyBorder="1" applyAlignment="1">
      <alignment horizontal="right"/>
    </xf>
    <xf numFmtId="37" fontId="23" fillId="3" borderId="6" xfId="1" applyNumberFormat="1" applyFont="1" applyFill="1" applyBorder="1" applyAlignment="1">
      <alignment horizontal="right"/>
    </xf>
    <xf numFmtId="0" fontId="20" fillId="3" borderId="0" xfId="0" applyFont="1" applyFill="1"/>
    <xf numFmtId="166" fontId="23" fillId="0" borderId="1" xfId="1" applyFont="1" applyBorder="1"/>
    <xf numFmtId="0" fontId="6" fillId="0" borderId="1" xfId="0" applyFont="1" applyBorder="1" applyAlignment="1">
      <alignment horizontal="right"/>
    </xf>
    <xf numFmtId="0" fontId="32" fillId="3" borderId="0" xfId="0" applyFont="1" applyFill="1"/>
    <xf numFmtId="37" fontId="23" fillId="3" borderId="0" xfId="1" applyNumberFormat="1" applyFont="1" applyFill="1" applyAlignment="1">
      <alignment horizontal="right"/>
    </xf>
    <xf numFmtId="166" fontId="23" fillId="3" borderId="0" xfId="2" applyNumberFormat="1" applyFont="1" applyFill="1" applyAlignment="1" applyProtection="1">
      <alignment horizontal="left"/>
      <protection locked="0"/>
    </xf>
    <xf numFmtId="176" fontId="23" fillId="3" borderId="0" xfId="2" applyNumberFormat="1" applyFont="1" applyFill="1" applyAlignment="1" applyProtection="1">
      <alignment horizontal="left"/>
      <protection locked="0"/>
    </xf>
    <xf numFmtId="37" fontId="23" fillId="3" borderId="0" xfId="0" applyNumberFormat="1" applyFont="1" applyFill="1"/>
    <xf numFmtId="0" fontId="8" fillId="0" borderId="1" xfId="0" applyFont="1" applyBorder="1"/>
    <xf numFmtId="0" fontId="31" fillId="3" borderId="1" xfId="0" applyFont="1" applyFill="1" applyBorder="1" applyAlignment="1">
      <alignment horizontal="center" vertical="center"/>
    </xf>
    <xf numFmtId="164" fontId="30" fillId="3" borderId="5" xfId="2" applyNumberFormat="1" applyFont="1" applyFill="1" applyBorder="1" applyAlignment="1" applyProtection="1">
      <alignment horizontal="left"/>
      <protection locked="0"/>
    </xf>
    <xf numFmtId="0" fontId="33" fillId="3" borderId="1" xfId="0" applyFont="1" applyFill="1" applyBorder="1" applyAlignment="1">
      <alignment horizontal="center" vertical="center"/>
    </xf>
    <xf numFmtId="171" fontId="23" fillId="0" borderId="1" xfId="0" applyNumberFormat="1" applyFont="1" applyBorder="1"/>
    <xf numFmtId="9" fontId="23" fillId="0" borderId="0" xfId="3" applyFont="1"/>
    <xf numFmtId="10" fontId="23" fillId="0" borderId="0" xfId="3" applyNumberFormat="1" applyFont="1" applyFill="1" applyBorder="1"/>
    <xf numFmtId="169" fontId="23" fillId="0" borderId="0" xfId="1" applyNumberFormat="1" applyFont="1" applyFill="1" applyBorder="1"/>
    <xf numFmtId="170" fontId="6" fillId="3" borderId="0" xfId="0" applyNumberFormat="1" applyFont="1" applyFill="1"/>
    <xf numFmtId="167" fontId="6" fillId="3" borderId="0" xfId="0" applyNumberFormat="1" applyFont="1" applyFill="1"/>
    <xf numFmtId="166" fontId="16" fillId="0" borderId="0" xfId="1" applyFont="1" applyFill="1" applyBorder="1"/>
    <xf numFmtId="165" fontId="16" fillId="0" borderId="0" xfId="2" applyFont="1" applyFill="1" applyBorder="1"/>
    <xf numFmtId="169" fontId="16" fillId="0" borderId="0" xfId="1" applyNumberFormat="1" applyFont="1" applyFill="1" applyBorder="1"/>
    <xf numFmtId="10" fontId="16" fillId="0" borderId="0" xfId="3" applyNumberFormat="1" applyFont="1" applyFill="1" applyBorder="1" applyAlignment="1">
      <alignment horizontal="right"/>
    </xf>
    <xf numFmtId="169" fontId="10" fillId="0" borderId="1" xfId="1" applyNumberFormat="1" applyFont="1" applyFill="1" applyBorder="1" applyAlignment="1">
      <alignment horizontal="right"/>
    </xf>
    <xf numFmtId="1" fontId="16" fillId="0" borderId="0" xfId="2" applyNumberFormat="1" applyFont="1" applyFill="1" applyBorder="1"/>
    <xf numFmtId="171" fontId="31" fillId="3" borderId="0" xfId="0" applyNumberFormat="1" applyFont="1" applyFill="1" applyAlignment="1">
      <alignment horizontal="center"/>
    </xf>
    <xf numFmtId="170" fontId="16" fillId="4" borderId="0" xfId="1" applyNumberFormat="1" applyFont="1" applyFill="1" applyBorder="1"/>
    <xf numFmtId="0" fontId="16" fillId="4" borderId="0" xfId="0" applyFont="1" applyFill="1"/>
    <xf numFmtId="166" fontId="16" fillId="4" borderId="0" xfId="1" applyFont="1" applyFill="1" applyBorder="1"/>
    <xf numFmtId="167" fontId="23" fillId="4" borderId="0" xfId="3" applyNumberFormat="1" applyFont="1" applyFill="1" applyAlignment="1">
      <alignment horizontal="right"/>
    </xf>
    <xf numFmtId="167" fontId="16" fillId="4" borderId="0" xfId="1" applyNumberFormat="1" applyFont="1" applyFill="1" applyBorder="1" applyAlignment="1">
      <alignment horizontal="right"/>
    </xf>
    <xf numFmtId="166" fontId="16" fillId="4" borderId="0" xfId="1" applyFont="1" applyFill="1" applyBorder="1" applyAlignment="1">
      <alignment horizontal="right"/>
    </xf>
    <xf numFmtId="1" fontId="16" fillId="4" borderId="0" xfId="1" applyNumberFormat="1" applyFont="1" applyFill="1" applyBorder="1" applyAlignment="1">
      <alignment horizontal="right"/>
    </xf>
    <xf numFmtId="170" fontId="16" fillId="4" borderId="0" xfId="1" applyNumberFormat="1" applyFont="1" applyFill="1" applyBorder="1" applyAlignment="1">
      <alignment horizontal="right"/>
    </xf>
    <xf numFmtId="170" fontId="16" fillId="6" borderId="0" xfId="1" applyNumberFormat="1" applyFont="1" applyFill="1" applyBorder="1"/>
    <xf numFmtId="0" fontId="16" fillId="6" borderId="0" xfId="0" applyFont="1" applyFill="1"/>
    <xf numFmtId="1" fontId="16" fillId="6" borderId="0" xfId="1" applyNumberFormat="1" applyFont="1" applyFill="1" applyBorder="1"/>
    <xf numFmtId="166" fontId="16" fillId="6" borderId="0" xfId="1" applyFont="1" applyFill="1" applyBorder="1"/>
    <xf numFmtId="167" fontId="23" fillId="6" borderId="0" xfId="3" applyNumberFormat="1" applyFont="1" applyFill="1" applyAlignment="1">
      <alignment horizontal="right"/>
    </xf>
    <xf numFmtId="167" fontId="16" fillId="6" borderId="0" xfId="3" applyNumberFormat="1" applyFont="1" applyFill="1" applyBorder="1"/>
    <xf numFmtId="167" fontId="16" fillId="6" borderId="0" xfId="1" applyNumberFormat="1" applyFont="1" applyFill="1" applyBorder="1" applyAlignment="1">
      <alignment horizontal="right"/>
    </xf>
    <xf numFmtId="166" fontId="16" fillId="6" borderId="0" xfId="1" applyFont="1" applyFill="1" applyBorder="1" applyAlignment="1">
      <alignment horizontal="right"/>
    </xf>
    <xf numFmtId="1" fontId="16" fillId="6" borderId="0" xfId="1" applyNumberFormat="1" applyFont="1" applyFill="1" applyBorder="1" applyAlignment="1">
      <alignment horizontal="right"/>
    </xf>
    <xf numFmtId="170" fontId="16" fillId="6" borderId="0" xfId="1" applyNumberFormat="1" applyFont="1" applyFill="1" applyBorder="1" applyAlignment="1">
      <alignment horizontal="right"/>
    </xf>
    <xf numFmtId="168" fontId="16" fillId="4" borderId="0" xfId="2" applyNumberFormat="1" applyFont="1" applyFill="1" applyBorder="1"/>
    <xf numFmtId="10" fontId="10" fillId="4" borderId="0" xfId="3" applyNumberFormat="1" applyFont="1" applyFill="1" applyBorder="1"/>
    <xf numFmtId="0" fontId="10" fillId="4" borderId="0" xfId="0" applyFont="1" applyFill="1"/>
    <xf numFmtId="170" fontId="17" fillId="4" borderId="0" xfId="1" applyNumberFormat="1" applyFont="1" applyFill="1" applyBorder="1"/>
    <xf numFmtId="170" fontId="6" fillId="4" borderId="0" xfId="1" applyNumberFormat="1" applyFont="1" applyFill="1" applyBorder="1"/>
    <xf numFmtId="166" fontId="17" fillId="4" borderId="0" xfId="1" applyFont="1" applyFill="1" applyBorder="1"/>
    <xf numFmtId="166" fontId="6" fillId="4" borderId="0" xfId="1" applyFont="1" applyFill="1" applyBorder="1"/>
    <xf numFmtId="167" fontId="17" fillId="4" borderId="0" xfId="1" applyNumberFormat="1" applyFont="1" applyFill="1" applyBorder="1"/>
    <xf numFmtId="167" fontId="6" fillId="4" borderId="0" xfId="1" applyNumberFormat="1" applyFont="1" applyFill="1" applyBorder="1"/>
    <xf numFmtId="171" fontId="23" fillId="3" borderId="0" xfId="0" applyNumberFormat="1" applyFont="1" applyFill="1"/>
    <xf numFmtId="171" fontId="23" fillId="3" borderId="1" xfId="0" applyNumberFormat="1" applyFont="1" applyFill="1" applyBorder="1"/>
    <xf numFmtId="1" fontId="23" fillId="3" borderId="0" xfId="0" applyNumberFormat="1" applyFont="1" applyFill="1"/>
    <xf numFmtId="0" fontId="0" fillId="3" borderId="1" xfId="0" applyFill="1" applyBorder="1"/>
    <xf numFmtId="1" fontId="23" fillId="6" borderId="0" xfId="0" applyNumberFormat="1" applyFont="1" applyFill="1"/>
    <xf numFmtId="37" fontId="23" fillId="6" borderId="0" xfId="0" applyNumberFormat="1" applyFont="1" applyFill="1"/>
    <xf numFmtId="1" fontId="23" fillId="4" borderId="0" xfId="0" applyNumberFormat="1" applyFont="1" applyFill="1"/>
    <xf numFmtId="0" fontId="23" fillId="3" borderId="1" xfId="0" applyFont="1" applyFill="1" applyBorder="1"/>
    <xf numFmtId="0" fontId="15" fillId="3" borderId="1" xfId="0" applyFont="1" applyFill="1" applyBorder="1" applyAlignment="1">
      <alignment horizontal="center" vertical="center"/>
    </xf>
    <xf numFmtId="37" fontId="23" fillId="6" borderId="0" xfId="1" applyNumberFormat="1" applyFont="1" applyFill="1" applyBorder="1" applyAlignment="1">
      <alignment horizontal="right"/>
    </xf>
    <xf numFmtId="37" fontId="23" fillId="4" borderId="0" xfId="1" applyNumberFormat="1" applyFont="1" applyFill="1" applyBorder="1" applyAlignment="1">
      <alignment horizontal="right"/>
    </xf>
    <xf numFmtId="166" fontId="16" fillId="3" borderId="0" xfId="1" applyFont="1" applyFill="1" applyAlignment="1" applyProtection="1">
      <alignment horizontal="left" indent="1"/>
      <protection locked="0"/>
    </xf>
    <xf numFmtId="169" fontId="16" fillId="3" borderId="0" xfId="1" applyNumberFormat="1" applyFont="1" applyFill="1" applyProtection="1">
      <protection locked="0"/>
    </xf>
    <xf numFmtId="169" fontId="16" fillId="3" borderId="0" xfId="1" applyNumberFormat="1" applyFont="1" applyFill="1" applyBorder="1" applyProtection="1">
      <protection locked="0"/>
    </xf>
    <xf numFmtId="172" fontId="23" fillId="0" borderId="0" xfId="2" applyNumberFormat="1" applyFont="1"/>
    <xf numFmtId="172" fontId="23" fillId="0" borderId="0" xfId="0" applyNumberFormat="1" applyFont="1"/>
    <xf numFmtId="172" fontId="23" fillId="0" borderId="0" xfId="1" applyNumberFormat="1" applyFont="1"/>
    <xf numFmtId="172" fontId="29" fillId="0" borderId="1" xfId="0" applyNumberFormat="1" applyFont="1" applyBorder="1" applyAlignment="1">
      <alignment horizontal="right"/>
    </xf>
    <xf numFmtId="172" fontId="23" fillId="0" borderId="1" xfId="0" applyNumberFormat="1" applyFont="1" applyBorder="1"/>
    <xf numFmtId="172" fontId="9" fillId="0" borderId="1" xfId="0" applyNumberFormat="1" applyFont="1" applyBorder="1"/>
    <xf numFmtId="172" fontId="23" fillId="0" borderId="5" xfId="0" applyNumberFormat="1" applyFont="1" applyBorder="1"/>
    <xf numFmtId="172" fontId="23" fillId="0" borderId="5" xfId="1" applyNumberFormat="1" applyFont="1" applyBorder="1"/>
    <xf numFmtId="172" fontId="9" fillId="0" borderId="5" xfId="0" applyNumberFormat="1" applyFont="1" applyBorder="1"/>
    <xf numFmtId="172" fontId="23" fillId="0" borderId="5" xfId="0" applyNumberFormat="1" applyFont="1" applyBorder="1" applyAlignment="1">
      <alignment horizontal="right"/>
    </xf>
    <xf numFmtId="172" fontId="9" fillId="0" borderId="5" xfId="0" applyNumberFormat="1" applyFont="1" applyBorder="1" applyAlignment="1">
      <alignment horizontal="right"/>
    </xf>
    <xf numFmtId="0" fontId="29" fillId="0" borderId="10" xfId="0" applyFont="1" applyBorder="1"/>
    <xf numFmtId="0" fontId="23" fillId="0" borderId="10" xfId="0" applyFont="1" applyBorder="1"/>
    <xf numFmtId="172" fontId="23" fillId="0" borderId="10" xfId="0" applyNumberFormat="1" applyFont="1" applyBorder="1"/>
    <xf numFmtId="172" fontId="0" fillId="0" borderId="10" xfId="0" applyNumberFormat="1" applyBorder="1"/>
    <xf numFmtId="172" fontId="0" fillId="0" borderId="1" xfId="0" applyNumberFormat="1" applyBorder="1"/>
    <xf numFmtId="0" fontId="0" fillId="0" borderId="5" xfId="0" applyBorder="1"/>
    <xf numFmtId="0" fontId="0" fillId="0" borderId="10" xfId="0" applyBorder="1"/>
    <xf numFmtId="3" fontId="23" fillId="0" borderId="0" xfId="1" applyNumberFormat="1" applyFont="1"/>
    <xf numFmtId="0" fontId="0" fillId="5" borderId="0" xfId="0" applyFill="1"/>
    <xf numFmtId="0" fontId="31" fillId="5" borderId="0" xfId="0" applyFont="1" applyFill="1" applyAlignment="1">
      <alignment horizontal="center" vertical="center" wrapText="1"/>
    </xf>
    <xf numFmtId="0" fontId="32" fillId="5" borderId="0" xfId="0" applyFont="1" applyFill="1"/>
    <xf numFmtId="164" fontId="23" fillId="3" borderId="0" xfId="2" applyNumberFormat="1" applyFont="1" applyFill="1" applyAlignment="1" applyProtection="1">
      <alignment horizontal="left"/>
    </xf>
    <xf numFmtId="164" fontId="23" fillId="3" borderId="1" xfId="2" applyNumberFormat="1" applyFont="1" applyFill="1" applyBorder="1" applyAlignment="1" applyProtection="1">
      <alignment horizontal="left"/>
    </xf>
    <xf numFmtId="164" fontId="23" fillId="3" borderId="5" xfId="2" applyNumberFormat="1" applyFont="1" applyFill="1" applyBorder="1" applyAlignment="1" applyProtection="1">
      <alignment horizontal="left"/>
    </xf>
    <xf numFmtId="166" fontId="23" fillId="3" borderId="0" xfId="2" applyNumberFormat="1" applyFont="1" applyFill="1" applyAlignment="1" applyProtection="1">
      <alignment horizontal="left"/>
    </xf>
    <xf numFmtId="176" fontId="23" fillId="3" borderId="0" xfId="2" applyNumberFormat="1" applyFont="1" applyFill="1" applyAlignment="1" applyProtection="1">
      <alignment horizontal="left"/>
    </xf>
    <xf numFmtId="164" fontId="23" fillId="3" borderId="0" xfId="2" applyNumberFormat="1" applyFont="1" applyFill="1" applyBorder="1" applyAlignment="1" applyProtection="1">
      <alignment horizontal="left"/>
    </xf>
    <xf numFmtId="164" fontId="23" fillId="3" borderId="6" xfId="2" applyNumberFormat="1" applyFont="1" applyFill="1" applyBorder="1" applyAlignment="1" applyProtection="1">
      <alignment horizontal="left"/>
    </xf>
    <xf numFmtId="172" fontId="16" fillId="3" borderId="0" xfId="1" applyNumberFormat="1" applyFont="1" applyFill="1" applyProtection="1"/>
    <xf numFmtId="173" fontId="0" fillId="3" borderId="0" xfId="0" applyNumberFormat="1" applyFill="1"/>
    <xf numFmtId="172" fontId="16" fillId="0" borderId="0" xfId="0" applyNumberFormat="1" applyFont="1" applyProtection="1">
      <protection locked="0"/>
    </xf>
    <xf numFmtId="172" fontId="16" fillId="0" borderId="0" xfId="1" applyNumberFormat="1" applyFont="1" applyProtection="1"/>
    <xf numFmtId="172" fontId="16" fillId="0" borderId="0" xfId="1" applyNumberFormat="1" applyFont="1" applyBorder="1" applyProtection="1"/>
    <xf numFmtId="169" fontId="0" fillId="0" borderId="0" xfId="0" applyNumberFormat="1"/>
    <xf numFmtId="164" fontId="0" fillId="0" borderId="0" xfId="0" applyNumberFormat="1"/>
    <xf numFmtId="2" fontId="16" fillId="4" borderId="0" xfId="1" applyNumberFormat="1" applyFont="1" applyFill="1" applyBorder="1" applyAlignment="1">
      <alignment horizontal="right"/>
    </xf>
    <xf numFmtId="0" fontId="29" fillId="3" borderId="0" xfId="0" applyFont="1" applyFill="1" applyAlignment="1">
      <alignment horizontal="left"/>
    </xf>
    <xf numFmtId="0" fontId="36" fillId="5" borderId="0" xfId="9" applyFill="1"/>
    <xf numFmtId="172" fontId="17" fillId="0" borderId="5" xfId="1" applyNumberFormat="1" applyFont="1" applyBorder="1"/>
    <xf numFmtId="171" fontId="17" fillId="0" borderId="5" xfId="0" applyNumberFormat="1" applyFont="1" applyBorder="1"/>
    <xf numFmtId="0" fontId="19" fillId="0" borderId="5" xfId="0" applyFont="1" applyBorder="1"/>
    <xf numFmtId="172" fontId="17" fillId="0" borderId="6" xfId="0" applyNumberFormat="1" applyFont="1" applyBorder="1"/>
    <xf numFmtId="10" fontId="17" fillId="0" borderId="6" xfId="0" applyNumberFormat="1" applyFont="1" applyBorder="1"/>
    <xf numFmtId="172" fontId="17" fillId="0" borderId="6" xfId="2" applyNumberFormat="1" applyFont="1" applyBorder="1"/>
    <xf numFmtId="10" fontId="16" fillId="3" borderId="0" xfId="3" applyNumberFormat="1" applyFont="1" applyFill="1" applyProtection="1"/>
    <xf numFmtId="37" fontId="23" fillId="3" borderId="0" xfId="1" applyNumberFormat="1" applyFont="1" applyFill="1" applyBorder="1" applyProtection="1">
      <protection locked="0"/>
    </xf>
    <xf numFmtId="37" fontId="23" fillId="0" borderId="2" xfId="1" applyNumberFormat="1" applyFont="1" applyBorder="1" applyAlignment="1">
      <alignment horizontal="right"/>
    </xf>
    <xf numFmtId="0" fontId="38" fillId="3" borderId="0" xfId="0" applyFont="1" applyFill="1"/>
    <xf numFmtId="0" fontId="16" fillId="3" borderId="20" xfId="0" applyFont="1" applyFill="1" applyBorder="1"/>
    <xf numFmtId="0" fontId="40" fillId="3" borderId="0" xfId="0" applyFont="1" applyFill="1"/>
    <xf numFmtId="0" fontId="39" fillId="3" borderId="0" xfId="0" applyFont="1" applyFill="1" applyAlignment="1">
      <alignment vertical="center"/>
    </xf>
    <xf numFmtId="0" fontId="40" fillId="3" borderId="0" xfId="0" applyFont="1" applyFill="1" applyAlignment="1">
      <alignment vertical="center"/>
    </xf>
    <xf numFmtId="173" fontId="40" fillId="3" borderId="0" xfId="0" applyNumberFormat="1" applyFont="1" applyFill="1" applyAlignment="1">
      <alignment vertical="center"/>
    </xf>
    <xf numFmtId="0" fontId="40" fillId="3" borderId="0" xfId="0" applyFont="1" applyFill="1" applyAlignment="1">
      <alignment vertical="center" wrapText="1"/>
    </xf>
    <xf numFmtId="0" fontId="41" fillId="3" borderId="0" xfId="0" applyFont="1" applyFill="1"/>
    <xf numFmtId="173" fontId="37" fillId="3" borderId="5" xfId="0" applyNumberFormat="1" applyFont="1" applyFill="1" applyBorder="1" applyAlignment="1">
      <alignment vertical="center"/>
    </xf>
    <xf numFmtId="0" fontId="37" fillId="3" borderId="5" xfId="0" applyFont="1" applyFill="1" applyBorder="1" applyAlignment="1">
      <alignment horizontal="left" vertical="center"/>
    </xf>
    <xf numFmtId="172" fontId="16" fillId="5" borderId="0" xfId="1" applyNumberFormat="1" applyFont="1" applyFill="1" applyAlignment="1" applyProtection="1">
      <alignment horizontal="left"/>
    </xf>
    <xf numFmtId="0" fontId="23" fillId="5" borderId="0" xfId="0" applyFont="1" applyFill="1" applyAlignment="1">
      <alignment horizontal="left"/>
    </xf>
    <xf numFmtId="0" fontId="42" fillId="3" borderId="8" xfId="0" applyFont="1" applyFill="1" applyBorder="1" applyAlignment="1">
      <alignment horizontal="center" vertical="center"/>
    </xf>
    <xf numFmtId="173" fontId="42" fillId="3" borderId="6" xfId="0" applyNumberFormat="1" applyFont="1" applyFill="1" applyBorder="1" applyAlignment="1">
      <alignment horizontal="center"/>
    </xf>
    <xf numFmtId="0" fontId="23" fillId="3" borderId="0" xfId="0" applyFont="1" applyFill="1" applyAlignment="1">
      <alignment horizontal="center"/>
    </xf>
    <xf numFmtId="37" fontId="17" fillId="0" borderId="0" xfId="0" applyNumberFormat="1" applyFont="1"/>
    <xf numFmtId="0" fontId="17" fillId="0" borderId="4" xfId="0" applyFont="1" applyBorder="1" applyAlignment="1">
      <alignment horizontal="left"/>
    </xf>
    <xf numFmtId="169" fontId="16" fillId="3" borderId="0" xfId="1" applyNumberFormat="1" applyFont="1" applyFill="1" applyAlignment="1" applyProtection="1">
      <alignment horizontal="left" vertical="center"/>
      <protection locked="0"/>
    </xf>
    <xf numFmtId="171" fontId="16" fillId="0" borderId="0" xfId="2" applyNumberFormat="1" applyFont="1" applyAlignment="1">
      <alignment horizontal="left"/>
    </xf>
    <xf numFmtId="171" fontId="16" fillId="0" borderId="0" xfId="0" applyNumberFormat="1" applyFont="1" applyAlignment="1">
      <alignment horizontal="left"/>
    </xf>
    <xf numFmtId="169" fontId="16" fillId="0" borderId="0" xfId="0" applyNumberFormat="1" applyFont="1" applyAlignment="1">
      <alignment horizontal="left"/>
    </xf>
    <xf numFmtId="171" fontId="16" fillId="0" borderId="0" xfId="1" applyNumberFormat="1" applyFont="1" applyAlignment="1">
      <alignment horizontal="left"/>
    </xf>
    <xf numFmtId="172" fontId="16" fillId="3" borderId="0" xfId="1" applyNumberFormat="1" applyFont="1" applyFill="1" applyAlignment="1" applyProtection="1">
      <alignment horizontal="left"/>
    </xf>
    <xf numFmtId="171" fontId="16" fillId="0" borderId="5" xfId="0" applyNumberFormat="1" applyFont="1" applyBorder="1" applyAlignment="1">
      <alignment horizontal="left"/>
    </xf>
    <xf numFmtId="172" fontId="17" fillId="0" borderId="5" xfId="1" applyNumberFormat="1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169" fontId="17" fillId="0" borderId="5" xfId="0" applyNumberFormat="1" applyFont="1" applyBorder="1" applyAlignment="1">
      <alignment horizontal="left"/>
    </xf>
    <xf numFmtId="0" fontId="43" fillId="0" borderId="0" xfId="0" applyFont="1" applyAlignment="1">
      <alignment horizontal="left" indent="1"/>
    </xf>
    <xf numFmtId="0" fontId="26" fillId="3" borderId="0" xfId="6" applyFont="1" applyFill="1" applyAlignment="1">
      <alignment horizontal="left" vertical="top" wrapText="1" indent="1"/>
    </xf>
    <xf numFmtId="0" fontId="26" fillId="3" borderId="0" xfId="6" applyFont="1" applyFill="1" applyAlignment="1">
      <alignment horizontal="left" vertical="top" wrapText="1"/>
    </xf>
    <xf numFmtId="0" fontId="26" fillId="3" borderId="0" xfId="6" applyFont="1" applyFill="1" applyAlignment="1">
      <alignment horizontal="left" vertical="top" wrapText="1" indent="2"/>
    </xf>
    <xf numFmtId="0" fontId="26" fillId="3" borderId="0" xfId="6" applyFont="1" applyFill="1" applyAlignment="1">
      <alignment horizontal="center" vertical="top" wrapText="1"/>
    </xf>
    <xf numFmtId="3" fontId="25" fillId="3" borderId="0" xfId="6" applyNumberFormat="1" applyFont="1" applyFill="1" applyAlignment="1">
      <alignment horizontal="center"/>
    </xf>
    <xf numFmtId="0" fontId="42" fillId="3" borderId="0" xfId="0" applyFont="1" applyFill="1" applyAlignment="1">
      <alignment vertical="center"/>
    </xf>
    <xf numFmtId="0" fontId="42" fillId="3" borderId="0" xfId="0" applyFont="1" applyFill="1" applyAlignment="1">
      <alignment horizontal="center"/>
    </xf>
    <xf numFmtId="0" fontId="29" fillId="3" borderId="1" xfId="0" applyFont="1" applyFill="1" applyBorder="1"/>
    <xf numFmtId="0" fontId="29" fillId="5" borderId="0" xfId="0" applyFont="1" applyFill="1"/>
    <xf numFmtId="0" fontId="29" fillId="8" borderId="4" xfId="0" applyFont="1" applyFill="1" applyBorder="1"/>
    <xf numFmtId="172" fontId="16" fillId="8" borderId="4" xfId="1" applyNumberFormat="1" applyFont="1" applyFill="1" applyBorder="1" applyAlignment="1" applyProtection="1">
      <alignment horizontal="left"/>
    </xf>
    <xf numFmtId="9" fontId="16" fillId="8" borderId="4" xfId="3" applyFont="1" applyFill="1" applyBorder="1" applyAlignment="1" applyProtection="1">
      <alignment horizontal="left"/>
    </xf>
    <xf numFmtId="0" fontId="29" fillId="8" borderId="24" xfId="0" applyFont="1" applyFill="1" applyBorder="1"/>
    <xf numFmtId="172" fontId="17" fillId="8" borderId="24" xfId="1" applyNumberFormat="1" applyFont="1" applyFill="1" applyBorder="1" applyAlignment="1" applyProtection="1">
      <alignment horizontal="left"/>
    </xf>
    <xf numFmtId="172" fontId="16" fillId="8" borderId="24" xfId="1" applyNumberFormat="1" applyFont="1" applyFill="1" applyBorder="1" applyAlignment="1" applyProtection="1">
      <alignment horizontal="left"/>
    </xf>
    <xf numFmtId="177" fontId="23" fillId="0" borderId="0" xfId="1" applyNumberFormat="1" applyFont="1"/>
    <xf numFmtId="177" fontId="23" fillId="0" borderId="5" xfId="1" applyNumberFormat="1" applyFont="1" applyBorder="1"/>
    <xf numFmtId="0" fontId="6" fillId="0" borderId="4" xfId="0" applyFont="1" applyBorder="1"/>
    <xf numFmtId="0" fontId="15" fillId="3" borderId="24" xfId="0" applyFont="1" applyFill="1" applyBorder="1" applyAlignment="1">
      <alignment horizontal="center" vertical="center"/>
    </xf>
    <xf numFmtId="0" fontId="15" fillId="3" borderId="24" xfId="0" applyFont="1" applyFill="1" applyBorder="1" applyAlignment="1">
      <alignment horizontal="left" vertical="center"/>
    </xf>
    <xf numFmtId="167" fontId="16" fillId="3" borderId="0" xfId="3" applyNumberFormat="1" applyFont="1" applyFill="1" applyAlignment="1">
      <alignment horizontal="center"/>
    </xf>
    <xf numFmtId="9" fontId="16" fillId="3" borderId="0" xfId="3" applyFont="1" applyFill="1" applyAlignment="1">
      <alignment horizontal="center"/>
    </xf>
    <xf numFmtId="0" fontId="29" fillId="3" borderId="24" xfId="0" applyFont="1" applyFill="1" applyBorder="1" applyAlignment="1">
      <alignment horizontal="left" vertical="center"/>
    </xf>
    <xf numFmtId="0" fontId="29" fillId="3" borderId="24" xfId="0" applyFont="1" applyFill="1" applyBorder="1" applyAlignment="1">
      <alignment horizontal="center" vertical="center"/>
    </xf>
    <xf numFmtId="0" fontId="45" fillId="3" borderId="0" xfId="0" applyFont="1" applyFill="1"/>
    <xf numFmtId="0" fontId="0" fillId="3" borderId="24" xfId="0" applyFill="1" applyBorder="1"/>
    <xf numFmtId="0" fontId="48" fillId="9" borderId="24" xfId="0" applyFont="1" applyFill="1" applyBorder="1" applyAlignment="1">
      <alignment horizontal="center"/>
    </xf>
    <xf numFmtId="0" fontId="49" fillId="3" borderId="0" xfId="0" applyFont="1" applyFill="1"/>
    <xf numFmtId="0" fontId="47" fillId="3" borderId="0" xfId="0" applyFont="1" applyFill="1"/>
    <xf numFmtId="0" fontId="50" fillId="3" borderId="0" xfId="6" applyFont="1" applyFill="1" applyAlignment="1">
      <alignment horizontal="center" vertical="top" wrapText="1"/>
    </xf>
    <xf numFmtId="173" fontId="51" fillId="3" borderId="0" xfId="6" applyNumberFormat="1" applyFont="1" applyFill="1" applyAlignment="1">
      <alignment horizontal="left" vertical="center" wrapText="1"/>
    </xf>
    <xf numFmtId="0" fontId="52" fillId="3" borderId="0" xfId="0" applyFont="1" applyFill="1" applyAlignment="1">
      <alignment horizontal="center"/>
    </xf>
    <xf numFmtId="0" fontId="53" fillId="3" borderId="0" xfId="0" applyFont="1" applyFill="1"/>
    <xf numFmtId="0" fontId="54" fillId="3" borderId="24" xfId="0" applyFont="1" applyFill="1" applyBorder="1" applyAlignment="1">
      <alignment horizontal="left" vertical="center"/>
    </xf>
    <xf numFmtId="167" fontId="46" fillId="3" borderId="0" xfId="3" applyNumberFormat="1" applyFont="1" applyFill="1" applyAlignment="1">
      <alignment horizontal="center"/>
    </xf>
    <xf numFmtId="3" fontId="46" fillId="3" borderId="0" xfId="6" applyNumberFormat="1" applyFont="1" applyFill="1" applyAlignment="1">
      <alignment horizontal="center"/>
    </xf>
    <xf numFmtId="0" fontId="53" fillId="3" borderId="0" xfId="0" applyFont="1" applyFill="1" applyAlignment="1">
      <alignment horizontal="center"/>
    </xf>
    <xf numFmtId="0" fontId="52" fillId="0" borderId="0" xfId="0" applyFont="1" applyAlignment="1">
      <alignment horizontal="center"/>
    </xf>
    <xf numFmtId="0" fontId="55" fillId="3" borderId="24" xfId="0" applyFont="1" applyFill="1" applyBorder="1"/>
    <xf numFmtId="0" fontId="0" fillId="3" borderId="25" xfId="0" applyFill="1" applyBorder="1"/>
    <xf numFmtId="0" fontId="0" fillId="3" borderId="4" xfId="0" applyFill="1" applyBorder="1"/>
    <xf numFmtId="0" fontId="4" fillId="3" borderId="25" xfId="0" applyFont="1" applyFill="1" applyBorder="1"/>
    <xf numFmtId="0" fontId="4" fillId="3" borderId="4" xfId="0" applyFont="1" applyFill="1" applyBorder="1"/>
    <xf numFmtId="0" fontId="40" fillId="10" borderId="0" xfId="0" applyFont="1" applyFill="1" applyAlignment="1">
      <alignment vertical="center"/>
    </xf>
    <xf numFmtId="173" fontId="40" fillId="10" borderId="0" xfId="0" applyNumberFormat="1" applyFont="1" applyFill="1" applyAlignment="1">
      <alignment vertical="center"/>
    </xf>
    <xf numFmtId="0" fontId="29" fillId="3" borderId="1" xfId="0" applyFont="1" applyFill="1" applyBorder="1" applyAlignment="1">
      <alignment horizontal="right"/>
    </xf>
    <xf numFmtId="0" fontId="56" fillId="3" borderId="0" xfId="6" applyFont="1" applyFill="1" applyAlignment="1">
      <alignment horizontal="left" vertical="top" wrapText="1" indent="1"/>
    </xf>
    <xf numFmtId="0" fontId="56" fillId="3" borderId="0" xfId="6" applyFont="1" applyFill="1" applyAlignment="1">
      <alignment horizontal="left" vertical="top" wrapText="1"/>
    </xf>
    <xf numFmtId="173" fontId="44" fillId="3" borderId="0" xfId="6" applyNumberFormat="1" applyFont="1" applyFill="1"/>
    <xf numFmtId="0" fontId="44" fillId="3" borderId="0" xfId="6" applyFont="1" applyFill="1"/>
    <xf numFmtId="173" fontId="20" fillId="3" borderId="0" xfId="6" applyNumberFormat="1" applyFont="1" applyFill="1" applyAlignment="1">
      <alignment vertical="center" wrapText="1"/>
    </xf>
    <xf numFmtId="173" fontId="20" fillId="3" borderId="0" xfId="6" applyNumberFormat="1" applyFont="1" applyFill="1" applyAlignment="1">
      <alignment horizontal="left" vertical="center" wrapText="1"/>
    </xf>
    <xf numFmtId="178" fontId="16" fillId="8" borderId="24" xfId="1" applyNumberFormat="1" applyFont="1" applyFill="1" applyBorder="1" applyAlignment="1" applyProtection="1">
      <alignment horizontal="left"/>
    </xf>
    <xf numFmtId="179" fontId="0" fillId="0" borderId="0" xfId="0" applyNumberFormat="1"/>
    <xf numFmtId="1" fontId="0" fillId="0" borderId="0" xfId="0" applyNumberFormat="1"/>
    <xf numFmtId="0" fontId="6" fillId="3" borderId="5" xfId="0" applyFont="1" applyFill="1" applyBorder="1"/>
    <xf numFmtId="0" fontId="4" fillId="3" borderId="8" xfId="0" applyFont="1" applyFill="1" applyBorder="1"/>
    <xf numFmtId="0" fontId="0" fillId="3" borderId="8" xfId="0" applyFill="1" applyBorder="1"/>
    <xf numFmtId="9" fontId="0" fillId="3" borderId="0" xfId="3" applyFont="1" applyFill="1"/>
    <xf numFmtId="9" fontId="6" fillId="3" borderId="5" xfId="0" applyNumberFormat="1" applyFont="1" applyFill="1" applyBorder="1"/>
    <xf numFmtId="0" fontId="16" fillId="3" borderId="7" xfId="0" applyFont="1" applyFill="1" applyBorder="1"/>
    <xf numFmtId="173" fontId="6" fillId="3" borderId="5" xfId="0" applyNumberFormat="1" applyFont="1" applyFill="1" applyBorder="1"/>
    <xf numFmtId="9" fontId="6" fillId="3" borderId="5" xfId="3" applyFont="1" applyFill="1" applyBorder="1"/>
    <xf numFmtId="3" fontId="23" fillId="0" borderId="0" xfId="3" applyNumberFormat="1" applyFont="1" applyFill="1" applyBorder="1"/>
    <xf numFmtId="0" fontId="57" fillId="3" borderId="0" xfId="0" applyFont="1" applyFill="1" applyAlignment="1">
      <alignment horizontal="left" wrapText="1"/>
    </xf>
    <xf numFmtId="3" fontId="25" fillId="3" borderId="0" xfId="6" applyNumberFormat="1" applyFont="1" applyFill="1" applyAlignment="1">
      <alignment horizontal="center" vertical="top" wrapText="1"/>
    </xf>
    <xf numFmtId="1" fontId="25" fillId="3" borderId="0" xfId="6" applyNumberFormat="1" applyFont="1" applyFill="1" applyAlignment="1">
      <alignment horizontal="center" vertical="top" wrapText="1"/>
    </xf>
    <xf numFmtId="0" fontId="29" fillId="3" borderId="8" xfId="0" applyFont="1" applyFill="1" applyBorder="1"/>
    <xf numFmtId="0" fontId="58" fillId="0" borderId="8" xfId="0" applyFont="1" applyBorder="1" applyAlignment="1">
      <alignment horizontal="left" wrapText="1"/>
    </xf>
    <xf numFmtId="3" fontId="26" fillId="3" borderId="8" xfId="6" applyNumberFormat="1" applyFont="1" applyFill="1" applyBorder="1" applyAlignment="1">
      <alignment horizontal="center" vertical="top" wrapText="1"/>
    </xf>
    <xf numFmtId="3" fontId="26" fillId="3" borderId="8" xfId="6" applyNumberFormat="1" applyFont="1" applyFill="1" applyBorder="1" applyAlignment="1">
      <alignment horizontal="center"/>
    </xf>
    <xf numFmtId="1" fontId="26" fillId="3" borderId="8" xfId="6" applyNumberFormat="1" applyFont="1" applyFill="1" applyBorder="1" applyAlignment="1">
      <alignment horizontal="center" vertical="top" wrapText="1"/>
    </xf>
    <xf numFmtId="3" fontId="59" fillId="3" borderId="8" xfId="6" applyNumberFormat="1" applyFont="1" applyFill="1" applyBorder="1" applyAlignment="1">
      <alignment horizontal="center"/>
    </xf>
    <xf numFmtId="0" fontId="17" fillId="3" borderId="8" xfId="0" applyFont="1" applyFill="1" applyBorder="1"/>
    <xf numFmtId="0" fontId="33" fillId="3" borderId="8" xfId="0" applyFont="1" applyFill="1" applyBorder="1"/>
    <xf numFmtId="0" fontId="17" fillId="3" borderId="0" xfId="0" applyFont="1" applyFill="1" applyAlignment="1">
      <alignment horizontal="left"/>
    </xf>
    <xf numFmtId="0" fontId="37" fillId="3" borderId="8" xfId="0" applyFont="1" applyFill="1" applyBorder="1" applyAlignment="1">
      <alignment horizontal="left" vertical="center"/>
    </xf>
    <xf numFmtId="44" fontId="61" fillId="0" borderId="0" xfId="10" applyNumberFormat="1"/>
    <xf numFmtId="0" fontId="61" fillId="0" borderId="26" xfId="10" applyBorder="1"/>
    <xf numFmtId="1" fontId="61" fillId="0" borderId="0" xfId="10" applyNumberFormat="1"/>
    <xf numFmtId="0" fontId="61" fillId="0" borderId="0" xfId="10"/>
    <xf numFmtId="0" fontId="61" fillId="0" borderId="27" xfId="10" applyBorder="1"/>
    <xf numFmtId="9" fontId="61" fillId="0" borderId="0" xfId="10" applyNumberFormat="1"/>
    <xf numFmtId="0" fontId="61" fillId="0" borderId="23" xfId="10" applyBorder="1"/>
    <xf numFmtId="9" fontId="61" fillId="0" borderId="1" xfId="10" applyNumberFormat="1" applyBorder="1"/>
    <xf numFmtId="0" fontId="61" fillId="0" borderId="1" xfId="10" applyBorder="1"/>
    <xf numFmtId="0" fontId="61" fillId="0" borderId="19" xfId="10" applyBorder="1"/>
    <xf numFmtId="0" fontId="61" fillId="0" borderId="0" xfId="10" applyAlignment="1">
      <alignment horizontal="center"/>
    </xf>
    <xf numFmtId="14" fontId="62" fillId="0" borderId="26" xfId="10" applyNumberFormat="1" applyFont="1" applyBorder="1"/>
    <xf numFmtId="0" fontId="62" fillId="0" borderId="0" xfId="10" applyFont="1"/>
    <xf numFmtId="0" fontId="44" fillId="0" borderId="0" xfId="10" applyFont="1" applyAlignment="1">
      <alignment horizontal="center"/>
    </xf>
    <xf numFmtId="0" fontId="44" fillId="0" borderId="0" xfId="11" applyFont="1" applyAlignment="1">
      <alignment horizontal="center"/>
    </xf>
    <xf numFmtId="44" fontId="44" fillId="0" borderId="0" xfId="11" applyNumberFormat="1" applyFont="1"/>
    <xf numFmtId="0" fontId="1" fillId="0" borderId="0" xfId="11"/>
    <xf numFmtId="0" fontId="44" fillId="0" borderId="26" xfId="10" applyFont="1" applyBorder="1"/>
    <xf numFmtId="0" fontId="44" fillId="0" borderId="0" xfId="10" applyFont="1"/>
    <xf numFmtId="0" fontId="62" fillId="0" borderId="0" xfId="11" applyFont="1" applyAlignment="1">
      <alignment horizontal="center"/>
    </xf>
    <xf numFmtId="44" fontId="62" fillId="0" borderId="0" xfId="11" applyNumberFormat="1" applyFont="1"/>
    <xf numFmtId="0" fontId="62" fillId="0" borderId="0" xfId="11" applyFont="1"/>
    <xf numFmtId="1" fontId="44" fillId="0" borderId="0" xfId="10" applyNumberFormat="1" applyFont="1" applyAlignment="1">
      <alignment horizontal="center"/>
    </xf>
    <xf numFmtId="1" fontId="44" fillId="0" borderId="0" xfId="11" applyNumberFormat="1" applyFont="1" applyAlignment="1">
      <alignment horizontal="center"/>
    </xf>
    <xf numFmtId="44" fontId="1" fillId="0" borderId="0" xfId="11" applyNumberFormat="1"/>
    <xf numFmtId="44" fontId="61" fillId="0" borderId="27" xfId="10" applyNumberFormat="1" applyBorder="1"/>
    <xf numFmtId="17" fontId="61" fillId="0" borderId="0" xfId="10" applyNumberFormat="1"/>
    <xf numFmtId="0" fontId="62" fillId="0" borderId="28" xfId="10" applyFont="1" applyBorder="1"/>
    <xf numFmtId="0" fontId="61" fillId="0" borderId="29" xfId="10" applyBorder="1"/>
    <xf numFmtId="44" fontId="61" fillId="0" borderId="29" xfId="10" applyNumberFormat="1" applyBorder="1"/>
    <xf numFmtId="44" fontId="60" fillId="0" borderId="30" xfId="10" applyNumberFormat="1" applyFont="1" applyBorder="1"/>
    <xf numFmtId="0" fontId="60" fillId="0" borderId="0" xfId="10" applyFont="1"/>
    <xf numFmtId="0" fontId="63" fillId="0" borderId="0" xfId="10" applyFont="1"/>
    <xf numFmtId="0" fontId="63" fillId="0" borderId="0" xfId="10" applyFont="1" applyAlignment="1">
      <alignment horizontal="center"/>
    </xf>
    <xf numFmtId="0" fontId="64" fillId="0" borderId="31" xfId="10" applyFont="1" applyBorder="1"/>
    <xf numFmtId="0" fontId="65" fillId="0" borderId="31" xfId="10" applyFont="1" applyBorder="1"/>
    <xf numFmtId="1" fontId="64" fillId="0" borderId="31" xfId="10" applyNumberFormat="1" applyFont="1" applyBorder="1" applyAlignment="1">
      <alignment horizontal="center"/>
    </xf>
    <xf numFmtId="3" fontId="64" fillId="0" borderId="31" xfId="12" applyNumberFormat="1" applyFont="1" applyBorder="1"/>
    <xf numFmtId="1" fontId="64" fillId="0" borderId="31" xfId="10" applyNumberFormat="1" applyFont="1" applyBorder="1"/>
    <xf numFmtId="180" fontId="64" fillId="0" borderId="31" xfId="10" applyNumberFormat="1" applyFont="1" applyBorder="1"/>
    <xf numFmtId="4" fontId="64" fillId="0" borderId="31" xfId="10" applyNumberFormat="1" applyFont="1" applyBorder="1"/>
    <xf numFmtId="0" fontId="67" fillId="0" borderId="31" xfId="10" applyFont="1" applyBorder="1" applyAlignment="1">
      <alignment horizontal="left"/>
    </xf>
    <xf numFmtId="0" fontId="64" fillId="0" borderId="31" xfId="10" applyFont="1" applyBorder="1" applyAlignment="1">
      <alignment horizontal="center"/>
    </xf>
    <xf numFmtId="180" fontId="61" fillId="0" borderId="0" xfId="10" applyNumberFormat="1"/>
    <xf numFmtId="4" fontId="67" fillId="0" borderId="31" xfId="10" applyNumberFormat="1" applyFont="1" applyBorder="1"/>
    <xf numFmtId="181" fontId="64" fillId="0" borderId="31" xfId="10" applyNumberFormat="1" applyFont="1" applyBorder="1"/>
    <xf numFmtId="0" fontId="68" fillId="0" borderId="31" xfId="10" applyFont="1" applyBorder="1"/>
    <xf numFmtId="0" fontId="64" fillId="0" borderId="31" xfId="10" applyFont="1" applyBorder="1" applyAlignment="1">
      <alignment horizontal="left" indent="2"/>
    </xf>
    <xf numFmtId="0" fontId="67" fillId="0" borderId="31" xfId="10" applyFont="1" applyBorder="1"/>
    <xf numFmtId="181" fontId="67" fillId="0" borderId="31" xfId="10" applyNumberFormat="1" applyFont="1" applyBorder="1"/>
    <xf numFmtId="171" fontId="67" fillId="0" borderId="31" xfId="10" applyNumberFormat="1" applyFont="1" applyBorder="1"/>
    <xf numFmtId="171" fontId="64" fillId="0" borderId="31" xfId="10" applyNumberFormat="1" applyFont="1" applyBorder="1"/>
    <xf numFmtId="182" fontId="64" fillId="0" borderId="31" xfId="10" applyNumberFormat="1" applyFont="1" applyBorder="1"/>
    <xf numFmtId="0" fontId="67" fillId="0" borderId="31" xfId="10" applyFont="1" applyBorder="1" applyAlignment="1">
      <alignment horizontal="left" indent="2"/>
    </xf>
    <xf numFmtId="183" fontId="64" fillId="0" borderId="31" xfId="10" applyNumberFormat="1" applyFont="1" applyBorder="1"/>
    <xf numFmtId="182" fontId="67" fillId="0" borderId="31" xfId="10" applyNumberFormat="1" applyFont="1" applyBorder="1"/>
    <xf numFmtId="9" fontId="64" fillId="0" borderId="31" xfId="10" applyNumberFormat="1" applyFont="1" applyBorder="1"/>
    <xf numFmtId="0" fontId="64" fillId="0" borderId="33" xfId="10" applyFont="1" applyBorder="1" applyAlignment="1">
      <alignment horizontal="left"/>
    </xf>
    <xf numFmtId="1" fontId="64" fillId="0" borderId="0" xfId="10" applyNumberFormat="1" applyFont="1" applyAlignment="1">
      <alignment horizontal="center"/>
    </xf>
    <xf numFmtId="0" fontId="64" fillId="0" borderId="34" xfId="10" applyFont="1" applyBorder="1"/>
    <xf numFmtId="180" fontId="64" fillId="0" borderId="35" xfId="10" applyNumberFormat="1" applyFont="1" applyBorder="1"/>
    <xf numFmtId="0" fontId="64" fillId="0" borderId="36" xfId="10" applyFont="1" applyBorder="1" applyAlignment="1">
      <alignment horizontal="left"/>
    </xf>
    <xf numFmtId="0" fontId="64" fillId="0" borderId="37" xfId="10" applyFont="1" applyBorder="1" applyAlignment="1">
      <alignment horizontal="center"/>
    </xf>
    <xf numFmtId="0" fontId="64" fillId="0" borderId="37" xfId="10" applyFont="1" applyBorder="1"/>
    <xf numFmtId="180" fontId="64" fillId="0" borderId="38" xfId="10" applyNumberFormat="1" applyFont="1" applyBorder="1"/>
    <xf numFmtId="180" fontId="64" fillId="0" borderId="39" xfId="10" applyNumberFormat="1" applyFont="1" applyBorder="1"/>
    <xf numFmtId="180" fontId="64" fillId="0" borderId="40" xfId="10" applyNumberFormat="1" applyFont="1" applyBorder="1"/>
    <xf numFmtId="0" fontId="64" fillId="0" borderId="41" xfId="10" applyFont="1" applyBorder="1"/>
    <xf numFmtId="180" fontId="64" fillId="0" borderId="42" xfId="10" applyNumberFormat="1" applyFont="1" applyBorder="1"/>
    <xf numFmtId="180" fontId="64" fillId="0" borderId="35" xfId="10" applyNumberFormat="1" applyFont="1" applyBorder="1" applyAlignment="1">
      <alignment horizontal="right"/>
    </xf>
    <xf numFmtId="184" fontId="64" fillId="0" borderId="42" xfId="10" applyNumberFormat="1" applyFont="1" applyBorder="1"/>
    <xf numFmtId="0" fontId="64" fillId="0" borderId="43" xfId="10" applyFont="1" applyBorder="1"/>
    <xf numFmtId="180" fontId="64" fillId="0" borderId="44" xfId="10" applyNumberFormat="1" applyFont="1" applyBorder="1"/>
    <xf numFmtId="0" fontId="60" fillId="0" borderId="48" xfId="10" applyFont="1" applyBorder="1" applyAlignment="1">
      <alignment horizontal="center"/>
    </xf>
    <xf numFmtId="14" fontId="60" fillId="0" borderId="49" xfId="10" applyNumberFormat="1" applyFont="1" applyBorder="1" applyAlignment="1">
      <alignment horizontal="center"/>
    </xf>
    <xf numFmtId="0" fontId="60" fillId="0" borderId="50" xfId="10" applyFont="1" applyBorder="1" applyAlignment="1">
      <alignment horizontal="center"/>
    </xf>
    <xf numFmtId="0" fontId="60" fillId="0" borderId="51" xfId="10" applyFont="1" applyBorder="1"/>
    <xf numFmtId="14" fontId="60" fillId="0" borderId="31" xfId="10" applyNumberFormat="1" applyFont="1" applyBorder="1"/>
    <xf numFmtId="0" fontId="60" fillId="0" borderId="52" xfId="10" applyFont="1" applyBorder="1"/>
    <xf numFmtId="44" fontId="60" fillId="0" borderId="31" xfId="10" applyNumberFormat="1" applyFont="1" applyBorder="1"/>
    <xf numFmtId="44" fontId="60" fillId="0" borderId="52" xfId="10" applyNumberFormat="1" applyFont="1" applyBorder="1"/>
    <xf numFmtId="0" fontId="60" fillId="11" borderId="51" xfId="10" applyFont="1" applyFill="1" applyBorder="1"/>
    <xf numFmtId="44" fontId="60" fillId="11" borderId="31" xfId="10" applyNumberFormat="1" applyFont="1" applyFill="1" applyBorder="1"/>
    <xf numFmtId="0" fontId="61" fillId="0" borderId="51" xfId="10" applyBorder="1"/>
    <xf numFmtId="44" fontId="61" fillId="0" borderId="31" xfId="10" applyNumberFormat="1" applyBorder="1"/>
    <xf numFmtId="44" fontId="61" fillId="0" borderId="52" xfId="10" applyNumberFormat="1" applyBorder="1"/>
    <xf numFmtId="0" fontId="61" fillId="0" borderId="31" xfId="10" applyBorder="1"/>
    <xf numFmtId="0" fontId="61" fillId="0" borderId="52" xfId="10" applyBorder="1"/>
    <xf numFmtId="0" fontId="61" fillId="0" borderId="53" xfId="10" applyBorder="1"/>
    <xf numFmtId="44" fontId="61" fillId="0" borderId="54" xfId="10" applyNumberFormat="1" applyBorder="1"/>
    <xf numFmtId="0" fontId="61" fillId="0" borderId="55" xfId="10" applyBorder="1"/>
    <xf numFmtId="0" fontId="61" fillId="0" borderId="48" xfId="10" applyBorder="1"/>
    <xf numFmtId="44" fontId="60" fillId="0" borderId="49" xfId="10" applyNumberFormat="1" applyFont="1" applyBorder="1" applyAlignment="1">
      <alignment horizontal="center"/>
    </xf>
    <xf numFmtId="0" fontId="60" fillId="0" borderId="49" xfId="10" applyFont="1" applyBorder="1" applyAlignment="1">
      <alignment horizontal="center"/>
    </xf>
    <xf numFmtId="44" fontId="62" fillId="0" borderId="31" xfId="10" applyNumberFormat="1" applyFont="1" applyBorder="1"/>
    <xf numFmtId="44" fontId="62" fillId="0" borderId="52" xfId="10" applyNumberFormat="1" applyFont="1" applyBorder="1"/>
    <xf numFmtId="0" fontId="1" fillId="0" borderId="51" xfId="10" applyFont="1" applyBorder="1"/>
    <xf numFmtId="0" fontId="61" fillId="0" borderId="54" xfId="10" applyBorder="1"/>
    <xf numFmtId="0" fontId="1" fillId="0" borderId="0" xfId="10" applyFont="1" applyAlignment="1">
      <alignment horizontal="left" vertical="center"/>
    </xf>
    <xf numFmtId="44" fontId="1" fillId="0" borderId="0" xfId="10" applyNumberFormat="1" applyFont="1"/>
    <xf numFmtId="0" fontId="1" fillId="0" borderId="0" xfId="10" applyFont="1"/>
    <xf numFmtId="44" fontId="1" fillId="0" borderId="0" xfId="10" applyNumberFormat="1" applyFont="1" applyAlignment="1">
      <alignment vertical="center"/>
    </xf>
    <xf numFmtId="0" fontId="57" fillId="3" borderId="0" xfId="0" applyFont="1" applyFill="1" applyAlignment="1">
      <alignment horizontal="left" wrapText="1" indent="1"/>
    </xf>
    <xf numFmtId="0" fontId="62" fillId="3" borderId="1" xfId="6" applyFont="1" applyFill="1" applyBorder="1" applyAlignment="1">
      <alignment horizontal="left" vertical="top" wrapText="1" indent="1"/>
    </xf>
    <xf numFmtId="0" fontId="62" fillId="3" borderId="1" xfId="6" applyFont="1" applyFill="1" applyBorder="1" applyAlignment="1">
      <alignment horizontal="left" vertical="top" wrapText="1"/>
    </xf>
    <xf numFmtId="0" fontId="57" fillId="3" borderId="0" xfId="0" applyFont="1" applyFill="1" applyAlignment="1">
      <alignment horizontal="left" wrapText="1" indent="2"/>
    </xf>
    <xf numFmtId="0" fontId="26" fillId="12" borderId="0" xfId="6" applyFont="1" applyFill="1" applyAlignment="1">
      <alignment horizontal="left" vertical="top" wrapText="1" indent="1"/>
    </xf>
    <xf numFmtId="0" fontId="26" fillId="12" borderId="0" xfId="6" applyFont="1" applyFill="1" applyAlignment="1">
      <alignment horizontal="center" vertical="top" wrapText="1"/>
    </xf>
    <xf numFmtId="0" fontId="53" fillId="12" borderId="0" xfId="0" applyFont="1" applyFill="1"/>
    <xf numFmtId="0" fontId="44" fillId="0" borderId="31" xfId="10" applyFont="1" applyBorder="1"/>
    <xf numFmtId="0" fontId="44" fillId="0" borderId="49" xfId="10" applyFont="1" applyBorder="1"/>
    <xf numFmtId="0" fontId="61" fillId="12" borderId="57" xfId="10" applyFill="1" applyBorder="1"/>
    <xf numFmtId="0" fontId="62" fillId="12" borderId="56" xfId="10" applyFont="1" applyFill="1" applyBorder="1"/>
    <xf numFmtId="1" fontId="61" fillId="0" borderId="49" xfId="10" applyNumberFormat="1" applyBorder="1"/>
    <xf numFmtId="185" fontId="46" fillId="3" borderId="0" xfId="6" applyNumberFormat="1" applyFont="1" applyFill="1" applyAlignment="1">
      <alignment horizontal="center"/>
    </xf>
    <xf numFmtId="4" fontId="16" fillId="3" borderId="0" xfId="6" applyNumberFormat="1" applyFont="1" applyFill="1" applyAlignment="1">
      <alignment horizontal="center" vertical="center" wrapText="1"/>
    </xf>
    <xf numFmtId="4" fontId="25" fillId="3" borderId="0" xfId="6" applyNumberFormat="1" applyFont="1" applyFill="1" applyAlignment="1">
      <alignment horizontal="center"/>
    </xf>
    <xf numFmtId="4" fontId="25" fillId="3" borderId="0" xfId="6" applyNumberFormat="1" applyFont="1" applyFill="1" applyAlignment="1">
      <alignment horizontal="center" vertical="top" wrapText="1"/>
    </xf>
    <xf numFmtId="177" fontId="0" fillId="0" borderId="0" xfId="0" applyNumberFormat="1"/>
    <xf numFmtId="173" fontId="60" fillId="3" borderId="0" xfId="6" applyNumberFormat="1" applyFont="1" applyFill="1"/>
    <xf numFmtId="0" fontId="60" fillId="3" borderId="0" xfId="6" applyFont="1" applyFill="1"/>
    <xf numFmtId="0" fontId="70" fillId="0" borderId="8" xfId="0" applyFont="1" applyBorder="1" applyAlignment="1">
      <alignment horizontal="left" wrapText="1"/>
    </xf>
    <xf numFmtId="173" fontId="42" fillId="3" borderId="8" xfId="6" applyNumberFormat="1" applyFont="1" applyFill="1" applyBorder="1" applyAlignment="1">
      <alignment horizontal="left" vertical="center" wrapText="1"/>
    </xf>
    <xf numFmtId="173" fontId="60" fillId="3" borderId="8" xfId="6" applyNumberFormat="1" applyFont="1" applyFill="1" applyBorder="1"/>
    <xf numFmtId="173" fontId="66" fillId="3" borderId="0" xfId="6" applyNumberFormat="1" applyFont="1" applyFill="1"/>
    <xf numFmtId="0" fontId="66" fillId="3" borderId="0" xfId="6" applyFont="1" applyFill="1"/>
    <xf numFmtId="0" fontId="69" fillId="3" borderId="0" xfId="0" applyFont="1" applyFill="1" applyAlignment="1">
      <alignment horizontal="left" vertical="top" wrapText="1" indent="1"/>
    </xf>
    <xf numFmtId="173" fontId="16" fillId="3" borderId="0" xfId="6" applyNumberFormat="1" applyFont="1" applyFill="1" applyAlignment="1">
      <alignment horizontal="left" vertical="top" wrapText="1"/>
    </xf>
    <xf numFmtId="173" fontId="25" fillId="3" borderId="0" xfId="6" applyNumberFormat="1" applyFont="1" applyFill="1" applyAlignment="1">
      <alignment vertical="top"/>
    </xf>
    <xf numFmtId="0" fontId="61" fillId="11" borderId="51" xfId="10" applyFill="1" applyBorder="1"/>
    <xf numFmtId="44" fontId="61" fillId="11" borderId="31" xfId="10" applyNumberFormat="1" applyFill="1" applyBorder="1"/>
    <xf numFmtId="0" fontId="17" fillId="5" borderId="4" xfId="0" applyFont="1" applyFill="1" applyBorder="1"/>
    <xf numFmtId="0" fontId="17" fillId="5" borderId="4" xfId="0" applyFont="1" applyFill="1" applyBorder="1" applyAlignment="1">
      <alignment horizontal="left"/>
    </xf>
    <xf numFmtId="0" fontId="17" fillId="5" borderId="0" xfId="0" applyFont="1" applyFill="1"/>
    <xf numFmtId="0" fontId="17" fillId="5" borderId="0" xfId="0" applyFont="1" applyFill="1" applyAlignment="1">
      <alignment horizontal="left"/>
    </xf>
    <xf numFmtId="0" fontId="16" fillId="5" borderId="0" xfId="0" applyFont="1" applyFill="1"/>
    <xf numFmtId="0" fontId="17" fillId="5" borderId="5" xfId="0" applyFont="1" applyFill="1" applyBorder="1"/>
    <xf numFmtId="0" fontId="16" fillId="5" borderId="5" xfId="0" applyFont="1" applyFill="1" applyBorder="1"/>
    <xf numFmtId="172" fontId="17" fillId="5" borderId="5" xfId="1" applyNumberFormat="1" applyFont="1" applyFill="1" applyBorder="1" applyAlignment="1">
      <alignment horizontal="left"/>
    </xf>
    <xf numFmtId="172" fontId="16" fillId="5" borderId="5" xfId="1" applyNumberFormat="1" applyFont="1" applyFill="1" applyBorder="1" applyAlignment="1" applyProtection="1">
      <alignment horizontal="left"/>
    </xf>
    <xf numFmtId="0" fontId="29" fillId="3" borderId="8" xfId="0" applyFont="1" applyFill="1" applyBorder="1" applyAlignment="1">
      <alignment horizontal="left" vertical="center"/>
    </xf>
    <xf numFmtId="0" fontId="29" fillId="0" borderId="8" xfId="0" applyFont="1" applyBorder="1"/>
    <xf numFmtId="0" fontId="23" fillId="0" borderId="8" xfId="0" applyFont="1" applyBorder="1"/>
    <xf numFmtId="171" fontId="23" fillId="0" borderId="8" xfId="0" applyNumberFormat="1" applyFont="1" applyBorder="1"/>
    <xf numFmtId="169" fontId="23" fillId="0" borderId="8" xfId="0" applyNumberFormat="1" applyFont="1" applyBorder="1"/>
    <xf numFmtId="37" fontId="23" fillId="0" borderId="8" xfId="1" applyNumberFormat="1" applyFont="1" applyBorder="1" applyAlignment="1">
      <alignment horizontal="right"/>
    </xf>
    <xf numFmtId="0" fontId="61" fillId="0" borderId="8" xfId="10" applyBorder="1"/>
    <xf numFmtId="0" fontId="17" fillId="5" borderId="5" xfId="0" applyFont="1" applyFill="1" applyBorder="1" applyAlignment="1">
      <alignment horizontal="left"/>
    </xf>
    <xf numFmtId="0" fontId="16" fillId="0" borderId="8" xfId="0" applyFont="1" applyBorder="1"/>
    <xf numFmtId="10" fontId="16" fillId="0" borderId="4" xfId="3" applyNumberFormat="1" applyFont="1" applyBorder="1"/>
    <xf numFmtId="172" fontId="16" fillId="0" borderId="4" xfId="1" applyNumberFormat="1" applyFont="1" applyBorder="1" applyProtection="1"/>
    <xf numFmtId="10" fontId="16" fillId="3" borderId="4" xfId="3" applyNumberFormat="1" applyFont="1" applyFill="1" applyBorder="1" applyProtection="1"/>
    <xf numFmtId="169" fontId="16" fillId="3" borderId="4" xfId="1" applyNumberFormat="1" applyFont="1" applyFill="1" applyBorder="1" applyProtection="1">
      <protection locked="0"/>
    </xf>
    <xf numFmtId="172" fontId="16" fillId="0" borderId="4" xfId="0" applyNumberFormat="1" applyFont="1" applyBorder="1"/>
    <xf numFmtId="0" fontId="17" fillId="0" borderId="8" xfId="0" applyFont="1" applyBorder="1" applyAlignment="1">
      <alignment horizontal="left" vertical="top"/>
    </xf>
    <xf numFmtId="0" fontId="17" fillId="0" borderId="8" xfId="0" applyFont="1" applyBorder="1"/>
    <xf numFmtId="172" fontId="16" fillId="0" borderId="8" xfId="1" applyNumberFormat="1" applyFont="1" applyBorder="1"/>
    <xf numFmtId="171" fontId="16" fillId="0" borderId="8" xfId="0" applyNumberFormat="1" applyFont="1" applyBorder="1"/>
    <xf numFmtId="171" fontId="17" fillId="0" borderId="8" xfId="0" applyNumberFormat="1" applyFont="1" applyBorder="1"/>
    <xf numFmtId="0" fontId="17" fillId="0" borderId="8" xfId="0" applyFont="1" applyBorder="1" applyAlignment="1">
      <alignment horizontal="right"/>
    </xf>
    <xf numFmtId="0" fontId="18" fillId="0" borderId="0" xfId="0" applyFont="1"/>
    <xf numFmtId="0" fontId="17" fillId="0" borderId="31" xfId="0" applyFont="1" applyBorder="1"/>
    <xf numFmtId="0" fontId="16" fillId="0" borderId="31" xfId="0" applyFont="1" applyBorder="1"/>
    <xf numFmtId="9" fontId="46" fillId="0" borderId="31" xfId="3" applyFont="1" applyFill="1" applyBorder="1"/>
    <xf numFmtId="9" fontId="16" fillId="0" borderId="31" xfId="3" applyFont="1" applyBorder="1"/>
    <xf numFmtId="172" fontId="16" fillId="3" borderId="0" xfId="1" applyNumberFormat="1" applyFont="1" applyFill="1" applyAlignment="1" applyProtection="1">
      <alignment horizontal="left"/>
      <protection locked="0"/>
    </xf>
    <xf numFmtId="177" fontId="27" fillId="0" borderId="0" xfId="0" applyNumberFormat="1" applyFont="1"/>
    <xf numFmtId="0" fontId="27" fillId="0" borderId="31" xfId="0" applyFont="1" applyBorder="1"/>
    <xf numFmtId="177" fontId="27" fillId="0" borderId="31" xfId="0" applyNumberFormat="1" applyFont="1" applyBorder="1"/>
    <xf numFmtId="1" fontId="16" fillId="0" borderId="0" xfId="0" applyNumberFormat="1" applyFont="1"/>
    <xf numFmtId="172" fontId="17" fillId="0" borderId="5" xfId="0" applyNumberFormat="1" applyFont="1" applyBorder="1" applyAlignment="1">
      <alignment horizontal="left"/>
    </xf>
    <xf numFmtId="0" fontId="34" fillId="7" borderId="11" xfId="0" applyFont="1" applyFill="1" applyBorder="1" applyAlignment="1">
      <alignment horizontal="center" vertical="center"/>
    </xf>
    <xf numFmtId="0" fontId="34" fillId="7" borderId="12" xfId="0" applyFont="1" applyFill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/>
    </xf>
    <xf numFmtId="0" fontId="34" fillId="7" borderId="14" xfId="0" applyFont="1" applyFill="1" applyBorder="1" applyAlignment="1">
      <alignment horizontal="center" vertical="center"/>
    </xf>
    <xf numFmtId="0" fontId="34" fillId="7" borderId="0" xfId="0" applyFont="1" applyFill="1" applyAlignment="1">
      <alignment horizontal="center" vertical="center"/>
    </xf>
    <xf numFmtId="0" fontId="34" fillId="7" borderId="15" xfId="0" applyFont="1" applyFill="1" applyBorder="1" applyAlignment="1">
      <alignment horizontal="center" vertical="center"/>
    </xf>
    <xf numFmtId="0" fontId="34" fillId="7" borderId="16" xfId="0" applyFont="1" applyFill="1" applyBorder="1" applyAlignment="1">
      <alignment horizontal="center" vertical="center"/>
    </xf>
    <xf numFmtId="0" fontId="34" fillId="7" borderId="17" xfId="0" applyFont="1" applyFill="1" applyBorder="1" applyAlignment="1">
      <alignment horizontal="center" vertical="center"/>
    </xf>
    <xf numFmtId="0" fontId="34" fillId="7" borderId="18" xfId="0" applyFont="1" applyFill="1" applyBorder="1" applyAlignment="1">
      <alignment horizontal="center" vertical="center"/>
    </xf>
    <xf numFmtId="0" fontId="35" fillId="5" borderId="0" xfId="0" applyFont="1" applyFill="1" applyAlignment="1">
      <alignment horizontal="left" vertical="center"/>
    </xf>
    <xf numFmtId="0" fontId="23" fillId="3" borderId="25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29" fillId="8" borderId="4" xfId="0" applyFont="1" applyFill="1" applyBorder="1" applyAlignment="1">
      <alignment horizontal="center"/>
    </xf>
    <xf numFmtId="0" fontId="37" fillId="3" borderId="8" xfId="0" applyFont="1" applyFill="1" applyBorder="1" applyAlignment="1">
      <alignment horizontal="left" vertical="center"/>
    </xf>
    <xf numFmtId="0" fontId="42" fillId="3" borderId="8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2" fontId="16" fillId="0" borderId="56" xfId="0" applyNumberFormat="1" applyFont="1" applyBorder="1"/>
    <xf numFmtId="172" fontId="0" fillId="0" borderId="57" xfId="0" applyNumberFormat="1" applyBorder="1"/>
    <xf numFmtId="171" fontId="16" fillId="0" borderId="56" xfId="0" applyNumberFormat="1" applyFont="1" applyBorder="1"/>
    <xf numFmtId="0" fontId="0" fillId="0" borderId="57" xfId="0" applyBorder="1"/>
    <xf numFmtId="0" fontId="24" fillId="4" borderId="0" xfId="6" applyFont="1" applyFill="1" applyAlignment="1">
      <alignment horizontal="center" vertical="center" wrapText="1"/>
    </xf>
    <xf numFmtId="0" fontId="24" fillId="4" borderId="1" xfId="6" applyFont="1" applyFill="1" applyBorder="1" applyAlignment="1">
      <alignment horizontal="center" vertical="center" wrapText="1"/>
    </xf>
    <xf numFmtId="0" fontId="31" fillId="6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171" fontId="31" fillId="6" borderId="0" xfId="0" applyNumberFormat="1" applyFont="1" applyFill="1" applyAlignment="1">
      <alignment horizontal="center"/>
    </xf>
    <xf numFmtId="171" fontId="15" fillId="4" borderId="0" xfId="0" applyNumberFormat="1" applyFont="1" applyFill="1" applyAlignment="1">
      <alignment horizontal="center"/>
    </xf>
    <xf numFmtId="0" fontId="29" fillId="0" borderId="1" xfId="0" applyFont="1" applyBorder="1" applyAlignment="1">
      <alignment horizontal="left"/>
    </xf>
    <xf numFmtId="0" fontId="24" fillId="0" borderId="21" xfId="10" applyFont="1" applyBorder="1" applyAlignment="1">
      <alignment horizontal="center"/>
    </xf>
    <xf numFmtId="0" fontId="24" fillId="0" borderId="7" xfId="10" applyFont="1" applyBorder="1" applyAlignment="1">
      <alignment horizontal="center"/>
    </xf>
    <xf numFmtId="0" fontId="24" fillId="0" borderId="22" xfId="10" applyFont="1" applyBorder="1" applyAlignment="1">
      <alignment horizontal="center"/>
    </xf>
    <xf numFmtId="0" fontId="60" fillId="0" borderId="28" xfId="10" applyFont="1" applyBorder="1" applyAlignment="1">
      <alignment horizontal="center"/>
    </xf>
    <xf numFmtId="0" fontId="60" fillId="0" borderId="29" xfId="10" applyFont="1" applyBorder="1" applyAlignment="1">
      <alignment horizontal="center"/>
    </xf>
    <xf numFmtId="0" fontId="60" fillId="0" borderId="30" xfId="10" applyFont="1" applyBorder="1" applyAlignment="1">
      <alignment horizontal="center"/>
    </xf>
    <xf numFmtId="0" fontId="61" fillId="0" borderId="0" xfId="10" applyAlignment="1">
      <alignment horizontal="center"/>
    </xf>
    <xf numFmtId="0" fontId="63" fillId="0" borderId="32" xfId="10" applyFont="1" applyBorder="1" applyAlignment="1">
      <alignment horizontal="center"/>
    </xf>
    <xf numFmtId="0" fontId="64" fillId="0" borderId="37" xfId="10" applyFont="1" applyBorder="1" applyAlignment="1">
      <alignment horizontal="center"/>
    </xf>
    <xf numFmtId="0" fontId="63" fillId="0" borderId="58" xfId="1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24" fillId="0" borderId="45" xfId="10" applyFont="1" applyBorder="1" applyAlignment="1">
      <alignment horizontal="center"/>
    </xf>
    <xf numFmtId="0" fontId="24" fillId="0" borderId="46" xfId="10" applyFont="1" applyBorder="1" applyAlignment="1">
      <alignment horizontal="center"/>
    </xf>
    <xf numFmtId="0" fontId="24" fillId="0" borderId="47" xfId="10" applyFont="1" applyBorder="1" applyAlignment="1">
      <alignment horizontal="center"/>
    </xf>
    <xf numFmtId="0" fontId="15" fillId="3" borderId="0" xfId="0" applyFont="1" applyFill="1" applyBorder="1" applyAlignment="1">
      <alignment horizontal="center" vertical="center"/>
    </xf>
    <xf numFmtId="0" fontId="15" fillId="3" borderId="61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62" xfId="0" applyFont="1" applyFill="1" applyBorder="1" applyAlignment="1">
      <alignment horizontal="center" vertical="center"/>
    </xf>
    <xf numFmtId="0" fontId="15" fillId="3" borderId="63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65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66" xfId="0" applyFont="1" applyFill="1" applyBorder="1" applyAlignment="1">
      <alignment horizontal="center" vertical="center"/>
    </xf>
  </cellXfs>
  <cellStyles count="13">
    <cellStyle name="Comma" xfId="1" builtinId="3"/>
    <cellStyle name="Comma 2" xfId="12" xr:uid="{19B17F69-F792-4272-AC1E-A34C4D7E33AC}"/>
    <cellStyle name="Currency" xfId="2" builtinId="4"/>
    <cellStyle name="Followed Hyperlink" xfId="5" builtinId="9" hidden="1"/>
    <cellStyle name="Hyperlink" xfId="4" builtinId="8" hidden="1"/>
    <cellStyle name="Hyperlink" xfId="9" builtinId="8"/>
    <cellStyle name="Normal" xfId="0" builtinId="0"/>
    <cellStyle name="Normal 2" xfId="6" xr:uid="{00000000-0005-0000-0000-000006000000}"/>
    <cellStyle name="Normal 3" xfId="7" xr:uid="{00000000-0005-0000-0000-000007000000}"/>
    <cellStyle name="Normal 3 2" xfId="11" xr:uid="{AA3F2DB9-0163-4F6D-A614-5EF4266C1F45}"/>
    <cellStyle name="Normal 4" xfId="10" xr:uid="{5D1F5B95-D6FA-4635-A709-4D6219D700D8}"/>
    <cellStyle name="Percent" xfId="3" builtinId="5"/>
    <cellStyle name="Percent 2" xfId="8" xr:uid="{00000000-0005-0000-0000-000009000000}"/>
  </cellStyles>
  <dxfs count="1">
    <dxf>
      <font>
        <color rgb="FFFF0000"/>
      </font>
    </dxf>
  </dxfs>
  <tableStyles count="0" defaultTableStyle="TableStyleMedium9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7-4EA1-A8FF-43AB640E29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B7-4EA1-A8FF-43AB640E29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B7-4EA1-A8FF-43AB640E29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Budget'!$I$5:$I$7</c:f>
              <c:strCache>
                <c:ptCount val="3"/>
                <c:pt idx="0">
                  <c:v>CAPEX</c:v>
                </c:pt>
                <c:pt idx="1">
                  <c:v>Variable cost p.m</c:v>
                </c:pt>
                <c:pt idx="2">
                  <c:v>Fixed Cost p.m</c:v>
                </c:pt>
              </c:strCache>
            </c:strRef>
          </c:cat>
          <c:val>
            <c:numRef>
              <c:f>'3. Budget'!$K$5:$K$7</c:f>
              <c:numCache>
                <c:formatCode>0%</c:formatCode>
                <c:ptCount val="3"/>
                <c:pt idx="0">
                  <c:v>0.96089656739936624</c:v>
                </c:pt>
                <c:pt idx="1">
                  <c:v>2.046359602772203E-2</c:v>
                </c:pt>
                <c:pt idx="2">
                  <c:v>1.8639836572911669E-2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B7-4EA1-A8FF-43AB640E29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46809560618569"/>
          <c:y val="0.50213793698322917"/>
          <c:w val="0.33453190439381436"/>
          <c:h val="0.22524942598137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Budget'!$I$5:$I$9</c:f>
              <c:strCache>
                <c:ptCount val="5"/>
                <c:pt idx="0">
                  <c:v>CAPEX</c:v>
                </c:pt>
                <c:pt idx="1">
                  <c:v>Variable cost p.m</c:v>
                </c:pt>
                <c:pt idx="2">
                  <c:v>Fixed Cost p.m</c:v>
                </c:pt>
                <c:pt idx="4">
                  <c:v>TOTAL</c:v>
                </c:pt>
              </c:strCache>
            </c:strRef>
          </c:cat>
          <c:val>
            <c:numRef>
              <c:f>'3. Budget'!$J$5:$J$9</c:f>
              <c:numCache>
                <c:formatCode>[$R-1C09]\ #\ ##0</c:formatCode>
                <c:ptCount val="5"/>
                <c:pt idx="0">
                  <c:v>4819990.17</c:v>
                </c:pt>
                <c:pt idx="1">
                  <c:v>102648.22983333335</c:v>
                </c:pt>
                <c:pt idx="2">
                  <c:v>93500</c:v>
                </c:pt>
                <c:pt idx="4">
                  <c:v>5016138.3998333337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A-4B55-9ED5-D0C49E6884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42352911"/>
        <c:axId val="2042355791"/>
      </c:barChart>
      <c:catAx>
        <c:axId val="20423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55791"/>
        <c:crosses val="autoZero"/>
        <c:auto val="1"/>
        <c:lblAlgn val="ctr"/>
        <c:lblOffset val="100"/>
        <c:noMultiLvlLbl val="0"/>
      </c:catAx>
      <c:valAx>
        <c:axId val="2042355791"/>
        <c:scaling>
          <c:orientation val="minMax"/>
        </c:scaling>
        <c:delete val="1"/>
        <c:axPos val="l"/>
        <c:numFmt formatCode="[$R-1C09]\ #\ ##0" sourceLinked="1"/>
        <c:majorTickMark val="none"/>
        <c:minorTickMark val="none"/>
        <c:tickLblPos val="nextTo"/>
        <c:crossAx val="20423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46-4299-B7E2-EEABBCBC3B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46-4299-B7E2-EEABBCBC3B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46-4299-B7E2-EEABBCBC3B28}"/>
              </c:ext>
            </c:extLst>
          </c:dPt>
          <c:dLbls>
            <c:dLbl>
              <c:idx val="2"/>
              <c:layout>
                <c:manualLayout>
                  <c:x val="1.201923076923077E-2"/>
                  <c:y val="-3.772248454341057E-1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46-4299-B7E2-EEABBCBC3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Budget'!$I$5:$I$7</c:f>
              <c:strCache>
                <c:ptCount val="3"/>
                <c:pt idx="0">
                  <c:v>CAPEX</c:v>
                </c:pt>
                <c:pt idx="1">
                  <c:v>Variable cost p.m</c:v>
                </c:pt>
                <c:pt idx="2">
                  <c:v>Fixed Cost p.m</c:v>
                </c:pt>
              </c:strCache>
            </c:strRef>
          </c:cat>
          <c:val>
            <c:numRef>
              <c:f>'3. Budget'!$K$5:$K$7</c:f>
              <c:numCache>
                <c:formatCode>0%</c:formatCode>
                <c:ptCount val="3"/>
                <c:pt idx="0">
                  <c:v>0.96089656739936624</c:v>
                </c:pt>
                <c:pt idx="1">
                  <c:v>2.046359602772203E-2</c:v>
                </c:pt>
                <c:pt idx="2">
                  <c:v>1.8639836572911669E-2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1-4770-8CCF-55F58418F7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46809560618569"/>
          <c:y val="0.18914879898885292"/>
          <c:w val="0.3190234955570313"/>
          <c:h val="0.2947620235244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Budget'!$I$5:$I$9</c:f>
              <c:strCache>
                <c:ptCount val="5"/>
                <c:pt idx="0">
                  <c:v>CAPEX</c:v>
                </c:pt>
                <c:pt idx="1">
                  <c:v>Variable cost p.m</c:v>
                </c:pt>
                <c:pt idx="2">
                  <c:v>Fixed Cost p.m</c:v>
                </c:pt>
                <c:pt idx="4">
                  <c:v>TOTAL</c:v>
                </c:pt>
              </c:strCache>
            </c:strRef>
          </c:cat>
          <c:val>
            <c:numRef>
              <c:f>'3. Budget'!$J$5:$J$9</c:f>
              <c:numCache>
                <c:formatCode>[$R-1C09]\ #\ ##0</c:formatCode>
                <c:ptCount val="5"/>
                <c:pt idx="0">
                  <c:v>4819990.17</c:v>
                </c:pt>
                <c:pt idx="1">
                  <c:v>102648.22983333335</c:v>
                </c:pt>
                <c:pt idx="2">
                  <c:v>93500</c:v>
                </c:pt>
                <c:pt idx="4">
                  <c:v>5016138.3998333337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3-4696-A8E1-8B0EECD187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42352911"/>
        <c:axId val="2042355791"/>
      </c:barChart>
      <c:catAx>
        <c:axId val="20423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55791"/>
        <c:crosses val="autoZero"/>
        <c:auto val="1"/>
        <c:lblAlgn val="ctr"/>
        <c:lblOffset val="100"/>
        <c:noMultiLvlLbl val="0"/>
      </c:catAx>
      <c:valAx>
        <c:axId val="2042355791"/>
        <c:scaling>
          <c:orientation val="minMax"/>
        </c:scaling>
        <c:delete val="1"/>
        <c:axPos val="l"/>
        <c:numFmt formatCode="[$R-1C09]\ #\ ##0" sourceLinked="1"/>
        <c:majorTickMark val="none"/>
        <c:minorTickMark val="none"/>
        <c:tickLblPos val="nextTo"/>
        <c:crossAx val="204235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8. Balance Sheet'!A1"/><Relationship Id="rId13" Type="http://schemas.openxmlformats.org/officeDocument/2006/relationships/hyperlink" Target="#'9. Financial Ratios'!A1"/><Relationship Id="rId3" Type="http://schemas.openxmlformats.org/officeDocument/2006/relationships/hyperlink" Target="#'13 History Cash Flow Statement '!A1"/><Relationship Id="rId7" Type="http://schemas.openxmlformats.org/officeDocument/2006/relationships/hyperlink" Target="#'14. History Balance Sheet'!A1"/><Relationship Id="rId12" Type="http://schemas.openxmlformats.org/officeDocument/2006/relationships/hyperlink" Target="#'Cover Page'!A1"/><Relationship Id="rId2" Type="http://schemas.openxmlformats.org/officeDocument/2006/relationships/hyperlink" Target="#'4. Financing'!A1"/><Relationship Id="rId16" Type="http://schemas.openxmlformats.org/officeDocument/2006/relationships/hyperlink" Target="#'1. Assumptions'!A1"/><Relationship Id="rId1" Type="http://schemas.openxmlformats.org/officeDocument/2006/relationships/hyperlink" Target="#'5. Sales forecast'!A1"/><Relationship Id="rId6" Type="http://schemas.openxmlformats.org/officeDocument/2006/relationships/hyperlink" Target="#'10. Breakeven Analysis'!A1"/><Relationship Id="rId11" Type="http://schemas.openxmlformats.org/officeDocument/2006/relationships/hyperlink" Target="#'15. Debtors &amp; Creditors'!A1"/><Relationship Id="rId5" Type="http://schemas.openxmlformats.org/officeDocument/2006/relationships/hyperlink" Target="#'2. Dashboards'!A1"/><Relationship Id="rId15" Type="http://schemas.openxmlformats.org/officeDocument/2006/relationships/hyperlink" Target="#'12. Historical Income Statement'!A1"/><Relationship Id="rId10" Type="http://schemas.openxmlformats.org/officeDocument/2006/relationships/hyperlink" Target="#'11. Depreciation &amp;Amoritization'!A1"/><Relationship Id="rId4" Type="http://schemas.openxmlformats.org/officeDocument/2006/relationships/hyperlink" Target="#'7. Cash Flow Statement'!A1"/><Relationship Id="rId9" Type="http://schemas.openxmlformats.org/officeDocument/2006/relationships/hyperlink" Target="#'3. Budget'!A1"/><Relationship Id="rId14" Type="http://schemas.openxmlformats.org/officeDocument/2006/relationships/hyperlink" Target="#'6. Income Statemen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'Cover Page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Cover Page'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1635234</xdr:colOff>
      <xdr:row>7</xdr:row>
      <xdr:rowOff>131309</xdr:rowOff>
    </xdr:from>
    <xdr:to>
      <xdr:col>3</xdr:col>
      <xdr:colOff>904874</xdr:colOff>
      <xdr:row>9</xdr:row>
      <xdr:rowOff>159883</xdr:rowOff>
    </xdr:to>
    <xdr:sp macro="" textlink="">
      <xdr:nvSpPr>
        <xdr:cNvPr id="19" name="Rectangle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242453" y="1679122"/>
          <a:ext cx="1412765" cy="6357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5. Sales</a:t>
          </a:r>
          <a:r>
            <a:rPr lang="en-US" sz="1200" b="1" baseline="0">
              <a:solidFill>
                <a:srgbClr val="FFFF00"/>
              </a:solidFill>
            </a:rPr>
            <a:t> Forecast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11561</xdr:colOff>
      <xdr:row>7</xdr:row>
      <xdr:rowOff>116000</xdr:rowOff>
    </xdr:from>
    <xdr:to>
      <xdr:col>1</xdr:col>
      <xdr:colOff>1413113</xdr:colOff>
      <xdr:row>9</xdr:row>
      <xdr:rowOff>170090</xdr:rowOff>
    </xdr:to>
    <xdr:sp macro="" textlink="">
      <xdr:nvSpPr>
        <xdr:cNvPr id="20" name="Rectangle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18780" y="1663813"/>
          <a:ext cx="1401552" cy="66130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4. Financing</a:t>
          </a:r>
        </a:p>
      </xdr:txBody>
    </xdr:sp>
    <xdr:clientData/>
  </xdr:twoCellAnchor>
  <xdr:twoCellAnchor>
    <xdr:from>
      <xdr:col>1</xdr:col>
      <xdr:colOff>1642038</xdr:colOff>
      <xdr:row>11</xdr:row>
      <xdr:rowOff>489860</xdr:rowOff>
    </xdr:from>
    <xdr:to>
      <xdr:col>3</xdr:col>
      <xdr:colOff>900465</xdr:colOff>
      <xdr:row>13</xdr:row>
      <xdr:rowOff>325214</xdr:rowOff>
    </xdr:to>
    <xdr:sp macro="" textlink="">
      <xdr:nvSpPr>
        <xdr:cNvPr id="21" name="Rectangle 2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249257" y="3264016"/>
          <a:ext cx="1401552" cy="680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13.Historical</a:t>
          </a:r>
          <a:r>
            <a:rPr lang="en-US" sz="1200" b="1" baseline="0">
              <a:solidFill>
                <a:srgbClr val="FFFF00"/>
              </a:solidFill>
            </a:rPr>
            <a:t> Cashflow Statement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801110</xdr:colOff>
      <xdr:row>7</xdr:row>
      <xdr:rowOff>147978</xdr:rowOff>
    </xdr:from>
    <xdr:to>
      <xdr:col>6</xdr:col>
      <xdr:colOff>416725</xdr:colOff>
      <xdr:row>9</xdr:row>
      <xdr:rowOff>147978</xdr:rowOff>
    </xdr:to>
    <xdr:sp macro="" textlink="">
      <xdr:nvSpPr>
        <xdr:cNvPr id="22" name="Rectangle 2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504079" y="1695791"/>
          <a:ext cx="1401552" cy="607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7. Cash Flow Statement</a:t>
          </a:r>
        </a:p>
      </xdr:txBody>
    </xdr:sp>
    <xdr:clientData/>
  </xdr:twoCellAnchor>
  <xdr:twoCellAnchor>
    <xdr:from>
      <xdr:col>3</xdr:col>
      <xdr:colOff>1134485</xdr:colOff>
      <xdr:row>4</xdr:row>
      <xdr:rowOff>171791</xdr:rowOff>
    </xdr:from>
    <xdr:to>
      <xdr:col>5</xdr:col>
      <xdr:colOff>583412</xdr:colOff>
      <xdr:row>6</xdr:row>
      <xdr:rowOff>147977</xdr:rowOff>
    </xdr:to>
    <xdr:sp macro="" textlink="">
      <xdr:nvSpPr>
        <xdr:cNvPr id="23" name="Rectangle 2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3884829" y="898072"/>
          <a:ext cx="1401552" cy="6310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2. Dashboards</a:t>
          </a:r>
        </a:p>
      </xdr:txBody>
    </xdr:sp>
    <xdr:clientData/>
  </xdr:twoCellAnchor>
  <xdr:twoCellAnchor>
    <xdr:from>
      <xdr:col>3</xdr:col>
      <xdr:colOff>1146391</xdr:colOff>
      <xdr:row>9</xdr:row>
      <xdr:rowOff>326571</xdr:rowOff>
    </xdr:from>
    <xdr:to>
      <xdr:col>5</xdr:col>
      <xdr:colOff>595318</xdr:colOff>
      <xdr:row>11</xdr:row>
      <xdr:rowOff>309563</xdr:rowOff>
    </xdr:to>
    <xdr:sp macro="" textlink="">
      <xdr:nvSpPr>
        <xdr:cNvPr id="24" name="Rectangle 2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896735" y="2481602"/>
          <a:ext cx="1401552" cy="6021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10. Breakeven Analysis</a:t>
          </a:r>
        </a:p>
      </xdr:txBody>
    </xdr:sp>
    <xdr:clientData/>
  </xdr:twoCellAnchor>
  <xdr:twoCellAnchor>
    <xdr:from>
      <xdr:col>3</xdr:col>
      <xdr:colOff>1170204</xdr:colOff>
      <xdr:row>11</xdr:row>
      <xdr:rowOff>469447</xdr:rowOff>
    </xdr:from>
    <xdr:to>
      <xdr:col>5</xdr:col>
      <xdr:colOff>619131</xdr:colOff>
      <xdr:row>13</xdr:row>
      <xdr:rowOff>328953</xdr:rowOff>
    </xdr:to>
    <xdr:sp macro="" textlink="">
      <xdr:nvSpPr>
        <xdr:cNvPr id="25" name="Rectangle 2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3920548" y="3243603"/>
          <a:ext cx="1401552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14. Historical</a:t>
          </a:r>
          <a:r>
            <a:rPr lang="en-US" sz="1200" b="1" baseline="0">
              <a:solidFill>
                <a:srgbClr val="FFFF00"/>
              </a:solidFill>
            </a:rPr>
            <a:t> Balance Sheet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3386</xdr:colOff>
      <xdr:row>9</xdr:row>
      <xdr:rowOff>314666</xdr:rowOff>
    </xdr:from>
    <xdr:to>
      <xdr:col>1</xdr:col>
      <xdr:colOff>1404937</xdr:colOff>
      <xdr:row>11</xdr:row>
      <xdr:rowOff>321469</xdr:rowOff>
    </xdr:to>
    <xdr:sp macro="" textlink="">
      <xdr:nvSpPr>
        <xdr:cNvPr id="26" name="Rectangle 2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610605" y="2469697"/>
          <a:ext cx="1401551" cy="6259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8. Balance Sheet</a:t>
          </a:r>
        </a:p>
      </xdr:txBody>
    </xdr:sp>
    <xdr:clientData/>
  </xdr:twoCellAnchor>
  <xdr:twoCellAnchor>
    <xdr:from>
      <xdr:col>5</xdr:col>
      <xdr:colOff>813010</xdr:colOff>
      <xdr:row>4</xdr:row>
      <xdr:rowOff>142875</xdr:rowOff>
    </xdr:from>
    <xdr:to>
      <xdr:col>6</xdr:col>
      <xdr:colOff>428624</xdr:colOff>
      <xdr:row>6</xdr:row>
      <xdr:rowOff>147976</xdr:rowOff>
    </xdr:to>
    <xdr:sp macro="" textlink="">
      <xdr:nvSpPr>
        <xdr:cNvPr id="27" name="Rectangle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515979" y="869156"/>
          <a:ext cx="1401551" cy="6599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3. Budget</a:t>
          </a:r>
        </a:p>
      </xdr:txBody>
    </xdr:sp>
    <xdr:clientData/>
  </xdr:twoCellAnchor>
  <xdr:twoCellAnchor>
    <xdr:from>
      <xdr:col>5</xdr:col>
      <xdr:colOff>813010</xdr:colOff>
      <xdr:row>9</xdr:row>
      <xdr:rowOff>326571</xdr:rowOff>
    </xdr:from>
    <xdr:to>
      <xdr:col>6</xdr:col>
      <xdr:colOff>428624</xdr:colOff>
      <xdr:row>11</xdr:row>
      <xdr:rowOff>314666</xdr:rowOff>
    </xdr:to>
    <xdr:sp macro="" textlink="">
      <xdr:nvSpPr>
        <xdr:cNvPr id="28" name="Rectangle 2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515979" y="2481602"/>
          <a:ext cx="1401551" cy="607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11. Depreciation &amp; Amortization</a:t>
          </a:r>
        </a:p>
      </xdr:txBody>
    </xdr:sp>
    <xdr:clientData/>
  </xdr:twoCellAnchor>
  <xdr:twoCellAnchor>
    <xdr:from>
      <xdr:col>5</xdr:col>
      <xdr:colOff>813010</xdr:colOff>
      <xdr:row>11</xdr:row>
      <xdr:rowOff>481354</xdr:rowOff>
    </xdr:from>
    <xdr:to>
      <xdr:col>6</xdr:col>
      <xdr:colOff>428624</xdr:colOff>
      <xdr:row>13</xdr:row>
      <xdr:rowOff>338479</xdr:rowOff>
    </xdr:to>
    <xdr:sp macro="" textlink="">
      <xdr:nvSpPr>
        <xdr:cNvPr id="29" name="Rectangle 2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5515979" y="3255510"/>
          <a:ext cx="1401551" cy="7024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15. Debtors &amp; Creditors</a:t>
          </a:r>
        </a:p>
      </xdr:txBody>
    </xdr:sp>
    <xdr:clientData/>
  </xdr:twoCellAnchor>
  <xdr:twoCellAnchor>
    <xdr:from>
      <xdr:col>1</xdr:col>
      <xdr:colOff>15308</xdr:colOff>
      <xdr:row>4</xdr:row>
      <xdr:rowOff>154782</xdr:rowOff>
    </xdr:from>
    <xdr:to>
      <xdr:col>1</xdr:col>
      <xdr:colOff>1422356</xdr:colOff>
      <xdr:row>6</xdr:row>
      <xdr:rowOff>137773</xdr:rowOff>
    </xdr:to>
    <xdr:sp macro="" textlink="">
      <xdr:nvSpPr>
        <xdr:cNvPr id="30" name="Rectangle 2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622527" y="881063"/>
          <a:ext cx="1407048" cy="6378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COVER PAGE</a:t>
          </a:r>
        </a:p>
      </xdr:txBody>
    </xdr:sp>
    <xdr:clientData/>
  </xdr:twoCellAnchor>
  <xdr:twoCellAnchor>
    <xdr:from>
      <xdr:col>1</xdr:col>
      <xdr:colOff>1654970</xdr:colOff>
      <xdr:row>9</xdr:row>
      <xdr:rowOff>318069</xdr:rowOff>
    </xdr:from>
    <xdr:to>
      <xdr:col>3</xdr:col>
      <xdr:colOff>907115</xdr:colOff>
      <xdr:row>11</xdr:row>
      <xdr:rowOff>338818</xdr:rowOff>
    </xdr:to>
    <xdr:sp macro="" textlink="">
      <xdr:nvSpPr>
        <xdr:cNvPr id="31" name="Rectangle 30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262189" y="2473100"/>
          <a:ext cx="1395270" cy="6398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9. Financial Ratios</a:t>
          </a:r>
        </a:p>
      </xdr:txBody>
    </xdr:sp>
    <xdr:clientData/>
  </xdr:twoCellAnchor>
  <xdr:twoCellAnchor>
    <xdr:from>
      <xdr:col>3</xdr:col>
      <xdr:colOff>1131094</xdr:colOff>
      <xdr:row>7</xdr:row>
      <xdr:rowOff>130968</xdr:rowOff>
    </xdr:from>
    <xdr:to>
      <xdr:col>5</xdr:col>
      <xdr:colOff>573739</xdr:colOff>
      <xdr:row>9</xdr:row>
      <xdr:rowOff>172811</xdr:rowOff>
    </xdr:to>
    <xdr:sp macro="" textlink="">
      <xdr:nvSpPr>
        <xdr:cNvPr id="32" name="Rectangle 3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3881438" y="1678781"/>
          <a:ext cx="1395270" cy="64906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6. Income</a:t>
          </a:r>
          <a:r>
            <a:rPr lang="en-US" sz="1200" b="1" baseline="0">
              <a:solidFill>
                <a:srgbClr val="FFFF00"/>
              </a:solidFill>
            </a:rPr>
            <a:t> </a:t>
          </a:r>
          <a:r>
            <a:rPr lang="en-US" sz="1200" b="1">
              <a:solidFill>
                <a:srgbClr val="FFFF00"/>
              </a:solidFill>
            </a:rPr>
            <a:t>S</a:t>
          </a:r>
          <a:r>
            <a:rPr lang="en-US" sz="1200" b="1" baseline="0">
              <a:solidFill>
                <a:srgbClr val="FFFF00"/>
              </a:solidFill>
            </a:rPr>
            <a:t>tatement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1</xdr:colOff>
      <xdr:row>11</xdr:row>
      <xdr:rowOff>466045</xdr:rowOff>
    </xdr:from>
    <xdr:to>
      <xdr:col>1</xdr:col>
      <xdr:colOff>1395271</xdr:colOff>
      <xdr:row>13</xdr:row>
      <xdr:rowOff>320449</xdr:rowOff>
    </xdr:to>
    <xdr:sp macro="" textlink="">
      <xdr:nvSpPr>
        <xdr:cNvPr id="33" name="Rectangle 32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607220" y="3240201"/>
          <a:ext cx="1395270" cy="6997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12. Historical</a:t>
          </a:r>
          <a:r>
            <a:rPr lang="en-US" sz="1200" b="1" baseline="0">
              <a:solidFill>
                <a:srgbClr val="FFFF00"/>
              </a:solidFill>
            </a:rPr>
            <a:t> Income Statement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1654967</xdr:colOff>
      <xdr:row>4</xdr:row>
      <xdr:rowOff>154782</xdr:rowOff>
    </xdr:from>
    <xdr:to>
      <xdr:col>3</xdr:col>
      <xdr:colOff>913394</xdr:colOff>
      <xdr:row>6</xdr:row>
      <xdr:rowOff>130968</xdr:rowOff>
    </xdr:to>
    <xdr:sp macro="" textlink="">
      <xdr:nvSpPr>
        <xdr:cNvPr id="18" name="Rectangle 1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262186" y="881063"/>
          <a:ext cx="1401552" cy="6310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FF00"/>
              </a:solidFill>
            </a:rPr>
            <a:t>1. Assumptions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3</xdr:col>
      <xdr:colOff>133350</xdr:colOff>
      <xdr:row>2</xdr:row>
      <xdr:rowOff>123825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38100" y="47625"/>
          <a:ext cx="695325" cy="381000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3</xdr:col>
      <xdr:colOff>152400</xdr:colOff>
      <xdr:row>3</xdr:row>
      <xdr:rowOff>19050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8100" y="76200"/>
          <a:ext cx="714375" cy="400050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47625</xdr:rowOff>
    </xdr:from>
    <xdr:to>
      <xdr:col>1</xdr:col>
      <xdr:colOff>533400</xdr:colOff>
      <xdr:row>2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6675" y="47625"/>
          <a:ext cx="666750" cy="342900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378333</xdr:colOff>
      <xdr:row>2</xdr:row>
      <xdr:rowOff>8382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0"/>
          <a:ext cx="978408" cy="484632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798491</xdr:colOff>
      <xdr:row>5</xdr:row>
      <xdr:rowOff>40132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296333"/>
          <a:ext cx="978408" cy="484632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57150</xdr:rowOff>
    </xdr:from>
    <xdr:to>
      <xdr:col>1</xdr:col>
      <xdr:colOff>619125</xdr:colOff>
      <xdr:row>2</xdr:row>
      <xdr:rowOff>133350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8100" y="57150"/>
          <a:ext cx="781050" cy="381000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0</xdr:col>
      <xdr:colOff>752475</xdr:colOff>
      <xdr:row>3</xdr:row>
      <xdr:rowOff>19050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66675" y="66675"/>
          <a:ext cx="685800" cy="409575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714375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52400"/>
          <a:ext cx="714375" cy="400050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0</xdr:col>
      <xdr:colOff>714375</xdr:colOff>
      <xdr:row>6</xdr:row>
      <xdr:rowOff>186690</xdr:rowOff>
    </xdr:to>
    <xdr:sp macro="" textlink="">
      <xdr:nvSpPr>
        <xdr:cNvPr id="4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3E6D1D-87BB-48C9-AFB3-BD9670E522F8}"/>
            </a:ext>
          </a:extLst>
        </xdr:cNvPr>
        <xdr:cNvSpPr/>
      </xdr:nvSpPr>
      <xdr:spPr>
        <a:xfrm>
          <a:off x="0" y="853440"/>
          <a:ext cx="714375" cy="384810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714375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DB3439-7BA5-45ED-9372-61D0F30B2659}"/>
            </a:ext>
          </a:extLst>
        </xdr:cNvPr>
        <xdr:cNvSpPr/>
      </xdr:nvSpPr>
      <xdr:spPr>
        <a:xfrm>
          <a:off x="0" y="152400"/>
          <a:ext cx="714375" cy="400050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  <xdr:twoCellAnchor>
    <xdr:from>
      <xdr:col>7</xdr:col>
      <xdr:colOff>552449</xdr:colOff>
      <xdr:row>1</xdr:row>
      <xdr:rowOff>0</xdr:rowOff>
    </xdr:from>
    <xdr:to>
      <xdr:col>13</xdr:col>
      <xdr:colOff>542924</xdr:colOff>
      <xdr:row>16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A7D82-0030-49D9-95A9-2D7534EFA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552449</xdr:colOff>
      <xdr:row>16</xdr:row>
      <xdr:rowOff>0</xdr:rowOff>
    </xdr:from>
    <xdr:to>
      <xdr:col>13</xdr:col>
      <xdr:colOff>542924</xdr:colOff>
      <xdr:row>31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4B40E1-CA50-4417-8605-26D985301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10</xdr:row>
      <xdr:rowOff>7621</xdr:rowOff>
    </xdr:from>
    <xdr:to>
      <xdr:col>9</xdr:col>
      <xdr:colOff>22860</xdr:colOff>
      <xdr:row>24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8881F-EA7A-0868-B053-6A888DB50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10</xdr:row>
      <xdr:rowOff>6667</xdr:rowOff>
    </xdr:from>
    <xdr:to>
      <xdr:col>13</xdr:col>
      <xdr:colOff>327660</xdr:colOff>
      <xdr:row>24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46B032-2B0F-674D-465E-B499337C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714375</xdr:colOff>
      <xdr:row>1</xdr:row>
      <xdr:rowOff>182880</xdr:rowOff>
    </xdr:to>
    <xdr:sp macro="" textlink="">
      <xdr:nvSpPr>
        <xdr:cNvPr id="2" name="Left Arrow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DCBCFC-6B38-4777-AD06-F826404F4D28}"/>
            </a:ext>
          </a:extLst>
        </xdr:cNvPr>
        <xdr:cNvSpPr/>
      </xdr:nvSpPr>
      <xdr:spPr>
        <a:xfrm>
          <a:off x="0" y="0"/>
          <a:ext cx="714375" cy="388620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114300</xdr:rowOff>
    </xdr:from>
    <xdr:to>
      <xdr:col>3</xdr:col>
      <xdr:colOff>142875</xdr:colOff>
      <xdr:row>2</xdr:row>
      <xdr:rowOff>0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6200" y="114300"/>
          <a:ext cx="666750" cy="371475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809625</xdr:colOff>
      <xdr:row>2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0"/>
          <a:ext cx="809625" cy="457200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</xdr:row>
      <xdr:rowOff>105833</xdr:rowOff>
    </xdr:from>
    <xdr:to>
      <xdr:col>3</xdr:col>
      <xdr:colOff>449241</xdr:colOff>
      <xdr:row>5</xdr:row>
      <xdr:rowOff>145965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74083" y="402166"/>
          <a:ext cx="978408" cy="484632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776002</xdr:colOff>
      <xdr:row>3</xdr:row>
      <xdr:rowOff>83344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0"/>
          <a:ext cx="978408" cy="559594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600075</xdr:colOff>
      <xdr:row>2</xdr:row>
      <xdr:rowOff>161925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0" y="0"/>
          <a:ext cx="800100" cy="466725"/>
        </a:xfrm>
        <a:prstGeom prst="leftArrow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BACK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pungose/Desktop/Mzwandile/CT%20Hydraulics%20financial%20model%2022%20April%202016%20v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1. Introduction"/>
      <sheetName val="2. Historical Income Statement"/>
      <sheetName val="3. History Cash Flow Statement "/>
      <sheetName val="4. History Balance Sheet"/>
      <sheetName val="5. Sales forecast inputs"/>
      <sheetName val="6. Budget breakdown"/>
      <sheetName val="7. Required Start-Up Funds"/>
      <sheetName val="8. Salaries and Wages"/>
      <sheetName val="9. Fixed Operating Expenses"/>
      <sheetName val="10. Projected Sales Forecast"/>
      <sheetName val="11. Cash Receipts-Disbursements"/>
      <sheetName val="7. Beginning Balance Sheet"/>
      <sheetName val="12. Income Statement Yr1"/>
      <sheetName val="13. Cash Flow Statement Yr1"/>
      <sheetName val="14. Balance Sheet Yr1"/>
      <sheetName val="16. Income Statement Yr2"/>
      <sheetName val="17. Cash Flow Statement Yr2"/>
      <sheetName val="18. Balance Sheet Yr2"/>
      <sheetName val="19. Income Statement Yr3"/>
      <sheetName val="20. Cash Flow Statement Yr3"/>
      <sheetName val="21. Balance Sheet Yr3"/>
      <sheetName val="19. Income Statement Yr4"/>
      <sheetName val="20. Cash Flow Statement Yr4"/>
      <sheetName val="21. Balance Sheet Yr4"/>
      <sheetName val="19. Income Statement Yr5"/>
      <sheetName val="20. Cash Flow Statement Yr5"/>
      <sheetName val="21. Balance Sheet Yr5"/>
      <sheetName val="15. Summary of Fore Casts"/>
      <sheetName val="22. Financial Ratios"/>
      <sheetName val="23. Breakeven Analysis"/>
      <sheetName val="24. Amoritization Schedule"/>
      <sheetName val="26. Financial Diagno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B1:R16"/>
  <sheetViews>
    <sheetView zoomScale="110" zoomScaleNormal="110" workbookViewId="0"/>
  </sheetViews>
  <sheetFormatPr defaultColWidth="9.125" defaultRowHeight="11.4" x14ac:dyDescent="0.2"/>
  <cols>
    <col min="1" max="1" width="3.875" style="272" customWidth="1"/>
    <col min="2" max="2" width="26.75" style="272" customWidth="1"/>
    <col min="3" max="3" width="5.25" style="272" customWidth="1"/>
    <col min="4" max="4" width="26.75" style="272" customWidth="1"/>
    <col min="5" max="5" width="2.625" style="272" customWidth="1"/>
    <col min="6" max="6" width="26.75" style="272" customWidth="1"/>
    <col min="7" max="7" width="6.375" style="272" customWidth="1"/>
    <col min="8" max="8" width="3.75" style="272" customWidth="1"/>
    <col min="9" max="9" width="11.125" style="272" customWidth="1"/>
    <col min="10" max="10" width="19.125" style="272" customWidth="1"/>
    <col min="11" max="17" width="9.125" style="272"/>
    <col min="18" max="18" width="12.125" style="272" customWidth="1"/>
    <col min="19" max="16384" width="9.125" style="272"/>
  </cols>
  <sheetData>
    <row r="1" spans="2:18" ht="24.6" customHeight="1" thickBot="1" x14ac:dyDescent="0.25"/>
    <row r="2" spans="2:18" ht="12" customHeight="1" x14ac:dyDescent="0.3">
      <c r="B2" s="577" t="s">
        <v>467</v>
      </c>
      <c r="C2" s="578"/>
      <c r="D2" s="578"/>
      <c r="E2" s="578"/>
      <c r="F2" s="578"/>
      <c r="G2" s="579"/>
      <c r="H2" s="274"/>
      <c r="I2" s="623" t="s">
        <v>267</v>
      </c>
      <c r="J2" s="624"/>
      <c r="K2" s="624"/>
      <c r="L2" s="624"/>
      <c r="M2" s="624"/>
      <c r="N2" s="624"/>
      <c r="O2" s="624"/>
      <c r="P2" s="624"/>
      <c r="Q2" s="624"/>
      <c r="R2" s="625"/>
    </row>
    <row r="3" spans="2:18" ht="18.75" customHeight="1" x14ac:dyDescent="0.3">
      <c r="B3" s="580"/>
      <c r="C3" s="581"/>
      <c r="D3" s="581"/>
      <c r="E3" s="581"/>
      <c r="F3" s="581"/>
      <c r="G3" s="582"/>
      <c r="H3" s="274"/>
      <c r="I3" s="626"/>
      <c r="J3" s="622"/>
      <c r="K3" s="622"/>
      <c r="L3" s="622"/>
      <c r="M3" s="622"/>
      <c r="N3" s="622"/>
      <c r="O3" s="622"/>
      <c r="P3" s="622"/>
      <c r="Q3" s="622"/>
      <c r="R3" s="627"/>
    </row>
    <row r="4" spans="2:18" ht="12.75" customHeight="1" thickBot="1" x14ac:dyDescent="0.35">
      <c r="B4" s="583"/>
      <c r="C4" s="584"/>
      <c r="D4" s="584"/>
      <c r="E4" s="584"/>
      <c r="F4" s="584"/>
      <c r="G4" s="585"/>
      <c r="H4" s="274"/>
      <c r="I4" s="628"/>
      <c r="J4" s="629"/>
      <c r="K4" s="629"/>
      <c r="L4" s="629"/>
      <c r="M4" s="629"/>
      <c r="N4" s="629"/>
      <c r="O4" s="629"/>
      <c r="P4" s="629"/>
      <c r="Q4" s="629"/>
      <c r="R4" s="630"/>
    </row>
    <row r="5" spans="2:18" ht="15.75" customHeight="1" x14ac:dyDescent="0.3">
      <c r="H5" s="274"/>
      <c r="I5" s="586"/>
      <c r="J5" s="586"/>
      <c r="K5" s="586"/>
      <c r="L5" s="586"/>
      <c r="M5" s="586"/>
      <c r="N5" s="586"/>
      <c r="O5" s="586"/>
      <c r="P5" s="586"/>
      <c r="Q5" s="586"/>
    </row>
    <row r="6" spans="2:18" ht="35.25" customHeight="1" x14ac:dyDescent="0.3">
      <c r="B6" s="274"/>
      <c r="C6" s="291"/>
      <c r="D6" s="274"/>
      <c r="E6" s="274"/>
      <c r="F6" s="274"/>
      <c r="G6" s="274"/>
      <c r="H6" s="274"/>
      <c r="I6" s="586"/>
      <c r="J6" s="586"/>
      <c r="K6" s="586"/>
      <c r="L6" s="586"/>
      <c r="M6" s="586"/>
      <c r="N6" s="586"/>
      <c r="O6" s="586"/>
      <c r="P6" s="586"/>
      <c r="Q6" s="586"/>
    </row>
    <row r="7" spans="2:18" ht="12.75" customHeight="1" x14ac:dyDescent="0.2">
      <c r="B7" s="273"/>
      <c r="C7" s="273"/>
      <c r="D7" s="273"/>
      <c r="E7" s="273"/>
      <c r="F7" s="273"/>
      <c r="G7" s="273"/>
      <c r="H7" s="273"/>
    </row>
    <row r="8" spans="2:18" ht="35.25" customHeight="1" x14ac:dyDescent="0.3">
      <c r="B8" s="274"/>
      <c r="C8" s="274"/>
      <c r="D8" s="274"/>
      <c r="E8" s="274"/>
      <c r="F8" s="274"/>
      <c r="G8" s="274"/>
      <c r="H8" s="274"/>
    </row>
    <row r="9" spans="2:18" ht="12" customHeight="1" x14ac:dyDescent="0.3">
      <c r="B9" s="274"/>
      <c r="C9" s="274"/>
      <c r="D9" s="274"/>
      <c r="E9" s="274"/>
      <c r="F9" s="274"/>
      <c r="G9" s="274"/>
      <c r="H9" s="274"/>
    </row>
    <row r="10" spans="2:18" ht="39" customHeight="1" x14ac:dyDescent="0.2">
      <c r="B10" s="273"/>
      <c r="C10" s="273"/>
      <c r="D10" s="273"/>
      <c r="E10" s="273"/>
      <c r="F10" s="273"/>
      <c r="G10" s="273"/>
      <c r="H10" s="273"/>
    </row>
    <row r="11" spans="2:18" ht="9.75" customHeight="1" x14ac:dyDescent="0.3">
      <c r="B11" s="274"/>
      <c r="C11" s="274"/>
      <c r="D11" s="274"/>
      <c r="E11" s="274"/>
      <c r="F11" s="274"/>
      <c r="G11" s="274"/>
      <c r="H11" s="274"/>
    </row>
    <row r="12" spans="2:18" ht="51" customHeight="1" x14ac:dyDescent="0.3">
      <c r="B12" s="274"/>
      <c r="C12" s="274"/>
      <c r="D12" s="274"/>
      <c r="E12" s="274"/>
      <c r="F12" s="274"/>
      <c r="G12" s="274"/>
      <c r="H12" s="274"/>
    </row>
    <row r="13" spans="2:18" ht="15.6" x14ac:dyDescent="0.2">
      <c r="B13" s="273"/>
      <c r="C13" s="273"/>
      <c r="D13" s="273"/>
      <c r="E13" s="273"/>
      <c r="F13" s="273"/>
      <c r="G13" s="273"/>
      <c r="H13" s="273"/>
      <c r="I13" s="273"/>
      <c r="J13" s="273"/>
    </row>
    <row r="14" spans="2:18" ht="30" customHeight="1" x14ac:dyDescent="0.3">
      <c r="B14" s="274"/>
      <c r="C14" s="274"/>
      <c r="D14" s="274"/>
      <c r="E14" s="274"/>
      <c r="F14" s="274"/>
      <c r="G14" s="274"/>
      <c r="H14" s="274"/>
      <c r="I14" s="274"/>
      <c r="J14" s="274"/>
    </row>
    <row r="15" spans="2:18" ht="15.6" x14ac:dyDescent="0.3">
      <c r="B15" s="274"/>
      <c r="C15" s="274"/>
      <c r="D15" s="274"/>
      <c r="E15" s="274"/>
      <c r="F15" s="274"/>
      <c r="G15" s="274"/>
      <c r="H15" s="274"/>
      <c r="I15" s="274"/>
      <c r="J15" s="274"/>
    </row>
    <row r="16" spans="2:18" ht="15.6" x14ac:dyDescent="0.3">
      <c r="H16" s="274"/>
      <c r="I16" s="274"/>
      <c r="J16" s="274"/>
    </row>
  </sheetData>
  <mergeCells count="3">
    <mergeCell ref="B2:G4"/>
    <mergeCell ref="I5:Q6"/>
    <mergeCell ref="I2:R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indexed="42"/>
  </sheetPr>
  <dimension ref="A1:R89"/>
  <sheetViews>
    <sheetView showGridLines="0" showRowColHeaders="0" workbookViewId="0">
      <selection activeCell="H30" sqref="H30"/>
    </sheetView>
  </sheetViews>
  <sheetFormatPr defaultColWidth="8.875" defaultRowHeight="11.4" x14ac:dyDescent="0.2"/>
  <cols>
    <col min="1" max="3" width="3" style="3" customWidth="1"/>
    <col min="4" max="4" width="22.75" customWidth="1"/>
    <col min="5" max="5" width="10.75" customWidth="1"/>
    <col min="6" max="6" width="20.75" customWidth="1"/>
    <col min="7" max="7" width="8.75" customWidth="1"/>
    <col min="8" max="8" width="10.75" customWidth="1"/>
    <col min="9" max="9" width="20.75" customWidth="1"/>
    <col min="10" max="10" width="8.75" customWidth="1"/>
    <col min="11" max="17" width="10.75" customWidth="1"/>
    <col min="18" max="18" width="15.75" customWidth="1"/>
  </cols>
  <sheetData>
    <row r="1" spans="1:18" ht="15.6" x14ac:dyDescent="0.3">
      <c r="A1" s="2" t="str">
        <f>'4. Financing'!A1</f>
        <v xml:space="preserve">Sources of funding </v>
      </c>
    </row>
    <row r="2" spans="1:18" ht="15.6" x14ac:dyDescent="0.3">
      <c r="A2" s="2" t="s">
        <v>54</v>
      </c>
    </row>
    <row r="3" spans="1:18" ht="12.75" customHeight="1" x14ac:dyDescent="0.3">
      <c r="A3" s="32" t="s">
        <v>73</v>
      </c>
      <c r="B3" s="1"/>
      <c r="C3" s="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4"/>
      <c r="R3" s="4"/>
    </row>
    <row r="4" spans="1:18" ht="12.75" customHeight="1" x14ac:dyDescent="0.25">
      <c r="A4" s="33" t="s">
        <v>74</v>
      </c>
      <c r="B4" s="1"/>
      <c r="C4" s="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4"/>
      <c r="R4" s="4"/>
    </row>
    <row r="5" spans="1:18" ht="12.75" customHeight="1" x14ac:dyDescent="0.25">
      <c r="A5" s="1"/>
      <c r="B5" s="1"/>
      <c r="C5" s="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4"/>
      <c r="R5" s="4"/>
    </row>
    <row r="6" spans="1:18" ht="12.75" customHeight="1" thickBot="1" x14ac:dyDescent="0.3">
      <c r="A6" s="1"/>
      <c r="B6" s="1"/>
      <c r="C6" s="1"/>
      <c r="D6" s="11"/>
      <c r="E6" s="23"/>
      <c r="F6" s="28">
        <v>39082</v>
      </c>
      <c r="G6" s="24" t="s">
        <v>53</v>
      </c>
      <c r="H6" s="23"/>
      <c r="I6" s="23"/>
      <c r="J6" s="24"/>
      <c r="K6" s="23"/>
      <c r="L6" s="23"/>
      <c r="M6" s="23"/>
      <c r="N6" s="23"/>
      <c r="O6" s="23"/>
      <c r="P6" s="23"/>
      <c r="Q6" s="6"/>
      <c r="R6" s="6"/>
    </row>
    <row r="7" spans="1:18" ht="12.75" customHeight="1" thickTop="1" x14ac:dyDescent="0.25">
      <c r="A7" s="1"/>
      <c r="B7" s="1"/>
      <c r="C7" s="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4"/>
      <c r="R7" s="4"/>
    </row>
    <row r="8" spans="1:18" ht="12.75" customHeight="1" x14ac:dyDescent="0.25">
      <c r="A8" s="1" t="s">
        <v>33</v>
      </c>
      <c r="B8" s="1"/>
      <c r="C8" s="1"/>
      <c r="D8" s="11"/>
      <c r="E8" s="11"/>
      <c r="F8" s="25"/>
      <c r="G8" s="25"/>
      <c r="H8" s="25"/>
      <c r="I8" s="25"/>
      <c r="J8" s="11"/>
      <c r="K8" s="11"/>
      <c r="L8" s="11"/>
      <c r="M8" s="11"/>
      <c r="N8" s="11"/>
      <c r="O8" s="11"/>
      <c r="P8" s="11"/>
      <c r="Q8" s="4"/>
      <c r="R8" s="4"/>
    </row>
    <row r="9" spans="1:18" ht="12.75" customHeight="1" x14ac:dyDescent="0.25">
      <c r="A9" s="1"/>
      <c r="B9" s="1" t="s">
        <v>34</v>
      </c>
      <c r="C9" s="1"/>
      <c r="D9" s="11"/>
      <c r="E9" s="11"/>
      <c r="F9" s="25"/>
      <c r="G9" s="25"/>
      <c r="H9" s="25"/>
      <c r="I9" s="25"/>
      <c r="J9" s="11"/>
      <c r="K9" s="11"/>
      <c r="L9" s="11"/>
      <c r="M9" s="11"/>
      <c r="N9" s="11"/>
      <c r="O9" s="11"/>
      <c r="P9" s="11"/>
      <c r="Q9" s="4"/>
      <c r="R9" s="4"/>
    </row>
    <row r="10" spans="1:18" ht="12.75" customHeight="1" x14ac:dyDescent="0.25">
      <c r="A10" s="1"/>
      <c r="B10" s="1"/>
      <c r="C10" s="1" t="s">
        <v>35</v>
      </c>
      <c r="D10" s="11"/>
      <c r="E10" s="11"/>
      <c r="F10" s="29">
        <v>0</v>
      </c>
      <c r="G10" s="25"/>
      <c r="H10" s="25"/>
      <c r="I10" s="25"/>
      <c r="J10" s="11"/>
      <c r="K10" s="11"/>
      <c r="L10" s="11"/>
      <c r="M10" s="11"/>
      <c r="N10" s="11"/>
      <c r="O10" s="11"/>
      <c r="P10" s="11"/>
      <c r="Q10" s="4"/>
      <c r="R10" s="4"/>
    </row>
    <row r="11" spans="1:18" ht="12.75" customHeight="1" x14ac:dyDescent="0.25">
      <c r="A11" s="1"/>
      <c r="B11" s="1"/>
      <c r="C11" s="1" t="s">
        <v>30</v>
      </c>
      <c r="D11" s="11"/>
      <c r="E11" s="11"/>
      <c r="F11" s="29">
        <v>0</v>
      </c>
      <c r="G11" s="25"/>
      <c r="H11" s="25"/>
      <c r="I11" s="25"/>
      <c r="J11" s="11"/>
      <c r="K11" s="11"/>
      <c r="L11" s="11"/>
      <c r="M11" s="11"/>
      <c r="N11" s="11"/>
      <c r="O11" s="11"/>
      <c r="P11" s="11"/>
      <c r="Q11" s="4"/>
      <c r="R11" s="4"/>
    </row>
    <row r="12" spans="1:18" ht="12.75" customHeight="1" x14ac:dyDescent="0.25">
      <c r="A12" s="1"/>
      <c r="B12" s="1"/>
      <c r="C12" s="1" t="s">
        <v>36</v>
      </c>
      <c r="D12" s="11"/>
      <c r="E12" s="11"/>
      <c r="F12" s="29">
        <v>0</v>
      </c>
      <c r="G12" s="25"/>
      <c r="H12" s="25"/>
      <c r="I12" s="25"/>
      <c r="J12" s="11"/>
      <c r="K12" s="11"/>
      <c r="L12" s="11"/>
      <c r="M12" s="11"/>
      <c r="N12" s="11"/>
      <c r="O12" s="11"/>
      <c r="P12" s="11"/>
      <c r="Q12" s="4"/>
      <c r="R12" s="4"/>
    </row>
    <row r="13" spans="1:18" ht="12.75" customHeight="1" x14ac:dyDescent="0.25">
      <c r="A13" s="1"/>
      <c r="B13" s="1"/>
      <c r="C13" s="1" t="s">
        <v>37</v>
      </c>
      <c r="D13" s="11"/>
      <c r="E13" s="11"/>
      <c r="F13" s="29">
        <v>0</v>
      </c>
      <c r="G13" s="25"/>
      <c r="H13" s="25"/>
      <c r="I13" s="25"/>
      <c r="J13" s="11"/>
      <c r="K13" s="11"/>
      <c r="L13" s="11"/>
      <c r="M13" s="11"/>
      <c r="N13" s="11"/>
      <c r="O13" s="11"/>
      <c r="P13" s="11"/>
      <c r="Q13" s="4"/>
      <c r="R13" s="4"/>
    </row>
    <row r="14" spans="1:18" ht="12.75" customHeight="1" thickBot="1" x14ac:dyDescent="0.3">
      <c r="A14" s="1"/>
      <c r="B14" s="1"/>
      <c r="C14" s="1" t="s">
        <v>38</v>
      </c>
      <c r="D14" s="11"/>
      <c r="E14" s="11"/>
      <c r="F14" s="30">
        <v>0</v>
      </c>
      <c r="G14" s="25"/>
      <c r="H14" s="25"/>
      <c r="I14" s="25"/>
      <c r="J14" s="11"/>
      <c r="K14" s="11"/>
      <c r="L14" s="11"/>
      <c r="M14" s="11"/>
      <c r="N14" s="11"/>
      <c r="O14" s="11"/>
      <c r="P14" s="11"/>
      <c r="Q14" s="4"/>
      <c r="R14" s="4"/>
    </row>
    <row r="15" spans="1:18" ht="12.75" customHeight="1" x14ac:dyDescent="0.25">
      <c r="A15" s="1"/>
      <c r="B15" s="1" t="s">
        <v>39</v>
      </c>
      <c r="C15" s="1"/>
      <c r="D15" s="11"/>
      <c r="E15" s="25"/>
      <c r="F15" s="25">
        <f>SUM(F10:F14)</f>
        <v>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7"/>
      <c r="R15" s="7"/>
    </row>
    <row r="16" spans="1:18" ht="12.75" customHeight="1" x14ac:dyDescent="0.25">
      <c r="A16" s="1"/>
      <c r="B16" s="1"/>
      <c r="C16" s="1"/>
      <c r="D16" s="11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7"/>
      <c r="R16" s="7"/>
    </row>
    <row r="17" spans="1:18" ht="12.75" customHeight="1" x14ac:dyDescent="0.25">
      <c r="A17" s="1"/>
      <c r="B17" s="1" t="s">
        <v>4</v>
      </c>
      <c r="C17" s="1"/>
      <c r="D17" s="11"/>
      <c r="E17" s="17"/>
      <c r="F17" s="25"/>
      <c r="G17" s="25"/>
      <c r="H17" s="25"/>
      <c r="I17" s="25"/>
      <c r="J17" s="17"/>
      <c r="K17" s="17"/>
      <c r="L17" s="17"/>
      <c r="M17" s="17"/>
      <c r="N17" s="17"/>
      <c r="O17" s="17"/>
      <c r="P17" s="17"/>
      <c r="Q17" s="8"/>
      <c r="R17" s="8"/>
    </row>
    <row r="18" spans="1:18" ht="12.75" customHeight="1" x14ac:dyDescent="0.25">
      <c r="A18" s="1"/>
      <c r="B18" s="1"/>
      <c r="C18" s="1" t="str">
        <f>'4. Financing'!C4</f>
        <v>Real Estate-Land</v>
      </c>
      <c r="D18" s="11"/>
      <c r="E18" s="17"/>
      <c r="F18" s="29">
        <v>0</v>
      </c>
      <c r="G18" s="25"/>
      <c r="H18" s="25"/>
      <c r="I18" s="25"/>
      <c r="J18" s="17"/>
      <c r="K18" s="17"/>
      <c r="L18" s="17"/>
      <c r="M18" s="17"/>
      <c r="N18" s="17"/>
      <c r="O18" s="17"/>
      <c r="P18" s="17"/>
      <c r="Q18" s="8"/>
      <c r="R18" s="8"/>
    </row>
    <row r="19" spans="1:18" ht="12.75" customHeight="1" x14ac:dyDescent="0.25">
      <c r="A19" s="1"/>
      <c r="B19" s="1"/>
      <c r="C19" s="1" t="str">
        <f>'4. Financing'!C5</f>
        <v>Buildings</v>
      </c>
      <c r="D19" s="11"/>
      <c r="E19" s="25"/>
      <c r="F19" s="29">
        <v>0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7"/>
      <c r="R19" s="7"/>
    </row>
    <row r="20" spans="1:18" ht="12.75" customHeight="1" x14ac:dyDescent="0.25">
      <c r="A20" s="1"/>
      <c r="B20" s="1"/>
      <c r="C20" s="1" t="str">
        <f>'4. Financing'!C6</f>
        <v>Installations and Customazation</v>
      </c>
      <c r="D20" s="11"/>
      <c r="E20" s="25"/>
      <c r="F20" s="29">
        <v>0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7"/>
      <c r="R20" s="7"/>
    </row>
    <row r="21" spans="1:18" ht="12.75" customHeight="1" x14ac:dyDescent="0.25">
      <c r="A21" s="1"/>
      <c r="B21" s="1"/>
      <c r="C21" s="1" t="str">
        <f>'4. Financing'!C8</f>
        <v>Machinery, hard ware &amp; software</v>
      </c>
      <c r="D21" s="11"/>
      <c r="E21" s="17"/>
      <c r="F21" s="29">
        <v>0</v>
      </c>
      <c r="G21" s="25"/>
      <c r="H21" s="25"/>
      <c r="I21" s="25"/>
      <c r="J21" s="17"/>
      <c r="K21" s="17"/>
      <c r="L21" s="17"/>
      <c r="M21" s="17"/>
      <c r="N21" s="17"/>
      <c r="O21" s="17"/>
      <c r="P21" s="17"/>
      <c r="Q21" s="8"/>
      <c r="R21" s="8"/>
    </row>
    <row r="22" spans="1:18" ht="12.75" customHeight="1" x14ac:dyDescent="0.25">
      <c r="A22" s="1"/>
      <c r="B22" s="1"/>
      <c r="C22" s="1" t="str">
        <f>'4. Financing'!C10</f>
        <v>Working Capital Provision</v>
      </c>
      <c r="D22" s="11"/>
      <c r="E22" s="17"/>
      <c r="F22" s="29">
        <v>0</v>
      </c>
      <c r="G22" s="25"/>
      <c r="H22" s="25"/>
      <c r="I22" s="25"/>
      <c r="J22" s="17"/>
      <c r="K22" s="17"/>
      <c r="L22" s="17"/>
      <c r="M22" s="17"/>
      <c r="N22" s="17"/>
      <c r="O22" s="17"/>
      <c r="P22" s="17"/>
      <c r="Q22" s="8"/>
      <c r="R22" s="8"/>
    </row>
    <row r="23" spans="1:18" ht="12.75" customHeight="1" x14ac:dyDescent="0.25">
      <c r="A23" s="1"/>
      <c r="B23" s="1"/>
      <c r="C23" s="1" t="str">
        <f>'4. Financing'!C9</f>
        <v>Vehicles</v>
      </c>
      <c r="D23" s="11"/>
      <c r="E23" s="17"/>
      <c r="F23" s="29">
        <v>0</v>
      </c>
      <c r="G23" s="25"/>
      <c r="H23" s="25"/>
      <c r="I23" s="25"/>
      <c r="J23" s="17"/>
      <c r="K23" s="17"/>
      <c r="L23" s="17"/>
      <c r="M23" s="17"/>
      <c r="N23" s="17"/>
      <c r="O23" s="17"/>
      <c r="P23" s="17"/>
      <c r="Q23" s="8"/>
      <c r="R23" s="8"/>
    </row>
    <row r="24" spans="1:18" ht="12.75" customHeight="1" thickBot="1" x14ac:dyDescent="0.3">
      <c r="A24" s="1"/>
      <c r="B24" s="1"/>
      <c r="C24" s="1" t="e">
        <f>'4. Financing'!#REF!</f>
        <v>#REF!</v>
      </c>
      <c r="D24" s="11"/>
      <c r="E24" s="25"/>
      <c r="F24" s="30">
        <v>0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7"/>
      <c r="R24" s="7"/>
    </row>
    <row r="25" spans="1:18" ht="12.75" customHeight="1" x14ac:dyDescent="0.25">
      <c r="A25" s="1"/>
      <c r="B25" s="1" t="s">
        <v>7</v>
      </c>
      <c r="C25" s="1"/>
      <c r="D25" s="11"/>
      <c r="E25" s="25"/>
      <c r="F25" s="25">
        <f>SUM(F18:F24)</f>
        <v>0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7"/>
      <c r="R25" s="7"/>
    </row>
    <row r="26" spans="1:18" ht="12.75" customHeight="1" x14ac:dyDescent="0.25">
      <c r="A26" s="1"/>
      <c r="B26" s="1"/>
      <c r="C26" s="1"/>
      <c r="D26" s="11"/>
      <c r="E26" s="17"/>
      <c r="F26" s="25"/>
      <c r="G26" s="25"/>
      <c r="H26" s="25"/>
      <c r="I26" s="25"/>
      <c r="J26" s="17"/>
      <c r="K26" s="17"/>
      <c r="L26" s="17"/>
      <c r="M26" s="17"/>
      <c r="N26" s="17"/>
      <c r="O26" s="17"/>
      <c r="P26" s="17"/>
      <c r="Q26" s="8"/>
      <c r="R26" s="8"/>
    </row>
    <row r="27" spans="1:18" ht="12.75" customHeight="1" x14ac:dyDescent="0.25">
      <c r="A27" s="1"/>
      <c r="B27" s="1" t="s">
        <v>40</v>
      </c>
      <c r="C27" s="1"/>
      <c r="D27" s="11"/>
      <c r="E27" s="11"/>
      <c r="F27" s="29">
        <v>0</v>
      </c>
      <c r="G27" s="25"/>
      <c r="H27" s="25"/>
      <c r="I27" s="25"/>
      <c r="J27" s="11"/>
      <c r="K27" s="11"/>
      <c r="L27" s="11"/>
      <c r="M27" s="11"/>
      <c r="N27" s="11"/>
      <c r="O27" s="11"/>
      <c r="P27" s="11"/>
      <c r="Q27" s="4"/>
      <c r="R27" s="4"/>
    </row>
    <row r="28" spans="1:18" ht="12.75" customHeight="1" thickBot="1" x14ac:dyDescent="0.3">
      <c r="A28" s="1"/>
      <c r="B28" s="1"/>
      <c r="C28" s="1"/>
      <c r="D28" s="11"/>
      <c r="E28" s="11"/>
      <c r="F28" s="15"/>
      <c r="G28" s="25"/>
      <c r="H28" s="25"/>
      <c r="I28" s="25"/>
      <c r="J28" s="11"/>
      <c r="K28" s="11"/>
      <c r="L28" s="11"/>
      <c r="M28" s="11"/>
      <c r="N28" s="11"/>
      <c r="O28" s="11"/>
      <c r="P28" s="11"/>
      <c r="Q28" s="4"/>
      <c r="R28" s="4"/>
    </row>
    <row r="29" spans="1:18" ht="15.9" customHeight="1" thickBot="1" x14ac:dyDescent="0.3">
      <c r="A29" s="1" t="s">
        <v>41</v>
      </c>
      <c r="B29" s="1"/>
      <c r="C29" s="1"/>
      <c r="D29" s="11"/>
      <c r="E29" s="11"/>
      <c r="F29" s="19">
        <f>INT(F15+F25-F27)</f>
        <v>0</v>
      </c>
      <c r="G29" s="25"/>
      <c r="H29" s="25"/>
      <c r="I29" s="25"/>
      <c r="J29" s="11"/>
      <c r="K29" s="11"/>
      <c r="L29" s="11"/>
      <c r="M29" s="11"/>
      <c r="N29" s="11"/>
      <c r="O29" s="11"/>
      <c r="P29" s="11"/>
      <c r="Q29" s="4"/>
      <c r="R29" s="4"/>
    </row>
    <row r="30" spans="1:18" ht="12.75" customHeight="1" thickTop="1" x14ac:dyDescent="0.25">
      <c r="A30" s="1"/>
      <c r="B30" s="1"/>
      <c r="C30" s="1"/>
      <c r="D30" s="11"/>
      <c r="E30" s="11"/>
      <c r="F30" s="25"/>
      <c r="G30" s="25"/>
      <c r="H30" s="25"/>
      <c r="I30" s="25"/>
      <c r="J30" s="11"/>
      <c r="K30" s="11"/>
      <c r="L30" s="11"/>
      <c r="M30" s="11"/>
      <c r="N30" s="11"/>
      <c r="O30" s="11"/>
      <c r="P30" s="11"/>
      <c r="Q30" s="4"/>
      <c r="R30" s="4"/>
    </row>
    <row r="31" spans="1:18" ht="12.75" customHeight="1" x14ac:dyDescent="0.25">
      <c r="A31" s="1"/>
      <c r="B31" s="1"/>
      <c r="C31" s="1"/>
      <c r="D31" s="11"/>
      <c r="E31" s="11"/>
      <c r="F31" s="25"/>
      <c r="G31" s="25"/>
      <c r="H31" s="25"/>
      <c r="I31" s="25"/>
      <c r="J31" s="11"/>
      <c r="K31" s="11"/>
      <c r="L31" s="11"/>
      <c r="M31" s="11"/>
      <c r="N31" s="11"/>
      <c r="O31" s="11"/>
      <c r="P31" s="11"/>
      <c r="Q31" s="4"/>
      <c r="R31" s="4"/>
    </row>
    <row r="32" spans="1:18" ht="12.75" customHeight="1" x14ac:dyDescent="0.25">
      <c r="A32" s="1"/>
      <c r="B32" s="1"/>
      <c r="C32" s="1"/>
      <c r="D32" s="11"/>
      <c r="E32" s="11"/>
      <c r="F32" s="25"/>
      <c r="G32" s="25"/>
      <c r="H32" s="25"/>
      <c r="I32" s="25"/>
      <c r="J32" s="11"/>
      <c r="K32" s="11"/>
      <c r="L32" s="11"/>
      <c r="M32" s="11"/>
      <c r="N32" s="11"/>
      <c r="O32" s="11"/>
      <c r="P32" s="11"/>
      <c r="Q32" s="4"/>
      <c r="R32" s="4"/>
    </row>
    <row r="33" spans="1:18" ht="12.75" customHeight="1" x14ac:dyDescent="0.25">
      <c r="A33" s="1" t="s">
        <v>42</v>
      </c>
      <c r="B33" s="1"/>
      <c r="C33" s="1"/>
      <c r="D33" s="11"/>
      <c r="E33" s="11"/>
      <c r="F33" s="25"/>
      <c r="G33" s="25"/>
      <c r="H33" s="25"/>
      <c r="I33" s="25"/>
      <c r="J33" s="11"/>
      <c r="K33" s="11"/>
      <c r="L33" s="11"/>
      <c r="M33" s="11"/>
      <c r="N33" s="11"/>
      <c r="O33" s="11"/>
      <c r="P33" s="11"/>
      <c r="Q33" s="4"/>
      <c r="R33" s="4"/>
    </row>
    <row r="34" spans="1:18" ht="12.75" customHeight="1" x14ac:dyDescent="0.25">
      <c r="A34" s="1"/>
      <c r="B34" s="1" t="s">
        <v>46</v>
      </c>
      <c r="C34" s="1"/>
      <c r="D34" s="11"/>
      <c r="E34" s="11"/>
      <c r="F34" s="25"/>
      <c r="G34" s="25"/>
      <c r="H34" s="25"/>
      <c r="I34" s="25"/>
      <c r="J34" s="11"/>
      <c r="K34" s="11"/>
      <c r="L34" s="11"/>
      <c r="M34" s="11"/>
      <c r="N34" s="11"/>
      <c r="O34" s="11"/>
      <c r="P34" s="11"/>
      <c r="Q34" s="4"/>
      <c r="R34" s="4"/>
    </row>
    <row r="35" spans="1:18" ht="12.75" customHeight="1" x14ac:dyDescent="0.25">
      <c r="A35" s="1"/>
      <c r="B35" s="1"/>
      <c r="C35" s="1" t="s">
        <v>43</v>
      </c>
      <c r="D35" s="11"/>
      <c r="E35" s="25"/>
      <c r="F35" s="29">
        <v>0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7"/>
      <c r="R35" s="7"/>
    </row>
    <row r="36" spans="1:18" ht="12.75" customHeight="1" x14ac:dyDescent="0.25">
      <c r="A36" s="1"/>
      <c r="B36" s="1"/>
      <c r="C36" s="1" t="s">
        <v>44</v>
      </c>
      <c r="D36" s="11"/>
      <c r="E36" s="17"/>
      <c r="F36" s="29">
        <v>0</v>
      </c>
      <c r="G36" s="25"/>
      <c r="H36" s="25"/>
      <c r="I36" s="25"/>
      <c r="J36" s="17"/>
      <c r="K36" s="17"/>
      <c r="L36" s="17"/>
      <c r="M36" s="17"/>
      <c r="N36" s="17"/>
      <c r="O36" s="17"/>
      <c r="P36" s="17"/>
      <c r="Q36" s="8"/>
      <c r="R36" s="4"/>
    </row>
    <row r="37" spans="1:18" ht="12.75" customHeight="1" x14ac:dyDescent="0.25">
      <c r="A37" s="1"/>
      <c r="B37" s="1"/>
      <c r="C37" s="1" t="s">
        <v>45</v>
      </c>
      <c r="D37" s="11"/>
      <c r="E37" s="11"/>
      <c r="F37" s="29">
        <v>0</v>
      </c>
      <c r="G37" s="25"/>
      <c r="H37" s="25"/>
      <c r="I37" s="25"/>
      <c r="J37" s="11"/>
      <c r="K37" s="11"/>
      <c r="L37" s="11"/>
      <c r="M37" s="11"/>
      <c r="N37" s="11"/>
      <c r="O37" s="11"/>
      <c r="P37" s="11"/>
      <c r="Q37" s="4"/>
      <c r="R37" s="4"/>
    </row>
    <row r="38" spans="1:18" ht="12.75" customHeight="1" thickBot="1" x14ac:dyDescent="0.3">
      <c r="A38" s="1"/>
      <c r="B38" s="1"/>
      <c r="C38" s="1" t="s">
        <v>32</v>
      </c>
      <c r="D38" s="11"/>
      <c r="E38" s="11"/>
      <c r="F38" s="30">
        <v>0</v>
      </c>
      <c r="G38" s="25"/>
      <c r="H38" s="25"/>
      <c r="I38" s="25"/>
      <c r="J38" s="11"/>
      <c r="K38" s="11"/>
      <c r="L38" s="11"/>
      <c r="M38" s="11"/>
      <c r="N38" s="11"/>
      <c r="O38" s="11"/>
      <c r="P38" s="11"/>
      <c r="Q38" s="4"/>
      <c r="R38" s="4"/>
    </row>
    <row r="39" spans="1:18" ht="12.75" customHeight="1" x14ac:dyDescent="0.25">
      <c r="A39" s="1"/>
      <c r="B39" s="1" t="s">
        <v>47</v>
      </c>
      <c r="C39" s="1"/>
      <c r="D39" s="11"/>
      <c r="E39" s="11"/>
      <c r="F39" s="25">
        <f>SUM(F35:F38)</f>
        <v>0</v>
      </c>
      <c r="G39" s="25"/>
      <c r="H39" s="25"/>
      <c r="I39" s="25"/>
      <c r="J39" s="11"/>
      <c r="K39" s="11"/>
      <c r="L39" s="11"/>
      <c r="M39" s="11"/>
      <c r="N39" s="11"/>
      <c r="O39" s="11"/>
      <c r="P39" s="11"/>
      <c r="Q39" s="4"/>
      <c r="R39" s="4"/>
    </row>
    <row r="40" spans="1:18" ht="12.75" customHeight="1" x14ac:dyDescent="0.25">
      <c r="A40" s="1"/>
      <c r="B40" s="1"/>
      <c r="C40" s="1"/>
      <c r="D40" s="11"/>
      <c r="E40" s="11"/>
      <c r="F40" s="13"/>
      <c r="G40" s="13"/>
      <c r="H40" s="13"/>
      <c r="I40" s="25"/>
      <c r="J40" s="11"/>
      <c r="K40" s="11"/>
      <c r="L40" s="11"/>
      <c r="M40" s="11"/>
      <c r="N40" s="11"/>
      <c r="O40" s="11"/>
      <c r="P40" s="11"/>
      <c r="Q40" s="4"/>
      <c r="R40" s="4"/>
    </row>
    <row r="41" spans="1:18" ht="12.75" customHeight="1" x14ac:dyDescent="0.25">
      <c r="A41" s="1"/>
      <c r="B41" s="1" t="s">
        <v>48</v>
      </c>
      <c r="C41" s="1"/>
      <c r="D41" s="11"/>
      <c r="E41" s="11"/>
      <c r="F41" s="13"/>
      <c r="G41" s="13"/>
      <c r="H41" s="13"/>
      <c r="I41" s="25"/>
      <c r="J41" s="11"/>
      <c r="K41" s="11"/>
      <c r="L41" s="11"/>
      <c r="M41" s="11"/>
      <c r="N41" s="11"/>
      <c r="O41" s="11"/>
      <c r="P41" s="11"/>
      <c r="Q41" s="4"/>
      <c r="R41" s="4"/>
    </row>
    <row r="42" spans="1:18" ht="12.75" customHeight="1" x14ac:dyDescent="0.25">
      <c r="A42" s="1"/>
      <c r="B42" s="1"/>
      <c r="C42" s="1" t="s">
        <v>49</v>
      </c>
      <c r="D42" s="11"/>
      <c r="E42" s="11"/>
      <c r="F42" s="31">
        <v>0</v>
      </c>
      <c r="G42" s="13"/>
      <c r="H42" s="13"/>
      <c r="I42" s="25"/>
      <c r="J42" s="11"/>
      <c r="K42" s="11"/>
      <c r="L42" s="11"/>
      <c r="M42" s="11"/>
      <c r="N42" s="11"/>
      <c r="O42" s="11"/>
      <c r="P42" s="11"/>
      <c r="Q42" s="4"/>
      <c r="R42" s="4"/>
    </row>
    <row r="43" spans="1:18" ht="12.75" customHeight="1" x14ac:dyDescent="0.25">
      <c r="A43" s="1"/>
      <c r="B43" s="1"/>
      <c r="C43" s="1" t="s">
        <v>50</v>
      </c>
      <c r="D43" s="11"/>
      <c r="E43" s="11"/>
      <c r="F43" s="31">
        <v>0</v>
      </c>
      <c r="G43" s="13"/>
      <c r="H43" s="13"/>
      <c r="I43" s="25"/>
      <c r="J43" s="11"/>
      <c r="K43" s="11"/>
      <c r="L43" s="11"/>
      <c r="M43" s="11"/>
      <c r="N43" s="11"/>
      <c r="O43" s="11"/>
      <c r="P43" s="11"/>
      <c r="Q43" s="4"/>
      <c r="R43" s="4"/>
    </row>
    <row r="44" spans="1:18" ht="12.75" customHeight="1" thickBot="1" x14ac:dyDescent="0.3">
      <c r="A44" s="1"/>
      <c r="B44" s="1"/>
      <c r="C44" s="1" t="s">
        <v>51</v>
      </c>
      <c r="D44" s="11"/>
      <c r="E44" s="11"/>
      <c r="F44" s="30">
        <v>0</v>
      </c>
      <c r="G44" s="25"/>
      <c r="H44" s="13"/>
      <c r="I44" s="25"/>
      <c r="J44" s="11"/>
      <c r="K44" s="11"/>
      <c r="L44" s="11"/>
      <c r="M44" s="11"/>
      <c r="N44" s="11"/>
      <c r="O44" s="11"/>
      <c r="P44" s="11"/>
      <c r="Q44" s="4"/>
      <c r="R44" s="4"/>
    </row>
    <row r="45" spans="1:18" ht="12.75" customHeight="1" x14ac:dyDescent="0.25">
      <c r="A45" s="1"/>
      <c r="B45" s="1" t="s">
        <v>52</v>
      </c>
      <c r="C45" s="1"/>
      <c r="D45" s="11"/>
      <c r="E45" s="11"/>
      <c r="F45" s="13">
        <f>F42+F43-F44</f>
        <v>0</v>
      </c>
      <c r="G45" s="13"/>
      <c r="H45" s="13"/>
      <c r="I45" s="25"/>
      <c r="J45" s="11"/>
      <c r="K45" s="11"/>
      <c r="L45" s="11"/>
      <c r="M45" s="11"/>
      <c r="N45" s="11"/>
      <c r="O45" s="11"/>
      <c r="P45" s="11"/>
    </row>
    <row r="46" spans="1:18" ht="12.75" customHeight="1" thickBot="1" x14ac:dyDescent="0.3">
      <c r="A46" s="1"/>
      <c r="B46" s="1"/>
      <c r="C46" s="1"/>
      <c r="D46" s="11"/>
      <c r="E46" s="11"/>
      <c r="F46" s="15"/>
      <c r="G46" s="25"/>
      <c r="H46" s="13"/>
      <c r="I46" s="25"/>
      <c r="J46" s="11"/>
      <c r="K46" s="11"/>
      <c r="L46" s="11"/>
      <c r="M46" s="11"/>
      <c r="N46" s="11"/>
      <c r="O46" s="11"/>
      <c r="P46" s="11"/>
    </row>
    <row r="47" spans="1:18" ht="15.9" customHeight="1" thickBot="1" x14ac:dyDescent="0.3">
      <c r="A47" s="1" t="s">
        <v>55</v>
      </c>
      <c r="B47" s="1"/>
      <c r="C47" s="1"/>
      <c r="D47" s="11"/>
      <c r="E47" s="11"/>
      <c r="F47" s="19">
        <f>INT(F39+F45)</f>
        <v>0</v>
      </c>
      <c r="G47" s="25"/>
      <c r="H47" s="13"/>
      <c r="I47" s="25"/>
      <c r="J47" s="11"/>
      <c r="K47" s="11"/>
      <c r="L47" s="11"/>
      <c r="M47" s="11"/>
      <c r="N47" s="11"/>
      <c r="O47" s="11"/>
      <c r="P47" s="11"/>
    </row>
    <row r="48" spans="1:18" ht="12.75" customHeight="1" thickTop="1" x14ac:dyDescent="0.25">
      <c r="A48" s="1"/>
      <c r="B48" s="1"/>
      <c r="C48" s="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2.75" customHeight="1" x14ac:dyDescent="0.25">
      <c r="A49" s="1"/>
      <c r="B49" s="1"/>
      <c r="C49" s="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2.75" customHeight="1" x14ac:dyDescent="0.25">
      <c r="A50" s="1"/>
      <c r="B50" s="1"/>
      <c r="C50" s="1"/>
      <c r="D50" s="11"/>
      <c r="E50" s="11"/>
      <c r="F50" s="26" t="str">
        <f>IF(F29=F47,"Statement Balances","Does Not Balance")</f>
        <v>Statement Balances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2.75" customHeight="1" x14ac:dyDescent="0.25">
      <c r="A51" s="1"/>
      <c r="B51" s="1"/>
      <c r="C51" s="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2.75" customHeight="1" x14ac:dyDescent="0.25">
      <c r="A52" s="1"/>
      <c r="B52" s="1"/>
      <c r="C52" s="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2.75" customHeight="1" x14ac:dyDescent="0.2"/>
    <row r="54" spans="1:16" ht="12.75" customHeight="1" x14ac:dyDescent="0.2"/>
    <row r="55" spans="1:16" ht="12.75" customHeight="1" x14ac:dyDescent="0.2"/>
    <row r="56" spans="1:16" ht="12.75" customHeight="1" x14ac:dyDescent="0.2"/>
    <row r="57" spans="1:16" ht="12.75" customHeight="1" x14ac:dyDescent="0.2"/>
    <row r="58" spans="1:16" ht="12.75" customHeight="1" x14ac:dyDescent="0.2">
      <c r="D58" s="4"/>
    </row>
    <row r="59" spans="1:16" ht="12.75" customHeight="1" x14ac:dyDescent="0.2">
      <c r="D59" s="4"/>
    </row>
    <row r="60" spans="1:16" ht="12.75" customHeight="1" x14ac:dyDescent="0.2">
      <c r="D60" s="4"/>
    </row>
    <row r="61" spans="1:16" ht="12.75" customHeight="1" x14ac:dyDescent="0.2">
      <c r="D61" s="4"/>
    </row>
    <row r="62" spans="1:16" ht="12.75" customHeight="1" x14ac:dyDescent="0.2">
      <c r="D62" s="4"/>
    </row>
    <row r="63" spans="1:16" ht="12.75" customHeight="1" x14ac:dyDescent="0.2"/>
    <row r="64" spans="1:1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</sheetData>
  <phoneticPr fontId="7" type="noConversion"/>
  <pageMargins left="0.75" right="0.75" top="1" bottom="0.75" header="0.5" footer="0.5"/>
  <pageSetup scale="75" orientation="landscape" blackAndWhite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Q73"/>
  <sheetViews>
    <sheetView showGridLines="0" showRowColHeaders="0" workbookViewId="0">
      <selection activeCell="N27" sqref="N27"/>
    </sheetView>
  </sheetViews>
  <sheetFormatPr defaultColWidth="8.875" defaultRowHeight="12" x14ac:dyDescent="0.25"/>
  <cols>
    <col min="1" max="4" width="3" style="1" customWidth="1"/>
    <col min="5" max="5" width="20.75" customWidth="1"/>
    <col min="6" max="6" width="5.75" customWidth="1"/>
    <col min="7" max="11" width="20.75" customWidth="1"/>
    <col min="12" max="12" width="5.75" customWidth="1"/>
  </cols>
  <sheetData>
    <row r="1" spans="1:17" ht="11.4" x14ac:dyDescent="0.2">
      <c r="A1" s="594" t="s">
        <v>257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</row>
    <row r="2" spans="1:17" ht="11.4" x14ac:dyDescent="0.2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594"/>
    </row>
    <row r="3" spans="1:17" ht="11.4" x14ac:dyDescent="0.2">
      <c r="A3" s="594"/>
      <c r="B3" s="594"/>
      <c r="C3" s="594"/>
      <c r="D3" s="594"/>
      <c r="E3" s="594"/>
      <c r="F3" s="594"/>
      <c r="G3" s="594"/>
      <c r="H3" s="594"/>
      <c r="I3" s="594"/>
      <c r="J3" s="594"/>
      <c r="K3" s="594"/>
    </row>
    <row r="4" spans="1:17" ht="11.4" x14ac:dyDescent="0.2">
      <c r="A4" s="594"/>
      <c r="B4" s="594"/>
      <c r="C4" s="594"/>
      <c r="D4" s="594"/>
      <c r="E4" s="594"/>
      <c r="F4" s="594"/>
      <c r="G4" s="594"/>
      <c r="H4" s="594"/>
      <c r="I4" s="594"/>
      <c r="J4" s="594"/>
      <c r="K4" s="594"/>
    </row>
    <row r="5" spans="1:17" ht="13.8" x14ac:dyDescent="0.3">
      <c r="A5" s="98"/>
      <c r="B5" s="98"/>
      <c r="C5" s="98"/>
      <c r="D5" s="70"/>
      <c r="E5" s="70"/>
      <c r="F5" s="70"/>
      <c r="G5" s="70"/>
      <c r="H5" s="70"/>
      <c r="I5" s="70"/>
      <c r="J5" s="70"/>
      <c r="K5" s="70"/>
    </row>
    <row r="6" spans="1:17" ht="13.8" x14ac:dyDescent="0.3">
      <c r="A6" s="98"/>
      <c r="B6" s="95"/>
      <c r="C6" s="98"/>
      <c r="D6" s="70"/>
      <c r="E6" s="602" t="s">
        <v>148</v>
      </c>
      <c r="F6" s="96"/>
      <c r="G6" s="96"/>
      <c r="H6" s="96"/>
      <c r="I6" s="96"/>
      <c r="J6" s="96"/>
      <c r="K6" s="96"/>
    </row>
    <row r="7" spans="1:17" ht="13.8" x14ac:dyDescent="0.3">
      <c r="A7" s="98"/>
      <c r="B7" s="95"/>
      <c r="C7" s="98"/>
      <c r="D7" s="159"/>
      <c r="E7" s="602"/>
      <c r="F7" s="97"/>
      <c r="G7" s="97" t="s">
        <v>206</v>
      </c>
      <c r="H7" s="97" t="s">
        <v>207</v>
      </c>
      <c r="I7" s="97" t="s">
        <v>208</v>
      </c>
      <c r="J7" s="97" t="s">
        <v>209</v>
      </c>
      <c r="K7" s="97" t="s">
        <v>210</v>
      </c>
      <c r="Q7" s="5"/>
    </row>
    <row r="8" spans="1:17" ht="13.8" x14ac:dyDescent="0.3">
      <c r="A8" s="95"/>
      <c r="B8" s="95"/>
      <c r="C8" s="98"/>
      <c r="D8" s="70"/>
      <c r="E8" s="602"/>
      <c r="F8" s="158"/>
      <c r="G8" s="158"/>
      <c r="H8" s="158"/>
      <c r="I8" s="158"/>
      <c r="J8" s="158"/>
      <c r="K8" s="158"/>
    </row>
    <row r="9" spans="1:17" ht="12.75" customHeight="1" thickBot="1" x14ac:dyDescent="0.35">
      <c r="A9" s="101"/>
      <c r="B9" s="198"/>
      <c r="C9" s="101"/>
      <c r="D9" s="102"/>
      <c r="E9" s="102"/>
      <c r="F9" s="199"/>
      <c r="G9" s="199"/>
      <c r="H9" s="199"/>
      <c r="I9" s="199"/>
      <c r="J9" s="199"/>
      <c r="K9" s="199"/>
      <c r="L9" s="44"/>
      <c r="M9" s="44"/>
      <c r="N9" s="11"/>
      <c r="O9" s="11"/>
      <c r="P9" s="11"/>
      <c r="Q9" s="11"/>
    </row>
    <row r="10" spans="1:17" ht="12.75" customHeight="1" x14ac:dyDescent="0.3">
      <c r="A10" s="70"/>
      <c r="B10" s="70"/>
      <c r="C10" s="70"/>
      <c r="D10" s="70"/>
      <c r="E10" s="70"/>
      <c r="F10" s="70"/>
      <c r="G10" s="97"/>
      <c r="H10" s="97"/>
      <c r="I10" s="97"/>
      <c r="J10" s="97"/>
      <c r="K10" s="97"/>
      <c r="L10" s="44"/>
      <c r="M10" s="44"/>
      <c r="N10" s="11"/>
      <c r="O10" s="11"/>
      <c r="P10" s="11"/>
      <c r="Q10" s="11"/>
    </row>
    <row r="11" spans="1:17" ht="12.75" customHeight="1" x14ac:dyDescent="0.3">
      <c r="A11" s="70"/>
      <c r="B11" s="98" t="s">
        <v>56</v>
      </c>
      <c r="C11" s="98"/>
      <c r="D11" s="98"/>
      <c r="E11" s="98"/>
      <c r="F11" s="70"/>
      <c r="G11" s="344">
        <f>'6. Income Statement'!Q14</f>
        <v>3080855.555555555</v>
      </c>
      <c r="H11" s="344">
        <f>'6. Income Statement'!R14</f>
        <v>3358132.555555555</v>
      </c>
      <c r="I11" s="344">
        <f>'6. Income Statement'!S14</f>
        <v>3660364.4855555552</v>
      </c>
      <c r="J11" s="344">
        <f>'6. Income Statement'!T14</f>
        <v>3989797.2892555553</v>
      </c>
      <c r="K11" s="344">
        <f>'6. Income Statement'!U14</f>
        <v>4348879.0452885553</v>
      </c>
      <c r="L11" s="44"/>
      <c r="M11" s="44"/>
      <c r="N11" s="11"/>
      <c r="O11" s="11"/>
      <c r="P11" s="11"/>
      <c r="Q11" s="11"/>
    </row>
    <row r="12" spans="1:17" ht="12.75" customHeight="1" x14ac:dyDescent="0.3">
      <c r="A12" s="70"/>
      <c r="B12" s="98" t="s">
        <v>28</v>
      </c>
      <c r="C12" s="98"/>
      <c r="D12" s="98"/>
      <c r="E12" s="98"/>
      <c r="F12" s="70"/>
      <c r="G12" s="344">
        <f>'6. Income Statement'!Q37</f>
        <v>-2062113.135966667</v>
      </c>
      <c r="H12" s="344">
        <f>'6. Income Statement'!R37</f>
        <v>-2164893.2021316667</v>
      </c>
      <c r="I12" s="344">
        <f>'6. Income Statement'!S37</f>
        <v>-2231621.1433399166</v>
      </c>
      <c r="J12" s="344">
        <f>'6. Income Statement'!T37</f>
        <v>-2301685.4816085794</v>
      </c>
      <c r="K12" s="344">
        <f>'6. Income Statement'!U37</f>
        <v>-2375253.036790675</v>
      </c>
      <c r="L12" s="44"/>
      <c r="M12" s="44"/>
      <c r="N12" s="11"/>
      <c r="O12" s="11"/>
      <c r="P12" s="11"/>
      <c r="Q12" s="11"/>
    </row>
    <row r="13" spans="1:17" ht="12.75" customHeight="1" x14ac:dyDescent="0.3">
      <c r="A13" s="70"/>
      <c r="B13" s="98" t="s">
        <v>218</v>
      </c>
      <c r="C13" s="98"/>
      <c r="D13" s="98"/>
      <c r="E13" s="98"/>
      <c r="F13" s="70"/>
      <c r="G13" s="344">
        <f>G11+G12</f>
        <v>1018742.4195888881</v>
      </c>
      <c r="H13" s="344">
        <f t="shared" ref="H13:K13" si="0">H11+H12</f>
        <v>1193239.3534238883</v>
      </c>
      <c r="I13" s="344">
        <f t="shared" si="0"/>
        <v>1428743.3422156386</v>
      </c>
      <c r="J13" s="344">
        <f t="shared" si="0"/>
        <v>1688111.8076469759</v>
      </c>
      <c r="K13" s="344">
        <f t="shared" si="0"/>
        <v>1973626.0084978803</v>
      </c>
      <c r="L13" s="44"/>
      <c r="M13" s="44"/>
      <c r="N13" s="11"/>
      <c r="O13" s="11"/>
      <c r="P13" s="11"/>
      <c r="Q13" s="11"/>
    </row>
    <row r="14" spans="1:17" ht="12.75" customHeight="1" x14ac:dyDescent="0.3">
      <c r="A14" s="70"/>
      <c r="B14" s="98" t="s">
        <v>64</v>
      </c>
      <c r="C14" s="98"/>
      <c r="D14" s="98"/>
      <c r="E14" s="98"/>
      <c r="F14" s="70"/>
      <c r="G14" s="200">
        <f>G13/G11</f>
        <v>0.33066867343126166</v>
      </c>
      <c r="H14" s="200">
        <f t="shared" ref="H14:K14" si="1">H13/H11</f>
        <v>0.35532824678103986</v>
      </c>
      <c r="I14" s="200">
        <f t="shared" si="1"/>
        <v>0.39032816208705778</v>
      </c>
      <c r="J14" s="200">
        <f t="shared" si="1"/>
        <v>0.42310716190845771</v>
      </c>
      <c r="K14" s="200">
        <f t="shared" si="1"/>
        <v>0.45382407465115576</v>
      </c>
      <c r="L14" s="44"/>
      <c r="M14" s="44"/>
      <c r="N14" s="11"/>
      <c r="O14" s="11"/>
      <c r="P14" s="11"/>
      <c r="Q14" s="11"/>
    </row>
    <row r="15" spans="1:17" ht="12.75" customHeight="1" x14ac:dyDescent="0.3">
      <c r="A15" s="70"/>
      <c r="B15" s="98" t="s">
        <v>29</v>
      </c>
      <c r="C15" s="98"/>
      <c r="D15" s="98"/>
      <c r="E15" s="98"/>
      <c r="F15" s="70"/>
      <c r="G15" s="344">
        <f>'6. Income Statement'!Q77</f>
        <v>-1161229.6459666668</v>
      </c>
      <c r="H15" s="344">
        <f>'6. Income Statement'!R77</f>
        <v>-1223214.0928616666</v>
      </c>
      <c r="I15" s="344">
        <f>'6. Income Statement'!S77</f>
        <v>-1288886.2067909166</v>
      </c>
      <c r="J15" s="344">
        <f>'6. Income Statement'!T77</f>
        <v>-1358518.6378095541</v>
      </c>
      <c r="K15" s="344">
        <f>'6. Income Statement'!U77</f>
        <v>-1432410.9084809874</v>
      </c>
      <c r="L15" s="44"/>
      <c r="M15" s="44"/>
      <c r="N15" s="11"/>
      <c r="O15" s="11"/>
      <c r="P15" s="11"/>
      <c r="Q15" s="11"/>
    </row>
    <row r="16" spans="1:17" ht="12.75" customHeight="1" x14ac:dyDescent="0.3">
      <c r="A16" s="70"/>
      <c r="B16" s="98"/>
      <c r="C16" s="98"/>
      <c r="D16" s="98"/>
      <c r="E16" s="98"/>
      <c r="F16" s="70"/>
      <c r="G16" s="344"/>
      <c r="H16" s="344"/>
      <c r="I16" s="344"/>
      <c r="J16" s="344"/>
      <c r="K16" s="344"/>
      <c r="L16" s="44"/>
      <c r="M16" s="44"/>
      <c r="N16" s="11"/>
      <c r="O16" s="11"/>
      <c r="P16" s="11"/>
      <c r="Q16" s="11"/>
    </row>
    <row r="17" spans="1:17" ht="12.75" customHeight="1" thickBot="1" x14ac:dyDescent="0.35">
      <c r="A17" s="110"/>
      <c r="B17" s="109" t="s">
        <v>219</v>
      </c>
      <c r="C17" s="109"/>
      <c r="D17" s="109"/>
      <c r="E17" s="109"/>
      <c r="F17" s="110"/>
      <c r="G17" s="345">
        <f>-G15/G14</f>
        <v>3511761.8911912423</v>
      </c>
      <c r="H17" s="345">
        <f t="shared" ref="H17:K17" si="2">-H15/H14</f>
        <v>3442490.4407203933</v>
      </c>
      <c r="I17" s="345">
        <f t="shared" si="2"/>
        <v>3302057.9399122288</v>
      </c>
      <c r="J17" s="345">
        <f t="shared" si="2"/>
        <v>3210814.564522733</v>
      </c>
      <c r="K17" s="345">
        <f t="shared" si="2"/>
        <v>3156313.1805690322</v>
      </c>
      <c r="L17" s="44"/>
      <c r="M17" s="44"/>
      <c r="N17" s="11"/>
      <c r="O17" s="11"/>
      <c r="P17" s="11"/>
      <c r="Q17" s="11"/>
    </row>
    <row r="18" spans="1:17" ht="12.75" customHeight="1" thickTop="1" x14ac:dyDescent="0.3">
      <c r="A18" s="70"/>
      <c r="B18" s="70"/>
      <c r="C18" s="70"/>
      <c r="D18" s="70"/>
      <c r="E18" s="70"/>
      <c r="F18" s="70"/>
      <c r="G18" s="201"/>
      <c r="H18" s="202"/>
      <c r="I18" s="202"/>
      <c r="J18" s="202"/>
      <c r="K18" s="202"/>
      <c r="L18" s="44"/>
      <c r="M18" s="44"/>
      <c r="N18" s="11"/>
      <c r="O18" s="11"/>
      <c r="P18" s="11"/>
      <c r="Q18" s="11"/>
    </row>
    <row r="19" spans="1:17" ht="12.75" customHeight="1" x14ac:dyDescent="0.3">
      <c r="A19" s="98"/>
      <c r="B19" s="98"/>
      <c r="C19" s="98"/>
      <c r="D19" s="98"/>
      <c r="E19" s="70"/>
      <c r="F19" s="70"/>
      <c r="G19" s="392"/>
      <c r="H19" s="392"/>
      <c r="I19" s="392"/>
      <c r="J19" s="392"/>
      <c r="K19" s="392"/>
      <c r="L19" s="44"/>
      <c r="M19" s="44"/>
      <c r="N19" s="11"/>
      <c r="O19" s="11"/>
      <c r="P19" s="11"/>
      <c r="Q19" s="11"/>
    </row>
    <row r="20" spans="1:17" ht="12.75" customHeight="1" x14ac:dyDescent="0.25">
      <c r="E20" s="11"/>
      <c r="F20" s="11"/>
      <c r="G20" s="22"/>
      <c r="H20" s="14"/>
      <c r="I20" s="14"/>
      <c r="J20" s="14"/>
      <c r="K20" s="14"/>
      <c r="L20" s="11"/>
      <c r="M20" s="11"/>
      <c r="N20" s="11"/>
      <c r="O20" s="11"/>
      <c r="P20" s="11"/>
      <c r="Q20" s="11"/>
    </row>
    <row r="21" spans="1:17" ht="12.75" customHeight="1" x14ac:dyDescent="0.25">
      <c r="E21" s="11"/>
      <c r="F21" s="11"/>
      <c r="G21" s="27"/>
      <c r="H21" s="14"/>
      <c r="I21" s="14"/>
      <c r="J21" s="14"/>
      <c r="K21" s="14"/>
      <c r="L21" s="11"/>
      <c r="M21" s="11"/>
      <c r="N21" s="11"/>
      <c r="O21" s="11"/>
      <c r="P21" s="11"/>
      <c r="Q21" s="11"/>
    </row>
    <row r="22" spans="1:17" ht="12.75" customHeight="1" x14ac:dyDescent="0.25">
      <c r="E22" s="11"/>
      <c r="F22" s="11"/>
      <c r="G22" s="14"/>
      <c r="H22" s="14"/>
      <c r="I22" s="14"/>
      <c r="J22" s="14"/>
      <c r="K22" s="14"/>
      <c r="L22" s="11"/>
      <c r="M22" s="11"/>
      <c r="N22" s="11"/>
      <c r="O22" s="11"/>
      <c r="P22" s="11"/>
      <c r="Q22" s="11"/>
    </row>
    <row r="23" spans="1:17" ht="12.75" customHeight="1" x14ac:dyDescent="0.25">
      <c r="E23" s="11"/>
      <c r="F23" s="11"/>
      <c r="G23" s="14"/>
      <c r="H23" s="14"/>
      <c r="I23" s="14"/>
      <c r="J23" s="14"/>
      <c r="K23" s="14"/>
      <c r="L23" s="11"/>
      <c r="M23" s="11"/>
      <c r="N23" s="11"/>
      <c r="O23" s="11"/>
      <c r="P23" s="11"/>
      <c r="Q23" s="11"/>
    </row>
    <row r="24" spans="1:17" ht="12.75" customHeight="1" x14ac:dyDescent="0.25">
      <c r="E24" s="11"/>
      <c r="F24" s="11"/>
      <c r="G24" s="20"/>
      <c r="H24" s="14"/>
      <c r="I24" s="14"/>
      <c r="J24" s="14"/>
      <c r="K24" s="14"/>
      <c r="L24" s="11"/>
      <c r="M24" s="11"/>
      <c r="N24" s="11"/>
      <c r="O24" s="11"/>
      <c r="P24" s="11"/>
      <c r="Q24" s="11"/>
    </row>
    <row r="25" spans="1:17" ht="12.75" customHeight="1" x14ac:dyDescent="0.25">
      <c r="E25" s="11"/>
      <c r="F25" s="11"/>
      <c r="G25" s="22"/>
      <c r="H25" s="14"/>
      <c r="I25" s="14"/>
      <c r="J25" s="14"/>
      <c r="K25" s="14"/>
      <c r="L25" s="11"/>
      <c r="M25" s="11"/>
      <c r="N25" s="11"/>
      <c r="O25" s="11"/>
      <c r="P25" s="11"/>
      <c r="Q25" s="11"/>
    </row>
    <row r="26" spans="1:17" ht="12.75" customHeight="1" x14ac:dyDescent="0.25">
      <c r="E26" s="11"/>
      <c r="F26" s="18"/>
      <c r="G26" s="14"/>
      <c r="H26" s="14"/>
      <c r="I26" s="14"/>
      <c r="J26" s="14"/>
      <c r="K26" s="14"/>
      <c r="L26" s="11"/>
      <c r="M26" s="11"/>
      <c r="N26" s="11"/>
      <c r="O26" s="11"/>
      <c r="P26" s="11"/>
      <c r="Q26" s="11"/>
    </row>
    <row r="27" spans="1:17" ht="12.75" customHeight="1" x14ac:dyDescent="0.25">
      <c r="E27" s="11"/>
      <c r="F27" s="18"/>
      <c r="G27" s="14"/>
      <c r="H27" s="14"/>
      <c r="I27" s="14"/>
      <c r="J27" s="14"/>
      <c r="K27" s="14"/>
      <c r="L27" s="11"/>
      <c r="M27" s="11"/>
      <c r="N27" s="11"/>
      <c r="O27" s="11"/>
      <c r="P27" s="11"/>
      <c r="Q27" s="11"/>
    </row>
    <row r="28" spans="1:17" ht="12.75" customHeight="1" x14ac:dyDescent="0.25">
      <c r="E28" s="11"/>
      <c r="F28" s="20"/>
      <c r="G28" s="22"/>
      <c r="H28" s="14"/>
      <c r="I28" s="14"/>
      <c r="J28" s="14"/>
      <c r="K28" s="14"/>
      <c r="L28" s="11"/>
      <c r="M28" s="11"/>
      <c r="N28" s="11"/>
      <c r="O28" s="11"/>
      <c r="P28" s="11"/>
      <c r="Q28" s="11"/>
    </row>
    <row r="29" spans="1:17" ht="12.75" customHeight="1" x14ac:dyDescent="0.25">
      <c r="E29" s="11"/>
      <c r="F29" s="11"/>
      <c r="G29" s="14"/>
      <c r="H29" s="14"/>
      <c r="I29" s="14"/>
      <c r="J29" s="14"/>
      <c r="K29" s="14"/>
      <c r="L29" s="11"/>
      <c r="M29" s="11"/>
      <c r="N29" s="11"/>
      <c r="O29" s="11"/>
      <c r="P29" s="11"/>
      <c r="Q29" s="11"/>
    </row>
    <row r="30" spans="1:17" ht="12.75" customHeight="1" x14ac:dyDescent="0.25">
      <c r="E30" s="11"/>
      <c r="F30" s="11"/>
      <c r="G30" s="14"/>
      <c r="H30" s="14"/>
      <c r="I30" s="14"/>
      <c r="J30" s="14"/>
      <c r="K30" s="14"/>
      <c r="L30" s="11"/>
      <c r="M30" s="11"/>
      <c r="N30" s="11"/>
      <c r="O30" s="11"/>
      <c r="P30" s="11"/>
      <c r="Q30" s="11"/>
    </row>
    <row r="31" spans="1:17" ht="12.75" customHeight="1" x14ac:dyDescent="0.25">
      <c r="E31" s="11"/>
      <c r="F31" s="18"/>
      <c r="G31" s="18"/>
      <c r="H31" s="14"/>
      <c r="I31" s="14"/>
      <c r="J31" s="14"/>
      <c r="K31" s="14"/>
      <c r="L31" s="11"/>
      <c r="M31" s="11"/>
      <c r="N31" s="11"/>
      <c r="O31" s="11"/>
      <c r="P31" s="11"/>
      <c r="Q31" s="11"/>
    </row>
    <row r="32" spans="1:17" ht="12.75" customHeight="1" x14ac:dyDescent="0.25">
      <c r="E32" s="11"/>
      <c r="F32" s="20"/>
      <c r="G32" s="14"/>
      <c r="H32" s="14"/>
      <c r="I32" s="14"/>
      <c r="J32" s="14"/>
      <c r="K32" s="14"/>
      <c r="L32" s="11"/>
      <c r="M32" s="11"/>
      <c r="N32" s="11"/>
      <c r="O32" s="11"/>
      <c r="P32" s="11"/>
      <c r="Q32" s="11"/>
    </row>
    <row r="33" spans="5:17" ht="12.75" customHeight="1" x14ac:dyDescent="0.25">
      <c r="E33" s="11"/>
      <c r="F33" s="11"/>
      <c r="G33" s="14"/>
      <c r="H33" s="14"/>
      <c r="I33" s="14"/>
      <c r="J33" s="14"/>
      <c r="K33" s="14"/>
      <c r="L33" s="11"/>
      <c r="M33" s="11"/>
      <c r="N33" s="11"/>
      <c r="O33" s="11"/>
      <c r="P33" s="11"/>
      <c r="Q33" s="11"/>
    </row>
    <row r="34" spans="5:17" ht="12.75" customHeight="1" x14ac:dyDescent="0.25">
      <c r="E34" s="11"/>
      <c r="F34" s="11"/>
      <c r="G34" s="14"/>
      <c r="H34" s="14"/>
      <c r="I34" s="14"/>
      <c r="J34" s="14"/>
      <c r="K34" s="14"/>
      <c r="L34" s="11"/>
      <c r="M34" s="11"/>
      <c r="N34" s="11"/>
      <c r="O34" s="11"/>
      <c r="P34" s="11"/>
      <c r="Q34" s="11"/>
    </row>
    <row r="35" spans="5:17" ht="12.75" customHeight="1" x14ac:dyDescent="0.25">
      <c r="E35" s="11"/>
      <c r="F35" s="11"/>
      <c r="G35" s="14"/>
      <c r="H35" s="14"/>
      <c r="I35" s="14"/>
      <c r="J35" s="14"/>
      <c r="K35" s="14"/>
      <c r="L35" s="11"/>
      <c r="M35" s="11"/>
      <c r="N35" s="11"/>
      <c r="O35" s="11"/>
      <c r="P35" s="11"/>
      <c r="Q35" s="11"/>
    </row>
    <row r="36" spans="5:17" ht="12.75" customHeight="1" x14ac:dyDescent="0.25">
      <c r="E36" s="11"/>
      <c r="F36" s="11"/>
      <c r="G36" s="14"/>
      <c r="H36" s="14"/>
      <c r="I36" s="14"/>
      <c r="J36" s="14"/>
      <c r="K36" s="14"/>
      <c r="L36" s="11"/>
      <c r="M36" s="11"/>
      <c r="N36" s="11"/>
      <c r="O36" s="11"/>
      <c r="P36" s="11"/>
      <c r="Q36" s="11"/>
    </row>
    <row r="37" spans="5:17" ht="12.75" customHeight="1" x14ac:dyDescent="0.25">
      <c r="E37" s="11"/>
      <c r="F37" s="11"/>
      <c r="G37" s="14"/>
      <c r="H37" s="14"/>
      <c r="I37" s="14"/>
      <c r="J37" s="14"/>
      <c r="K37" s="14"/>
      <c r="L37" s="11"/>
      <c r="M37" s="11"/>
      <c r="N37" s="11"/>
      <c r="O37" s="11"/>
      <c r="P37" s="11"/>
      <c r="Q37" s="11"/>
    </row>
    <row r="38" spans="5:17" ht="12.75" customHeight="1" x14ac:dyDescent="0.25">
      <c r="E38" s="11"/>
      <c r="F38" s="11"/>
      <c r="G38" s="14"/>
      <c r="H38" s="14"/>
      <c r="I38" s="14"/>
      <c r="J38" s="14"/>
      <c r="K38" s="14"/>
      <c r="L38" s="11"/>
      <c r="M38" s="11"/>
      <c r="N38" s="11"/>
      <c r="O38" s="11"/>
      <c r="P38" s="11"/>
      <c r="Q38" s="11"/>
    </row>
    <row r="39" spans="5:17" ht="12.75" customHeight="1" x14ac:dyDescent="0.25">
      <c r="E39" s="11"/>
      <c r="F39" s="11"/>
      <c r="G39" s="14"/>
      <c r="H39" s="14"/>
      <c r="I39" s="14"/>
      <c r="J39" s="14"/>
      <c r="K39" s="14"/>
      <c r="L39" s="11"/>
      <c r="M39" s="11"/>
      <c r="N39" s="11"/>
      <c r="O39" s="11"/>
      <c r="P39" s="11"/>
      <c r="Q39" s="11"/>
    </row>
    <row r="40" spans="5:17" ht="12.75" customHeight="1" x14ac:dyDescent="0.25">
      <c r="E40" s="11"/>
      <c r="F40" s="11"/>
      <c r="G40" s="14"/>
      <c r="H40" s="14"/>
      <c r="I40" s="14"/>
      <c r="J40" s="14"/>
      <c r="K40" s="14"/>
      <c r="L40" s="11"/>
      <c r="M40" s="11"/>
      <c r="N40" s="11"/>
      <c r="O40" s="11"/>
      <c r="P40" s="11"/>
      <c r="Q40" s="11"/>
    </row>
    <row r="41" spans="5:17" ht="12.75" customHeight="1" x14ac:dyDescent="0.25">
      <c r="E41" s="11"/>
      <c r="F41" s="11"/>
      <c r="G41" s="14"/>
      <c r="H41" s="14"/>
      <c r="I41" s="14"/>
      <c r="J41" s="14"/>
      <c r="K41" s="14"/>
      <c r="L41" s="11"/>
      <c r="M41" s="11"/>
      <c r="N41" s="11"/>
      <c r="O41" s="11"/>
      <c r="P41" s="11"/>
      <c r="Q41" s="11"/>
    </row>
    <row r="42" spans="5:17" ht="12.75" customHeight="1" x14ac:dyDescent="0.25">
      <c r="E42" s="11"/>
      <c r="F42" s="11"/>
      <c r="G42" s="14"/>
      <c r="H42" s="14"/>
      <c r="I42" s="14"/>
      <c r="J42" s="14"/>
      <c r="K42" s="14"/>
      <c r="L42" s="11"/>
      <c r="M42" s="11"/>
      <c r="N42" s="11"/>
      <c r="O42" s="11"/>
      <c r="P42" s="11"/>
      <c r="Q42" s="11"/>
    </row>
    <row r="43" spans="5:17" ht="12.75" customHeight="1" x14ac:dyDescent="0.25">
      <c r="E43" s="11"/>
      <c r="F43" s="11"/>
      <c r="G43" s="14"/>
      <c r="H43" s="14"/>
      <c r="I43" s="14"/>
      <c r="J43" s="14"/>
      <c r="K43" s="14"/>
      <c r="L43" s="11"/>
      <c r="M43" s="11"/>
      <c r="N43" s="11"/>
      <c r="O43" s="11"/>
      <c r="P43" s="11"/>
      <c r="Q43" s="11"/>
    </row>
    <row r="44" spans="5:17" ht="12.75" customHeight="1" x14ac:dyDescent="0.25">
      <c r="E44" s="11"/>
      <c r="F44" s="11"/>
      <c r="G44" s="14"/>
      <c r="H44" s="14"/>
      <c r="I44" s="14"/>
      <c r="J44" s="14"/>
      <c r="K44" s="14"/>
      <c r="L44" s="11"/>
      <c r="M44" s="11"/>
      <c r="N44" s="11"/>
      <c r="O44" s="11"/>
      <c r="P44" s="11"/>
      <c r="Q44" s="11"/>
    </row>
    <row r="45" spans="5:17" ht="12.75" customHeight="1" x14ac:dyDescent="0.25">
      <c r="E45" s="11"/>
      <c r="F45" s="11"/>
      <c r="G45" s="14"/>
      <c r="H45" s="14"/>
      <c r="I45" s="14"/>
      <c r="J45" s="14"/>
      <c r="K45" s="14"/>
      <c r="L45" s="11"/>
      <c r="M45" s="11"/>
      <c r="N45" s="11"/>
      <c r="O45" s="11"/>
      <c r="P45" s="11"/>
      <c r="Q45" s="11"/>
    </row>
    <row r="46" spans="5:17" ht="12.75" customHeight="1" x14ac:dyDescent="0.25">
      <c r="E46" s="11"/>
      <c r="F46" s="11"/>
      <c r="G46" s="14"/>
      <c r="H46" s="14"/>
      <c r="I46" s="14"/>
      <c r="J46" s="14"/>
      <c r="K46" s="14"/>
      <c r="L46" s="11"/>
      <c r="M46" s="11"/>
      <c r="N46" s="11"/>
      <c r="O46" s="11"/>
      <c r="P46" s="11"/>
      <c r="Q46" s="11"/>
    </row>
    <row r="47" spans="5:17" ht="12.75" customHeight="1" x14ac:dyDescent="0.25">
      <c r="E47" s="11"/>
      <c r="F47" s="11"/>
      <c r="G47" s="14"/>
      <c r="H47" s="14"/>
      <c r="I47" s="14"/>
      <c r="J47" s="14"/>
      <c r="K47" s="14"/>
      <c r="L47" s="11"/>
      <c r="M47" s="11"/>
      <c r="N47" s="11"/>
      <c r="O47" s="11"/>
      <c r="P47" s="11"/>
      <c r="Q47" s="11"/>
    </row>
    <row r="48" spans="5:17" ht="12.75" customHeight="1" x14ac:dyDescent="0.25">
      <c r="E48" s="11"/>
      <c r="F48" s="11"/>
      <c r="G48" s="14"/>
      <c r="H48" s="14"/>
      <c r="I48" s="14"/>
      <c r="J48" s="14"/>
      <c r="K48" s="14"/>
      <c r="L48" s="11"/>
      <c r="M48" s="11"/>
      <c r="N48" s="11"/>
      <c r="O48" s="11"/>
      <c r="P48" s="11"/>
      <c r="Q48" s="11"/>
    </row>
    <row r="49" spans="5:17" ht="12.75" customHeight="1" x14ac:dyDescent="0.25">
      <c r="E49" s="11"/>
      <c r="F49" s="11"/>
      <c r="G49" s="17"/>
      <c r="H49" s="17"/>
      <c r="I49" s="17"/>
      <c r="J49" s="17"/>
      <c r="K49" s="17"/>
      <c r="L49" s="11"/>
      <c r="M49" s="11"/>
      <c r="N49" s="11"/>
      <c r="O49" s="11"/>
      <c r="P49" s="11"/>
      <c r="Q49" s="11"/>
    </row>
    <row r="50" spans="5:17" ht="12.75" customHeight="1" x14ac:dyDescent="0.25">
      <c r="E50" s="11"/>
      <c r="F50" s="11"/>
      <c r="G50" s="16"/>
      <c r="H50" s="16"/>
      <c r="I50" s="16"/>
      <c r="J50" s="16"/>
      <c r="K50" s="16"/>
      <c r="L50" s="11"/>
      <c r="M50" s="11"/>
      <c r="N50" s="11"/>
      <c r="O50" s="11"/>
      <c r="P50" s="11"/>
      <c r="Q50" s="11"/>
    </row>
    <row r="51" spans="5:17" ht="12.75" customHeight="1" x14ac:dyDescent="0.25">
      <c r="E51" s="11"/>
      <c r="F51" s="11"/>
      <c r="G51" s="12"/>
      <c r="H51" s="12"/>
      <c r="I51" s="12"/>
      <c r="J51" s="12"/>
      <c r="K51" s="12"/>
      <c r="L51" s="11"/>
      <c r="M51" s="11"/>
      <c r="N51" s="11"/>
      <c r="O51" s="11"/>
      <c r="P51" s="11"/>
      <c r="Q51" s="11"/>
    </row>
    <row r="52" spans="5:17" ht="12.75" customHeight="1" x14ac:dyDescent="0.25"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5:17" ht="12.75" customHeight="1" x14ac:dyDescent="0.25"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5:17" ht="12.75" customHeight="1" x14ac:dyDescent="0.25"/>
    <row r="55" spans="5:17" ht="12.75" customHeight="1" x14ac:dyDescent="0.25"/>
    <row r="56" spans="5:17" ht="12.75" customHeight="1" x14ac:dyDescent="0.25"/>
    <row r="57" spans="5:17" ht="12.75" customHeight="1" x14ac:dyDescent="0.25"/>
    <row r="58" spans="5:17" ht="12.75" customHeight="1" x14ac:dyDescent="0.25"/>
    <row r="59" spans="5:17" ht="12.75" customHeight="1" x14ac:dyDescent="0.25"/>
    <row r="60" spans="5:17" ht="12.75" customHeight="1" x14ac:dyDescent="0.25"/>
    <row r="61" spans="5:17" ht="12.75" customHeight="1" x14ac:dyDescent="0.25"/>
    <row r="62" spans="5:17" ht="12.75" customHeight="1" x14ac:dyDescent="0.25"/>
    <row r="63" spans="5:17" ht="12.75" customHeight="1" x14ac:dyDescent="0.25"/>
    <row r="64" spans="5:1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</sheetData>
  <mergeCells count="2">
    <mergeCell ref="A1:K4"/>
    <mergeCell ref="E6:E8"/>
  </mergeCells>
  <phoneticPr fontId="7" type="noConversion"/>
  <pageMargins left="0.75" right="0.75" top="1" bottom="1" header="0.5" footer="0.5"/>
  <pageSetup scale="75" orientation="landscape" blackAndWhite="1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9"/>
  <dimension ref="A1:V81"/>
  <sheetViews>
    <sheetView showGridLines="0" showRowColHeaders="0" tabSelected="1" zoomScale="90" zoomScaleNormal="90" workbookViewId="0">
      <selection activeCell="U25" sqref="U25"/>
    </sheetView>
  </sheetViews>
  <sheetFormatPr defaultColWidth="8.875" defaultRowHeight="12" outlineLevelRow="1" outlineLevelCol="1" x14ac:dyDescent="0.25"/>
  <cols>
    <col min="1" max="4" width="3" style="1" customWidth="1"/>
    <col min="5" max="5" width="20.75" customWidth="1"/>
    <col min="6" max="6" width="5.75" customWidth="1"/>
    <col min="7" max="12" width="9.75" customWidth="1" outlineLevel="1"/>
    <col min="13" max="17" width="9.75" customWidth="1"/>
    <col min="18" max="18" width="40.75" customWidth="1"/>
  </cols>
  <sheetData>
    <row r="1" spans="1:22" ht="12" customHeight="1" x14ac:dyDescent="0.2">
      <c r="A1" s="594" t="s">
        <v>256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  <c r="N1" s="594"/>
      <c r="O1" s="594"/>
      <c r="P1" s="594"/>
      <c r="Q1" s="594"/>
      <c r="R1" s="594"/>
    </row>
    <row r="2" spans="1:22" ht="12" customHeight="1" x14ac:dyDescent="0.2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</row>
    <row r="3" spans="1:22" ht="12" customHeight="1" x14ac:dyDescent="0.2">
      <c r="A3" s="594"/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594"/>
      <c r="M3" s="594"/>
      <c r="N3" s="594"/>
      <c r="O3" s="594"/>
      <c r="P3" s="594"/>
      <c r="Q3" s="594"/>
      <c r="R3" s="594"/>
    </row>
    <row r="4" spans="1:22" ht="12" customHeight="1" x14ac:dyDescent="0.2">
      <c r="A4" s="594"/>
      <c r="B4" s="594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4"/>
      <c r="N4" s="594"/>
      <c r="O4" s="594"/>
      <c r="P4" s="594"/>
      <c r="Q4" s="594"/>
      <c r="R4" s="594"/>
    </row>
    <row r="5" spans="1:22" x14ac:dyDescent="0.25">
      <c r="A5" s="46"/>
      <c r="B5" s="46"/>
      <c r="C5" s="46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</row>
    <row r="6" spans="1:22" ht="12" customHeight="1" x14ac:dyDescent="0.25">
      <c r="A6" s="46"/>
      <c r="B6" s="603"/>
      <c r="C6" s="46"/>
      <c r="D6" s="44"/>
      <c r="E6" s="602" t="s">
        <v>148</v>
      </c>
    </row>
    <row r="7" spans="1:22" ht="12" customHeight="1" x14ac:dyDescent="0.3">
      <c r="A7" s="46"/>
      <c r="B7" s="603"/>
      <c r="C7" s="46"/>
      <c r="D7" s="159"/>
      <c r="E7" s="602"/>
      <c r="F7" s="97"/>
      <c r="G7" s="97">
        <v>2020</v>
      </c>
      <c r="H7" s="97">
        <f>G7+1</f>
        <v>2021</v>
      </c>
      <c r="I7" s="97">
        <f>H7+1</f>
        <v>2022</v>
      </c>
      <c r="J7" s="97">
        <f t="shared" ref="J7:K7" si="0">I7+1</f>
        <v>2023</v>
      </c>
      <c r="K7" s="97">
        <f t="shared" si="0"/>
        <v>2024</v>
      </c>
      <c r="L7" s="97" t="s">
        <v>228</v>
      </c>
      <c r="M7" s="97" t="s">
        <v>206</v>
      </c>
      <c r="N7" s="97" t="s">
        <v>207</v>
      </c>
      <c r="O7" s="97" t="s">
        <v>208</v>
      </c>
      <c r="P7" s="97" t="s">
        <v>209</v>
      </c>
      <c r="Q7" s="97" t="s">
        <v>210</v>
      </c>
      <c r="R7" s="126" t="s">
        <v>220</v>
      </c>
    </row>
    <row r="8" spans="1:22" ht="12" customHeight="1" x14ac:dyDescent="0.25">
      <c r="A8" s="3"/>
      <c r="B8" s="603"/>
      <c r="C8" s="46"/>
      <c r="D8" s="44"/>
      <c r="E8" s="602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V8" s="5"/>
    </row>
    <row r="9" spans="1:22" ht="12" customHeight="1" thickBot="1" x14ac:dyDescent="0.3">
      <c r="A9" s="195"/>
      <c r="B9" s="196"/>
      <c r="C9" s="66"/>
      <c r="D9" s="80"/>
      <c r="E9" s="80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</row>
    <row r="10" spans="1:22" ht="12" hidden="1" customHeight="1" outlineLevel="1" x14ac:dyDescent="0.25">
      <c r="A10" s="3"/>
      <c r="B10" s="156"/>
      <c r="C10" s="46"/>
      <c r="D10" s="44"/>
      <c r="E10" s="44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22" ht="12" hidden="1" customHeight="1" outlineLevel="1" x14ac:dyDescent="0.3">
      <c r="A11" s="3"/>
      <c r="B11" s="156"/>
      <c r="C11" s="46"/>
      <c r="D11" s="44"/>
      <c r="E11" s="44"/>
      <c r="F11" s="49"/>
      <c r="G11" s="604" t="s">
        <v>229</v>
      </c>
      <c r="H11" s="604"/>
      <c r="I11" s="604"/>
      <c r="J11" s="604"/>
      <c r="K11" s="604"/>
      <c r="L11" s="604"/>
      <c r="M11" s="605" t="s">
        <v>230</v>
      </c>
      <c r="N11" s="605"/>
      <c r="O11" s="605"/>
      <c r="P11" s="605"/>
      <c r="Q11" s="605"/>
      <c r="R11" s="211"/>
    </row>
    <row r="12" spans="1:22" ht="12.75" hidden="1" customHeight="1" outlineLevel="1" x14ac:dyDescent="0.25">
      <c r="A12" s="46"/>
      <c r="B12" s="46"/>
      <c r="C12" s="46"/>
      <c r="D12" s="46"/>
      <c r="E12" s="46"/>
      <c r="F12" s="44"/>
      <c r="G12" s="44"/>
      <c r="H12" s="44"/>
      <c r="I12" s="44"/>
      <c r="J12" s="44"/>
      <c r="K12" s="44"/>
      <c r="L12" s="44"/>
      <c r="M12" s="44"/>
      <c r="N12" s="44"/>
      <c r="O12" s="11"/>
      <c r="P12" s="11"/>
      <c r="Q12" s="11"/>
      <c r="R12" s="11"/>
      <c r="S12" s="11"/>
      <c r="T12" s="11"/>
      <c r="U12" s="11"/>
      <c r="V12" s="11"/>
    </row>
    <row r="13" spans="1:22" ht="12.75" customHeight="1" collapsed="1" x14ac:dyDescent="0.25">
      <c r="A13" s="46"/>
      <c r="B13" s="46" t="s">
        <v>57</v>
      </c>
      <c r="C13" s="46"/>
      <c r="D13" s="46"/>
      <c r="E13" s="44"/>
      <c r="F13" s="44"/>
      <c r="G13" s="220"/>
      <c r="H13" s="221"/>
      <c r="I13" s="221"/>
      <c r="J13" s="221"/>
      <c r="K13" s="221"/>
      <c r="L13" s="221"/>
      <c r="M13" s="230"/>
      <c r="N13" s="213"/>
      <c r="O13" s="231"/>
      <c r="P13" s="232"/>
      <c r="Q13" s="232"/>
      <c r="R13" s="11"/>
      <c r="S13" s="11"/>
      <c r="T13" s="11"/>
      <c r="U13" s="11"/>
      <c r="V13" s="11"/>
    </row>
    <row r="14" spans="1:22" ht="12.75" customHeight="1" x14ac:dyDescent="0.25">
      <c r="A14" s="46"/>
      <c r="B14" s="46"/>
      <c r="C14" s="46" t="s">
        <v>58</v>
      </c>
      <c r="D14" s="46"/>
      <c r="E14" s="44"/>
      <c r="F14" s="44"/>
      <c r="G14" s="220">
        <f>IF('14. History Balance Sheet'!F44=0,0,'14. History Balance Sheet'!F21/'14. History Balance Sheet'!F44)</f>
        <v>0</v>
      </c>
      <c r="H14" s="220">
        <f>IF('14. History Balance Sheet'!G44=0,0,'14. History Balance Sheet'!G21/'14. History Balance Sheet'!G44)</f>
        <v>0</v>
      </c>
      <c r="I14" s="220">
        <f>IF('14. History Balance Sheet'!H44=0,0,'14. History Balance Sheet'!H21/'14. History Balance Sheet'!H44)</f>
        <v>0</v>
      </c>
      <c r="J14" s="220">
        <f>IF('14. History Balance Sheet'!I44=0,0,'14. History Balance Sheet'!I21/'14. History Balance Sheet'!I44)</f>
        <v>0</v>
      </c>
      <c r="K14" s="220">
        <f>IF('14. History Balance Sheet'!J44=0,0,'14. History Balance Sheet'!J21/'14. History Balance Sheet'!J44)</f>
        <v>0</v>
      </c>
      <c r="L14" s="222">
        <f>AVERAGE(G14:K14)</f>
        <v>0</v>
      </c>
      <c r="M14" s="212">
        <f>IF('8. Balance Sheet'!G52=0,0,'8. Balance Sheet'!G27/'8. Balance Sheet'!G52)</f>
        <v>0.3087589267641801</v>
      </c>
      <c r="N14" s="212">
        <f>IF('8. Balance Sheet'!H52=0,0,'8. Balance Sheet'!H27/'8. Balance Sheet'!H52)</f>
        <v>0.47362928014943811</v>
      </c>
      <c r="O14" s="212">
        <f>IF('8. Balance Sheet'!I52=0,0,'8. Balance Sheet'!I27/'8. Balance Sheet'!I52)</f>
        <v>0.87762019655308821</v>
      </c>
      <c r="P14" s="212">
        <f>IF('8. Balance Sheet'!J52=0,0,'8. Balance Sheet'!J27/'8. Balance Sheet'!J52)</f>
        <v>2.2253862869440262</v>
      </c>
      <c r="Q14" s="212">
        <f>IF('8. Balance Sheet'!K52&lt;0.000000001,0,'8. Balance Sheet'!K27/'8. Balance Sheet'!K52)</f>
        <v>0</v>
      </c>
      <c r="R14" s="34"/>
      <c r="S14" s="11"/>
      <c r="T14" s="11"/>
      <c r="U14" s="11"/>
      <c r="V14" s="11"/>
    </row>
    <row r="15" spans="1:22" ht="12.75" customHeight="1" x14ac:dyDescent="0.25">
      <c r="A15" s="46"/>
      <c r="B15" s="69"/>
      <c r="C15" s="69" t="s">
        <v>59</v>
      </c>
      <c r="D15" s="69"/>
      <c r="E15" s="75"/>
      <c r="F15" s="75"/>
      <c r="G15" s="220">
        <f>IF('14. History Balance Sheet'!F44=0,0,(('14. History Balance Sheet'!F20)/'14. History Balance Sheet'!F44))</f>
        <v>0</v>
      </c>
      <c r="H15" s="220">
        <f>IF('14. History Balance Sheet'!G44=0,0,(('14. History Balance Sheet'!G20)/'14. History Balance Sheet'!G44))</f>
        <v>0</v>
      </c>
      <c r="I15" s="220">
        <f>IF('14. History Balance Sheet'!H44=0,0,(('14. History Balance Sheet'!H20)/'14. History Balance Sheet'!H44))</f>
        <v>0</v>
      </c>
      <c r="J15" s="220">
        <f>IF('14. History Balance Sheet'!I44=0,0,(('14. History Balance Sheet'!I20)/'14. History Balance Sheet'!I44))</f>
        <v>0</v>
      </c>
      <c r="K15" s="220">
        <f>IF('14. History Balance Sheet'!J44=0,0,(('14. History Balance Sheet'!J20)/'14. History Balance Sheet'!J44))</f>
        <v>0</v>
      </c>
      <c r="L15" s="222">
        <f>AVERAGE(G15:K15)</f>
        <v>0</v>
      </c>
      <c r="M15" s="212">
        <f>IF('8. Balance Sheet'!G52=0,0,('8. Balance Sheet'!G23+'8. Balance Sheet'!G25)/'8. Balance Sheet'!G52)</f>
        <v>0.13351270133058843</v>
      </c>
      <c r="N15" s="212">
        <f>IF('8. Balance Sheet'!H52=0,0,('8. Balance Sheet'!H23+'8. Balance Sheet'!H25)/'8. Balance Sheet'!H52)</f>
        <v>0.39805649441893404</v>
      </c>
      <c r="O15" s="212">
        <f>IF('8. Balance Sheet'!I52=0,0,('8. Balance Sheet'!I23+'8. Balance Sheet'!I25)/'8. Balance Sheet'!I52)</f>
        <v>0.6239332130273596</v>
      </c>
      <c r="P15" s="212">
        <f>IF('8. Balance Sheet'!J52=0,0,('8. Balance Sheet'!J23+'8. Balance Sheet'!J25)/'8. Balance Sheet'!J52)</f>
        <v>2.1291781221809978</v>
      </c>
      <c r="Q15" s="212">
        <f>IF('8. Balance Sheet'!K52=0,0,('8. Balance Sheet'!K23+'8. Balance Sheet'!K25)/'8. Balance Sheet'!K52)</f>
        <v>0</v>
      </c>
      <c r="R15" s="203"/>
      <c r="S15" s="65"/>
      <c r="T15" s="11"/>
      <c r="U15" s="11"/>
      <c r="V15" s="11"/>
    </row>
    <row r="16" spans="1:22" ht="12.75" customHeight="1" x14ac:dyDescent="0.25">
      <c r="A16" s="46"/>
      <c r="B16" s="69"/>
      <c r="C16" s="69" t="s">
        <v>223</v>
      </c>
      <c r="D16" s="69"/>
      <c r="E16" s="75"/>
      <c r="F16" s="75"/>
      <c r="G16" s="220">
        <f>IF('14. History Balance Sheet'!F44=0,0,('14. History Balance Sheet'!F20/'14. History Balance Sheet'!F44))</f>
        <v>0</v>
      </c>
      <c r="H16" s="220">
        <f>IF('14. History Balance Sheet'!G44=0,0,('14. History Balance Sheet'!G20/'14. History Balance Sheet'!G44))</f>
        <v>0</v>
      </c>
      <c r="I16" s="220">
        <f>IF('14. History Balance Sheet'!H44=0,0,('14. History Balance Sheet'!H20/'14. History Balance Sheet'!H44))</f>
        <v>0</v>
      </c>
      <c r="J16" s="220">
        <f>IF('14. History Balance Sheet'!I44=0,0,('14. History Balance Sheet'!I20/'14. History Balance Sheet'!I44))</f>
        <v>0</v>
      </c>
      <c r="K16" s="220">
        <f>IF('14. History Balance Sheet'!J44=0,0,('14. History Balance Sheet'!J20/'14. History Balance Sheet'!J44))</f>
        <v>0</v>
      </c>
      <c r="L16" s="222">
        <f t="shared" ref="L16:L35" si="1">AVERAGE(G16:K16)</f>
        <v>0</v>
      </c>
      <c r="M16" s="212">
        <f>IF('8. Balance Sheet'!G49=0,0,'8. Balance Sheet'!G23/'8. Balance Sheet'!G49)</f>
        <v>0</v>
      </c>
      <c r="N16" s="212">
        <f>IF('8. Balance Sheet'!H49=0,0,'8. Balance Sheet'!H23/'8. Balance Sheet'!H49)</f>
        <v>0</v>
      </c>
      <c r="O16" s="212">
        <f>IF('8. Balance Sheet'!I49=0,0,'8. Balance Sheet'!I23/'8. Balance Sheet'!I49)</f>
        <v>0</v>
      </c>
      <c r="P16" s="212">
        <f>IF('8. Balance Sheet'!J49=0,0,'8. Balance Sheet'!J23/'8. Balance Sheet'!J49)</f>
        <v>0</v>
      </c>
      <c r="Q16" s="212">
        <f>IF('8. Balance Sheet'!K49=0,0,'8. Balance Sheet'!K23/'8. Balance Sheet'!K49)</f>
        <v>0</v>
      </c>
      <c r="R16" s="203"/>
      <c r="S16" s="65"/>
      <c r="T16" s="11"/>
      <c r="U16" s="11"/>
      <c r="V16" s="11"/>
    </row>
    <row r="17" spans="1:22" ht="12.75" customHeight="1" x14ac:dyDescent="0.25">
      <c r="A17" s="46"/>
      <c r="B17" s="69"/>
      <c r="C17" s="69"/>
      <c r="D17" s="69"/>
      <c r="E17" s="75"/>
      <c r="F17" s="75"/>
      <c r="G17" s="220"/>
      <c r="H17" s="221"/>
      <c r="I17" s="221"/>
      <c r="J17" s="221"/>
      <c r="K17" s="221"/>
      <c r="L17" s="222"/>
      <c r="M17" s="212"/>
      <c r="N17" s="212"/>
      <c r="O17" s="212"/>
      <c r="P17" s="212"/>
      <c r="Q17" s="212"/>
      <c r="R17" s="203"/>
      <c r="S17" s="65"/>
      <c r="T17" s="11"/>
      <c r="U17" s="11"/>
      <c r="V17" s="11"/>
    </row>
    <row r="18" spans="1:22" ht="12.75" customHeight="1" x14ac:dyDescent="0.25">
      <c r="A18" s="46"/>
      <c r="B18" s="69" t="s">
        <v>224</v>
      </c>
      <c r="C18" s="69"/>
      <c r="D18" s="69"/>
      <c r="E18" s="75"/>
      <c r="F18" s="75"/>
      <c r="G18" s="220"/>
      <c r="H18" s="221"/>
      <c r="I18" s="221"/>
      <c r="J18" s="221"/>
      <c r="K18" s="221"/>
      <c r="L18" s="222"/>
      <c r="M18" s="212"/>
      <c r="N18" s="233"/>
      <c r="O18" s="234"/>
      <c r="P18" s="234"/>
      <c r="Q18" s="234"/>
      <c r="R18" s="203"/>
      <c r="S18" s="65"/>
      <c r="T18" s="11"/>
      <c r="U18" s="11"/>
      <c r="V18" s="11"/>
    </row>
    <row r="19" spans="1:22" ht="12.75" customHeight="1" x14ac:dyDescent="0.25">
      <c r="A19" s="46"/>
      <c r="B19" s="69"/>
      <c r="C19" s="69" t="s">
        <v>225</v>
      </c>
      <c r="D19" s="69"/>
      <c r="E19" s="75"/>
      <c r="F19" s="75"/>
      <c r="G19" s="220">
        <f>IF('14. History Balance Sheet'!F24=0,0,(('14. History Balance Sheet'!F34+'14. History Balance Sheet'!F39)/'14. History Balance Sheet'!F24))</f>
        <v>0</v>
      </c>
      <c r="H19" s="220">
        <f>IF('14. History Balance Sheet'!G24=0,0,(('14. History Balance Sheet'!G34+'14. History Balance Sheet'!G39)/'14. History Balance Sheet'!G24))</f>
        <v>0</v>
      </c>
      <c r="I19" s="220">
        <f>IF('14. History Balance Sheet'!H24=0,0,(('14. History Balance Sheet'!H34+'14. History Balance Sheet'!H39)/'14. History Balance Sheet'!H24))</f>
        <v>0</v>
      </c>
      <c r="J19" s="220">
        <f>IF('14. History Balance Sheet'!I24=0,0,(('14. History Balance Sheet'!I34+'14. History Balance Sheet'!I39)/'14. History Balance Sheet'!I24))</f>
        <v>0</v>
      </c>
      <c r="K19" s="220">
        <f>IF('14. History Balance Sheet'!J24=0,0,(('14. History Balance Sheet'!J34+'14. History Balance Sheet'!J39)/'14. History Balance Sheet'!J24))</f>
        <v>0</v>
      </c>
      <c r="L19" s="222">
        <f t="shared" si="1"/>
        <v>0</v>
      </c>
      <c r="M19" s="212">
        <f>IF('8. Balance Sheet'!G30=0,0,'8. Balance Sheet'!G40/'8. Balance Sheet'!G30)</f>
        <v>0.49511112885743663</v>
      </c>
      <c r="N19" s="212">
        <f>IF('8. Balance Sheet'!H30=0,0,'8. Balance Sheet'!H40/'8. Balance Sheet'!H30)</f>
        <v>0.46449964698849228</v>
      </c>
      <c r="O19" s="212">
        <f>IF('8. Balance Sheet'!I30=0,0,'8. Balance Sheet'!I40/'8. Balance Sheet'!I30)</f>
        <v>0.38657203737796481</v>
      </c>
      <c r="P19" s="212">
        <f>IF('8. Balance Sheet'!J30=0,0,'8. Balance Sheet'!J40/'8. Balance Sheet'!J30)</f>
        <v>0.23800986115001529</v>
      </c>
      <c r="Q19" s="212">
        <f>IF('8. Balance Sheet'!K30=0,0,'8. Balance Sheet'!K40/'8. Balance Sheet'!K30)</f>
        <v>0</v>
      </c>
      <c r="R19" s="203"/>
      <c r="S19" s="65"/>
      <c r="T19" s="11"/>
      <c r="U19" s="11"/>
      <c r="V19" s="11"/>
    </row>
    <row r="20" spans="1:22" ht="12.75" customHeight="1" x14ac:dyDescent="0.25">
      <c r="A20" s="46"/>
      <c r="B20" s="69"/>
      <c r="C20" s="69" t="s">
        <v>60</v>
      </c>
      <c r="D20" s="69"/>
      <c r="E20" s="75"/>
      <c r="F20" s="75"/>
      <c r="G20" s="220">
        <f>IF('14. History Balance Sheet'!F29=0,0,(('14. History Balance Sheet'!F34+'14. History Balance Sheet'!F39)/'14. History Balance Sheet'!F29))</f>
        <v>0</v>
      </c>
      <c r="H20" s="220">
        <f>IF('14. History Balance Sheet'!G29=0,0,(('14. History Balance Sheet'!G34+'14. History Balance Sheet'!G39)/'14. History Balance Sheet'!G29))</f>
        <v>0</v>
      </c>
      <c r="I20" s="220">
        <f>IF('14. History Balance Sheet'!H29=0,0,(('14. History Balance Sheet'!H34+'14. History Balance Sheet'!H39)/'14. History Balance Sheet'!H29))</f>
        <v>0</v>
      </c>
      <c r="J20" s="220">
        <f>IF('14. History Balance Sheet'!I29=0,0,(('14. History Balance Sheet'!I34+'14. History Balance Sheet'!I39)/'14. History Balance Sheet'!I29))</f>
        <v>0</v>
      </c>
      <c r="K20" s="220">
        <f>IF('14. History Balance Sheet'!J29=0,0,(('14. History Balance Sheet'!J34+'14. History Balance Sheet'!J39)/'14. History Balance Sheet'!J29))</f>
        <v>0</v>
      </c>
      <c r="L20" s="222">
        <f t="shared" si="1"/>
        <v>0</v>
      </c>
      <c r="M20" s="212">
        <f>IF('8. Balance Sheet'!G52=0,0,'8. Balance Sheet'!G52/'8. Balance Sheet'!G35)</f>
        <v>0.98063387243414657</v>
      </c>
      <c r="N20" s="212">
        <f>IF('8. Balance Sheet'!H52=0,0,'8. Balance Sheet'!H52/'8. Balance Sheet'!H35)</f>
        <v>0.86741240108670969</v>
      </c>
      <c r="O20" s="212">
        <f>IF('8. Balance Sheet'!I52=0,0,'8. Balance Sheet'!I52/'8. Balance Sheet'!I35)</f>
        <v>0.63018326671252844</v>
      </c>
      <c r="P20" s="212">
        <f>IF('8. Balance Sheet'!J52=0,0,'8. Balance Sheet'!J52/'8. Balance Sheet'!J35)</f>
        <v>0.31235294135069258</v>
      </c>
      <c r="Q20" s="212">
        <f>IF('8. Balance Sheet'!K52=0,0,'8. Balance Sheet'!K52/'8. Balance Sheet'!K35)</f>
        <v>0</v>
      </c>
      <c r="R20" s="203"/>
      <c r="S20" s="65"/>
      <c r="T20" s="11"/>
      <c r="U20" s="11"/>
      <c r="V20" s="11"/>
    </row>
    <row r="21" spans="1:22" ht="12.75" customHeight="1" x14ac:dyDescent="0.25">
      <c r="A21" s="46"/>
      <c r="B21" s="69"/>
      <c r="C21" s="69" t="s">
        <v>226</v>
      </c>
      <c r="D21" s="69"/>
      <c r="E21" s="75"/>
      <c r="F21" s="75"/>
      <c r="G21" s="220">
        <f>IF('14. History Balance Sheet'!F29+'14. History Balance Sheet'!F34+'14. History Balance Sheet'!F39=0,0,(('14. History Balance Sheet'!F34+'14. History Balance Sheet'!F39)/(('14. History Balance Sheet'!F34+'14. History Balance Sheet'!F39)+'14. History Balance Sheet'!F29)))</f>
        <v>0</v>
      </c>
      <c r="H21" s="220">
        <f>IF('14. History Balance Sheet'!G29+'14. History Balance Sheet'!G34+'14. History Balance Sheet'!G39=0,0,(('14. History Balance Sheet'!G34+'14. History Balance Sheet'!G39)/(('14. History Balance Sheet'!G34+'14. History Balance Sheet'!G39)+'14. History Balance Sheet'!G29)))</f>
        <v>0</v>
      </c>
      <c r="I21" s="220">
        <f>IF('14. History Balance Sheet'!H29+'14. History Balance Sheet'!H34+'14. History Balance Sheet'!H39=0,0,(('14. History Balance Sheet'!H34+'14. History Balance Sheet'!H39)/(('14. History Balance Sheet'!H34+'14. History Balance Sheet'!H39)+'14. History Balance Sheet'!H29)))</f>
        <v>0</v>
      </c>
      <c r="J21" s="220">
        <f>IF('14. History Balance Sheet'!I29+'14. History Balance Sheet'!I34+'14. History Balance Sheet'!I39=0,0,(('14. History Balance Sheet'!I34+'14. History Balance Sheet'!I39)/(('14. History Balance Sheet'!I34+'14. History Balance Sheet'!I39)+'14. History Balance Sheet'!I29)))</f>
        <v>0</v>
      </c>
      <c r="K21" s="220">
        <f>IF('14. History Balance Sheet'!J29+'14. History Balance Sheet'!J34+'14. History Balance Sheet'!J39=0,0,(('14. History Balance Sheet'!J34+'14. History Balance Sheet'!J39)/(('14. History Balance Sheet'!J34+'14. History Balance Sheet'!J39)+'14. History Balance Sheet'!J29)))</f>
        <v>0</v>
      </c>
      <c r="L21" s="222">
        <f t="shared" si="1"/>
        <v>0</v>
      </c>
      <c r="M21" s="212">
        <f>IF('8. Balance Sheet'!G40+'8. Balance Sheet'!G35=0,0,'8. Balance Sheet'!G40/('8. Balance Sheet'!G40+'8. Balance Sheet'!G35))</f>
        <v>0.49511112885743674</v>
      </c>
      <c r="N21" s="212">
        <f>IF('8. Balance Sheet'!H40+'8. Balance Sheet'!H35=0,0,'8. Balance Sheet'!H40/('8. Balance Sheet'!H40+'8. Balance Sheet'!H35))</f>
        <v>0.46449964698849244</v>
      </c>
      <c r="O21" s="212">
        <f>IF('8. Balance Sheet'!I40+'8. Balance Sheet'!I35=0,0,'8. Balance Sheet'!I40/('8. Balance Sheet'!I40+'8. Balance Sheet'!I35))</f>
        <v>0.38657203737796492</v>
      </c>
      <c r="P21" s="212">
        <f>IF('8. Balance Sheet'!J40+'8. Balance Sheet'!J35=0,0,'8. Balance Sheet'!J40/('8. Balance Sheet'!J40+'8. Balance Sheet'!J35))</f>
        <v>0.23800986115001535</v>
      </c>
      <c r="Q21" s="212">
        <f>IF('8. Balance Sheet'!K40+'8. Balance Sheet'!K35=0,0,'8. Balance Sheet'!K40/('8. Balance Sheet'!K40+'8. Balance Sheet'!K35))</f>
        <v>0</v>
      </c>
      <c r="R21" s="203"/>
      <c r="S21" s="65"/>
      <c r="T21" s="11"/>
      <c r="U21" s="11"/>
      <c r="V21" s="11"/>
    </row>
    <row r="22" spans="1:22" ht="12.75" customHeight="1" x14ac:dyDescent="0.25">
      <c r="A22" s="46"/>
      <c r="B22" s="69"/>
      <c r="C22" s="69"/>
      <c r="D22" s="69"/>
      <c r="E22" s="75"/>
      <c r="F22" s="75"/>
      <c r="G22" s="220"/>
      <c r="H22" s="221"/>
      <c r="I22" s="221"/>
      <c r="J22" s="221"/>
      <c r="K22" s="221"/>
      <c r="L22" s="222"/>
      <c r="M22" s="212"/>
      <c r="N22" s="233"/>
      <c r="O22" s="234"/>
      <c r="P22" s="234"/>
      <c r="Q22" s="234"/>
      <c r="R22" s="203"/>
      <c r="S22" s="65"/>
      <c r="T22" s="11"/>
      <c r="U22" s="11"/>
      <c r="V22" s="11"/>
    </row>
    <row r="23" spans="1:22" ht="12.75" customHeight="1" x14ac:dyDescent="0.25">
      <c r="A23" s="46"/>
      <c r="B23" s="69" t="s">
        <v>61</v>
      </c>
      <c r="C23" s="69"/>
      <c r="D23" s="69"/>
      <c r="E23" s="75"/>
      <c r="F23" s="75"/>
      <c r="G23" s="223"/>
      <c r="H23" s="221"/>
      <c r="I23" s="221"/>
      <c r="J23" s="221"/>
      <c r="K23" s="221"/>
      <c r="L23" s="222"/>
      <c r="M23" s="214"/>
      <c r="N23" s="235"/>
      <c r="O23" s="236"/>
      <c r="P23" s="236"/>
      <c r="Q23" s="236"/>
      <c r="R23" s="64"/>
      <c r="S23" s="65"/>
      <c r="T23" s="11"/>
      <c r="U23" s="11"/>
      <c r="V23" s="11"/>
    </row>
    <row r="24" spans="1:22" ht="12.75" customHeight="1" x14ac:dyDescent="0.3">
      <c r="A24" s="46"/>
      <c r="B24" s="69"/>
      <c r="C24" s="69" t="s">
        <v>62</v>
      </c>
      <c r="D24" s="69"/>
      <c r="E24" s="75"/>
      <c r="F24" s="75"/>
      <c r="G24" s="224" t="s">
        <v>100</v>
      </c>
      <c r="H24" s="225">
        <f>IF('12. Historical Income Statement'!E10=0,0,('12. Historical Income Statement'!F10-'12. Historical Income Statement'!E10)/'12. Historical Income Statement'!E10)</f>
        <v>0</v>
      </c>
      <c r="I24" s="225">
        <f>IF('12. Historical Income Statement'!F10=0,0,('12. Historical Income Statement'!G10-'12. Historical Income Statement'!F10)/'12. Historical Income Statement'!F10)</f>
        <v>0</v>
      </c>
      <c r="J24" s="225">
        <f>IF('12. Historical Income Statement'!G10=0,0,('12. Historical Income Statement'!H10-'12. Historical Income Statement'!G10)/'12. Historical Income Statement'!G10)</f>
        <v>0</v>
      </c>
      <c r="K24" s="225">
        <f>IF('12. Historical Income Statement'!H10=0,0,('12. Historical Income Statement'!I10-'12. Historical Income Statement'!H10)/'12. Historical Income Statement'!H10)</f>
        <v>0</v>
      </c>
      <c r="L24" s="225">
        <f>IF('12. Historical Income Statement'!I10=0,0,('12. Historical Income Statement'!J10-'12. Historical Income Statement'!I10)/'12. Historical Income Statement'!I10)</f>
        <v>0</v>
      </c>
      <c r="M24" s="215">
        <f>'1. Assumptions'!D21</f>
        <v>0.15</v>
      </c>
      <c r="N24" s="215">
        <f>('6. Income Statement'!R14-'6. Income Statement'!Q14)/'6. Income Statement'!Q14</f>
        <v>9.0000000000000011E-2</v>
      </c>
      <c r="O24" s="215">
        <f>('6. Income Statement'!S14-'6. Income Statement'!R14)/'6. Income Statement'!R14</f>
        <v>9.0000000000000066E-2</v>
      </c>
      <c r="P24" s="215">
        <f>('6. Income Statement'!T14-'6. Income Statement'!S14)/'6. Income Statement'!S14</f>
        <v>9.0000000000000024E-2</v>
      </c>
      <c r="Q24" s="215">
        <f>('6. Income Statement'!U14-'6. Income Statement'!T14)/'6. Income Statement'!T14</f>
        <v>9.0000000000000024E-2</v>
      </c>
      <c r="R24" s="204"/>
      <c r="S24" s="65"/>
      <c r="T24" s="11"/>
      <c r="U24" s="11"/>
      <c r="V24" s="11"/>
    </row>
    <row r="25" spans="1:22" ht="12.75" customHeight="1" x14ac:dyDescent="0.3">
      <c r="A25" s="46"/>
      <c r="B25" s="69"/>
      <c r="C25" s="69" t="s">
        <v>63</v>
      </c>
      <c r="D25" s="69"/>
      <c r="E25" s="75"/>
      <c r="F25" s="75"/>
      <c r="G25" s="225">
        <f>-IF('12. Historical Income Statement'!E10=0,0,'12. Historical Income Statement'!E34/'12. Historical Income Statement'!E10)</f>
        <v>0</v>
      </c>
      <c r="H25" s="225">
        <f>-IF('12. Historical Income Statement'!F10=0,0,'12. Historical Income Statement'!F34/'12. Historical Income Statement'!F10)</f>
        <v>0</v>
      </c>
      <c r="I25" s="225">
        <f>-IF('12. Historical Income Statement'!G10=0,0,'12. Historical Income Statement'!G34/'12. Historical Income Statement'!G10)</f>
        <v>0</v>
      </c>
      <c r="J25" s="225">
        <f>-IF('12. Historical Income Statement'!H10=0,0,'12. Historical Income Statement'!H34/'12. Historical Income Statement'!H10)</f>
        <v>0</v>
      </c>
      <c r="K25" s="225">
        <f>-IF('12. Historical Income Statement'!I10=0,0,'12. Historical Income Statement'!I34/'12. Historical Income Statement'!I10)</f>
        <v>0</v>
      </c>
      <c r="L25" s="225">
        <f>-IF('12. Historical Income Statement'!J10=0,0,'12. Historical Income Statement'!J34/'12. Historical Income Statement'!J10)</f>
        <v>0</v>
      </c>
      <c r="M25" s="215">
        <f>-'6. Income Statement'!Q37/'6. Income Statement'!Q14</f>
        <v>0.66933132656873828</v>
      </c>
      <c r="N25" s="215">
        <f>-'6. Income Statement'!R37/'6. Income Statement'!R14</f>
        <v>0.64467175321896009</v>
      </c>
      <c r="O25" s="215">
        <f>-'6. Income Statement'!S37/'6. Income Statement'!S14</f>
        <v>0.60967183791294222</v>
      </c>
      <c r="P25" s="215">
        <f>-'6. Income Statement'!T37/'6. Income Statement'!T14</f>
        <v>0.57689283809154235</v>
      </c>
      <c r="Q25" s="215">
        <f>-'6. Income Statement'!U37/'6. Income Statement'!U14</f>
        <v>0.54617592534884429</v>
      </c>
      <c r="R25" s="204"/>
      <c r="S25" s="65"/>
      <c r="T25" s="11"/>
      <c r="U25" s="11"/>
      <c r="V25" s="11"/>
    </row>
    <row r="26" spans="1:22" ht="12.75" customHeight="1" x14ac:dyDescent="0.25">
      <c r="A26" s="46"/>
      <c r="B26" s="69"/>
      <c r="C26" s="69" t="s">
        <v>64</v>
      </c>
      <c r="D26" s="69"/>
      <c r="E26" s="75"/>
      <c r="F26" s="75"/>
      <c r="G26" s="226">
        <f>IF('12. Historical Income Statement'!E10=0,0,'12. Historical Income Statement'!E38/'12. Historical Income Statement'!E10)</f>
        <v>0</v>
      </c>
      <c r="H26" s="226">
        <f>IF('12. Historical Income Statement'!F10=0,0,'12. Historical Income Statement'!F38/'12. Historical Income Statement'!F10)</f>
        <v>0</v>
      </c>
      <c r="I26" s="226">
        <f>IF('12. Historical Income Statement'!G10=0,0,'12. Historical Income Statement'!G38/'12. Historical Income Statement'!G10)</f>
        <v>0</v>
      </c>
      <c r="J26" s="226">
        <f>IF('12. Historical Income Statement'!H10=0,0,'12. Historical Income Statement'!H38/'12. Historical Income Statement'!H10)</f>
        <v>0</v>
      </c>
      <c r="K26" s="226">
        <f>IF('12. Historical Income Statement'!I10=0,0,'12. Historical Income Statement'!I38/'12. Historical Income Statement'!I10)</f>
        <v>0</v>
      </c>
      <c r="L26" s="226">
        <f>IF('12. Historical Income Statement'!J10=0,0,'12. Historical Income Statement'!J38/'12. Historical Income Statement'!J10)</f>
        <v>0</v>
      </c>
      <c r="M26" s="216">
        <f>'6. Income Statement'!Q42/'6. Income Statement'!Q14</f>
        <v>0.33066867343126166</v>
      </c>
      <c r="N26" s="216">
        <f>'6. Income Statement'!R42/'6. Income Statement'!R14</f>
        <v>0.35532824678103986</v>
      </c>
      <c r="O26" s="216">
        <f>'6. Income Statement'!S42/'6. Income Statement'!S14</f>
        <v>0.39032816208705778</v>
      </c>
      <c r="P26" s="216">
        <f>'6. Income Statement'!T42/'6. Income Statement'!T14</f>
        <v>0.42310716190845771</v>
      </c>
      <c r="Q26" s="216">
        <f>'6. Income Statement'!U42/'6. Income Statement'!U14</f>
        <v>0.45382407465115576</v>
      </c>
      <c r="R26" s="204"/>
      <c r="S26" s="65"/>
      <c r="T26" s="11"/>
      <c r="U26" s="11"/>
      <c r="V26" s="11"/>
    </row>
    <row r="27" spans="1:22" ht="12.75" customHeight="1" x14ac:dyDescent="0.25">
      <c r="A27" s="46"/>
      <c r="B27" s="69"/>
      <c r="C27" s="69" t="s">
        <v>227</v>
      </c>
      <c r="D27" s="69"/>
      <c r="E27" s="75"/>
      <c r="F27" s="75"/>
      <c r="G27" s="226">
        <f>-IF('12. Historical Income Statement'!E10=0,0,'12. Historical Income Statement'!E81/'12. Historical Income Statement'!E10)</f>
        <v>0</v>
      </c>
      <c r="H27" s="226">
        <f>-IF('12. Historical Income Statement'!F10=0,0,'12. Historical Income Statement'!F81/'12. Historical Income Statement'!F10)</f>
        <v>0</v>
      </c>
      <c r="I27" s="226">
        <f>-IF('12. Historical Income Statement'!G10=0,0,'12. Historical Income Statement'!G81/'12. Historical Income Statement'!G10)</f>
        <v>0</v>
      </c>
      <c r="J27" s="226">
        <f>-IF('12. Historical Income Statement'!H10=0,0,'12. Historical Income Statement'!H81/'12. Historical Income Statement'!H10)</f>
        <v>0</v>
      </c>
      <c r="K27" s="226">
        <f>-IF('12. Historical Income Statement'!I10=0,0,'12. Historical Income Statement'!I81/'12. Historical Income Statement'!I10)</f>
        <v>0</v>
      </c>
      <c r="L27" s="226">
        <f>-IF('12. Historical Income Statement'!J10=0,0,'12. Historical Income Statement'!J81/'12. Historical Income Statement'!J10)</f>
        <v>0</v>
      </c>
      <c r="M27" s="216">
        <f>-'6. Income Statement'!Q77/'6. Income Statement'!Q14</f>
        <v>0.3769179129065881</v>
      </c>
      <c r="N27" s="216">
        <f>-'6. Income Statement'!R77/'6. Income Statement'!R14</f>
        <v>0.36425426114821824</v>
      </c>
      <c r="O27" s="216">
        <f>-'6. Income Statement'!S77/'6. Income Statement'!S14</f>
        <v>0.35211963504647947</v>
      </c>
      <c r="P27" s="216">
        <f>-'6. Income Statement'!T77/'6. Income Statement'!T14</f>
        <v>0.34049816051256987</v>
      </c>
      <c r="Q27" s="216">
        <f>-'6. Income Statement'!U77/'6. Income Statement'!U14</f>
        <v>0.32937474083874979</v>
      </c>
      <c r="R27" s="204"/>
      <c r="S27" s="65"/>
      <c r="T27" s="11"/>
      <c r="U27" s="11"/>
      <c r="V27" s="11"/>
    </row>
    <row r="28" spans="1:22" ht="12.75" customHeight="1" x14ac:dyDescent="0.25">
      <c r="A28" s="46"/>
      <c r="B28" s="69"/>
      <c r="C28" s="69" t="s">
        <v>65</v>
      </c>
      <c r="D28" s="69"/>
      <c r="E28" s="75"/>
      <c r="F28" s="75"/>
      <c r="G28" s="226">
        <f>IF('12. Historical Income Statement'!E10=0,0,'12. Historical Income Statement'!E85/'12. Historical Income Statement'!E10)</f>
        <v>0</v>
      </c>
      <c r="H28" s="226">
        <f>IF('12. Historical Income Statement'!F10=0,0,'12. Historical Income Statement'!F85/'12. Historical Income Statement'!F10)</f>
        <v>0</v>
      </c>
      <c r="I28" s="226">
        <f>IF('12. Historical Income Statement'!G10=0,0,'12. Historical Income Statement'!G85/'12. Historical Income Statement'!G10)</f>
        <v>0</v>
      </c>
      <c r="J28" s="226">
        <f>IF('12. Historical Income Statement'!H10=0,0,'12. Historical Income Statement'!H85/'12. Historical Income Statement'!H10)</f>
        <v>0</v>
      </c>
      <c r="K28" s="226">
        <f>IF('12. Historical Income Statement'!I10=0,0,'12. Historical Income Statement'!I85/'12. Historical Income Statement'!I10)</f>
        <v>0</v>
      </c>
      <c r="L28" s="226">
        <f>IF('12. Historical Income Statement'!J10=0,0,'12. Historical Income Statement'!J85/'12. Historical Income Statement'!J10)</f>
        <v>0</v>
      </c>
      <c r="M28" s="216">
        <f>'6. Income Statement'!Q105/'6. Income Statement'!Q14</f>
        <v>-0.1086010600555443</v>
      </c>
      <c r="N28" s="216">
        <f>'6. Income Statement'!R105/'6. Income Statement'!R14</f>
        <v>-6.3411250660449642E-2</v>
      </c>
      <c r="O28" s="216">
        <f>'6. Income Statement'!S105/'6. Income Statement'!S14</f>
        <v>-1.1961469492896674E-2</v>
      </c>
      <c r="P28" s="216">
        <f>'6. Income Statement'!T105/'6. Income Statement'!T14</f>
        <v>3.6693181447899501E-2</v>
      </c>
      <c r="Q28" s="216">
        <f>'6. Income Statement'!U105/'6. Income Statement'!U14</f>
        <v>8.2775593195610758E-2</v>
      </c>
      <c r="R28" s="204"/>
      <c r="S28" s="65"/>
      <c r="T28" s="11"/>
      <c r="U28" s="11"/>
      <c r="V28" s="11"/>
    </row>
    <row r="29" spans="1:22" ht="12.75" customHeight="1" x14ac:dyDescent="0.25">
      <c r="A29" s="46"/>
      <c r="B29" s="69"/>
      <c r="C29" s="69"/>
      <c r="D29" s="69"/>
      <c r="E29" s="75"/>
      <c r="F29" s="75"/>
      <c r="G29" s="226"/>
      <c r="H29" s="221"/>
      <c r="I29" s="221"/>
      <c r="J29" s="221"/>
      <c r="K29" s="221"/>
      <c r="L29" s="222"/>
      <c r="M29" s="216"/>
      <c r="N29" s="237"/>
      <c r="O29" s="238"/>
      <c r="P29" s="238"/>
      <c r="Q29" s="238"/>
      <c r="R29" s="204"/>
      <c r="S29" s="65"/>
      <c r="T29" s="11"/>
      <c r="U29" s="11"/>
      <c r="V29" s="11"/>
    </row>
    <row r="30" spans="1:22" ht="12.75" customHeight="1" x14ac:dyDescent="0.25">
      <c r="A30" s="46"/>
      <c r="B30" s="69" t="s">
        <v>71</v>
      </c>
      <c r="C30" s="69"/>
      <c r="D30" s="69"/>
      <c r="E30" s="75"/>
      <c r="F30" s="75"/>
      <c r="G30" s="227"/>
      <c r="H30" s="221"/>
      <c r="I30" s="221"/>
      <c r="J30" s="221"/>
      <c r="K30" s="221"/>
      <c r="L30" s="222"/>
      <c r="M30" s="217"/>
      <c r="N30" s="235"/>
      <c r="O30" s="236"/>
      <c r="P30" s="236"/>
      <c r="Q30" s="236"/>
      <c r="R30" s="64"/>
      <c r="S30" s="65"/>
      <c r="T30" s="11"/>
      <c r="U30" s="11"/>
      <c r="V30" s="11"/>
    </row>
    <row r="31" spans="1:22" ht="12.75" customHeight="1" x14ac:dyDescent="0.25">
      <c r="A31" s="46"/>
      <c r="B31" s="69"/>
      <c r="C31" s="69" t="s">
        <v>66</v>
      </c>
      <c r="D31" s="69"/>
      <c r="E31" s="75"/>
      <c r="F31" s="75"/>
      <c r="G31" s="228">
        <f>IF('12. Historical Income Statement'!E10=0,0,('14. History Balance Sheet'!F19/'12. Historical Income Statement'!E10)*360)</f>
        <v>0</v>
      </c>
      <c r="H31" s="228">
        <f>IF('12. Historical Income Statement'!F10=0,0,('14. History Balance Sheet'!G19/'12. Historical Income Statement'!F10)*360)</f>
        <v>0</v>
      </c>
      <c r="I31" s="228">
        <f>IF('12. Historical Income Statement'!G10=0,0,('14. History Balance Sheet'!H19/'12. Historical Income Statement'!G10)*360)</f>
        <v>0</v>
      </c>
      <c r="J31" s="228">
        <f>IF('12. Historical Income Statement'!H10=0,0,('14. History Balance Sheet'!I19/'12. Historical Income Statement'!H10)*360)</f>
        <v>0</v>
      </c>
      <c r="K31" s="228">
        <f>IF('12. Historical Income Statement'!I10=0,0,('14. History Balance Sheet'!J19/'12. Historical Income Statement'!I10)*360)</f>
        <v>0</v>
      </c>
      <c r="L31" s="228">
        <f>IF('12. Historical Income Statement'!J10=0,0,('14. History Balance Sheet'!K19/'12. Historical Income Statement'!J10)*360)</f>
        <v>0</v>
      </c>
      <c r="M31" s="218">
        <f>('8. Balance Sheet'!G25/'6. Income Statement'!Q14)*360</f>
        <v>0</v>
      </c>
      <c r="N31" s="218">
        <f>('8. Balance Sheet'!H25/'6. Income Statement'!R14)*360</f>
        <v>0</v>
      </c>
      <c r="O31" s="218">
        <f>('8. Balance Sheet'!I25/'6. Income Statement'!S14)*360</f>
        <v>0</v>
      </c>
      <c r="P31" s="218">
        <f>('8. Balance Sheet'!J25/'6. Income Statement'!T14)*360</f>
        <v>0</v>
      </c>
      <c r="Q31" s="218">
        <f>('8. Balance Sheet'!K25/'6. Income Statement'!U14)*360</f>
        <v>0</v>
      </c>
      <c r="R31" s="203"/>
      <c r="S31" s="65"/>
      <c r="T31" s="11"/>
      <c r="U31" s="11"/>
      <c r="V31" s="11"/>
    </row>
    <row r="32" spans="1:22" ht="12.75" customHeight="1" x14ac:dyDescent="0.25">
      <c r="A32" s="46"/>
      <c r="B32" s="69"/>
      <c r="C32" s="69" t="s">
        <v>67</v>
      </c>
      <c r="D32" s="69"/>
      <c r="E32" s="75"/>
      <c r="F32" s="75"/>
      <c r="G32" s="229">
        <f>IF('14. History Balance Sheet'!F19=0,0,'12. Historical Income Statement'!E10/'14. History Balance Sheet'!F19)</f>
        <v>0</v>
      </c>
      <c r="H32" s="229">
        <f>IF('14. History Balance Sheet'!G19=0,0,'12. Historical Income Statement'!F10/'14. History Balance Sheet'!G19)</f>
        <v>0</v>
      </c>
      <c r="I32" s="229">
        <f>IF('14. History Balance Sheet'!H19=0,0,'12. Historical Income Statement'!G10/'14. History Balance Sheet'!H19)</f>
        <v>0</v>
      </c>
      <c r="J32" s="229">
        <f>IF('14. History Balance Sheet'!I19=0,0,'12. Historical Income Statement'!H10/'14. History Balance Sheet'!I19)</f>
        <v>0</v>
      </c>
      <c r="K32" s="229">
        <f>IF('14. History Balance Sheet'!J19=0,0,'12. Historical Income Statement'!I10/'14. History Balance Sheet'!J19)</f>
        <v>0</v>
      </c>
      <c r="L32" s="222">
        <f t="shared" si="1"/>
        <v>0</v>
      </c>
      <c r="M32" s="219">
        <f>IF('8. Balance Sheet'!G25=0,0,('6. Income Statement'!Q14/'8. Balance Sheet'!G25))</f>
        <v>0</v>
      </c>
      <c r="N32" s="219">
        <f>IF('8. Balance Sheet'!H25=0,0,('6. Income Statement'!R14/'8. Balance Sheet'!H25))</f>
        <v>0</v>
      </c>
      <c r="O32" s="219">
        <f>IF('8. Balance Sheet'!I25=0,0,('6. Income Statement'!S14/'8. Balance Sheet'!I25))</f>
        <v>0</v>
      </c>
      <c r="P32" s="219">
        <f>IF('8. Balance Sheet'!J25=0,0,('6. Income Statement'!T14/'8. Balance Sheet'!J25))</f>
        <v>0</v>
      </c>
      <c r="Q32" s="219">
        <f>IF('8. Balance Sheet'!K25=0,0,('6. Income Statement'!U14/'8. Balance Sheet'!K25))</f>
        <v>0</v>
      </c>
      <c r="R32" s="203"/>
      <c r="S32" s="65"/>
      <c r="T32" s="11"/>
      <c r="U32" s="11"/>
      <c r="V32" s="11"/>
    </row>
    <row r="33" spans="1:22" ht="12.75" customHeight="1" x14ac:dyDescent="0.25">
      <c r="A33" s="46"/>
      <c r="B33" s="69"/>
      <c r="C33" s="69" t="s">
        <v>68</v>
      </c>
      <c r="D33" s="69"/>
      <c r="E33" s="75"/>
      <c r="F33" s="75"/>
      <c r="G33" s="228">
        <f>-IF('12. Historical Income Statement'!E34=0,0,(('14. History Balance Sheet'!F18/'12. Historical Income Statement'!E34)*360))</f>
        <v>0</v>
      </c>
      <c r="H33" s="228">
        <f>-IF('12. Historical Income Statement'!F34=0,0,(('14. History Balance Sheet'!G18/'12. Historical Income Statement'!F34)*360))</f>
        <v>0</v>
      </c>
      <c r="I33" s="228">
        <f>-IF('12. Historical Income Statement'!G34=0,0,(('14. History Balance Sheet'!H18/'12. Historical Income Statement'!G34)*360))</f>
        <v>0</v>
      </c>
      <c r="J33" s="228">
        <f>-IF('12. Historical Income Statement'!H34=0,0,(('14. History Balance Sheet'!I18/'12. Historical Income Statement'!H34)*360))</f>
        <v>0</v>
      </c>
      <c r="K33" s="228">
        <f>-IF('12. Historical Income Statement'!I34=0,0,(('14. History Balance Sheet'!J18/'12. Historical Income Statement'!I34)*360))</f>
        <v>0</v>
      </c>
      <c r="L33" s="222">
        <f t="shared" si="1"/>
        <v>0</v>
      </c>
      <c r="M33" s="218">
        <f>-('8. Balance Sheet'!G24/'6. Income Statement'!Q37)*360</f>
        <v>37.813638175311269</v>
      </c>
      <c r="N33" s="218">
        <f>-('8. Balance Sheet'!H24/'6. Income Statement'!R37)*360</f>
        <v>1.8009202468560752</v>
      </c>
      <c r="O33" s="218">
        <f>-('8. Balance Sheet'!I24/'6. Income Statement'!S37)*360</f>
        <v>36.775839055356755</v>
      </c>
      <c r="P33" s="218">
        <f>-('8. Balance Sheet'!J24/'6. Income Statement'!T37)*360</f>
        <v>3.5614018794050031</v>
      </c>
      <c r="Q33" s="218">
        <f>-('8. Balance Sheet'!K24/'6. Income Statement'!U37)*360</f>
        <v>36.452153521709334</v>
      </c>
      <c r="R33" s="203"/>
      <c r="S33" s="65"/>
      <c r="T33" s="11"/>
      <c r="U33" s="11"/>
      <c r="V33" s="11"/>
    </row>
    <row r="34" spans="1:22" ht="12.75" customHeight="1" x14ac:dyDescent="0.25">
      <c r="A34" s="46"/>
      <c r="B34" s="69"/>
      <c r="C34" s="69" t="s">
        <v>69</v>
      </c>
      <c r="D34" s="69"/>
      <c r="E34" s="75"/>
      <c r="F34" s="67"/>
      <c r="G34" s="228">
        <f>-IF('14. History Balance Sheet'!F18=0,0,('12. Historical Income Statement'!E34/'14. History Balance Sheet'!F18))</f>
        <v>0</v>
      </c>
      <c r="H34" s="228">
        <f>-IF('14. History Balance Sheet'!G18=0,0,('12. Historical Income Statement'!F34/'14. History Balance Sheet'!G18))</f>
        <v>0</v>
      </c>
      <c r="I34" s="228">
        <f>-IF('14. History Balance Sheet'!H18=0,0,('12. Historical Income Statement'!G34/'14. History Balance Sheet'!H18))</f>
        <v>0</v>
      </c>
      <c r="J34" s="228">
        <f>-IF('14. History Balance Sheet'!I18=0,0,('12. Historical Income Statement'!H34/'14. History Balance Sheet'!I18))</f>
        <v>0</v>
      </c>
      <c r="K34" s="228">
        <f>-IF('14. History Balance Sheet'!J18=0,0,('12. Historical Income Statement'!I34/'14. History Balance Sheet'!J18))</f>
        <v>0</v>
      </c>
      <c r="L34" s="222">
        <f t="shared" si="1"/>
        <v>0</v>
      </c>
      <c r="M34" s="218">
        <f>-IF('8. Balance Sheet'!G24=0,0,(('6. Income Statement'!Q37/'8. Balance Sheet'!G24)))</f>
        <v>9.5203745889504479</v>
      </c>
      <c r="N34" s="218">
        <f>-IF('8. Balance Sheet'!H24=0,0,(('6. Income Statement'!R37/'8. Balance Sheet'!H24)))</f>
        <v>199.8978025975685</v>
      </c>
      <c r="O34" s="218">
        <f>-IF('8. Balance Sheet'!I24=0,0,(('6. Income Statement'!S37/'8. Balance Sheet'!I24)))</f>
        <v>9.7890356616503222</v>
      </c>
      <c r="P34" s="218">
        <f>-IF('8. Balance Sheet'!J24=0,0,(('6. Income Statement'!T37/'8. Balance Sheet'!J24)))</f>
        <v>101.08379008890302</v>
      </c>
      <c r="Q34" s="218">
        <f>-IF('8. Balance Sheet'!K24=0,0,(('6. Income Statement'!U37/'8. Balance Sheet'!K24)))</f>
        <v>9.8759597230819161</v>
      </c>
      <c r="R34" s="203"/>
      <c r="S34" s="65"/>
      <c r="T34" s="11"/>
      <c r="U34" s="11"/>
      <c r="V34" s="11"/>
    </row>
    <row r="35" spans="1:22" ht="12.75" customHeight="1" x14ac:dyDescent="0.25">
      <c r="A35" s="46"/>
      <c r="B35" s="46"/>
      <c r="C35" s="46" t="s">
        <v>70</v>
      </c>
      <c r="D35" s="46"/>
      <c r="E35" s="44"/>
      <c r="F35" s="205"/>
      <c r="G35" s="228">
        <f>IF('14. History Balance Sheet'!F24=0,0,('12. Historical Income Statement'!E10/'14. History Balance Sheet'!F24))</f>
        <v>0</v>
      </c>
      <c r="H35" s="228">
        <f>IF('14. History Balance Sheet'!G24=0,0,('12. Historical Income Statement'!F10/'14. History Balance Sheet'!G24))</f>
        <v>0</v>
      </c>
      <c r="I35" s="228">
        <f>IF('14. History Balance Sheet'!H24=0,0,('12. Historical Income Statement'!G10/'14. History Balance Sheet'!H24))</f>
        <v>0</v>
      </c>
      <c r="J35" s="228">
        <f>IF('14. History Balance Sheet'!I24=0,0,('12. Historical Income Statement'!H10/'14. History Balance Sheet'!I24))</f>
        <v>0</v>
      </c>
      <c r="K35" s="228">
        <f>IF('14. History Balance Sheet'!J24=0,0,('12. Historical Income Statement'!I10/'14. History Balance Sheet'!J24))</f>
        <v>0</v>
      </c>
      <c r="L35" s="222">
        <f t="shared" si="1"/>
        <v>0</v>
      </c>
      <c r="M35" s="289">
        <f>'6. Income Statement'!Q14/'8. Balance Sheet'!G30</f>
        <v>0.715666162305993</v>
      </c>
      <c r="N35" s="289">
        <f>'6. Income Statement'!R14/'8. Balance Sheet'!H30</f>
        <v>0.91723691882967417</v>
      </c>
      <c r="O35" s="289">
        <f>'6. Income Statement'!S14/'8. Balance Sheet'!I30</f>
        <v>1.171441350709735</v>
      </c>
      <c r="P35" s="289">
        <f>'6. Income Statement'!T14/'8. Balance Sheet'!J30</f>
        <v>1.4735605198350605</v>
      </c>
      <c r="Q35" s="289">
        <f>'6. Income Statement'!U14/'8. Balance Sheet'!K30</f>
        <v>1.7947304656230747</v>
      </c>
      <c r="R35" s="34"/>
      <c r="S35" s="11"/>
      <c r="T35" s="11"/>
      <c r="U35" s="11"/>
      <c r="V35" s="11"/>
    </row>
    <row r="36" spans="1:22" ht="12.75" customHeight="1" x14ac:dyDescent="0.25">
      <c r="A36" s="46"/>
      <c r="B36" s="46"/>
      <c r="C36" s="46"/>
      <c r="D36" s="46"/>
      <c r="E36" s="44"/>
      <c r="F36" s="206"/>
      <c r="G36" s="206"/>
      <c r="H36" s="206"/>
      <c r="I36" s="206"/>
      <c r="J36" s="206"/>
      <c r="K36" s="206"/>
      <c r="L36" s="210"/>
      <c r="M36" s="208"/>
      <c r="N36" s="207"/>
      <c r="O36" s="14"/>
      <c r="P36" s="14"/>
      <c r="Q36" s="14"/>
      <c r="R36" s="11"/>
      <c r="S36" s="11"/>
      <c r="T36" s="11"/>
      <c r="U36" s="11"/>
      <c r="V36" s="11"/>
    </row>
    <row r="37" spans="1:22" ht="12.75" customHeight="1" thickBot="1" x14ac:dyDescent="0.3">
      <c r="A37" s="42"/>
      <c r="B37" s="42"/>
      <c r="C37" s="42"/>
      <c r="D37" s="42"/>
      <c r="E37" s="128"/>
      <c r="F37" s="128"/>
      <c r="G37" s="128"/>
      <c r="H37" s="128"/>
      <c r="I37" s="128"/>
      <c r="J37" s="128"/>
      <c r="K37" s="128"/>
      <c r="L37" s="128"/>
      <c r="M37" s="209"/>
      <c r="N37" s="21"/>
      <c r="O37" s="21"/>
      <c r="P37" s="21"/>
      <c r="Q37" s="21"/>
      <c r="R37" s="128"/>
      <c r="S37" s="11"/>
      <c r="T37" s="11"/>
      <c r="U37" s="11"/>
      <c r="V37" s="11"/>
    </row>
    <row r="38" spans="1:22" ht="12.75" customHeight="1" x14ac:dyDescent="0.25">
      <c r="E38" s="11"/>
      <c r="F38" s="11"/>
      <c r="G38" s="11"/>
      <c r="H38" s="11"/>
      <c r="I38" s="11"/>
      <c r="J38" s="11"/>
      <c r="K38" s="11"/>
      <c r="L38" s="11"/>
      <c r="M38" s="14"/>
      <c r="N38" s="14"/>
      <c r="O38" s="14"/>
      <c r="P38" s="14"/>
      <c r="Q38" s="14"/>
      <c r="R38" s="11"/>
      <c r="S38" s="11"/>
      <c r="T38" s="11"/>
      <c r="U38" s="11"/>
      <c r="V38" s="11"/>
    </row>
    <row r="39" spans="1:22" ht="12.75" customHeight="1" x14ac:dyDescent="0.25">
      <c r="E39" s="11"/>
      <c r="F39" s="18"/>
      <c r="G39" s="18"/>
      <c r="H39" s="18"/>
      <c r="I39" s="18"/>
      <c r="J39" s="18"/>
      <c r="K39" s="18"/>
      <c r="L39" s="18"/>
      <c r="M39" s="18"/>
      <c r="N39" s="14"/>
      <c r="O39" s="14"/>
      <c r="P39" s="14"/>
      <c r="Q39" s="14"/>
      <c r="R39" s="11"/>
      <c r="S39" s="11"/>
      <c r="T39" s="11"/>
      <c r="U39" s="11"/>
      <c r="V39" s="11"/>
    </row>
    <row r="40" spans="1:22" ht="12.75" customHeight="1" x14ac:dyDescent="0.25">
      <c r="E40" s="11"/>
      <c r="F40" s="20"/>
      <c r="G40" s="20"/>
      <c r="H40" s="20"/>
      <c r="I40" s="20"/>
      <c r="J40" s="20"/>
      <c r="K40" s="20"/>
      <c r="L40" s="20"/>
      <c r="M40" s="14"/>
      <c r="N40" s="14"/>
      <c r="O40" s="14"/>
      <c r="P40" s="14"/>
      <c r="Q40" s="14"/>
      <c r="R40" s="11"/>
      <c r="S40" s="11"/>
      <c r="T40" s="11"/>
      <c r="U40" s="11"/>
      <c r="V40" s="11"/>
    </row>
    <row r="41" spans="1:22" ht="12.75" customHeight="1" x14ac:dyDescent="0.25">
      <c r="E41" s="11"/>
      <c r="F41" s="11"/>
      <c r="G41" s="11"/>
      <c r="H41" s="11"/>
      <c r="I41" s="11"/>
      <c r="J41" s="11"/>
      <c r="K41" s="11"/>
      <c r="L41" s="11"/>
      <c r="M41" s="14"/>
      <c r="N41" s="14"/>
      <c r="O41" s="14"/>
      <c r="P41" s="14"/>
      <c r="Q41" s="14"/>
      <c r="R41" s="11"/>
      <c r="S41" s="11"/>
      <c r="T41" s="11"/>
      <c r="U41" s="11"/>
      <c r="V41" s="11"/>
    </row>
    <row r="42" spans="1:22" ht="12.75" customHeight="1" x14ac:dyDescent="0.25">
      <c r="E42" s="11"/>
      <c r="F42" s="11"/>
      <c r="G42" s="11"/>
      <c r="H42" s="11"/>
      <c r="I42" s="11"/>
      <c r="J42" s="11"/>
      <c r="K42" s="11"/>
      <c r="L42" s="11"/>
      <c r="M42" s="14"/>
      <c r="N42" s="14"/>
      <c r="O42" s="14"/>
      <c r="P42" s="14"/>
      <c r="Q42" s="14"/>
      <c r="R42" s="11"/>
      <c r="S42" s="11"/>
      <c r="T42" s="11"/>
      <c r="U42" s="11"/>
      <c r="V42" s="11"/>
    </row>
    <row r="43" spans="1:22" ht="12.75" customHeight="1" x14ac:dyDescent="0.25">
      <c r="E43" s="11"/>
      <c r="F43" s="11"/>
      <c r="G43" s="11"/>
      <c r="H43" s="11"/>
      <c r="I43" s="11"/>
      <c r="J43" s="11"/>
      <c r="K43" s="11"/>
      <c r="L43" s="11"/>
      <c r="M43" s="14"/>
      <c r="N43" s="14"/>
      <c r="O43" s="14"/>
      <c r="P43" s="14"/>
      <c r="Q43" s="14"/>
      <c r="R43" s="11"/>
      <c r="S43" s="11"/>
      <c r="T43" s="11"/>
      <c r="U43" s="11"/>
      <c r="V43" s="11"/>
    </row>
    <row r="44" spans="1:22" ht="12.75" customHeight="1" x14ac:dyDescent="0.25">
      <c r="E44" s="11"/>
      <c r="F44" s="11"/>
      <c r="G44" s="11"/>
      <c r="H44" s="11"/>
      <c r="I44" s="11"/>
      <c r="J44" s="11"/>
      <c r="K44" s="11"/>
      <c r="L44" s="11"/>
      <c r="M44" s="14"/>
      <c r="N44" s="14"/>
      <c r="O44" s="14"/>
      <c r="P44" s="14"/>
      <c r="Q44" s="14"/>
      <c r="R44" s="11"/>
      <c r="S44" s="11"/>
      <c r="T44" s="11"/>
      <c r="U44" s="11"/>
      <c r="V44" s="11"/>
    </row>
    <row r="45" spans="1:22" ht="12.75" customHeight="1" x14ac:dyDescent="0.25">
      <c r="E45" s="11"/>
      <c r="F45" s="11"/>
      <c r="G45" s="11"/>
      <c r="H45" s="11"/>
      <c r="I45" s="11"/>
      <c r="J45" s="11"/>
      <c r="K45" s="11"/>
      <c r="L45" s="11"/>
      <c r="M45" s="14"/>
      <c r="N45" s="14"/>
      <c r="O45" s="14"/>
      <c r="P45" s="14"/>
      <c r="Q45" s="14"/>
      <c r="R45" s="11"/>
      <c r="S45" s="11"/>
      <c r="T45" s="11"/>
      <c r="U45" s="11"/>
      <c r="V45" s="11"/>
    </row>
    <row r="46" spans="1:22" ht="12.75" customHeight="1" x14ac:dyDescent="0.25">
      <c r="E46" s="11"/>
      <c r="F46" s="11"/>
      <c r="G46" s="11"/>
      <c r="H46" s="11"/>
      <c r="I46" s="11"/>
      <c r="J46" s="11"/>
      <c r="K46" s="11"/>
      <c r="L46" s="11"/>
      <c r="M46" s="14"/>
      <c r="N46" s="14"/>
      <c r="O46" s="14"/>
      <c r="P46" s="14"/>
      <c r="Q46" s="14"/>
      <c r="R46" s="11"/>
      <c r="S46" s="11"/>
      <c r="T46" s="11"/>
      <c r="U46" s="11"/>
      <c r="V46" s="11"/>
    </row>
    <row r="47" spans="1:22" ht="12.75" customHeight="1" x14ac:dyDescent="0.25">
      <c r="E47" s="11"/>
      <c r="F47" s="11"/>
      <c r="G47" s="11"/>
      <c r="H47" s="11"/>
      <c r="I47" s="11"/>
      <c r="J47" s="11"/>
      <c r="K47" s="11"/>
      <c r="L47" s="11"/>
      <c r="M47" s="14"/>
      <c r="N47" s="14"/>
      <c r="O47" s="14"/>
      <c r="P47" s="14"/>
      <c r="Q47" s="14"/>
      <c r="R47" s="11"/>
      <c r="S47" s="11"/>
      <c r="T47" s="11"/>
      <c r="U47" s="11"/>
      <c r="V47" s="11"/>
    </row>
    <row r="48" spans="1:22" ht="12.75" customHeight="1" x14ac:dyDescent="0.25">
      <c r="E48" s="11"/>
      <c r="F48" s="11"/>
      <c r="G48" s="11"/>
      <c r="H48" s="11"/>
      <c r="I48" s="11"/>
      <c r="J48" s="11"/>
      <c r="K48" s="11"/>
      <c r="L48" s="11"/>
      <c r="M48" s="14"/>
      <c r="N48" s="14"/>
      <c r="O48" s="14"/>
      <c r="P48" s="14"/>
      <c r="Q48" s="14"/>
      <c r="R48" s="11"/>
      <c r="S48" s="11"/>
      <c r="T48" s="11"/>
      <c r="U48" s="11"/>
      <c r="V48" s="11"/>
    </row>
    <row r="49" spans="5:22" ht="12.75" customHeight="1" x14ac:dyDescent="0.25">
      <c r="E49" s="11"/>
      <c r="F49" s="11"/>
      <c r="G49" s="11"/>
      <c r="H49" s="11"/>
      <c r="I49" s="11"/>
      <c r="J49" s="11"/>
      <c r="K49" s="11"/>
      <c r="L49" s="11"/>
      <c r="M49" s="14"/>
      <c r="N49" s="14"/>
      <c r="O49" s="14"/>
      <c r="P49" s="14"/>
      <c r="Q49" s="14"/>
      <c r="R49" s="11"/>
      <c r="S49" s="11"/>
      <c r="T49" s="11"/>
      <c r="U49" s="11"/>
      <c r="V49" s="11"/>
    </row>
    <row r="50" spans="5:22" ht="12.75" customHeight="1" x14ac:dyDescent="0.25">
      <c r="E50" s="11"/>
      <c r="F50" s="11"/>
      <c r="G50" s="11"/>
      <c r="H50" s="11"/>
      <c r="I50" s="11"/>
      <c r="J50" s="11"/>
      <c r="K50" s="11"/>
      <c r="L50" s="11"/>
      <c r="M50" s="14"/>
      <c r="N50" s="14"/>
      <c r="O50" s="14"/>
      <c r="P50" s="14"/>
      <c r="Q50" s="14"/>
      <c r="R50" s="11"/>
      <c r="S50" s="11"/>
      <c r="T50" s="11"/>
      <c r="U50" s="11"/>
      <c r="V50" s="11"/>
    </row>
    <row r="51" spans="5:22" ht="12.75" customHeight="1" x14ac:dyDescent="0.25">
      <c r="E51" s="11"/>
      <c r="F51" s="11"/>
      <c r="G51" s="11"/>
      <c r="H51" s="11"/>
      <c r="I51" s="11"/>
      <c r="J51" s="11"/>
      <c r="K51" s="11"/>
      <c r="L51" s="11"/>
      <c r="M51" s="14"/>
      <c r="N51" s="14"/>
      <c r="O51" s="14"/>
      <c r="P51" s="14"/>
      <c r="Q51" s="14"/>
      <c r="R51" s="11"/>
      <c r="S51" s="11"/>
      <c r="T51" s="11"/>
      <c r="U51" s="11"/>
      <c r="V51" s="11"/>
    </row>
    <row r="52" spans="5:22" ht="12.75" customHeight="1" x14ac:dyDescent="0.25">
      <c r="E52" s="11"/>
      <c r="F52" s="11"/>
      <c r="G52" s="11"/>
      <c r="H52" s="11"/>
      <c r="I52" s="11"/>
      <c r="J52" s="11"/>
      <c r="K52" s="11"/>
      <c r="L52" s="11"/>
      <c r="M52" s="14"/>
      <c r="N52" s="14"/>
      <c r="O52" s="14"/>
      <c r="P52" s="14"/>
      <c r="Q52" s="14"/>
      <c r="R52" s="11"/>
      <c r="S52" s="11"/>
      <c r="T52" s="11"/>
      <c r="U52" s="11"/>
      <c r="V52" s="11"/>
    </row>
    <row r="53" spans="5:22" ht="12.75" customHeight="1" x14ac:dyDescent="0.25">
      <c r="E53" s="11"/>
      <c r="F53" s="11"/>
      <c r="G53" s="11"/>
      <c r="H53" s="11"/>
      <c r="I53" s="11"/>
      <c r="J53" s="11"/>
      <c r="K53" s="11"/>
      <c r="L53" s="11"/>
      <c r="M53" s="14"/>
      <c r="N53" s="14"/>
      <c r="O53" s="14"/>
      <c r="P53" s="14"/>
      <c r="Q53" s="14"/>
      <c r="R53" s="11"/>
      <c r="S53" s="11"/>
      <c r="T53" s="11"/>
      <c r="U53" s="11"/>
      <c r="V53" s="11"/>
    </row>
    <row r="54" spans="5:22" ht="12.75" customHeight="1" x14ac:dyDescent="0.25">
      <c r="E54" s="11"/>
      <c r="F54" s="11"/>
      <c r="G54" s="11"/>
      <c r="H54" s="11"/>
      <c r="I54" s="11"/>
      <c r="J54" s="11"/>
      <c r="K54" s="11"/>
      <c r="L54" s="11"/>
      <c r="M54" s="14"/>
      <c r="N54" s="14"/>
      <c r="O54" s="14"/>
      <c r="P54" s="14"/>
      <c r="Q54" s="14"/>
      <c r="R54" s="11"/>
      <c r="S54" s="11"/>
      <c r="T54" s="11"/>
      <c r="U54" s="11"/>
      <c r="V54" s="11"/>
    </row>
    <row r="55" spans="5:22" ht="12.75" customHeight="1" x14ac:dyDescent="0.25">
      <c r="E55" s="11"/>
      <c r="F55" s="11"/>
      <c r="G55" s="11"/>
      <c r="H55" s="11"/>
      <c r="I55" s="11"/>
      <c r="J55" s="11"/>
      <c r="K55" s="11"/>
      <c r="L55" s="11"/>
      <c r="M55" s="14"/>
      <c r="N55" s="14"/>
      <c r="O55" s="14"/>
      <c r="P55" s="14"/>
      <c r="Q55" s="14"/>
      <c r="R55" s="11"/>
      <c r="S55" s="11"/>
      <c r="T55" s="11"/>
      <c r="U55" s="11"/>
      <c r="V55" s="11"/>
    </row>
    <row r="56" spans="5:22" ht="12.75" customHeight="1" x14ac:dyDescent="0.25">
      <c r="E56" s="11"/>
      <c r="F56" s="11"/>
      <c r="G56" s="11"/>
      <c r="H56" s="11"/>
      <c r="I56" s="11"/>
      <c r="J56" s="11"/>
      <c r="K56" s="11"/>
      <c r="L56" s="11"/>
      <c r="M56" s="14"/>
      <c r="N56" s="14"/>
      <c r="O56" s="14"/>
      <c r="P56" s="14"/>
      <c r="Q56" s="14"/>
      <c r="R56" s="11"/>
      <c r="S56" s="11"/>
      <c r="T56" s="11"/>
      <c r="U56" s="11"/>
      <c r="V56" s="11"/>
    </row>
    <row r="57" spans="5:22" ht="12.75" customHeight="1" x14ac:dyDescent="0.25">
      <c r="E57" s="11"/>
      <c r="F57" s="11"/>
      <c r="G57" s="11"/>
      <c r="H57" s="11"/>
      <c r="I57" s="11"/>
      <c r="J57" s="11"/>
      <c r="K57" s="11"/>
      <c r="L57" s="11"/>
      <c r="M57" s="17"/>
      <c r="N57" s="17"/>
      <c r="O57" s="17"/>
      <c r="P57" s="17"/>
      <c r="Q57" s="17"/>
      <c r="R57" s="11"/>
      <c r="S57" s="11"/>
      <c r="T57" s="11"/>
      <c r="U57" s="11"/>
      <c r="V57" s="11"/>
    </row>
    <row r="58" spans="5:22" ht="12.75" customHeight="1" x14ac:dyDescent="0.25">
      <c r="E58" s="11"/>
      <c r="F58" s="11"/>
      <c r="G58" s="11"/>
      <c r="H58" s="11"/>
      <c r="I58" s="11"/>
      <c r="J58" s="11"/>
      <c r="K58" s="11"/>
      <c r="L58" s="11"/>
      <c r="M58" s="16"/>
      <c r="N58" s="16"/>
      <c r="O58" s="16"/>
      <c r="P58" s="16"/>
      <c r="Q58" s="16"/>
      <c r="R58" s="11"/>
      <c r="S58" s="11"/>
      <c r="T58" s="11"/>
      <c r="U58" s="11"/>
      <c r="V58" s="11"/>
    </row>
    <row r="59" spans="5:22" ht="12.75" customHeight="1" x14ac:dyDescent="0.25">
      <c r="E59" s="11"/>
      <c r="F59" s="11"/>
      <c r="G59" s="11"/>
      <c r="H59" s="11"/>
      <c r="I59" s="11"/>
      <c r="J59" s="11"/>
      <c r="K59" s="11"/>
      <c r="L59" s="11"/>
      <c r="M59" s="12"/>
      <c r="N59" s="12"/>
      <c r="O59" s="12"/>
      <c r="P59" s="12"/>
      <c r="Q59" s="12"/>
      <c r="R59" s="11"/>
      <c r="S59" s="11"/>
      <c r="T59" s="11"/>
      <c r="U59" s="11"/>
      <c r="V59" s="11"/>
    </row>
    <row r="60" spans="5:22" ht="12.75" customHeight="1" x14ac:dyDescent="0.25"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5:22" ht="12.75" customHeight="1" x14ac:dyDescent="0.25"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5:22" ht="12.75" customHeight="1" x14ac:dyDescent="0.25"/>
    <row r="63" spans="5:22" ht="12.75" customHeight="1" x14ac:dyDescent="0.25"/>
    <row r="64" spans="5:22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</sheetData>
  <mergeCells count="5">
    <mergeCell ref="E6:E8"/>
    <mergeCell ref="B6:B8"/>
    <mergeCell ref="A1:R4"/>
    <mergeCell ref="G11:L11"/>
    <mergeCell ref="M11:Q11"/>
  </mergeCells>
  <phoneticPr fontId="7" type="noConversion"/>
  <pageMargins left="0.75" right="0.75" top="1" bottom="1" header="0.5" footer="0.5"/>
  <pageSetup scale="75" orientation="landscape" blackAndWhite="1" horizontalDpi="300" verticalDpi="3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1"/>
  <dimension ref="A1:T227"/>
  <sheetViews>
    <sheetView showGridLines="0" showRowColHeaders="0" topLeftCell="A66" workbookViewId="0">
      <selection activeCell="G82" sqref="G82"/>
    </sheetView>
  </sheetViews>
  <sheetFormatPr defaultColWidth="8.875" defaultRowHeight="12" x14ac:dyDescent="0.25"/>
  <cols>
    <col min="1" max="1" width="3" customWidth="1"/>
    <col min="2" max="2" width="12.75" style="1" customWidth="1"/>
    <col min="3" max="3" width="3" style="1" customWidth="1"/>
    <col min="4" max="4" width="2.75" customWidth="1"/>
    <col min="5" max="5" width="13.75" customWidth="1"/>
    <col min="6" max="6" width="3" customWidth="1"/>
    <col min="7" max="19" width="11.75" customWidth="1"/>
  </cols>
  <sheetData>
    <row r="1" spans="1:19" ht="12.75" customHeight="1" x14ac:dyDescent="0.2">
      <c r="A1" s="594" t="s">
        <v>251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  <c r="N1" s="594"/>
      <c r="O1" s="594"/>
      <c r="P1" s="594"/>
      <c r="Q1" s="594"/>
      <c r="R1" s="594"/>
      <c r="S1" s="594"/>
    </row>
    <row r="2" spans="1:19" ht="15.75" customHeight="1" x14ac:dyDescent="0.2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594"/>
    </row>
    <row r="3" spans="1:19" ht="12.75" customHeight="1" x14ac:dyDescent="0.2">
      <c r="A3" s="594"/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594"/>
      <c r="M3" s="594"/>
      <c r="N3" s="594"/>
      <c r="O3" s="594"/>
      <c r="P3" s="594"/>
      <c r="Q3" s="594"/>
      <c r="R3" s="594"/>
      <c r="S3" s="594"/>
    </row>
    <row r="4" spans="1:19" ht="12.75" customHeight="1" x14ac:dyDescent="0.3">
      <c r="A4" s="70"/>
      <c r="B4" s="98"/>
      <c r="C4" s="98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10"/>
      <c r="S4" s="10"/>
    </row>
    <row r="5" spans="1:19" ht="12.75" customHeight="1" x14ac:dyDescent="0.3">
      <c r="A5" s="602" t="s">
        <v>18</v>
      </c>
      <c r="B5" s="602"/>
      <c r="C5" s="602"/>
      <c r="D5" s="602"/>
      <c r="E5" s="602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10"/>
      <c r="S5" s="10"/>
    </row>
    <row r="6" spans="1:19" ht="12.75" customHeight="1" x14ac:dyDescent="0.3">
      <c r="A6" s="602"/>
      <c r="B6" s="602"/>
      <c r="C6" s="602"/>
      <c r="D6" s="602"/>
      <c r="E6" s="602"/>
      <c r="F6" s="70"/>
      <c r="G6" s="97" t="s">
        <v>84</v>
      </c>
      <c r="H6" s="97" t="s">
        <v>85</v>
      </c>
      <c r="I6" s="97" t="s">
        <v>86</v>
      </c>
      <c r="J6" s="97" t="s">
        <v>217</v>
      </c>
      <c r="K6" s="97" t="s">
        <v>76</v>
      </c>
      <c r="L6" s="97" t="s">
        <v>77</v>
      </c>
      <c r="M6" s="97" t="s">
        <v>78</v>
      </c>
      <c r="N6" s="97" t="s">
        <v>79</v>
      </c>
      <c r="O6" s="97" t="s">
        <v>80</v>
      </c>
      <c r="P6" s="97" t="s">
        <v>81</v>
      </c>
      <c r="Q6" s="97" t="s">
        <v>82</v>
      </c>
      <c r="R6" s="23" t="s">
        <v>83</v>
      </c>
      <c r="S6" s="23" t="s">
        <v>1</v>
      </c>
    </row>
    <row r="7" spans="1:19" ht="12.75" customHeight="1" x14ac:dyDescent="0.3">
      <c r="A7" s="602"/>
      <c r="B7" s="602"/>
      <c r="C7" s="602"/>
      <c r="D7" s="602"/>
      <c r="E7" s="602"/>
      <c r="F7" s="70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23"/>
      <c r="S7" s="23"/>
    </row>
    <row r="8" spans="1:19" ht="12.75" customHeight="1" thickBot="1" x14ac:dyDescent="0.35">
      <c r="A8" s="102"/>
      <c r="B8" s="101"/>
      <c r="C8" s="101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79"/>
      <c r="S8" s="79"/>
    </row>
    <row r="9" spans="1:19" ht="12.75" customHeight="1" x14ac:dyDescent="0.3">
      <c r="A9" s="70"/>
      <c r="B9" s="98"/>
      <c r="C9" s="98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10"/>
      <c r="S9" s="10"/>
    </row>
    <row r="10" spans="1:19" ht="12.75" customHeight="1" x14ac:dyDescent="0.3">
      <c r="A10" s="70"/>
      <c r="B10" s="98"/>
      <c r="C10" s="98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10"/>
      <c r="S10" s="10"/>
    </row>
    <row r="11" spans="1:19" ht="12.75" customHeight="1" x14ac:dyDescent="0.3">
      <c r="A11" s="98" t="s">
        <v>237</v>
      </c>
      <c r="B11" s="98"/>
      <c r="C11" s="98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10"/>
      <c r="S11" s="10"/>
    </row>
    <row r="12" spans="1:19" ht="12.75" customHeight="1" thickBot="1" x14ac:dyDescent="0.35">
      <c r="A12" s="101"/>
      <c r="B12" s="101"/>
      <c r="C12" s="101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79"/>
      <c r="S12" s="79"/>
    </row>
    <row r="13" spans="1:19" ht="12.75" customHeight="1" x14ac:dyDescent="0.3">
      <c r="A13" s="98"/>
      <c r="B13" s="98"/>
      <c r="C13" s="98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10"/>
      <c r="S13" s="10"/>
    </row>
    <row r="14" spans="1:19" ht="12.75" customHeight="1" x14ac:dyDescent="0.3">
      <c r="A14" s="70"/>
      <c r="B14" s="98" t="s">
        <v>22</v>
      </c>
      <c r="C14" s="98"/>
      <c r="D14" s="70"/>
      <c r="E14" s="253">
        <f>'4. Financing'!G27</f>
        <v>0</v>
      </c>
      <c r="F14" s="70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35"/>
      <c r="S14" s="35"/>
    </row>
    <row r="15" spans="1:19" ht="12.75" customHeight="1" x14ac:dyDescent="0.3">
      <c r="A15" s="70"/>
      <c r="B15" s="98" t="s">
        <v>23</v>
      </c>
      <c r="C15" s="98"/>
      <c r="D15" s="70"/>
      <c r="E15" s="200">
        <f>'4. Financing'!H27</f>
        <v>0.13500000000000001</v>
      </c>
      <c r="F15" s="70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35"/>
      <c r="S15" s="35"/>
    </row>
    <row r="16" spans="1:19" ht="12.75" customHeight="1" x14ac:dyDescent="0.3">
      <c r="A16" s="70"/>
      <c r="B16" s="98" t="s">
        <v>24</v>
      </c>
      <c r="C16" s="98"/>
      <c r="D16" s="70"/>
      <c r="E16" s="139">
        <f>'4. Financing'!I27</f>
        <v>60</v>
      </c>
      <c r="F16" s="70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35"/>
      <c r="S16" s="35"/>
    </row>
    <row r="17" spans="1:20" ht="12.75" customHeight="1" x14ac:dyDescent="0.3">
      <c r="A17" s="70"/>
      <c r="B17" s="98" t="s">
        <v>26</v>
      </c>
      <c r="C17" s="98"/>
      <c r="D17" s="70"/>
      <c r="E17" s="254">
        <f>ABS(PMT(E15/12,E16,E14))</f>
        <v>0</v>
      </c>
      <c r="F17" s="70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35"/>
      <c r="S17" s="35"/>
    </row>
    <row r="18" spans="1:20" ht="12.75" customHeight="1" thickBot="1" x14ac:dyDescent="0.35">
      <c r="A18" s="70"/>
      <c r="B18" s="98"/>
      <c r="C18" s="98"/>
      <c r="D18" s="70"/>
      <c r="E18" s="254"/>
      <c r="F18" s="70"/>
      <c r="G18" s="120" t="s">
        <v>84</v>
      </c>
      <c r="H18" s="120" t="s">
        <v>85</v>
      </c>
      <c r="I18" s="120" t="s">
        <v>86</v>
      </c>
      <c r="J18" s="120" t="s">
        <v>217</v>
      </c>
      <c r="K18" s="120" t="s">
        <v>76</v>
      </c>
      <c r="L18" s="120" t="s">
        <v>77</v>
      </c>
      <c r="M18" s="120" t="s">
        <v>78</v>
      </c>
      <c r="N18" s="120" t="s">
        <v>79</v>
      </c>
      <c r="O18" s="120" t="s">
        <v>80</v>
      </c>
      <c r="P18" s="120" t="s">
        <v>81</v>
      </c>
      <c r="Q18" s="120" t="s">
        <v>82</v>
      </c>
      <c r="R18" s="189" t="s">
        <v>83</v>
      </c>
      <c r="S18" s="189" t="s">
        <v>1</v>
      </c>
    </row>
    <row r="19" spans="1:20" ht="12.75" customHeight="1" x14ac:dyDescent="0.3">
      <c r="A19" s="70"/>
      <c r="B19" s="98" t="s">
        <v>16</v>
      </c>
      <c r="C19" s="98"/>
      <c r="D19" s="70"/>
      <c r="E19" s="254"/>
      <c r="F19" s="70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23"/>
      <c r="S19" s="23"/>
    </row>
    <row r="20" spans="1:20" ht="12.75" customHeight="1" x14ac:dyDescent="0.3">
      <c r="A20" s="70"/>
      <c r="B20" s="98"/>
      <c r="C20" s="98" t="s">
        <v>20</v>
      </c>
      <c r="D20" s="70"/>
      <c r="E20" s="254"/>
      <c r="F20" s="70"/>
      <c r="G20" s="255">
        <f>ABS(IPMT($E$15/12,1,$E$16,$E$14))</f>
        <v>0</v>
      </c>
      <c r="H20" s="255">
        <f>ABS(IPMT($E$15/12,2,$E$16,$E$14))</f>
        <v>0</v>
      </c>
      <c r="I20" s="255">
        <f>ABS(IPMT($E$15/12,3,$E$16,$E$14))</f>
        <v>0</v>
      </c>
      <c r="J20" s="255">
        <f>ABS(IPMT($E$15/12,4,$E$16,$E$14))</f>
        <v>0</v>
      </c>
      <c r="K20" s="255">
        <f>ABS(IPMT($E$15/12,5,$E$16,$E$14))</f>
        <v>0</v>
      </c>
      <c r="L20" s="255">
        <f>ABS(IPMT($E$15/12,6,$E$16,$E$14))</f>
        <v>0</v>
      </c>
      <c r="M20" s="255">
        <f>ABS(IPMT($E$15/12,7,$E$16,$E$14))</f>
        <v>0</v>
      </c>
      <c r="N20" s="255">
        <f>ABS(IPMT($E$15/12,8,$E$16,$E$14))</f>
        <v>0</v>
      </c>
      <c r="O20" s="255">
        <f>ABS(IPMT($E$15/12,9,$E$16,$E$14))</f>
        <v>0</v>
      </c>
      <c r="P20" s="255">
        <f>ABS(IPMT($E$15/12,10,$E$16,$E$14))</f>
        <v>0</v>
      </c>
      <c r="Q20" s="255">
        <f>ABS(IPMT($E$15/12,11,$E$16,$E$14))</f>
        <v>0</v>
      </c>
      <c r="R20" s="41">
        <f>ABS(IPMT($E$15/12,12,$E$16,$E$14))</f>
        <v>0</v>
      </c>
      <c r="S20" s="41">
        <f>SUM(G20:R20)</f>
        <v>0</v>
      </c>
      <c r="T20" s="37"/>
    </row>
    <row r="21" spans="1:20" ht="12.75" customHeight="1" x14ac:dyDescent="0.3">
      <c r="A21" s="70"/>
      <c r="B21" s="98"/>
      <c r="C21" s="98" t="s">
        <v>25</v>
      </c>
      <c r="D21" s="70"/>
      <c r="E21" s="254"/>
      <c r="F21" s="70"/>
      <c r="G21" s="255">
        <f>ABS(PPMT($E$15/12,1,$E$16,$E$14))</f>
        <v>0</v>
      </c>
      <c r="H21" s="255">
        <f>ABS(PPMT($E$15/12,2,$E$16,$E$14))</f>
        <v>0</v>
      </c>
      <c r="I21" s="255">
        <f>ABS(PPMT($E$15/12,3,$E$16,$E$14))</f>
        <v>0</v>
      </c>
      <c r="J21" s="255">
        <f>ABS(PPMT($E$15/12,4,$E$16,$E$14))</f>
        <v>0</v>
      </c>
      <c r="K21" s="255">
        <f>ABS(PPMT($E$15/12,5,$E$16,$E$14))</f>
        <v>0</v>
      </c>
      <c r="L21" s="255">
        <f>ABS(PPMT($E$15/12,6,$E$16,$E$14))</f>
        <v>0</v>
      </c>
      <c r="M21" s="255">
        <f>ABS(PPMT($E$15/12,7,$E$16,$E$14))</f>
        <v>0</v>
      </c>
      <c r="N21" s="255">
        <f>ABS(PPMT($E$15/12,8,$E$16,$E$14))</f>
        <v>0</v>
      </c>
      <c r="O21" s="255">
        <f>ABS(PPMT($E$15/12,9,$E$16,$E$14))</f>
        <v>0</v>
      </c>
      <c r="P21" s="255">
        <f>ABS(PPMT($E$15/12,10,$E$16,$E$14))</f>
        <v>0</v>
      </c>
      <c r="Q21" s="255">
        <f>ABS(PPMT($E$15/12,11,$E$16,$E$14))</f>
        <v>0</v>
      </c>
      <c r="R21" s="41">
        <f>ABS(PPMT($E$15/12,12,$E$16,$E$14))</f>
        <v>0</v>
      </c>
      <c r="S21" s="41">
        <f>SUM(G21:R21)</f>
        <v>0</v>
      </c>
      <c r="T21" s="37"/>
    </row>
    <row r="22" spans="1:20" ht="12.75" customHeight="1" thickBot="1" x14ac:dyDescent="0.35">
      <c r="A22" s="70"/>
      <c r="B22" s="98"/>
      <c r="C22" s="109" t="s">
        <v>27</v>
      </c>
      <c r="D22" s="110"/>
      <c r="E22" s="259"/>
      <c r="F22" s="110"/>
      <c r="G22" s="259">
        <f>$E$14-G21</f>
        <v>0</v>
      </c>
      <c r="H22" s="259">
        <f>G22-H21</f>
        <v>0</v>
      </c>
      <c r="I22" s="259">
        <f t="shared" ref="I22:R22" si="0">H22-I21</f>
        <v>0</v>
      </c>
      <c r="J22" s="259">
        <f t="shared" si="0"/>
        <v>0</v>
      </c>
      <c r="K22" s="259">
        <f t="shared" si="0"/>
        <v>0</v>
      </c>
      <c r="L22" s="259">
        <f t="shared" si="0"/>
        <v>0</v>
      </c>
      <c r="M22" s="259">
        <f t="shared" si="0"/>
        <v>0</v>
      </c>
      <c r="N22" s="259">
        <f t="shared" si="0"/>
        <v>0</v>
      </c>
      <c r="O22" s="259">
        <f t="shared" si="0"/>
        <v>0</v>
      </c>
      <c r="P22" s="259">
        <f t="shared" si="0"/>
        <v>0</v>
      </c>
      <c r="Q22" s="259">
        <f t="shared" si="0"/>
        <v>0</v>
      </c>
      <c r="R22" s="261">
        <f t="shared" si="0"/>
        <v>0</v>
      </c>
      <c r="S22" s="261"/>
      <c r="T22" s="37"/>
    </row>
    <row r="23" spans="1:20" ht="12.75" customHeight="1" thickTop="1" x14ac:dyDescent="0.3">
      <c r="A23" s="70"/>
      <c r="B23" s="98" t="s">
        <v>19</v>
      </c>
      <c r="C23" s="98"/>
      <c r="D23" s="70"/>
      <c r="E23" s="254"/>
      <c r="F23" s="70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36"/>
      <c r="S23" s="36"/>
      <c r="T23" s="37"/>
    </row>
    <row r="24" spans="1:20" ht="12.75" customHeight="1" x14ac:dyDescent="0.3">
      <c r="A24" s="70"/>
      <c r="B24" s="98"/>
      <c r="C24" s="98" t="s">
        <v>20</v>
      </c>
      <c r="D24" s="70"/>
      <c r="E24" s="254"/>
      <c r="F24" s="70"/>
      <c r="G24" s="255">
        <f>ABS(IPMT($E$15/12,13,$E$16,$E$14))</f>
        <v>0</v>
      </c>
      <c r="H24" s="255">
        <f>ABS(IPMT($E$15/12,14,$E$16,$E$14))</f>
        <v>0</v>
      </c>
      <c r="I24" s="255">
        <f>ABS(IPMT($E$15/12,15,$E$16,$E$14))</f>
        <v>0</v>
      </c>
      <c r="J24" s="255">
        <f>ABS(IPMT($E$15/12,16,$E$16,$E$14))</f>
        <v>0</v>
      </c>
      <c r="K24" s="255">
        <f>ABS(IPMT($E$15/12,17,$E$16,$E$14))</f>
        <v>0</v>
      </c>
      <c r="L24" s="255">
        <f>ABS(IPMT($E$15/12,18,$E$16,$E$14))</f>
        <v>0</v>
      </c>
      <c r="M24" s="255">
        <f>ABS(IPMT($E$15/12,19,$E$16,$E$14))</f>
        <v>0</v>
      </c>
      <c r="N24" s="255">
        <f>ABS(IPMT($E$15/12,20,$E$16,$E$14))</f>
        <v>0</v>
      </c>
      <c r="O24" s="255">
        <f>ABS(IPMT($E$15/12,21,$E$16,$E$14))</f>
        <v>0</v>
      </c>
      <c r="P24" s="255">
        <f>ABS(IPMT($E$15/12,22,$E$16,$E$14))</f>
        <v>0</v>
      </c>
      <c r="Q24" s="255">
        <f>ABS(IPMT($E$15/12,23,$E$16,$E$14))</f>
        <v>0</v>
      </c>
      <c r="R24" s="41">
        <f>ABS(IPMT($E$15/12,24,$E$16,$E$14))</f>
        <v>0</v>
      </c>
      <c r="S24" s="41">
        <f>SUM(G24:R24)</f>
        <v>0</v>
      </c>
      <c r="T24" s="37"/>
    </row>
    <row r="25" spans="1:20" ht="12.75" customHeight="1" x14ac:dyDescent="0.3">
      <c r="A25" s="70"/>
      <c r="B25" s="98"/>
      <c r="C25" s="98" t="s">
        <v>25</v>
      </c>
      <c r="D25" s="70"/>
      <c r="E25" s="254"/>
      <c r="F25" s="70"/>
      <c r="G25" s="255">
        <f>ABS(PPMT($E$15/12,13,$E$16,$E$14))</f>
        <v>0</v>
      </c>
      <c r="H25" s="255">
        <f>ABS(PPMT($E$15/12,14,$E$16,$E$14))</f>
        <v>0</v>
      </c>
      <c r="I25" s="255">
        <f>ABS(PPMT($E$15/12,15,$E$16,$E$14))</f>
        <v>0</v>
      </c>
      <c r="J25" s="255">
        <f>ABS(PPMT($E$15/12,16,$E$16,$E$14))</f>
        <v>0</v>
      </c>
      <c r="K25" s="255">
        <f>ABS(PPMT($E$15/12,17,$E$16,$E$14))</f>
        <v>0</v>
      </c>
      <c r="L25" s="255">
        <f>ABS(PPMT($E$15/12,18,$E$16,$E$14))</f>
        <v>0</v>
      </c>
      <c r="M25" s="255">
        <f>ABS(PPMT($E$15/12,19,$E$16,$E$14))</f>
        <v>0</v>
      </c>
      <c r="N25" s="255">
        <f>ABS(PPMT($E$15/12,20,$E$16,$E$14))</f>
        <v>0</v>
      </c>
      <c r="O25" s="255">
        <f>ABS(PPMT($E$15/12,21,$E$16,$E$14))</f>
        <v>0</v>
      </c>
      <c r="P25" s="255">
        <f>ABS(PPMT($E$15/12,22,$E$16,$E$14))</f>
        <v>0</v>
      </c>
      <c r="Q25" s="255">
        <f>ABS(PPMT($E$15/12,23,$E$16,$E$14))</f>
        <v>0</v>
      </c>
      <c r="R25" s="41">
        <f>ABS(PPMT($E$15/12,24,$E$16,$E$14))</f>
        <v>0</v>
      </c>
      <c r="S25" s="41">
        <f>SUM(G25:R25)</f>
        <v>0</v>
      </c>
      <c r="T25" s="37"/>
    </row>
    <row r="26" spans="1:20" ht="12.75" customHeight="1" thickBot="1" x14ac:dyDescent="0.35">
      <c r="A26" s="70"/>
      <c r="B26" s="98"/>
      <c r="C26" s="109" t="s">
        <v>27</v>
      </c>
      <c r="D26" s="110"/>
      <c r="E26" s="259"/>
      <c r="F26" s="110"/>
      <c r="G26" s="259">
        <f>R22-G25</f>
        <v>0</v>
      </c>
      <c r="H26" s="259">
        <f>G26-H25</f>
        <v>0</v>
      </c>
      <c r="I26" s="259">
        <f t="shared" ref="I26:R26" si="1">H26-I25</f>
        <v>0</v>
      </c>
      <c r="J26" s="259">
        <f t="shared" si="1"/>
        <v>0</v>
      </c>
      <c r="K26" s="259">
        <f t="shared" si="1"/>
        <v>0</v>
      </c>
      <c r="L26" s="259">
        <f t="shared" si="1"/>
        <v>0</v>
      </c>
      <c r="M26" s="259">
        <f t="shared" si="1"/>
        <v>0</v>
      </c>
      <c r="N26" s="259">
        <f t="shared" si="1"/>
        <v>0</v>
      </c>
      <c r="O26" s="259">
        <f t="shared" si="1"/>
        <v>0</v>
      </c>
      <c r="P26" s="259">
        <f t="shared" si="1"/>
        <v>0</v>
      </c>
      <c r="Q26" s="259">
        <f t="shared" si="1"/>
        <v>0</v>
      </c>
      <c r="R26" s="261">
        <f t="shared" si="1"/>
        <v>0</v>
      </c>
      <c r="S26" s="261"/>
      <c r="T26" s="37"/>
    </row>
    <row r="27" spans="1:20" ht="12.75" customHeight="1" thickTop="1" x14ac:dyDescent="0.3">
      <c r="A27" s="70"/>
      <c r="B27" s="98" t="s">
        <v>17</v>
      </c>
      <c r="C27" s="98"/>
      <c r="D27" s="70"/>
      <c r="E27" s="254"/>
      <c r="F27" s="70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36"/>
      <c r="S27" s="36"/>
      <c r="T27" s="37"/>
    </row>
    <row r="28" spans="1:20" ht="12.75" customHeight="1" x14ac:dyDescent="0.3">
      <c r="A28" s="70"/>
      <c r="B28" s="98"/>
      <c r="C28" s="98" t="s">
        <v>20</v>
      </c>
      <c r="D28" s="70"/>
      <c r="E28" s="254"/>
      <c r="F28" s="70"/>
      <c r="G28" s="255">
        <f>ABS(IPMT($E$15/12,25,$E$16,$E$14))</f>
        <v>0</v>
      </c>
      <c r="H28" s="255">
        <f>ABS(IPMT($E$15/12,26,$E$16,$E$14))</f>
        <v>0</v>
      </c>
      <c r="I28" s="255">
        <f>ABS(IPMT($E$15/12,27,$E$16,$E$14))</f>
        <v>0</v>
      </c>
      <c r="J28" s="255">
        <f>ABS(IPMT($E$15/12,28,$E$16,$E$14))</f>
        <v>0</v>
      </c>
      <c r="K28" s="255">
        <f>ABS(IPMT($E$15/12,29,$E$16,$E$14))</f>
        <v>0</v>
      </c>
      <c r="L28" s="255">
        <f>ABS(IPMT($E$15/12,30,$E$16,$E$14))</f>
        <v>0</v>
      </c>
      <c r="M28" s="255">
        <f>ABS(IPMT($E$15/12,31,$E$16,$E$14))</f>
        <v>0</v>
      </c>
      <c r="N28" s="255">
        <f>ABS(IPMT($E$15/12,32,$E$16,$E$14))</f>
        <v>0</v>
      </c>
      <c r="O28" s="255">
        <f>ABS(IPMT($E$15/12,33,$E$16,$E$14))</f>
        <v>0</v>
      </c>
      <c r="P28" s="255">
        <f>ABS(IPMT($E$15/12,34,$E$16,$E$14))</f>
        <v>0</v>
      </c>
      <c r="Q28" s="255">
        <f>ABS(IPMT($E$15/12,35,$E$16,$E$14))</f>
        <v>0</v>
      </c>
      <c r="R28" s="41">
        <f>ABS(IPMT($E$15/12,36,$E$16,$E$14))</f>
        <v>0</v>
      </c>
      <c r="S28" s="41">
        <f>SUM(G28:R28)</f>
        <v>0</v>
      </c>
      <c r="T28" s="37"/>
    </row>
    <row r="29" spans="1:20" ht="12.75" customHeight="1" x14ac:dyDescent="0.3">
      <c r="A29" s="70"/>
      <c r="B29" s="98"/>
      <c r="C29" s="98" t="s">
        <v>25</v>
      </c>
      <c r="D29" s="70"/>
      <c r="E29" s="254"/>
      <c r="F29" s="70"/>
      <c r="G29" s="255">
        <f>ABS(PPMT($E$15/12,25,$E$16,$E$14))</f>
        <v>0</v>
      </c>
      <c r="H29" s="255">
        <f>ABS(PPMT($E$15/12,26,$E$16,$E$14))</f>
        <v>0</v>
      </c>
      <c r="I29" s="255">
        <f>ABS(PPMT($E$15/12,27,$E$16,$E$14))</f>
        <v>0</v>
      </c>
      <c r="J29" s="255">
        <f>ABS(PPMT($E$15/12,28,$E$16,$E$14))</f>
        <v>0</v>
      </c>
      <c r="K29" s="255">
        <f>ABS(PPMT($E$15/12,29,$E$16,$E$14))</f>
        <v>0</v>
      </c>
      <c r="L29" s="255">
        <f>ABS(PPMT($E$15/12,30,$E$16,$E$14))</f>
        <v>0</v>
      </c>
      <c r="M29" s="255">
        <f>ABS(PPMT($E$15/12,31,$E$16,$E$14))</f>
        <v>0</v>
      </c>
      <c r="N29" s="255">
        <f>ABS(PPMT($E$15/12,32,$E$16,$E$14))</f>
        <v>0</v>
      </c>
      <c r="O29" s="255">
        <f>ABS(PPMT($E$15/12,33,$E$16,$E$14))</f>
        <v>0</v>
      </c>
      <c r="P29" s="255">
        <f>ABS(PPMT($E$15/12,34,$E$16,$E$14))</f>
        <v>0</v>
      </c>
      <c r="Q29" s="255">
        <f>ABS(PPMT($E$15/12,35,$E$16,$E$14))</f>
        <v>0</v>
      </c>
      <c r="R29" s="41">
        <f>ABS(PPMT($E$15/12,36,$E$16,$E$14))</f>
        <v>0</v>
      </c>
      <c r="S29" s="41">
        <f>SUM(G29:R29)</f>
        <v>0</v>
      </c>
      <c r="T29" s="37"/>
    </row>
    <row r="30" spans="1:20" ht="12.75" customHeight="1" thickBot="1" x14ac:dyDescent="0.35">
      <c r="A30" s="70"/>
      <c r="B30" s="98"/>
      <c r="C30" s="109" t="s">
        <v>27</v>
      </c>
      <c r="D30" s="110"/>
      <c r="E30" s="259"/>
      <c r="F30" s="110"/>
      <c r="G30" s="259">
        <f>R26-G29</f>
        <v>0</v>
      </c>
      <c r="H30" s="259">
        <f>G30-H29</f>
        <v>0</v>
      </c>
      <c r="I30" s="259">
        <f t="shared" ref="I30:R30" si="2">H30-I29</f>
        <v>0</v>
      </c>
      <c r="J30" s="259">
        <f t="shared" si="2"/>
        <v>0</v>
      </c>
      <c r="K30" s="259">
        <f t="shared" si="2"/>
        <v>0</v>
      </c>
      <c r="L30" s="259">
        <f t="shared" si="2"/>
        <v>0</v>
      </c>
      <c r="M30" s="259">
        <f t="shared" si="2"/>
        <v>0</v>
      </c>
      <c r="N30" s="259">
        <f t="shared" si="2"/>
        <v>0</v>
      </c>
      <c r="O30" s="259">
        <f t="shared" si="2"/>
        <v>0</v>
      </c>
      <c r="P30" s="259">
        <f t="shared" si="2"/>
        <v>0</v>
      </c>
      <c r="Q30" s="259">
        <f t="shared" si="2"/>
        <v>0</v>
      </c>
      <c r="R30" s="261">
        <f t="shared" si="2"/>
        <v>0</v>
      </c>
      <c r="S30" s="261"/>
      <c r="T30" s="37"/>
    </row>
    <row r="31" spans="1:20" ht="12.75" customHeight="1" thickTop="1" x14ac:dyDescent="0.3">
      <c r="A31" s="70"/>
      <c r="B31" s="98" t="s">
        <v>101</v>
      </c>
      <c r="C31" s="98"/>
      <c r="D31" s="70"/>
      <c r="E31" s="254"/>
      <c r="F31" s="70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36"/>
      <c r="S31" s="36"/>
      <c r="T31" s="37"/>
    </row>
    <row r="32" spans="1:20" ht="12.75" customHeight="1" x14ac:dyDescent="0.3">
      <c r="A32" s="70"/>
      <c r="B32" s="98"/>
      <c r="C32" s="98" t="s">
        <v>20</v>
      </c>
      <c r="D32" s="70"/>
      <c r="E32" s="254"/>
      <c r="F32" s="70"/>
      <c r="G32" s="255">
        <f>ABS(IPMT($E$15/12,37,$E$16,$E$14))</f>
        <v>0</v>
      </c>
      <c r="H32" s="255">
        <f>ABS(IPMT($E$15/12,38,$E$16,$E$14))</f>
        <v>0</v>
      </c>
      <c r="I32" s="255">
        <f>ABS(IPMT($E$15/12,39,$E$16,$E$14))</f>
        <v>0</v>
      </c>
      <c r="J32" s="255">
        <f>ABS(IPMT($E$15/12,40,$E$16,$E$14))</f>
        <v>0</v>
      </c>
      <c r="K32" s="255">
        <f>ABS(IPMT($E$15/12,41,$E$16,$E$14))</f>
        <v>0</v>
      </c>
      <c r="L32" s="255">
        <f>ABS(IPMT($E$15/12,42,$E$16,$E$14))</f>
        <v>0</v>
      </c>
      <c r="M32" s="255">
        <f>ABS(IPMT($E$15/12,43,$E$16,$E$14))</f>
        <v>0</v>
      </c>
      <c r="N32" s="255">
        <f>ABS(IPMT($E$15/12,44,$E$16,$E$14))</f>
        <v>0</v>
      </c>
      <c r="O32" s="255">
        <f>ABS(IPMT($E$15/12,45,$E$16,$E$14))</f>
        <v>0</v>
      </c>
      <c r="P32" s="255">
        <f>ABS(IPMT($E$15/12,46,$E$16,$E$14))</f>
        <v>0</v>
      </c>
      <c r="Q32" s="255">
        <f>ABS(IPMT($E$15/12,47,$E$16,$E$14))</f>
        <v>0</v>
      </c>
      <c r="R32" s="41">
        <f>ABS(IPMT($E$15/12,48,$E$16,$E$14))</f>
        <v>0</v>
      </c>
      <c r="S32" s="41">
        <f>SUM(G32:R32)</f>
        <v>0</v>
      </c>
      <c r="T32" s="37"/>
    </row>
    <row r="33" spans="1:20" ht="12.75" customHeight="1" x14ac:dyDescent="0.3">
      <c r="A33" s="70"/>
      <c r="B33" s="98"/>
      <c r="C33" s="98" t="s">
        <v>25</v>
      </c>
      <c r="D33" s="70"/>
      <c r="E33" s="254"/>
      <c r="F33" s="70"/>
      <c r="G33" s="255">
        <f>ABS(PPMT($E$15/12,37,$E$16,$E$14))</f>
        <v>0</v>
      </c>
      <c r="H33" s="255">
        <f>ABS(PPMT($E$15/12,38,$E$16,$E$14))</f>
        <v>0</v>
      </c>
      <c r="I33" s="255">
        <f>ABS(PPMT($E$15/12,39,$E$16,$E$14))</f>
        <v>0</v>
      </c>
      <c r="J33" s="255">
        <f>ABS(PPMT($E$15/12,40,$E$16,$E$14))</f>
        <v>0</v>
      </c>
      <c r="K33" s="255">
        <f>ABS(PPMT($E$15/12,41,$E$16,$E$14))</f>
        <v>0</v>
      </c>
      <c r="L33" s="255">
        <f>ABS(PPMT($E$15/12,42,$E$16,$E$14))</f>
        <v>0</v>
      </c>
      <c r="M33" s="255">
        <f>ABS(PPMT($E$15/12,43,$E$16,$E$14))</f>
        <v>0</v>
      </c>
      <c r="N33" s="255">
        <f>ABS(PPMT($E$15/12,44,$E$16,$E$14))</f>
        <v>0</v>
      </c>
      <c r="O33" s="255">
        <f>ABS(PPMT($E$15/12,45,$E$16,$E$14))</f>
        <v>0</v>
      </c>
      <c r="P33" s="255">
        <f>ABS(PPMT($E$15/12,46,$E$16,$E$14))</f>
        <v>0</v>
      </c>
      <c r="Q33" s="255">
        <f>ABS(PPMT($E$15/12,47,$E$16,$E$14))</f>
        <v>0</v>
      </c>
      <c r="R33" s="41">
        <f>ABS(PPMT($E$15/12,48,$E$16,$E$14))</f>
        <v>0</v>
      </c>
      <c r="S33" s="41">
        <f>SUM(G33:R33)</f>
        <v>0</v>
      </c>
      <c r="T33" s="37"/>
    </row>
    <row r="34" spans="1:20" ht="12.75" customHeight="1" thickBot="1" x14ac:dyDescent="0.35">
      <c r="A34" s="70"/>
      <c r="B34" s="98"/>
      <c r="C34" s="109" t="s">
        <v>27</v>
      </c>
      <c r="D34" s="110"/>
      <c r="E34" s="259"/>
      <c r="F34" s="110"/>
      <c r="G34" s="259">
        <f>R30-G33</f>
        <v>0</v>
      </c>
      <c r="H34" s="259">
        <f>G34-H33</f>
        <v>0</v>
      </c>
      <c r="I34" s="259">
        <f t="shared" ref="I34" si="3">H34-I33</f>
        <v>0</v>
      </c>
      <c r="J34" s="259">
        <f t="shared" ref="J34" si="4">I34-J33</f>
        <v>0</v>
      </c>
      <c r="K34" s="259">
        <f t="shared" ref="K34" si="5">J34-K33</f>
        <v>0</v>
      </c>
      <c r="L34" s="259">
        <f t="shared" ref="L34" si="6">K34-L33</f>
        <v>0</v>
      </c>
      <c r="M34" s="259">
        <f t="shared" ref="M34" si="7">L34-M33</f>
        <v>0</v>
      </c>
      <c r="N34" s="259">
        <f t="shared" ref="N34" si="8">M34-N33</f>
        <v>0</v>
      </c>
      <c r="O34" s="259">
        <f t="shared" ref="O34" si="9">N34-O33</f>
        <v>0</v>
      </c>
      <c r="P34" s="259">
        <f t="shared" ref="P34" si="10">O34-P33</f>
        <v>0</v>
      </c>
      <c r="Q34" s="259">
        <f t="shared" ref="Q34" si="11">P34-Q33</f>
        <v>0</v>
      </c>
      <c r="R34" s="261">
        <f t="shared" ref="R34" si="12">Q34-R33</f>
        <v>0</v>
      </c>
      <c r="S34" s="261"/>
      <c r="T34" s="37"/>
    </row>
    <row r="35" spans="1:20" ht="12.75" customHeight="1" thickTop="1" x14ac:dyDescent="0.3">
      <c r="A35" s="70"/>
      <c r="B35" s="98" t="s">
        <v>102</v>
      </c>
      <c r="C35" s="98"/>
      <c r="D35" s="70"/>
      <c r="E35" s="254"/>
      <c r="F35" s="70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36"/>
      <c r="S35" s="36"/>
      <c r="T35" s="37"/>
    </row>
    <row r="36" spans="1:20" ht="12.75" customHeight="1" x14ac:dyDescent="0.3">
      <c r="A36" s="70"/>
      <c r="B36" s="98"/>
      <c r="C36" s="98" t="s">
        <v>20</v>
      </c>
      <c r="D36" s="70"/>
      <c r="E36" s="254"/>
      <c r="F36" s="70"/>
      <c r="G36" s="255">
        <f>ABS(IPMT($E$15/12,49,$E$16,$E$14))</f>
        <v>0</v>
      </c>
      <c r="H36" s="255">
        <f>ABS(IPMT($E$15/12,50,$E$16,$E$14))</f>
        <v>0</v>
      </c>
      <c r="I36" s="255">
        <f>ABS(IPMT($E$15/12,51,$E$16,$E$14))</f>
        <v>0</v>
      </c>
      <c r="J36" s="255">
        <f>ABS(IPMT($E$15/12,52,$E$16,$E$14))</f>
        <v>0</v>
      </c>
      <c r="K36" s="255">
        <f>ABS(IPMT($E$15/12,53,$E$16,$E$14))</f>
        <v>0</v>
      </c>
      <c r="L36" s="255">
        <f>ABS(IPMT($E$15/12,54,$E$16,$E$14))</f>
        <v>0</v>
      </c>
      <c r="M36" s="255">
        <f>ABS(IPMT($E$15/12,55,$E$16,$E$14))</f>
        <v>0</v>
      </c>
      <c r="N36" s="255">
        <f>ABS(IPMT($E$15/12,56,$E$16,$E$14))</f>
        <v>0</v>
      </c>
      <c r="O36" s="255">
        <f>ABS(IPMT($E$15/12,57,$E$16,$E$14))</f>
        <v>0</v>
      </c>
      <c r="P36" s="255">
        <f>ABS(IPMT($E$15/12,58,$E$16,$E$14))</f>
        <v>0</v>
      </c>
      <c r="Q36" s="255">
        <f>ABS(IPMT($E$15/12,59,$E$16,$E$14))</f>
        <v>0</v>
      </c>
      <c r="R36" s="41">
        <f>ABS(IPMT($E$15/12,60,$E$16,$E$14))</f>
        <v>0</v>
      </c>
      <c r="S36" s="41">
        <f>SUM(G36:R36)</f>
        <v>0</v>
      </c>
      <c r="T36" s="37"/>
    </row>
    <row r="37" spans="1:20" ht="12.75" customHeight="1" x14ac:dyDescent="0.3">
      <c r="A37" s="70"/>
      <c r="B37" s="98"/>
      <c r="C37" s="98" t="s">
        <v>25</v>
      </c>
      <c r="D37" s="70"/>
      <c r="E37" s="254"/>
      <c r="F37" s="70"/>
      <c r="G37" s="255">
        <f>ABS(PPMT($E$15/12,49,$E$16,$E$14))</f>
        <v>0</v>
      </c>
      <c r="H37" s="255">
        <f>ABS(PPMT($E$15/12,50,$E$16,$E$14))</f>
        <v>0</v>
      </c>
      <c r="I37" s="255">
        <f>ABS(PPMT($E$15/12,51,$E$16,$E$14))</f>
        <v>0</v>
      </c>
      <c r="J37" s="255">
        <f>ABS(PPMT($E$15/12,52,$E$16,$E$14))</f>
        <v>0</v>
      </c>
      <c r="K37" s="255">
        <f>ABS(PPMT($E$15/12,53,$E$16,$E$14))</f>
        <v>0</v>
      </c>
      <c r="L37" s="255">
        <f>ABS(PPMT($E$15/12,54,$E$16,$E$14))</f>
        <v>0</v>
      </c>
      <c r="M37" s="255">
        <f>ABS(PPMT($E$15/12,55,$E$16,$E$14))</f>
        <v>0</v>
      </c>
      <c r="N37" s="255">
        <f>ABS(PPMT($E$15/12,56,$E$16,$E$14))</f>
        <v>0</v>
      </c>
      <c r="O37" s="255">
        <f>ABS(PPMT($E$15/12,57,$E$16,$E$14))</f>
        <v>0</v>
      </c>
      <c r="P37" s="255">
        <f>ABS(PPMT($E$15/12,58,$E$16,$E$14))</f>
        <v>0</v>
      </c>
      <c r="Q37" s="255">
        <f>ABS(PPMT($E$15/12,59,$E$16,$E$14))</f>
        <v>0</v>
      </c>
      <c r="R37" s="41">
        <f>ABS(PPMT($E$15/12,60,$E$16,$E$14))</f>
        <v>0</v>
      </c>
      <c r="S37" s="41">
        <f>SUM(G37:R37)</f>
        <v>0</v>
      </c>
      <c r="T37" s="37"/>
    </row>
    <row r="38" spans="1:20" ht="12.75" customHeight="1" thickBot="1" x14ac:dyDescent="0.35">
      <c r="A38" s="70"/>
      <c r="B38" s="98"/>
      <c r="C38" s="109" t="s">
        <v>27</v>
      </c>
      <c r="D38" s="110"/>
      <c r="E38" s="259"/>
      <c r="F38" s="110"/>
      <c r="G38" s="259">
        <f>R34-G37</f>
        <v>0</v>
      </c>
      <c r="H38" s="259">
        <f>G38-H37</f>
        <v>0</v>
      </c>
      <c r="I38" s="259">
        <f t="shared" ref="I38" si="13">H38-I37</f>
        <v>0</v>
      </c>
      <c r="J38" s="259">
        <f t="shared" ref="J38" si="14">I38-J37</f>
        <v>0</v>
      </c>
      <c r="K38" s="259">
        <f t="shared" ref="K38" si="15">J38-K37</f>
        <v>0</v>
      </c>
      <c r="L38" s="259">
        <f t="shared" ref="L38" si="16">K38-L37</f>
        <v>0</v>
      </c>
      <c r="M38" s="259">
        <f t="shared" ref="M38" si="17">L38-M37</f>
        <v>0</v>
      </c>
      <c r="N38" s="259">
        <f t="shared" ref="N38" si="18">M38-N37</f>
        <v>0</v>
      </c>
      <c r="O38" s="259">
        <f t="shared" ref="O38" si="19">N38-O37</f>
        <v>0</v>
      </c>
      <c r="P38" s="259">
        <f t="shared" ref="P38" si="20">O38-P37</f>
        <v>0</v>
      </c>
      <c r="Q38" s="259">
        <f t="shared" ref="Q38" si="21">P38-Q37</f>
        <v>0</v>
      </c>
      <c r="R38" s="261">
        <f t="shared" ref="R38" si="22">Q38-R37</f>
        <v>0</v>
      </c>
      <c r="S38" s="261"/>
      <c r="T38" s="37"/>
    </row>
    <row r="39" spans="1:20" ht="12.75" customHeight="1" thickTop="1" thickBot="1" x14ac:dyDescent="0.35">
      <c r="A39" s="70"/>
      <c r="B39" s="98"/>
      <c r="C39" s="101"/>
      <c r="D39" s="102"/>
      <c r="E39" s="257"/>
      <c r="F39" s="102"/>
      <c r="G39" s="257"/>
      <c r="H39" s="257"/>
      <c r="I39" s="257"/>
      <c r="J39" s="257"/>
      <c r="K39" s="257"/>
      <c r="L39" s="257"/>
      <c r="M39" s="257"/>
      <c r="N39" s="257"/>
      <c r="O39" s="257"/>
      <c r="P39" s="257"/>
      <c r="Q39" s="257"/>
      <c r="R39" s="258"/>
      <c r="S39" s="258"/>
      <c r="T39" s="37"/>
    </row>
    <row r="40" spans="1:20" ht="12.75" customHeight="1" x14ac:dyDescent="0.3">
      <c r="A40" s="70"/>
      <c r="B40" s="98"/>
      <c r="C40" s="98"/>
      <c r="D40" s="70"/>
      <c r="E40" s="254"/>
      <c r="F40" s="70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36"/>
      <c r="S40" s="36"/>
      <c r="T40" s="37"/>
    </row>
    <row r="41" spans="1:20" ht="12.75" customHeight="1" x14ac:dyDescent="0.3">
      <c r="A41" s="70"/>
      <c r="B41" s="98"/>
      <c r="C41" s="98"/>
      <c r="D41" s="70"/>
      <c r="E41" s="254"/>
      <c r="F41" s="70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36"/>
      <c r="S41" s="36"/>
      <c r="T41" s="37"/>
    </row>
    <row r="42" spans="1:20" ht="13.8" x14ac:dyDescent="0.3">
      <c r="A42" s="98" t="s">
        <v>236</v>
      </c>
      <c r="B42" s="98"/>
      <c r="C42" s="98"/>
      <c r="D42" s="70"/>
      <c r="E42" s="254"/>
      <c r="F42" s="70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36"/>
      <c r="S42" s="36"/>
      <c r="T42" s="37"/>
    </row>
    <row r="43" spans="1:20" ht="14.4" thickBot="1" x14ac:dyDescent="0.35">
      <c r="A43" s="101"/>
      <c r="B43" s="101"/>
      <c r="C43" s="101"/>
      <c r="D43" s="102"/>
      <c r="E43" s="257"/>
      <c r="F43" s="102"/>
      <c r="G43" s="257"/>
      <c r="H43" s="257"/>
      <c r="I43" s="257"/>
      <c r="J43" s="257"/>
      <c r="K43" s="257"/>
      <c r="L43" s="257"/>
      <c r="M43" s="257"/>
      <c r="N43" s="257"/>
      <c r="O43" s="257"/>
      <c r="P43" s="257"/>
      <c r="Q43" s="257"/>
      <c r="R43" s="258"/>
      <c r="S43" s="258"/>
      <c r="T43" s="37"/>
    </row>
    <row r="44" spans="1:20" ht="13.8" x14ac:dyDescent="0.3">
      <c r="A44" s="98"/>
      <c r="B44" s="98"/>
      <c r="C44" s="98"/>
      <c r="D44" s="70"/>
      <c r="E44" s="254"/>
      <c r="F44" s="70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36"/>
      <c r="S44" s="36"/>
      <c r="T44" s="37"/>
    </row>
    <row r="45" spans="1:20" ht="13.8" x14ac:dyDescent="0.3">
      <c r="A45" s="70"/>
      <c r="B45" s="98" t="s">
        <v>22</v>
      </c>
      <c r="C45" s="98"/>
      <c r="D45" s="70"/>
      <c r="E45" s="253">
        <f>'4. Financing'!G31</f>
        <v>2508069.1999166668</v>
      </c>
      <c r="F45" s="70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36"/>
      <c r="S45" s="36"/>
      <c r="T45" s="37"/>
    </row>
    <row r="46" spans="1:20" ht="13.8" x14ac:dyDescent="0.3">
      <c r="A46" s="70"/>
      <c r="B46" s="98" t="s">
        <v>23</v>
      </c>
      <c r="C46" s="98"/>
      <c r="D46" s="70"/>
      <c r="E46" s="200">
        <f>'4. Financing'!H31</f>
        <v>0.13500000000000001</v>
      </c>
      <c r="F46" s="70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36"/>
      <c r="S46" s="36"/>
      <c r="T46" s="37"/>
    </row>
    <row r="47" spans="1:20" ht="13.8" x14ac:dyDescent="0.3">
      <c r="A47" s="70"/>
      <c r="B47" s="98" t="s">
        <v>24</v>
      </c>
      <c r="C47" s="98"/>
      <c r="D47" s="70"/>
      <c r="E47" s="139">
        <f>'4. Financing'!I31</f>
        <v>60</v>
      </c>
      <c r="F47" s="70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36"/>
      <c r="S47" s="36"/>
      <c r="T47" s="37"/>
    </row>
    <row r="48" spans="1:20" ht="13.8" x14ac:dyDescent="0.3">
      <c r="A48" s="70"/>
      <c r="B48" s="98" t="s">
        <v>241</v>
      </c>
      <c r="C48" s="98"/>
      <c r="D48" s="70"/>
      <c r="E48" s="254">
        <f>ABS(PMT(E46/12,E47,E45))</f>
        <v>57710.286089779562</v>
      </c>
      <c r="F48" s="70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36"/>
      <c r="S48" s="36"/>
      <c r="T48" s="37"/>
    </row>
    <row r="49" spans="1:20" ht="14.4" thickBot="1" x14ac:dyDescent="0.35">
      <c r="A49" s="70"/>
      <c r="B49" s="98"/>
      <c r="C49" s="98"/>
      <c r="D49" s="70"/>
      <c r="E49" s="254"/>
      <c r="F49" s="70"/>
      <c r="G49" s="120" t="s">
        <v>84</v>
      </c>
      <c r="H49" s="120" t="s">
        <v>85</v>
      </c>
      <c r="I49" s="120" t="s">
        <v>86</v>
      </c>
      <c r="J49" s="120" t="s">
        <v>217</v>
      </c>
      <c r="K49" s="120" t="s">
        <v>76</v>
      </c>
      <c r="L49" s="120" t="s">
        <v>77</v>
      </c>
      <c r="M49" s="120" t="s">
        <v>78</v>
      </c>
      <c r="N49" s="120" t="s">
        <v>79</v>
      </c>
      <c r="O49" s="120" t="s">
        <v>80</v>
      </c>
      <c r="P49" s="120" t="s">
        <v>81</v>
      </c>
      <c r="Q49" s="120" t="s">
        <v>82</v>
      </c>
      <c r="R49" s="189" t="s">
        <v>83</v>
      </c>
      <c r="S49" s="189" t="s">
        <v>1</v>
      </c>
      <c r="T49" s="37"/>
    </row>
    <row r="50" spans="1:20" ht="13.8" x14ac:dyDescent="0.3">
      <c r="A50" s="70"/>
      <c r="B50" s="98" t="s">
        <v>16</v>
      </c>
      <c r="C50" s="98"/>
      <c r="D50" s="70"/>
      <c r="E50" s="254"/>
      <c r="F50" s="70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36"/>
      <c r="S50" s="36"/>
      <c r="T50" s="37"/>
    </row>
    <row r="51" spans="1:20" ht="13.8" x14ac:dyDescent="0.3">
      <c r="A51" s="70"/>
      <c r="B51" s="98"/>
      <c r="C51" s="98" t="s">
        <v>20</v>
      </c>
      <c r="D51" s="70"/>
      <c r="E51" s="254"/>
      <c r="F51" s="70"/>
      <c r="G51" s="255">
        <f>ABS(IPMT($E$46/12,1,$E$47,$E$45))</f>
        <v>28215.778499062504</v>
      </c>
      <c r="H51" s="255">
        <f>ABS(IPMT($E$46/12,2,$E$47,$E$45))</f>
        <v>27883.965288666943</v>
      </c>
      <c r="I51" s="255">
        <f>ABS(IPMT($E$46/12,3,$E$47,$E$45))</f>
        <v>27548.419179654422</v>
      </c>
      <c r="J51" s="255">
        <f>ABS(IPMT($E$46/12,4,$E$47,$E$45))</f>
        <v>27209.098176915515</v>
      </c>
      <c r="K51" s="255">
        <f>ABS(IPMT($E$46/12,5,$E$47,$E$45))</f>
        <v>26865.959812895799</v>
      </c>
      <c r="L51" s="255">
        <f>ABS(IPMT($E$46/12,6,$E$47,$E$45))</f>
        <v>26518.961142280848</v>
      </c>
      <c r="M51" s="255">
        <f>ABS(IPMT($E$46/12,7,$E$47,$E$45))</f>
        <v>26168.05873662149</v>
      </c>
      <c r="N51" s="255">
        <f>ABS(IPMT($E$46/12,8,$E$47,$E$45))</f>
        <v>25813.208678898467</v>
      </c>
      <c r="O51" s="255">
        <f>ABS(IPMT($E$46/12,9,$E$47,$E$45))</f>
        <v>25454.366558026049</v>
      </c>
      <c r="P51" s="255">
        <f>ABS(IPMT($E$46/12,10,$E$47,$E$45))</f>
        <v>25091.487463293826</v>
      </c>
      <c r="Q51" s="255">
        <f>ABS(IPMT($E$46/12,11,$E$47,$E$45))</f>
        <v>24724.525978745867</v>
      </c>
      <c r="R51" s="41">
        <f>ABS(IPMT($E$46/12,12,$E$47,$E$45))</f>
        <v>24353.436177496729</v>
      </c>
      <c r="S51" s="41">
        <f>SUM(G51:R51)</f>
        <v>315847.26569255849</v>
      </c>
      <c r="T51" s="37"/>
    </row>
    <row r="52" spans="1:20" ht="13.8" x14ac:dyDescent="0.3">
      <c r="A52" s="70"/>
      <c r="B52" s="98"/>
      <c r="C52" s="98" t="s">
        <v>25</v>
      </c>
      <c r="D52" s="70"/>
      <c r="E52" s="254"/>
      <c r="F52" s="70"/>
      <c r="G52" s="255">
        <f>ABS(PPMT($E$46/12,1,$E$47,$E$45))</f>
        <v>29494.507590717054</v>
      </c>
      <c r="H52" s="255">
        <f>ABS(PPMT($E$46/12,2,$E$47,$E$45))</f>
        <v>29826.320801112615</v>
      </c>
      <c r="I52" s="255">
        <f>ABS(PPMT($E$46/12,3,$E$47,$E$45))</f>
        <v>30161.866910125136</v>
      </c>
      <c r="J52" s="255">
        <f>ABS(PPMT($E$46/12,4,$E$47,$E$45))</f>
        <v>30501.187912864043</v>
      </c>
      <c r="K52" s="255">
        <f>ABS(PPMT($E$46/12,5,$E$47,$E$45))</f>
        <v>30844.32627688377</v>
      </c>
      <c r="L52" s="255">
        <f>ABS(PPMT($E$46/12,6,$E$47,$E$45))</f>
        <v>31191.32494749871</v>
      </c>
      <c r="M52" s="255">
        <f>ABS(PPMT($E$46/12,7,$E$47,$E$45))</f>
        <v>31542.227353158065</v>
      </c>
      <c r="N52" s="255">
        <f>ABS(PPMT($E$46/12,8,$E$47,$E$45))</f>
        <v>31897.077410881091</v>
      </c>
      <c r="O52" s="255">
        <f>ABS(PPMT($E$46/12,9,$E$47,$E$45))</f>
        <v>32255.919531753509</v>
      </c>
      <c r="P52" s="255">
        <f>ABS(PPMT($E$46/12,10,$E$47,$E$45))</f>
        <v>32618.798626485732</v>
      </c>
      <c r="Q52" s="255">
        <f>ABS(PPMT($E$46/12,11,$E$47,$E$45))</f>
        <v>32985.760111033705</v>
      </c>
      <c r="R52" s="41">
        <f>ABS(PPMT($E$46/12,12,$E$47,$E$45))</f>
        <v>33356.849912282829</v>
      </c>
      <c r="S52" s="41">
        <f>SUM(G52:R52)</f>
        <v>376676.16738479625</v>
      </c>
      <c r="T52" s="37"/>
    </row>
    <row r="53" spans="1:20" ht="14.4" thickBot="1" x14ac:dyDescent="0.35">
      <c r="A53" s="70"/>
      <c r="B53" s="98"/>
      <c r="C53" s="109" t="s">
        <v>27</v>
      </c>
      <c r="D53" s="110"/>
      <c r="E53" s="259"/>
      <c r="F53" s="110"/>
      <c r="G53" s="260">
        <f>E45-G52</f>
        <v>2478574.6923259497</v>
      </c>
      <c r="H53" s="259">
        <f t="shared" ref="H53:R53" si="23">G53-H52</f>
        <v>2448748.3715248369</v>
      </c>
      <c r="I53" s="259">
        <f t="shared" si="23"/>
        <v>2418586.5046147117</v>
      </c>
      <c r="J53" s="259">
        <f t="shared" si="23"/>
        <v>2388085.3167018476</v>
      </c>
      <c r="K53" s="259">
        <f t="shared" si="23"/>
        <v>2357240.9904249636</v>
      </c>
      <c r="L53" s="259">
        <f t="shared" si="23"/>
        <v>2326049.6654774649</v>
      </c>
      <c r="M53" s="259">
        <f t="shared" si="23"/>
        <v>2294507.438124307</v>
      </c>
      <c r="N53" s="259">
        <f t="shared" si="23"/>
        <v>2262610.360713426</v>
      </c>
      <c r="O53" s="259">
        <f t="shared" si="23"/>
        <v>2230354.4411816727</v>
      </c>
      <c r="P53" s="259">
        <f t="shared" si="23"/>
        <v>2197735.642555187</v>
      </c>
      <c r="Q53" s="259">
        <f t="shared" si="23"/>
        <v>2164749.8824441531</v>
      </c>
      <c r="R53" s="261">
        <f t="shared" si="23"/>
        <v>2131393.0325318701</v>
      </c>
      <c r="S53" s="261"/>
      <c r="T53" s="37"/>
    </row>
    <row r="54" spans="1:20" ht="14.4" thickTop="1" x14ac:dyDescent="0.3">
      <c r="A54" s="70"/>
      <c r="B54" s="98" t="s">
        <v>19</v>
      </c>
      <c r="C54" s="98"/>
      <c r="D54" s="70"/>
      <c r="E54" s="254"/>
      <c r="F54" s="70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36"/>
      <c r="S54" s="36"/>
      <c r="T54" s="37"/>
    </row>
    <row r="55" spans="1:20" ht="13.8" x14ac:dyDescent="0.3">
      <c r="A55" s="70"/>
      <c r="B55" s="98"/>
      <c r="C55" s="98" t="s">
        <v>20</v>
      </c>
      <c r="D55" s="70"/>
      <c r="E55" s="254"/>
      <c r="F55" s="70"/>
      <c r="G55" s="255">
        <f>ABS(IPMT($E$46/12,13,$E$47,$E$45))</f>
        <v>23978.171615983545</v>
      </c>
      <c r="H55" s="255">
        <f>ABS(IPMT($E$46/12,14,$E$47,$E$45))</f>
        <v>23598.68532815334</v>
      </c>
      <c r="I55" s="255">
        <f>ABS(IPMT($E$46/12,15,$E$47,$E$45))</f>
        <v>23214.929819585046</v>
      </c>
      <c r="J55" s="255">
        <f>ABS(IPMT($E$46/12,16,$E$47,$E$45))</f>
        <v>22826.857061545365</v>
      </c>
      <c r="K55" s="255">
        <f>ABS(IPMT($E$46/12,17,$E$47,$E$45))</f>
        <v>22434.418484977727</v>
      </c>
      <c r="L55" s="255">
        <f>ABS(IPMT($E$46/12,18,$E$47,$E$45))</f>
        <v>22037.564974423705</v>
      </c>
      <c r="M55" s="255">
        <f>ABS(IPMT($E$46/12,19,$E$47,$E$45))</f>
        <v>21636.246861875949</v>
      </c>
      <c r="N55" s="255">
        <f>ABS(IPMT($E$46/12,20,$E$47,$E$45))</f>
        <v>21230.413920562034</v>
      </c>
      <c r="O55" s="255">
        <f>ABS(IPMT($E$46/12,21,$E$47,$E$45))</f>
        <v>20820.015358658336</v>
      </c>
      <c r="P55" s="255">
        <f>ABS(IPMT($E$46/12,22,$E$47,$E$45))</f>
        <v>20404.999812933223</v>
      </c>
      <c r="Q55" s="255">
        <f>ABS(IPMT($E$46/12,23,$E$47,$E$45))</f>
        <v>19985.315342318703</v>
      </c>
      <c r="R55" s="41">
        <f>ABS(IPMT($E$46/12,24,$E$47,$E$45))</f>
        <v>19560.909421409771</v>
      </c>
      <c r="S55" s="41">
        <f>SUM(G55:R55)</f>
        <v>261728.52800242676</v>
      </c>
      <c r="T55" s="37"/>
    </row>
    <row r="56" spans="1:20" ht="13.8" x14ac:dyDescent="0.3">
      <c r="A56" s="70"/>
      <c r="B56" s="98"/>
      <c r="C56" s="98" t="s">
        <v>25</v>
      </c>
      <c r="D56" s="70"/>
      <c r="E56" s="254"/>
      <c r="F56" s="70"/>
      <c r="G56" s="255">
        <f>ABS(PPMT($E$46/12,13,$E$47,$E$45))</f>
        <v>33732.114473796013</v>
      </c>
      <c r="H56" s="255">
        <f>ABS(PPMT($E$46/12,14,$E$47,$E$45))</f>
        <v>34111.600761626214</v>
      </c>
      <c r="I56" s="255">
        <f>ABS(PPMT($E$46/12,15,$E$47,$E$45))</f>
        <v>34495.356270194512</v>
      </c>
      <c r="J56" s="255">
        <f>ABS(PPMT($E$46/12,16,$E$47,$E$45))</f>
        <v>34883.429028234204</v>
      </c>
      <c r="K56" s="255">
        <f>ABS(PPMT($E$46/12,17,$E$47,$E$45))</f>
        <v>35275.867604801831</v>
      </c>
      <c r="L56" s="255">
        <f>ABS(PPMT($E$46/12,18,$E$47,$E$45))</f>
        <v>35672.721115355853</v>
      </c>
      <c r="M56" s="255">
        <f>ABS(PPMT($E$46/12,19,$E$47,$E$45))</f>
        <v>36074.039227903602</v>
      </c>
      <c r="N56" s="255">
        <f>ABS(PPMT($E$46/12,20,$E$47,$E$45))</f>
        <v>36479.872169217524</v>
      </c>
      <c r="O56" s="255">
        <f>ABS(PPMT($E$46/12,21,$E$47,$E$45))</f>
        <v>36890.270731121222</v>
      </c>
      <c r="P56" s="255">
        <f>ABS(PPMT($E$46/12,22,$E$47,$E$45))</f>
        <v>37305.286276846331</v>
      </c>
      <c r="Q56" s="255">
        <f>ABS(PPMT($E$46/12,23,$E$47,$E$45))</f>
        <v>37724.970747460851</v>
      </c>
      <c r="R56" s="41">
        <f>ABS(PPMT($E$46/12,24,$E$47,$E$45))</f>
        <v>38149.37666836979</v>
      </c>
      <c r="S56" s="41">
        <f>SUM(G56:R56)</f>
        <v>430794.90507492796</v>
      </c>
      <c r="T56" s="37"/>
    </row>
    <row r="57" spans="1:20" ht="14.4" thickBot="1" x14ac:dyDescent="0.35">
      <c r="A57" s="70"/>
      <c r="B57" s="98"/>
      <c r="C57" s="109" t="s">
        <v>27</v>
      </c>
      <c r="D57" s="110"/>
      <c r="E57" s="259"/>
      <c r="F57" s="110"/>
      <c r="G57" s="262">
        <f>R53-G56</f>
        <v>2097660.9180580741</v>
      </c>
      <c r="H57" s="262">
        <f t="shared" ref="H57:R57" si="24">G57-H56</f>
        <v>2063549.3172964479</v>
      </c>
      <c r="I57" s="262">
        <f t="shared" si="24"/>
        <v>2029053.9610262534</v>
      </c>
      <c r="J57" s="262">
        <f t="shared" si="24"/>
        <v>1994170.5319980192</v>
      </c>
      <c r="K57" s="262">
        <f t="shared" si="24"/>
        <v>1958894.6643932173</v>
      </c>
      <c r="L57" s="262">
        <f t="shared" si="24"/>
        <v>1923221.9432778615</v>
      </c>
      <c r="M57" s="262">
        <f t="shared" si="24"/>
        <v>1887147.9040499579</v>
      </c>
      <c r="N57" s="262">
        <f t="shared" si="24"/>
        <v>1850668.0318807403</v>
      </c>
      <c r="O57" s="262">
        <f t="shared" si="24"/>
        <v>1813777.761149619</v>
      </c>
      <c r="P57" s="262">
        <f t="shared" si="24"/>
        <v>1776472.4748727726</v>
      </c>
      <c r="Q57" s="262">
        <f t="shared" si="24"/>
        <v>1738747.5041253117</v>
      </c>
      <c r="R57" s="263">
        <f t="shared" si="24"/>
        <v>1700598.1274569419</v>
      </c>
      <c r="S57" s="263"/>
      <c r="T57" s="37"/>
    </row>
    <row r="58" spans="1:20" ht="14.4" thickTop="1" x14ac:dyDescent="0.3">
      <c r="A58" s="70"/>
      <c r="B58" s="98" t="s">
        <v>17</v>
      </c>
      <c r="C58" s="98"/>
      <c r="D58" s="70"/>
      <c r="E58" s="254"/>
      <c r="F58" s="70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36"/>
      <c r="S58" s="36"/>
      <c r="T58" s="37"/>
    </row>
    <row r="59" spans="1:20" ht="13.8" x14ac:dyDescent="0.3">
      <c r="A59" s="70"/>
      <c r="B59" s="98"/>
      <c r="C59" s="98" t="s">
        <v>20</v>
      </c>
      <c r="D59" s="70"/>
      <c r="E59" s="254"/>
      <c r="F59" s="70"/>
      <c r="G59" s="255">
        <f>ABS(IPMT($E$46/12,25,$E$47,$E$45))</f>
        <v>19131.728933890608</v>
      </c>
      <c r="H59" s="255">
        <f>ABS(IPMT($E$46/12,26,$E$47,$E$45))</f>
        <v>18697.720165886858</v>
      </c>
      <c r="I59" s="255">
        <f>ABS(IPMT($E$46/12,27,$E$47,$E$45))</f>
        <v>18258.828799243067</v>
      </c>
      <c r="J59" s="255">
        <f>ABS(IPMT($E$46/12,28,$E$47,$E$45))</f>
        <v>17814.999904724529</v>
      </c>
      <c r="K59" s="255">
        <f>ABS(IPMT($E$46/12,29,$E$47,$E$45))</f>
        <v>17366.177935142659</v>
      </c>
      <c r="L59" s="255">
        <f>ABS(IPMT($E$46/12,30,$E$47,$E$45))</f>
        <v>16912.306718402993</v>
      </c>
      <c r="M59" s="255">
        <f>ABS(IPMT($E$46/12,31,$E$47,$E$45))</f>
        <v>16453.329450475008</v>
      </c>
      <c r="N59" s="255">
        <f>ABS(IPMT($E$46/12,32,$E$47,$E$45))</f>
        <v>15989.188688282829</v>
      </c>
      <c r="O59" s="255">
        <f>ABS(IPMT($E$46/12,33,$E$47,$E$45))</f>
        <v>15519.826342515993</v>
      </c>
      <c r="P59" s="255">
        <f>ABS(IPMT($E$46/12,34,$E$47,$E$45))</f>
        <v>15045.183670359276</v>
      </c>
      <c r="Q59" s="255">
        <f>ABS(IPMT($E$46/12,35,$E$47,$E$45))</f>
        <v>14565.201268140801</v>
      </c>
      <c r="R59" s="41">
        <f>ABS(IPMT($E$46/12,36,$E$47,$E$45))</f>
        <v>14079.819063897363</v>
      </c>
      <c r="S59" s="41">
        <f>SUM(G59:R59)</f>
        <v>199834.31094096199</v>
      </c>
      <c r="T59" s="37"/>
    </row>
    <row r="60" spans="1:20" ht="13.8" x14ac:dyDescent="0.3">
      <c r="A60" s="70"/>
      <c r="B60" s="98"/>
      <c r="C60" s="98" t="s">
        <v>25</v>
      </c>
      <c r="D60" s="70"/>
      <c r="E60" s="254"/>
      <c r="F60" s="70"/>
      <c r="G60" s="255">
        <f>ABS(PPMT($E$46/12,25,$E$47,$E$45))</f>
        <v>38578.55715588895</v>
      </c>
      <c r="H60" s="255">
        <f>ABS(PPMT($E$46/12,26,$E$47,$E$45))</f>
        <v>39012.565923892696</v>
      </c>
      <c r="I60" s="255">
        <f>ABS(PPMT($E$46/12,27,$E$47,$E$45))</f>
        <v>39451.457290536491</v>
      </c>
      <c r="J60" s="255">
        <f>ABS(PPMT($E$46/12,28,$E$47,$E$45))</f>
        <v>39895.286185055033</v>
      </c>
      <c r="K60" s="255">
        <f>ABS(PPMT($E$46/12,29,$E$47,$E$45))</f>
        <v>40344.108154636902</v>
      </c>
      <c r="L60" s="255">
        <f>ABS(PPMT($E$46/12,30,$E$47,$E$45))</f>
        <v>40797.979371376568</v>
      </c>
      <c r="M60" s="255">
        <f>ABS(PPMT($E$46/12,31,$E$47,$E$45))</f>
        <v>41256.956639304546</v>
      </c>
      <c r="N60" s="255">
        <f>ABS(PPMT($E$46/12,32,$E$47,$E$45))</f>
        <v>41721.097401496729</v>
      </c>
      <c r="O60" s="255">
        <f>ABS(PPMT($E$46/12,33,$E$47,$E$45))</f>
        <v>42190.459747263565</v>
      </c>
      <c r="P60" s="255">
        <f>ABS(PPMT($E$46/12,34,$E$47,$E$45))</f>
        <v>42665.102419420276</v>
      </c>
      <c r="Q60" s="255">
        <f>ABS(PPMT($E$46/12,35,$E$47,$E$45))</f>
        <v>43145.08482163876</v>
      </c>
      <c r="R60" s="41">
        <f>ABS(PPMT($E$46/12,36,$E$47,$E$45))</f>
        <v>43630.467025882193</v>
      </c>
      <c r="S60" s="41">
        <f>SUM(G60:R60)</f>
        <v>492689.12213639275</v>
      </c>
      <c r="T60" s="37"/>
    </row>
    <row r="61" spans="1:20" ht="14.4" thickBot="1" x14ac:dyDescent="0.35">
      <c r="A61" s="70"/>
      <c r="B61" s="98"/>
      <c r="C61" s="109" t="s">
        <v>27</v>
      </c>
      <c r="D61" s="110"/>
      <c r="E61" s="259"/>
      <c r="F61" s="110"/>
      <c r="G61" s="259">
        <f>R57-G60</f>
        <v>1662019.5703010529</v>
      </c>
      <c r="H61" s="259">
        <f t="shared" ref="H61:R61" si="25">G61-H60</f>
        <v>1623007.0043771602</v>
      </c>
      <c r="I61" s="259">
        <f t="shared" si="25"/>
        <v>1583555.5470866237</v>
      </c>
      <c r="J61" s="259">
        <f t="shared" si="25"/>
        <v>1543660.2609015687</v>
      </c>
      <c r="K61" s="259">
        <f t="shared" si="25"/>
        <v>1503316.1527469319</v>
      </c>
      <c r="L61" s="259">
        <f t="shared" si="25"/>
        <v>1462518.1733755553</v>
      </c>
      <c r="M61" s="259">
        <f t="shared" si="25"/>
        <v>1421261.2167362508</v>
      </c>
      <c r="N61" s="259">
        <f t="shared" si="25"/>
        <v>1379540.1193347541</v>
      </c>
      <c r="O61" s="259">
        <f t="shared" si="25"/>
        <v>1337349.6595874906</v>
      </c>
      <c r="P61" s="259">
        <f t="shared" si="25"/>
        <v>1294684.5571680702</v>
      </c>
      <c r="Q61" s="259">
        <f t="shared" si="25"/>
        <v>1251539.4723464316</v>
      </c>
      <c r="R61" s="261">
        <f t="shared" si="25"/>
        <v>1207909.0053205495</v>
      </c>
      <c r="S61" s="261"/>
      <c r="T61" s="37"/>
    </row>
    <row r="62" spans="1:20" ht="14.4" thickTop="1" x14ac:dyDescent="0.3">
      <c r="A62" s="70"/>
      <c r="B62" s="98" t="s">
        <v>101</v>
      </c>
      <c r="C62" s="98"/>
      <c r="D62" s="70"/>
      <c r="E62" s="254"/>
      <c r="F62" s="70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36"/>
      <c r="S62" s="36"/>
      <c r="T62" s="37"/>
    </row>
    <row r="63" spans="1:20" ht="13.8" x14ac:dyDescent="0.3">
      <c r="A63" s="70"/>
      <c r="B63" s="98"/>
      <c r="C63" s="98" t="s">
        <v>20</v>
      </c>
      <c r="D63" s="70"/>
      <c r="E63" s="254"/>
      <c r="F63" s="70"/>
      <c r="G63" s="255">
        <f>ABS(IPMT($E$46/12,37,$E$47,$E$45))</f>
        <v>13588.976309856191</v>
      </c>
      <c r="H63" s="255">
        <f>ABS(IPMT($E$46/12,38,$E$47,$E$45))</f>
        <v>13092.61157483205</v>
      </c>
      <c r="I63" s="255">
        <f>ABS(IPMT($E$46/12,39,$E$47,$E$45))</f>
        <v>12590.66273653889</v>
      </c>
      <c r="J63" s="255">
        <f>ABS(IPMT($E$46/12,40,$E$47,$E$45))</f>
        <v>12083.066973814935</v>
      </c>
      <c r="K63" s="255">
        <f>ABS(IPMT($E$46/12,41,$E$47,$E$45))</f>
        <v>11569.760758760331</v>
      </c>
      <c r="L63" s="255">
        <f>ABS(IPMT($E$46/12,42,$E$47,$E$45))</f>
        <v>11050.679848786365</v>
      </c>
      <c r="M63" s="255">
        <f>ABS(IPMT($E$46/12,43,$E$47,$E$45))</f>
        <v>10525.759278575193</v>
      </c>
      <c r="N63" s="255">
        <f>ABS(IPMT($E$46/12,44,$E$47,$E$45))</f>
        <v>9994.9333519491429</v>
      </c>
      <c r="O63" s="255">
        <f>ABS(IPMT($E$46/12,45,$E$47,$E$45))</f>
        <v>9458.1356336485496</v>
      </c>
      <c r="P63" s="255">
        <f>ABS(IPMT($E$46/12,46,$E$47,$E$45))</f>
        <v>8915.2989410170758</v>
      </c>
      <c r="Q63" s="255">
        <f>ABS(IPMT($E$46/12,47,$E$47,$E$45))</f>
        <v>8366.3553355934964</v>
      </c>
      <c r="R63" s="41">
        <f>ABS(IPMT($E$46/12,48,$E$47,$E$45))</f>
        <v>7811.2361146089042</v>
      </c>
      <c r="S63" s="41">
        <f>SUM(G63:R63)</f>
        <v>129047.47685798114</v>
      </c>
      <c r="T63" s="37"/>
    </row>
    <row r="64" spans="1:20" ht="13.8" x14ac:dyDescent="0.3">
      <c r="A64" s="70"/>
      <c r="B64" s="98"/>
      <c r="C64" s="98" t="s">
        <v>25</v>
      </c>
      <c r="D64" s="70"/>
      <c r="E64" s="254"/>
      <c r="F64" s="70"/>
      <c r="G64" s="255">
        <f>ABS(PPMT($E$46/12,37,$E$47,$E$45))</f>
        <v>44121.309779923373</v>
      </c>
      <c r="H64" s="255">
        <f>ABS(PPMT($E$46/12,38,$E$47,$E$45))</f>
        <v>44617.674514947503</v>
      </c>
      <c r="I64" s="255">
        <f>ABS(PPMT($E$46/12,39,$E$47,$E$45))</f>
        <v>45119.62335324067</v>
      </c>
      <c r="J64" s="255">
        <f>ABS(PPMT($E$46/12,40,$E$47,$E$45))</f>
        <v>45627.219115964625</v>
      </c>
      <c r="K64" s="255">
        <f>ABS(PPMT($E$46/12,41,$E$47,$E$45))</f>
        <v>46140.525331019227</v>
      </c>
      <c r="L64" s="255">
        <f>ABS(PPMT($E$46/12,42,$E$47,$E$45))</f>
        <v>46659.606240993191</v>
      </c>
      <c r="M64" s="255">
        <f>ABS(PPMT($E$46/12,43,$E$47,$E$45))</f>
        <v>47184.526811204363</v>
      </c>
      <c r="N64" s="255">
        <f>ABS(PPMT($E$46/12,44,$E$47,$E$45))</f>
        <v>47715.352737830413</v>
      </c>
      <c r="O64" s="255">
        <f>ABS(PPMT($E$46/12,45,$E$47,$E$45))</f>
        <v>48252.150456131014</v>
      </c>
      <c r="P64" s="255">
        <f>ABS(PPMT($E$46/12,46,$E$47,$E$45))</f>
        <v>48794.987148762477</v>
      </c>
      <c r="Q64" s="255">
        <f>ABS(PPMT($E$46/12,47,$E$47,$E$45))</f>
        <v>49343.930754186062</v>
      </c>
      <c r="R64" s="41">
        <f>ABS(PPMT($E$46/12,48,$E$47,$E$45))</f>
        <v>49899.049975170652</v>
      </c>
      <c r="S64" s="41">
        <f>SUM(G64:R64)</f>
        <v>563475.95621937362</v>
      </c>
      <c r="T64" s="37"/>
    </row>
    <row r="65" spans="1:20" ht="14.4" thickBot="1" x14ac:dyDescent="0.35">
      <c r="A65" s="70"/>
      <c r="B65" s="98"/>
      <c r="C65" s="109" t="s">
        <v>27</v>
      </c>
      <c r="D65" s="110"/>
      <c r="E65" s="259"/>
      <c r="F65" s="110"/>
      <c r="G65" s="259">
        <f>R61-G64</f>
        <v>1163787.6955406261</v>
      </c>
      <c r="H65" s="259">
        <f t="shared" ref="H65" si="26">G65-H64</f>
        <v>1119170.0210256786</v>
      </c>
      <c r="I65" s="259">
        <f t="shared" ref="I65" si="27">H65-I64</f>
        <v>1074050.3976724378</v>
      </c>
      <c r="J65" s="259">
        <f t="shared" ref="J65" si="28">I65-J64</f>
        <v>1028423.1785564732</v>
      </c>
      <c r="K65" s="259">
        <f t="shared" ref="K65" si="29">J65-K64</f>
        <v>982282.65322545404</v>
      </c>
      <c r="L65" s="259">
        <f t="shared" ref="L65" si="30">K65-L64</f>
        <v>935623.0469844609</v>
      </c>
      <c r="M65" s="259">
        <f t="shared" ref="M65" si="31">L65-M64</f>
        <v>888438.52017325652</v>
      </c>
      <c r="N65" s="259">
        <f t="shared" ref="N65" si="32">M65-N64</f>
        <v>840723.16743542615</v>
      </c>
      <c r="O65" s="259">
        <f t="shared" ref="O65" si="33">N65-O64</f>
        <v>792471.01697929518</v>
      </c>
      <c r="P65" s="259">
        <f t="shared" ref="P65" si="34">O65-P64</f>
        <v>743676.02983053273</v>
      </c>
      <c r="Q65" s="259">
        <f t="shared" ref="Q65" si="35">P65-Q64</f>
        <v>694332.09907634673</v>
      </c>
      <c r="R65" s="261">
        <f t="shared" ref="R65" si="36">Q65-R64</f>
        <v>644433.04910117609</v>
      </c>
      <c r="S65" s="261"/>
      <c r="T65" s="37"/>
    </row>
    <row r="66" spans="1:20" ht="14.4" thickTop="1" x14ac:dyDescent="0.3">
      <c r="A66" s="70"/>
      <c r="B66" s="98" t="s">
        <v>102</v>
      </c>
      <c r="C66" s="98"/>
      <c r="D66" s="70"/>
      <c r="E66" s="254"/>
      <c r="F66" s="70"/>
      <c r="G66" s="254"/>
      <c r="H66" s="254"/>
      <c r="I66" s="254"/>
      <c r="J66" s="254"/>
      <c r="K66" s="254"/>
      <c r="L66" s="254"/>
      <c r="M66" s="254"/>
      <c r="N66" s="254"/>
      <c r="O66" s="254"/>
      <c r="P66" s="254"/>
      <c r="Q66" s="254"/>
      <c r="R66" s="36"/>
      <c r="S66" s="36"/>
      <c r="T66" s="37"/>
    </row>
    <row r="67" spans="1:20" ht="13.8" x14ac:dyDescent="0.3">
      <c r="A67" s="70"/>
      <c r="B67" s="98"/>
      <c r="C67" s="98" t="s">
        <v>20</v>
      </c>
      <c r="D67" s="70"/>
      <c r="E67" s="254"/>
      <c r="F67" s="70"/>
      <c r="G67" s="255">
        <f>ABS(IPMT($E$46/12,49,$E$47,$E$45))</f>
        <v>7249.8718023882348</v>
      </c>
      <c r="H67" s="255">
        <f>ABS(IPMT($E$46/12,50,$E$47,$E$45))</f>
        <v>6682.1921416550813</v>
      </c>
      <c r="I67" s="255">
        <f>ABS(IPMT($E$46/12,51,$E$47,$E$45))</f>
        <v>6108.126084738682</v>
      </c>
      <c r="J67" s="255">
        <f>ABS(IPMT($E$46/12,52,$E$47,$E$45))</f>
        <v>5527.6017846819714</v>
      </c>
      <c r="K67" s="255">
        <f>ABS(IPMT($E$46/12,53,$E$47,$E$45))</f>
        <v>4940.5465862496239</v>
      </c>
      <c r="L67" s="255">
        <f>ABS(IPMT($E$46/12,54,$E$47,$E$45))</f>
        <v>4346.8870168349122</v>
      </c>
      <c r="M67" s="255">
        <f>ABS(IPMT($E$46/12,55,$E$47,$E$45))</f>
        <v>3746.5487772642846</v>
      </c>
      <c r="N67" s="255">
        <f>ABS(IPMT($E$46/12,56,$E$47,$E$45))</f>
        <v>3139.4567324984878</v>
      </c>
      <c r="O67" s="255">
        <f>ABS(IPMT($E$46/12,57,$E$47,$E$45))</f>
        <v>2525.5349022290752</v>
      </c>
      <c r="P67" s="255">
        <f>ABS(IPMT($E$46/12,58,$E$47,$E$45))</f>
        <v>1904.7064513691325</v>
      </c>
      <c r="Q67" s="255">
        <f>ABS(IPMT($E$46/12,59,$E$47,$E$45))</f>
        <v>1276.8936804370151</v>
      </c>
      <c r="R67" s="41">
        <f>ABS(IPMT($E$46/12,60,$E$47,$E$45))</f>
        <v>642.01801583191116</v>
      </c>
      <c r="S67" s="41">
        <f>SUM(G67:R67)</f>
        <v>48090.383976178411</v>
      </c>
      <c r="T67" s="37"/>
    </row>
    <row r="68" spans="1:20" ht="13.8" x14ac:dyDescent="0.3">
      <c r="A68" s="70"/>
      <c r="B68" s="98"/>
      <c r="C68" s="98" t="s">
        <v>25</v>
      </c>
      <c r="D68" s="70"/>
      <c r="E68" s="254"/>
      <c r="F68" s="70"/>
      <c r="G68" s="255">
        <f>ABS(PPMT($E$46/12,49,$E$47,$E$45))</f>
        <v>50460.414287391322</v>
      </c>
      <c r="H68" s="255">
        <f>ABS(PPMT($E$46/12,50,$E$47,$E$45))</f>
        <v>51028.093948124479</v>
      </c>
      <c r="I68" s="255">
        <f>ABS(PPMT($E$46/12,51,$E$47,$E$45))</f>
        <v>51602.160005040874</v>
      </c>
      <c r="J68" s="255">
        <f>ABS(PPMT($E$46/12,52,$E$47,$E$45))</f>
        <v>52182.684305097595</v>
      </c>
      <c r="K68" s="255">
        <f>ABS(PPMT($E$46/12,53,$E$47,$E$45))</f>
        <v>52769.739503529934</v>
      </c>
      <c r="L68" s="255">
        <f>ABS(PPMT($E$46/12,54,$E$47,$E$45))</f>
        <v>53363.399072944645</v>
      </c>
      <c r="M68" s="255">
        <f>ABS(PPMT($E$46/12,55,$E$47,$E$45))</f>
        <v>53963.737312515274</v>
      </c>
      <c r="N68" s="255">
        <f>ABS(PPMT($E$46/12,56,$E$47,$E$45))</f>
        <v>54570.829357281073</v>
      </c>
      <c r="O68" s="255">
        <f>ABS(PPMT($E$46/12,57,$E$47,$E$45))</f>
        <v>55184.751187550479</v>
      </c>
      <c r="P68" s="255">
        <f>ABS(PPMT($E$46/12,58,$E$47,$E$45))</f>
        <v>55805.579638410425</v>
      </c>
      <c r="Q68" s="255">
        <f>ABS(PPMT($E$46/12,59,$E$47,$E$45))</f>
        <v>56433.392409342552</v>
      </c>
      <c r="R68" s="41">
        <f>ABS(PPMT($E$46/12,60,$E$47,$E$45))</f>
        <v>57068.268073947656</v>
      </c>
      <c r="S68" s="41">
        <f>SUM(G68:R68)</f>
        <v>644433.04910117632</v>
      </c>
      <c r="T68" s="37"/>
    </row>
    <row r="69" spans="1:20" ht="14.4" thickBot="1" x14ac:dyDescent="0.35">
      <c r="A69" s="70"/>
      <c r="B69" s="98"/>
      <c r="C69" s="109" t="s">
        <v>27</v>
      </c>
      <c r="D69" s="110"/>
      <c r="E69" s="259"/>
      <c r="F69" s="110"/>
      <c r="G69" s="259">
        <f>R65-G68</f>
        <v>593972.63481378474</v>
      </c>
      <c r="H69" s="259">
        <f t="shared" ref="H69" si="37">G69-H68</f>
        <v>542944.5408656603</v>
      </c>
      <c r="I69" s="259">
        <f t="shared" ref="I69" si="38">H69-I68</f>
        <v>491342.38086061942</v>
      </c>
      <c r="J69" s="259">
        <f t="shared" ref="J69" si="39">I69-J68</f>
        <v>439159.6965555218</v>
      </c>
      <c r="K69" s="259">
        <f t="shared" ref="K69" si="40">J69-K68</f>
        <v>386389.95705199189</v>
      </c>
      <c r="L69" s="259">
        <f t="shared" ref="L69" si="41">K69-L68</f>
        <v>333026.55797904724</v>
      </c>
      <c r="M69" s="259">
        <f t="shared" ref="M69" si="42">L69-M68</f>
        <v>279062.82066653197</v>
      </c>
      <c r="N69" s="259">
        <f t="shared" ref="N69" si="43">M69-N68</f>
        <v>224491.99130925091</v>
      </c>
      <c r="O69" s="259">
        <f t="shared" ref="O69" si="44">N69-O68</f>
        <v>169307.24012170042</v>
      </c>
      <c r="P69" s="259">
        <f t="shared" ref="P69" si="45">O69-P68</f>
        <v>113501.66048329</v>
      </c>
      <c r="Q69" s="259">
        <f t="shared" ref="Q69" si="46">P69-Q68</f>
        <v>57068.268073947453</v>
      </c>
      <c r="R69" s="261">
        <f t="shared" ref="R69" si="47">Q69-R68</f>
        <v>-2.0372681319713593E-10</v>
      </c>
      <c r="S69" s="261"/>
      <c r="T69" s="37"/>
    </row>
    <row r="70" spans="1:20" ht="15" thickTop="1" thickBot="1" x14ac:dyDescent="0.35">
      <c r="A70" s="70"/>
      <c r="B70" s="98"/>
      <c r="C70" s="264"/>
      <c r="D70" s="265"/>
      <c r="E70" s="266"/>
      <c r="F70" s="265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7"/>
      <c r="S70" s="267"/>
      <c r="T70" s="37"/>
    </row>
    <row r="71" spans="1:20" ht="13.8" x14ac:dyDescent="0.3">
      <c r="A71" s="70"/>
      <c r="B71" s="98"/>
      <c r="C71" s="98"/>
      <c r="D71" s="70"/>
      <c r="E71" s="254"/>
      <c r="F71" s="70"/>
      <c r="G71" s="254"/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37"/>
      <c r="S71" s="37"/>
      <c r="T71" s="37"/>
    </row>
    <row r="72" spans="1:20" ht="13.8" x14ac:dyDescent="0.3">
      <c r="A72" s="70"/>
      <c r="B72" s="98"/>
      <c r="C72" s="98"/>
      <c r="D72" s="70"/>
      <c r="E72" s="254"/>
      <c r="F72" s="70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37"/>
      <c r="S72" s="37"/>
      <c r="T72" s="37"/>
    </row>
    <row r="73" spans="1:20" ht="13.8" x14ac:dyDescent="0.3">
      <c r="A73" s="98" t="s">
        <v>243</v>
      </c>
      <c r="B73" s="98"/>
      <c r="C73" s="98"/>
      <c r="D73" s="98"/>
      <c r="E73" s="254"/>
      <c r="F73" s="70"/>
      <c r="G73" s="70"/>
      <c r="H73" s="70"/>
      <c r="I73" s="70"/>
      <c r="J73" s="70"/>
      <c r="K73" s="70"/>
      <c r="L73" s="254"/>
      <c r="M73" s="254"/>
      <c r="N73" s="254"/>
      <c r="O73" s="254"/>
      <c r="P73" s="254"/>
      <c r="Q73" s="254"/>
      <c r="R73" s="37"/>
      <c r="S73" s="37"/>
      <c r="T73" s="37"/>
    </row>
    <row r="74" spans="1:20" ht="14.4" thickBot="1" x14ac:dyDescent="0.35">
      <c r="A74" s="101"/>
      <c r="B74" s="101"/>
      <c r="C74" s="101"/>
      <c r="D74" s="101"/>
      <c r="E74" s="257"/>
      <c r="F74" s="102"/>
      <c r="G74" s="102"/>
      <c r="H74" s="102"/>
      <c r="I74" s="102"/>
      <c r="J74" s="102"/>
      <c r="K74" s="102"/>
      <c r="L74" s="257"/>
      <c r="M74" s="257"/>
      <c r="N74" s="257"/>
      <c r="O74" s="257"/>
      <c r="P74" s="257"/>
      <c r="Q74" s="257"/>
      <c r="R74" s="268"/>
      <c r="S74" s="268"/>
      <c r="T74" s="37"/>
    </row>
    <row r="75" spans="1:20" ht="13.8" x14ac:dyDescent="0.3">
      <c r="A75" s="70"/>
      <c r="B75" s="98"/>
      <c r="C75" s="98"/>
      <c r="D75" s="70"/>
      <c r="E75" s="255"/>
      <c r="F75" s="70"/>
      <c r="G75" s="70"/>
      <c r="H75" s="70"/>
      <c r="I75" s="70"/>
      <c r="J75" s="70"/>
      <c r="K75" s="70"/>
      <c r="L75" s="254"/>
      <c r="M75" s="254"/>
      <c r="N75" s="254"/>
      <c r="O75" s="254"/>
      <c r="P75" s="254"/>
      <c r="Q75" s="254"/>
      <c r="R75" s="37"/>
      <c r="S75" s="37"/>
      <c r="T75" s="37"/>
    </row>
    <row r="76" spans="1:20" ht="13.8" x14ac:dyDescent="0.3">
      <c r="A76" s="70"/>
      <c r="B76" s="98" t="s">
        <v>213</v>
      </c>
      <c r="C76" s="98"/>
      <c r="D76" s="98"/>
      <c r="E76" s="255">
        <f>'4. Financing'!E18</f>
        <v>196148.22983333335</v>
      </c>
      <c r="F76" s="70"/>
      <c r="G76" s="70"/>
      <c r="H76" s="70"/>
      <c r="I76" s="70"/>
      <c r="J76" s="70"/>
      <c r="K76" s="70"/>
      <c r="L76" s="254"/>
      <c r="M76" s="254"/>
      <c r="N76" s="254"/>
      <c r="O76" s="254"/>
      <c r="P76" s="254"/>
      <c r="Q76" s="254"/>
      <c r="R76" s="37"/>
      <c r="S76" s="37"/>
      <c r="T76" s="37"/>
    </row>
    <row r="77" spans="1:20" ht="13.8" x14ac:dyDescent="0.3">
      <c r="A77" s="70"/>
      <c r="B77" s="98" t="s">
        <v>198</v>
      </c>
      <c r="C77" s="98"/>
      <c r="D77" s="98"/>
      <c r="E77" s="255">
        <f>'4. Financing'!$I$18</f>
        <v>39229.645966666671</v>
      </c>
      <c r="F77" s="70"/>
      <c r="G77" s="70"/>
      <c r="H77" s="70"/>
      <c r="I77" s="70"/>
      <c r="J77" s="70"/>
      <c r="K77" s="70"/>
      <c r="L77" s="254"/>
      <c r="M77" s="254"/>
      <c r="N77" s="254"/>
      <c r="O77" s="254"/>
      <c r="P77" s="254"/>
      <c r="Q77" s="254"/>
      <c r="R77" s="37"/>
      <c r="S77" s="37"/>
      <c r="T77" s="37"/>
    </row>
    <row r="78" spans="1:20" ht="13.8" x14ac:dyDescent="0.3">
      <c r="A78" s="70"/>
      <c r="B78" s="98" t="s">
        <v>214</v>
      </c>
      <c r="C78" s="98"/>
      <c r="D78" s="98"/>
      <c r="E78" s="271">
        <f>AVERAGE('4. Financing'!$H$14:$H$17)</f>
        <v>5</v>
      </c>
      <c r="F78" s="70"/>
      <c r="G78" s="70"/>
      <c r="H78" s="70"/>
      <c r="I78" s="70"/>
      <c r="J78" s="70"/>
      <c r="K78" s="70"/>
      <c r="L78" s="254"/>
      <c r="M78" s="254"/>
      <c r="N78" s="254"/>
      <c r="O78" s="254"/>
      <c r="P78" s="254"/>
      <c r="Q78" s="254"/>
      <c r="R78" s="37"/>
      <c r="S78" s="37"/>
      <c r="T78" s="37"/>
    </row>
    <row r="79" spans="1:20" ht="13.8" x14ac:dyDescent="0.3">
      <c r="A79" s="70"/>
      <c r="B79" s="98"/>
      <c r="C79" s="98"/>
      <c r="D79" s="70"/>
      <c r="E79" s="254"/>
      <c r="F79" s="70"/>
      <c r="G79" s="70"/>
      <c r="H79" s="70"/>
      <c r="I79" s="70"/>
      <c r="J79" s="70"/>
      <c r="K79" s="70"/>
      <c r="L79" s="254"/>
      <c r="M79" s="254"/>
      <c r="N79" s="254"/>
      <c r="O79" s="254"/>
      <c r="P79" s="254"/>
      <c r="Q79" s="254"/>
      <c r="R79" s="37"/>
      <c r="S79" s="37"/>
      <c r="T79" s="37"/>
    </row>
    <row r="80" spans="1:20" ht="14.4" thickBot="1" x14ac:dyDescent="0.35">
      <c r="A80" s="70"/>
      <c r="B80" s="98"/>
      <c r="C80" s="98"/>
      <c r="D80" s="70"/>
      <c r="E80" s="70"/>
      <c r="F80" s="70"/>
      <c r="G80" s="256" t="s">
        <v>206</v>
      </c>
      <c r="H80" s="120" t="s">
        <v>207</v>
      </c>
      <c r="I80" s="120" t="s">
        <v>208</v>
      </c>
      <c r="J80" s="120" t="s">
        <v>209</v>
      </c>
      <c r="K80" s="120" t="s">
        <v>210</v>
      </c>
      <c r="L80" s="254"/>
      <c r="M80" s="254"/>
      <c r="N80" s="254"/>
      <c r="O80" s="254"/>
      <c r="P80" s="254"/>
      <c r="Q80" s="254"/>
      <c r="R80" s="37"/>
      <c r="S80" s="37"/>
      <c r="T80" s="37"/>
    </row>
    <row r="81" spans="1:20" ht="13.8" x14ac:dyDescent="0.3">
      <c r="A81" s="70"/>
      <c r="B81" s="98"/>
      <c r="C81" s="98"/>
      <c r="D81" s="70"/>
      <c r="E81" s="70"/>
      <c r="F81" s="70"/>
      <c r="G81" s="254"/>
      <c r="H81" s="70"/>
      <c r="I81" s="70"/>
      <c r="J81" s="70"/>
      <c r="K81" s="70"/>
      <c r="L81" s="254"/>
      <c r="M81" s="254"/>
      <c r="N81" s="254"/>
      <c r="O81" s="254"/>
      <c r="P81" s="254"/>
      <c r="Q81" s="254"/>
      <c r="R81" s="37"/>
      <c r="S81" s="37"/>
      <c r="T81" s="37"/>
    </row>
    <row r="82" spans="1:20" ht="13.8" x14ac:dyDescent="0.3">
      <c r="A82" s="70"/>
      <c r="C82" s="98" t="s">
        <v>216</v>
      </c>
      <c r="D82" s="98"/>
      <c r="E82" s="70"/>
      <c r="F82" s="70"/>
      <c r="G82" s="255">
        <f>E77</f>
        <v>39229.645966666671</v>
      </c>
      <c r="H82" s="255">
        <f>G82</f>
        <v>39229.645966666671</v>
      </c>
      <c r="I82" s="255">
        <f t="shared" ref="I82:K82" si="48">H82</f>
        <v>39229.645966666671</v>
      </c>
      <c r="J82" s="255">
        <f t="shared" si="48"/>
        <v>39229.645966666671</v>
      </c>
      <c r="K82" s="255">
        <f t="shared" si="48"/>
        <v>39229.645966666671</v>
      </c>
      <c r="L82" s="254"/>
      <c r="M82" s="254"/>
      <c r="N82" s="254"/>
      <c r="O82" s="254"/>
      <c r="P82" s="254"/>
      <c r="Q82" s="254"/>
      <c r="R82" s="37"/>
      <c r="S82" s="37"/>
      <c r="T82" s="37"/>
    </row>
    <row r="83" spans="1:20" ht="14.4" thickBot="1" x14ac:dyDescent="0.35">
      <c r="A83" s="70"/>
      <c r="C83" s="109" t="s">
        <v>215</v>
      </c>
      <c r="D83" s="109"/>
      <c r="E83" s="110"/>
      <c r="F83" s="110"/>
      <c r="G83" s="260">
        <f>E76-E77</f>
        <v>156918.58386666668</v>
      </c>
      <c r="H83" s="260">
        <f>G83-G82</f>
        <v>117688.93790000002</v>
      </c>
      <c r="I83" s="260">
        <f t="shared" ref="I83:K83" si="49">H83-H82</f>
        <v>78459.291933333356</v>
      </c>
      <c r="J83" s="260">
        <f t="shared" si="49"/>
        <v>39229.645966666685</v>
      </c>
      <c r="K83" s="260">
        <f t="shared" si="49"/>
        <v>0</v>
      </c>
      <c r="L83" s="254"/>
      <c r="M83" s="254"/>
      <c r="N83" s="254"/>
      <c r="O83" s="254"/>
      <c r="P83" s="254"/>
      <c r="Q83" s="254"/>
      <c r="R83" s="37"/>
      <c r="S83" s="37"/>
      <c r="T83" s="37"/>
    </row>
    <row r="84" spans="1:20" ht="15" thickTop="1" thickBot="1" x14ac:dyDescent="0.35">
      <c r="A84" s="70"/>
      <c r="B84" s="98"/>
      <c r="C84" s="264"/>
      <c r="D84" s="265"/>
      <c r="E84" s="266"/>
      <c r="F84" s="102"/>
      <c r="G84" s="257"/>
      <c r="H84" s="257"/>
      <c r="I84" s="257"/>
      <c r="J84" s="257"/>
      <c r="K84" s="257"/>
      <c r="L84" s="257"/>
      <c r="M84" s="257"/>
      <c r="N84" s="257"/>
      <c r="O84" s="257"/>
      <c r="P84" s="257"/>
      <c r="Q84" s="257"/>
      <c r="R84" s="268"/>
      <c r="S84" s="268"/>
      <c r="T84" s="37"/>
    </row>
    <row r="85" spans="1:20" ht="13.8" x14ac:dyDescent="0.3">
      <c r="A85" s="70"/>
      <c r="B85" s="98"/>
      <c r="C85" s="98"/>
      <c r="D85" s="70"/>
      <c r="E85" s="254"/>
      <c r="F85" s="70"/>
      <c r="G85" s="254"/>
      <c r="H85" s="254"/>
      <c r="I85" s="254"/>
      <c r="J85" s="254"/>
      <c r="K85" s="254"/>
      <c r="L85" s="254"/>
      <c r="M85" s="254"/>
      <c r="N85" s="254"/>
      <c r="O85" s="254"/>
      <c r="P85" s="254"/>
      <c r="Q85" s="254"/>
      <c r="R85" s="37"/>
      <c r="S85" s="37"/>
      <c r="T85" s="37"/>
    </row>
    <row r="86" spans="1:20" ht="13.8" x14ac:dyDescent="0.3">
      <c r="A86" s="70"/>
      <c r="B86" s="98"/>
      <c r="C86" s="98"/>
      <c r="D86" s="70"/>
      <c r="E86" s="254"/>
      <c r="F86" s="70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37"/>
      <c r="S86" s="37"/>
      <c r="T86" s="37"/>
    </row>
    <row r="87" spans="1:20" ht="13.8" x14ac:dyDescent="0.3">
      <c r="A87" s="98" t="s">
        <v>238</v>
      </c>
      <c r="B87" s="98"/>
      <c r="C87" s="98"/>
      <c r="D87" s="70"/>
      <c r="E87" s="254"/>
      <c r="F87" s="70"/>
      <c r="G87" s="254"/>
      <c r="H87" s="254"/>
      <c r="I87" s="254"/>
      <c r="J87" s="254"/>
      <c r="K87" s="254"/>
      <c r="L87" s="254"/>
      <c r="M87" s="254"/>
      <c r="N87" s="254"/>
      <c r="O87" s="254"/>
      <c r="P87" s="254"/>
      <c r="Q87" s="254"/>
      <c r="R87" s="37"/>
      <c r="S87" s="37"/>
      <c r="T87" s="37"/>
    </row>
    <row r="88" spans="1:20" ht="14.4" thickBot="1" x14ac:dyDescent="0.35">
      <c r="A88" s="154"/>
      <c r="B88" s="101"/>
      <c r="C88" s="101"/>
      <c r="D88" s="101"/>
      <c r="E88" s="257"/>
      <c r="F88" s="102"/>
      <c r="G88" s="102"/>
      <c r="H88" s="102"/>
      <c r="I88" s="102"/>
      <c r="J88" s="102"/>
      <c r="K88" s="102"/>
      <c r="L88" s="257"/>
      <c r="M88" s="257"/>
      <c r="N88" s="257"/>
      <c r="O88" s="257"/>
      <c r="P88" s="257"/>
      <c r="Q88" s="257"/>
      <c r="R88" s="268"/>
      <c r="S88" s="268"/>
      <c r="T88" s="37"/>
    </row>
    <row r="89" spans="1:20" ht="13.8" x14ac:dyDescent="0.3">
      <c r="A89" s="70"/>
      <c r="B89" s="98"/>
      <c r="C89" s="98"/>
      <c r="D89" s="70"/>
      <c r="E89" s="255"/>
      <c r="F89" s="70"/>
      <c r="G89" s="70"/>
      <c r="H89" s="70"/>
      <c r="I89" s="70"/>
      <c r="J89" s="70"/>
      <c r="K89" s="70"/>
      <c r="L89" s="254"/>
      <c r="M89" s="254"/>
      <c r="N89" s="254"/>
      <c r="O89" s="254"/>
      <c r="P89" s="254"/>
      <c r="Q89" s="254"/>
      <c r="R89" s="37"/>
      <c r="S89" s="37"/>
      <c r="T89" s="37"/>
    </row>
    <row r="90" spans="1:20" ht="13.8" x14ac:dyDescent="0.3">
      <c r="A90" s="70"/>
      <c r="B90" s="98" t="s">
        <v>213</v>
      </c>
      <c r="C90" s="98"/>
      <c r="D90" s="98"/>
      <c r="E90" s="255">
        <f>'4. Financing'!$E$11</f>
        <v>4819990.17</v>
      </c>
      <c r="F90" s="70"/>
      <c r="G90" s="70"/>
      <c r="H90" s="70"/>
      <c r="I90" s="70"/>
      <c r="J90" s="70"/>
      <c r="K90" s="70"/>
      <c r="L90" s="254"/>
      <c r="M90" s="254"/>
      <c r="N90" s="254"/>
      <c r="O90" s="254"/>
      <c r="P90" s="254"/>
      <c r="Q90" s="254"/>
      <c r="R90" s="37"/>
      <c r="S90" s="37"/>
      <c r="T90" s="37"/>
    </row>
    <row r="91" spans="1:20" ht="13.8" x14ac:dyDescent="0.3">
      <c r="A91" s="70"/>
      <c r="B91" s="98" t="s">
        <v>195</v>
      </c>
      <c r="C91" s="98"/>
      <c r="D91" s="98"/>
      <c r="E91" s="255">
        <f>'4. Financing'!$I$11</f>
        <v>791104.73199999996</v>
      </c>
      <c r="F91" s="70"/>
      <c r="G91" s="70"/>
      <c r="H91" s="70"/>
      <c r="I91" s="70"/>
      <c r="J91" s="70"/>
      <c r="K91" s="70"/>
      <c r="L91" s="254"/>
      <c r="M91" s="254"/>
      <c r="N91" s="254"/>
      <c r="O91" s="254"/>
      <c r="P91" s="254"/>
      <c r="Q91" s="254"/>
      <c r="R91" s="37"/>
      <c r="S91" s="37"/>
      <c r="T91" s="37"/>
    </row>
    <row r="92" spans="1:20" ht="13.8" x14ac:dyDescent="0.3">
      <c r="A92" s="70"/>
      <c r="B92" s="98" t="s">
        <v>214</v>
      </c>
      <c r="C92" s="98"/>
      <c r="D92" s="98"/>
      <c r="E92" s="70">
        <f>AVERAGE('4. Financing'!$H$6:$H$10)</f>
        <v>5</v>
      </c>
      <c r="F92" s="70"/>
      <c r="G92" s="70"/>
      <c r="H92" s="70"/>
      <c r="I92" s="70"/>
      <c r="J92" s="70"/>
      <c r="K92" s="70"/>
      <c r="L92" s="254"/>
      <c r="M92" s="254"/>
      <c r="N92" s="254"/>
      <c r="O92" s="254"/>
      <c r="P92" s="254"/>
      <c r="Q92" s="254"/>
      <c r="R92" s="37"/>
      <c r="S92" s="37"/>
      <c r="T92" s="37"/>
    </row>
    <row r="93" spans="1:20" ht="14.4" thickBot="1" x14ac:dyDescent="0.35">
      <c r="A93" s="70"/>
      <c r="B93" s="98"/>
      <c r="C93" s="98"/>
      <c r="D93" s="70"/>
      <c r="E93" s="70"/>
      <c r="F93" s="70"/>
      <c r="G93" s="256" t="s">
        <v>206</v>
      </c>
      <c r="H93" s="120" t="s">
        <v>207</v>
      </c>
      <c r="I93" s="120" t="s">
        <v>208</v>
      </c>
      <c r="J93" s="120" t="s">
        <v>209</v>
      </c>
      <c r="K93" s="120" t="s">
        <v>210</v>
      </c>
      <c r="L93" s="254"/>
      <c r="M93" s="254"/>
      <c r="N93" s="254"/>
      <c r="O93" s="254"/>
      <c r="P93" s="254"/>
      <c r="Q93" s="254"/>
      <c r="R93" s="37"/>
      <c r="S93" s="37"/>
      <c r="T93" s="37"/>
    </row>
    <row r="94" spans="1:20" ht="13.8" x14ac:dyDescent="0.3">
      <c r="A94" s="70"/>
      <c r="B94" s="98"/>
      <c r="C94" s="98"/>
      <c r="D94" s="70"/>
      <c r="E94" s="70"/>
      <c r="F94" s="70"/>
      <c r="G94" s="254"/>
      <c r="H94" s="70"/>
      <c r="I94" s="70"/>
      <c r="J94" s="70"/>
      <c r="K94" s="70"/>
      <c r="L94" s="254"/>
      <c r="M94" s="254"/>
      <c r="N94" s="254"/>
      <c r="O94" s="254"/>
      <c r="P94" s="254"/>
      <c r="Q94" s="254"/>
      <c r="R94" s="37"/>
      <c r="S94" s="37"/>
      <c r="T94" s="37"/>
    </row>
    <row r="95" spans="1:20" ht="13.8" x14ac:dyDescent="0.3">
      <c r="A95" s="70"/>
      <c r="C95" s="98" t="s">
        <v>2</v>
      </c>
      <c r="D95" s="98"/>
      <c r="F95" s="70"/>
      <c r="G95" s="255">
        <f>E91</f>
        <v>791104.73199999996</v>
      </c>
      <c r="H95" s="255">
        <f>G95</f>
        <v>791104.73199999996</v>
      </c>
      <c r="I95" s="255">
        <f t="shared" ref="I95:K95" si="50">H95</f>
        <v>791104.73199999996</v>
      </c>
      <c r="J95" s="255">
        <f t="shared" si="50"/>
        <v>791104.73199999996</v>
      </c>
      <c r="K95" s="255">
        <f t="shared" si="50"/>
        <v>791104.73199999996</v>
      </c>
      <c r="L95" s="254"/>
      <c r="M95" s="254"/>
      <c r="N95" s="254"/>
      <c r="O95" s="254"/>
      <c r="P95" s="254"/>
      <c r="Q95" s="254"/>
      <c r="R95" s="37"/>
      <c r="S95" s="37"/>
      <c r="T95" s="37"/>
    </row>
    <row r="96" spans="1:20" ht="14.4" thickBot="1" x14ac:dyDescent="0.35">
      <c r="A96" s="70"/>
      <c r="C96" s="109" t="s">
        <v>215</v>
      </c>
      <c r="D96" s="109"/>
      <c r="E96" s="269"/>
      <c r="F96" s="110"/>
      <c r="G96" s="260">
        <f>E90-E91</f>
        <v>4028885.4380000001</v>
      </c>
      <c r="H96" s="260">
        <f>G96-G95</f>
        <v>3237780.7060000002</v>
      </c>
      <c r="I96" s="260">
        <f t="shared" ref="I96:K96" si="51">H96-H95</f>
        <v>2446675.9740000004</v>
      </c>
      <c r="J96" s="260">
        <f t="shared" si="51"/>
        <v>1655571.2420000006</v>
      </c>
      <c r="K96" s="260">
        <f t="shared" si="51"/>
        <v>864466.51000000059</v>
      </c>
      <c r="L96" s="254"/>
      <c r="M96" s="254"/>
      <c r="N96" s="254"/>
      <c r="O96" s="254"/>
      <c r="P96" s="254"/>
      <c r="Q96" s="254"/>
      <c r="R96" s="37"/>
      <c r="S96" s="37"/>
      <c r="T96" s="37"/>
    </row>
    <row r="97" spans="1:20" ht="15" thickTop="1" thickBot="1" x14ac:dyDescent="0.35">
      <c r="A97" s="70"/>
      <c r="B97" s="98"/>
      <c r="C97" s="265"/>
      <c r="D97" s="102"/>
      <c r="E97" s="270"/>
      <c r="F97" s="102"/>
      <c r="G97" s="102"/>
      <c r="H97" s="102"/>
      <c r="I97" s="102"/>
      <c r="J97" s="102"/>
      <c r="K97" s="102"/>
      <c r="L97" s="257"/>
      <c r="M97" s="257"/>
      <c r="N97" s="257"/>
      <c r="O97" s="257"/>
      <c r="P97" s="257"/>
      <c r="Q97" s="257"/>
      <c r="R97" s="268"/>
      <c r="S97" s="268"/>
      <c r="T97" s="37"/>
    </row>
    <row r="98" spans="1:20" ht="13.8" x14ac:dyDescent="0.3">
      <c r="A98" s="70"/>
      <c r="B98" s="98"/>
      <c r="C98" s="98"/>
      <c r="D98" s="70"/>
      <c r="E98" s="254"/>
      <c r="F98" s="70"/>
      <c r="G98" s="254"/>
      <c r="H98" s="254"/>
      <c r="I98" s="254"/>
      <c r="J98" s="254"/>
      <c r="K98" s="254"/>
      <c r="L98" s="254"/>
      <c r="M98" s="254"/>
      <c r="N98" s="254"/>
      <c r="O98" s="254"/>
      <c r="P98" s="254"/>
      <c r="Q98" s="254"/>
      <c r="R98" s="37"/>
      <c r="S98" s="37"/>
      <c r="T98" s="37"/>
    </row>
    <row r="99" spans="1:20" ht="13.8" x14ac:dyDescent="0.3">
      <c r="A99" s="70"/>
      <c r="B99" s="98"/>
      <c r="C99" s="98"/>
      <c r="D99" s="70"/>
      <c r="E99" s="254"/>
      <c r="F99" s="70"/>
      <c r="G99" s="254"/>
      <c r="H99" s="254"/>
      <c r="I99" s="254"/>
      <c r="J99" s="254"/>
      <c r="K99" s="254"/>
      <c r="L99" s="254"/>
      <c r="M99" s="254"/>
      <c r="N99" s="254"/>
      <c r="O99" s="254"/>
      <c r="P99" s="254"/>
      <c r="Q99" s="254"/>
      <c r="R99" s="37"/>
      <c r="S99" s="37"/>
      <c r="T99" s="37"/>
    </row>
    <row r="100" spans="1:20" ht="14.4" thickBot="1" x14ac:dyDescent="0.35">
      <c r="A100" s="101" t="s">
        <v>239</v>
      </c>
      <c r="B100" s="101"/>
      <c r="C100" s="101"/>
      <c r="D100" s="102"/>
      <c r="E100" s="257"/>
      <c r="F100" s="102"/>
      <c r="G100" s="257"/>
      <c r="H100" s="257"/>
      <c r="I100" s="257"/>
      <c r="J100" s="257"/>
      <c r="K100" s="257"/>
      <c r="L100" s="257"/>
      <c r="M100" s="257"/>
      <c r="N100" s="257"/>
      <c r="O100" s="257"/>
      <c r="P100" s="257"/>
      <c r="Q100" s="257"/>
      <c r="R100" s="258"/>
      <c r="S100" s="258"/>
      <c r="T100" s="37"/>
    </row>
    <row r="101" spans="1:20" ht="13.8" x14ac:dyDescent="0.3">
      <c r="A101" s="98"/>
      <c r="B101" s="98"/>
      <c r="C101" s="98"/>
      <c r="D101" s="70"/>
      <c r="E101" s="254"/>
      <c r="F101" s="70"/>
      <c r="G101" s="254"/>
      <c r="H101" s="254"/>
      <c r="I101" s="254"/>
      <c r="J101" s="254"/>
      <c r="K101" s="254"/>
      <c r="L101" s="254"/>
      <c r="M101" s="254"/>
      <c r="N101" s="254"/>
      <c r="O101" s="254"/>
      <c r="P101" s="254"/>
      <c r="Q101" s="254"/>
      <c r="R101" s="36"/>
      <c r="S101" s="36"/>
      <c r="T101" s="37"/>
    </row>
    <row r="102" spans="1:20" ht="13.8" x14ac:dyDescent="0.3">
      <c r="A102" s="70"/>
      <c r="B102" s="98" t="s">
        <v>22</v>
      </c>
      <c r="C102" s="98"/>
      <c r="D102" s="70"/>
      <c r="E102" s="253">
        <f>'4. Financing'!G28</f>
        <v>0</v>
      </c>
      <c r="F102" s="70"/>
      <c r="G102" s="254"/>
      <c r="H102" s="254"/>
      <c r="I102" s="254"/>
      <c r="J102" s="254"/>
      <c r="K102" s="254"/>
      <c r="L102" s="254"/>
      <c r="M102" s="254"/>
      <c r="N102" s="254"/>
      <c r="O102" s="254"/>
      <c r="P102" s="254"/>
      <c r="Q102" s="254"/>
      <c r="R102" s="36"/>
      <c r="S102" s="36"/>
      <c r="T102" s="37"/>
    </row>
    <row r="103" spans="1:20" ht="13.8" x14ac:dyDescent="0.3">
      <c r="A103" s="70"/>
      <c r="B103" s="98" t="s">
        <v>23</v>
      </c>
      <c r="C103" s="98"/>
      <c r="D103" s="70"/>
      <c r="E103" s="200">
        <f>'4. Financing'!H28</f>
        <v>0.13500000000000001</v>
      </c>
      <c r="F103" s="70"/>
      <c r="G103" s="254"/>
      <c r="H103" s="254"/>
      <c r="I103" s="254"/>
      <c r="J103" s="254"/>
      <c r="K103" s="254"/>
      <c r="L103" s="254"/>
      <c r="M103" s="254"/>
      <c r="N103" s="254"/>
      <c r="O103" s="254"/>
      <c r="P103" s="254"/>
      <c r="Q103" s="254"/>
      <c r="R103" s="36"/>
      <c r="S103" s="36"/>
      <c r="T103" s="37"/>
    </row>
    <row r="104" spans="1:20" ht="13.8" x14ac:dyDescent="0.3">
      <c r="A104" s="70"/>
      <c r="B104" s="98" t="s">
        <v>24</v>
      </c>
      <c r="C104" s="98"/>
      <c r="D104" s="70"/>
      <c r="E104" s="139">
        <f>'4. Financing'!I28</f>
        <v>240</v>
      </c>
      <c r="F104" s="70"/>
      <c r="G104" s="254"/>
      <c r="H104" s="254"/>
      <c r="I104" s="254"/>
      <c r="J104" s="254"/>
      <c r="K104" s="254"/>
      <c r="L104" s="254"/>
      <c r="M104" s="254"/>
      <c r="N104" s="254"/>
      <c r="O104" s="254"/>
      <c r="P104" s="254"/>
      <c r="Q104" s="254"/>
      <c r="R104" s="36"/>
      <c r="S104" s="36"/>
      <c r="T104" s="37"/>
    </row>
    <row r="105" spans="1:20" ht="13.8" x14ac:dyDescent="0.3">
      <c r="A105" s="70"/>
      <c r="B105" s="98" t="s">
        <v>241</v>
      </c>
      <c r="C105" s="98"/>
      <c r="D105" s="70"/>
      <c r="E105" s="254">
        <f>ABS(PMT(E103/12,E104,E102))</f>
        <v>0</v>
      </c>
      <c r="F105" s="70"/>
      <c r="G105" s="254"/>
      <c r="H105" s="254"/>
      <c r="I105" s="254"/>
      <c r="J105" s="254"/>
      <c r="K105" s="254"/>
      <c r="L105" s="254"/>
      <c r="M105" s="254"/>
      <c r="N105" s="254"/>
      <c r="O105" s="254"/>
      <c r="P105" s="254"/>
      <c r="Q105" s="254"/>
      <c r="R105" s="36"/>
      <c r="S105" s="36"/>
      <c r="T105" s="37"/>
    </row>
    <row r="106" spans="1:20" ht="14.4" thickBot="1" x14ac:dyDescent="0.35">
      <c r="A106" s="70"/>
      <c r="B106" s="98"/>
      <c r="C106" s="98"/>
      <c r="D106" s="70"/>
      <c r="E106" s="254"/>
      <c r="F106" s="70"/>
      <c r="G106" s="120" t="s">
        <v>84</v>
      </c>
      <c r="H106" s="120" t="s">
        <v>85</v>
      </c>
      <c r="I106" s="120" t="s">
        <v>86</v>
      </c>
      <c r="J106" s="120" t="s">
        <v>217</v>
      </c>
      <c r="K106" s="120" t="s">
        <v>76</v>
      </c>
      <c r="L106" s="120" t="s">
        <v>77</v>
      </c>
      <c r="M106" s="120" t="s">
        <v>78</v>
      </c>
      <c r="N106" s="120" t="s">
        <v>79</v>
      </c>
      <c r="O106" s="120" t="s">
        <v>80</v>
      </c>
      <c r="P106" s="120" t="s">
        <v>81</v>
      </c>
      <c r="Q106" s="120" t="s">
        <v>82</v>
      </c>
      <c r="R106" s="189" t="s">
        <v>83</v>
      </c>
      <c r="S106" s="189" t="s">
        <v>1</v>
      </c>
      <c r="T106" s="37"/>
    </row>
    <row r="107" spans="1:20" ht="13.8" x14ac:dyDescent="0.3">
      <c r="A107" s="70"/>
      <c r="B107" s="98" t="s">
        <v>16</v>
      </c>
      <c r="C107" s="98"/>
      <c r="D107" s="70"/>
      <c r="E107" s="254"/>
      <c r="F107" s="70"/>
      <c r="G107" s="254"/>
      <c r="H107" s="254"/>
      <c r="I107" s="254"/>
      <c r="J107" s="254"/>
      <c r="K107" s="254"/>
      <c r="L107" s="254"/>
      <c r="M107" s="254"/>
      <c r="N107" s="254"/>
      <c r="O107" s="254"/>
      <c r="P107" s="254"/>
      <c r="Q107" s="254"/>
      <c r="R107" s="36"/>
      <c r="S107" s="36"/>
      <c r="T107" s="37"/>
    </row>
    <row r="108" spans="1:20" ht="13.8" x14ac:dyDescent="0.3">
      <c r="A108" s="70"/>
      <c r="B108" s="98"/>
      <c r="C108" s="98" t="s">
        <v>20</v>
      </c>
      <c r="D108" s="70"/>
      <c r="E108" s="254"/>
      <c r="F108" s="70"/>
      <c r="G108" s="255">
        <f>ABS(IPMT($E$103/12,1,$E$104,$E$102))</f>
        <v>0</v>
      </c>
      <c r="H108" s="255">
        <f>ABS(IPMT($E$103/12,2,$E$104,$E$102))</f>
        <v>0</v>
      </c>
      <c r="I108" s="255">
        <f>ABS(IPMT($E$103/12,3,$E$104,$E$102))</f>
        <v>0</v>
      </c>
      <c r="J108" s="255">
        <f>ABS(IPMT($E$103/12,4,$E$104,$E$102))</f>
        <v>0</v>
      </c>
      <c r="K108" s="255">
        <f>ABS(IPMT($E$103/12,5,$E$104,$E$102))</f>
        <v>0</v>
      </c>
      <c r="L108" s="255">
        <f>ABS(IPMT($E$103/12,6,$E$104,$E$102))</f>
        <v>0</v>
      </c>
      <c r="M108" s="255">
        <f>ABS(IPMT($E$103/12,7,$E$104,$E$102))</f>
        <v>0</v>
      </c>
      <c r="N108" s="255">
        <f>ABS(IPMT($E$103/12,8,$E$104,$E$102))</f>
        <v>0</v>
      </c>
      <c r="O108" s="255">
        <f>ABS(IPMT($E$103/12,9,$E$104,$E$102))</f>
        <v>0</v>
      </c>
      <c r="P108" s="255">
        <f>ABS(IPMT($E$103/12,10,$E$104,$E$102))</f>
        <v>0</v>
      </c>
      <c r="Q108" s="255">
        <f>ABS(IPMT($E$103/12,11,$E$104,$E$102))</f>
        <v>0</v>
      </c>
      <c r="R108" s="41">
        <f>ABS(IPMT($E$103/12,12,$E$104,$E$102))</f>
        <v>0</v>
      </c>
      <c r="S108" s="41">
        <f>SUM(G108:R108)</f>
        <v>0</v>
      </c>
      <c r="T108" s="37"/>
    </row>
    <row r="109" spans="1:20" ht="13.8" x14ac:dyDescent="0.3">
      <c r="A109" s="70"/>
      <c r="B109" s="98"/>
      <c r="C109" s="98" t="s">
        <v>25</v>
      </c>
      <c r="D109" s="70"/>
      <c r="E109" s="254"/>
      <c r="F109" s="70"/>
      <c r="G109" s="255">
        <f>ABS(PPMT($E$103/12,1,$E$104,$E$102))</f>
        <v>0</v>
      </c>
      <c r="H109" s="255">
        <f>ABS(PPMT($E$103/12,2,$E$104,$E$102))</f>
        <v>0</v>
      </c>
      <c r="I109" s="255">
        <f>ABS(PPMT($E$103/12,3,$E$104,$E$102))</f>
        <v>0</v>
      </c>
      <c r="J109" s="255">
        <f>ABS(PPMT($E$103/12,4,$E$104,$E$102))</f>
        <v>0</v>
      </c>
      <c r="K109" s="255">
        <f>ABS(PPMT($E$103/12,5,$E$104,$E$102))</f>
        <v>0</v>
      </c>
      <c r="L109" s="255">
        <f>ABS(PPMT($E$103/12,6,$E$104,$E$102))</f>
        <v>0</v>
      </c>
      <c r="M109" s="255">
        <f>ABS(PPMT($E$103/12,7,$E$104,$E$102))</f>
        <v>0</v>
      </c>
      <c r="N109" s="255">
        <f>ABS(PPMT($E$103/12,8,$E$104,$E$102))</f>
        <v>0</v>
      </c>
      <c r="O109" s="255">
        <f>ABS(PPMT($E$103/12,9,$E$104,$E$102))</f>
        <v>0</v>
      </c>
      <c r="P109" s="255">
        <f>ABS(PPMT($E$103/12,10,$E$104,$E$102))</f>
        <v>0</v>
      </c>
      <c r="Q109" s="255">
        <f>ABS(PPMT($E$103/12,11,$E$104,$E$102))</f>
        <v>0</v>
      </c>
      <c r="R109" s="41">
        <f>ABS(PPMT($E$103/12,12,$E$104,$E$102))</f>
        <v>0</v>
      </c>
      <c r="S109" s="41">
        <f>SUM(G109:R109)</f>
        <v>0</v>
      </c>
      <c r="T109" s="37"/>
    </row>
    <row r="110" spans="1:20" ht="14.4" thickBot="1" x14ac:dyDescent="0.35">
      <c r="A110" s="70"/>
      <c r="B110" s="98"/>
      <c r="C110" s="109" t="s">
        <v>27</v>
      </c>
      <c r="D110" s="110"/>
      <c r="E110" s="259"/>
      <c r="F110" s="110"/>
      <c r="G110" s="260">
        <f>E102-G109</f>
        <v>0</v>
      </c>
      <c r="H110" s="259">
        <f>G110-H109</f>
        <v>0</v>
      </c>
      <c r="I110" s="259">
        <f t="shared" ref="I110:R110" si="52">H110-I109</f>
        <v>0</v>
      </c>
      <c r="J110" s="259">
        <f t="shared" si="52"/>
        <v>0</v>
      </c>
      <c r="K110" s="259">
        <f t="shared" si="52"/>
        <v>0</v>
      </c>
      <c r="L110" s="259">
        <f t="shared" si="52"/>
        <v>0</v>
      </c>
      <c r="M110" s="259">
        <f t="shared" si="52"/>
        <v>0</v>
      </c>
      <c r="N110" s="259">
        <f t="shared" si="52"/>
        <v>0</v>
      </c>
      <c r="O110" s="259">
        <f t="shared" si="52"/>
        <v>0</v>
      </c>
      <c r="P110" s="259">
        <f t="shared" si="52"/>
        <v>0</v>
      </c>
      <c r="Q110" s="259">
        <f t="shared" si="52"/>
        <v>0</v>
      </c>
      <c r="R110" s="261">
        <f t="shared" si="52"/>
        <v>0</v>
      </c>
      <c r="S110" s="261"/>
      <c r="T110" s="37"/>
    </row>
    <row r="111" spans="1:20" ht="14.4" thickTop="1" x14ac:dyDescent="0.3">
      <c r="A111" s="70"/>
      <c r="B111" s="98" t="s">
        <v>19</v>
      </c>
      <c r="C111" s="98"/>
      <c r="D111" s="70"/>
      <c r="E111" s="254"/>
      <c r="F111" s="70"/>
      <c r="G111" s="254"/>
      <c r="H111" s="254"/>
      <c r="I111" s="254"/>
      <c r="J111" s="254"/>
      <c r="K111" s="254"/>
      <c r="L111" s="254"/>
      <c r="M111" s="254"/>
      <c r="N111" s="254"/>
      <c r="O111" s="254"/>
      <c r="P111" s="254"/>
      <c r="Q111" s="254"/>
      <c r="R111" s="36"/>
      <c r="S111" s="36"/>
      <c r="T111" s="37"/>
    </row>
    <row r="112" spans="1:20" ht="13.8" x14ac:dyDescent="0.3">
      <c r="A112" s="70"/>
      <c r="B112" s="98"/>
      <c r="C112" s="98" t="s">
        <v>20</v>
      </c>
      <c r="D112" s="70"/>
      <c r="E112" s="254"/>
      <c r="F112" s="70"/>
      <c r="G112" s="255">
        <f>ABS(IPMT($E$103/12,13,$E$104,$E$102))</f>
        <v>0</v>
      </c>
      <c r="H112" s="255">
        <f>ABS(IPMT($E$103/12,14,$E$104,$E$102))</f>
        <v>0</v>
      </c>
      <c r="I112" s="255">
        <f>ABS(IPMT($E$103/12,15,$E$104,$E$102))</f>
        <v>0</v>
      </c>
      <c r="J112" s="255">
        <f>ABS(IPMT($E$103/12,16,$E$104,$E$102))</f>
        <v>0</v>
      </c>
      <c r="K112" s="255">
        <f>ABS(IPMT($E$103/12,17,$E$104,$E$102))</f>
        <v>0</v>
      </c>
      <c r="L112" s="255">
        <f>ABS(IPMT($E$103/12,18,$E$104,$E$102))</f>
        <v>0</v>
      </c>
      <c r="M112" s="255">
        <f>ABS(IPMT($E$103/12,19,$E$104,$E$102))</f>
        <v>0</v>
      </c>
      <c r="N112" s="255">
        <f>ABS(IPMT($E$103/12,20,$E$104,$E$102))</f>
        <v>0</v>
      </c>
      <c r="O112" s="255">
        <f>ABS(IPMT($E$103/12,21,$E$104,$E$102))</f>
        <v>0</v>
      </c>
      <c r="P112" s="255">
        <f>ABS(IPMT($E$103/12,22,$E$104,$E$102))</f>
        <v>0</v>
      </c>
      <c r="Q112" s="255">
        <f>ABS(IPMT($E$103/12,23,$E$104,$E$102))</f>
        <v>0</v>
      </c>
      <c r="R112" s="41">
        <f>ABS(IPMT($E$103/12,24,$E$104,$E$102))</f>
        <v>0</v>
      </c>
      <c r="S112" s="41">
        <f>SUM(G112:R112)</f>
        <v>0</v>
      </c>
      <c r="T112" s="37"/>
    </row>
    <row r="113" spans="1:20" ht="13.8" x14ac:dyDescent="0.3">
      <c r="A113" s="70"/>
      <c r="B113" s="98"/>
      <c r="C113" s="98" t="s">
        <v>25</v>
      </c>
      <c r="D113" s="70"/>
      <c r="E113" s="254"/>
      <c r="F113" s="70"/>
      <c r="G113" s="255">
        <f>ABS(PPMT($E$103/12,13,$E$104,$E$102))</f>
        <v>0</v>
      </c>
      <c r="H113" s="255">
        <f>ABS(PPMT($E$103/12,14,$E$104,$E$102))</f>
        <v>0</v>
      </c>
      <c r="I113" s="255">
        <f>ABS(PPMT($E$103/12,15,$E$104,$E$102))</f>
        <v>0</v>
      </c>
      <c r="J113" s="255">
        <f>ABS(PPMT($E$103/12,16,$E$104,$E$102))</f>
        <v>0</v>
      </c>
      <c r="K113" s="255">
        <f>ABS(PPMT($E$103/12,17,$E$104,$E$102))</f>
        <v>0</v>
      </c>
      <c r="L113" s="255">
        <f>ABS(PPMT($E$103/12,18,$E$104,$E$102))</f>
        <v>0</v>
      </c>
      <c r="M113" s="255">
        <f>ABS(PPMT($E$103/12,19,$E$104,$E$102))</f>
        <v>0</v>
      </c>
      <c r="N113" s="255">
        <f>ABS(PPMT($E$103/12,20,$E$104,$E$102))</f>
        <v>0</v>
      </c>
      <c r="O113" s="255">
        <f>ABS(PPMT($E$103/12,21,$E$104,$E$102))</f>
        <v>0</v>
      </c>
      <c r="P113" s="255">
        <f>ABS(PPMT($E$103/12,22,$E$104,$E$102))</f>
        <v>0</v>
      </c>
      <c r="Q113" s="255">
        <f>ABS(PPMT($E$103/12,23,$E$104,$E$102))</f>
        <v>0</v>
      </c>
      <c r="R113" s="41">
        <f>ABS(PPMT($E$103/12,24,$E$104,$E$102))</f>
        <v>0</v>
      </c>
      <c r="S113" s="41">
        <f>SUM(G113:R113)</f>
        <v>0</v>
      </c>
      <c r="T113" s="37"/>
    </row>
    <row r="114" spans="1:20" ht="14.4" thickBot="1" x14ac:dyDescent="0.35">
      <c r="A114" s="70"/>
      <c r="B114" s="98"/>
      <c r="C114" s="109" t="s">
        <v>27</v>
      </c>
      <c r="D114" s="110"/>
      <c r="E114" s="259"/>
      <c r="F114" s="110"/>
      <c r="G114" s="262">
        <f>R110-G113</f>
        <v>0</v>
      </c>
      <c r="H114" s="262">
        <f>G114-H113</f>
        <v>0</v>
      </c>
      <c r="I114" s="262">
        <f t="shared" ref="I114:R114" si="53">H114-I113</f>
        <v>0</v>
      </c>
      <c r="J114" s="262">
        <f t="shared" si="53"/>
        <v>0</v>
      </c>
      <c r="K114" s="262">
        <f t="shared" si="53"/>
        <v>0</v>
      </c>
      <c r="L114" s="262">
        <f t="shared" si="53"/>
        <v>0</v>
      </c>
      <c r="M114" s="262">
        <f t="shared" si="53"/>
        <v>0</v>
      </c>
      <c r="N114" s="262">
        <f t="shared" si="53"/>
        <v>0</v>
      </c>
      <c r="O114" s="262">
        <f t="shared" si="53"/>
        <v>0</v>
      </c>
      <c r="P114" s="262">
        <f t="shared" si="53"/>
        <v>0</v>
      </c>
      <c r="Q114" s="262">
        <f t="shared" si="53"/>
        <v>0</v>
      </c>
      <c r="R114" s="263">
        <f t="shared" si="53"/>
        <v>0</v>
      </c>
      <c r="S114" s="263"/>
      <c r="T114" s="37"/>
    </row>
    <row r="115" spans="1:20" ht="14.4" thickTop="1" x14ac:dyDescent="0.3">
      <c r="A115" s="70"/>
      <c r="B115" s="98" t="s">
        <v>17</v>
      </c>
      <c r="C115" s="98"/>
      <c r="D115" s="70"/>
      <c r="E115" s="254"/>
      <c r="F115" s="70"/>
      <c r="G115" s="254"/>
      <c r="H115" s="254"/>
      <c r="I115" s="254"/>
      <c r="J115" s="254"/>
      <c r="K115" s="254"/>
      <c r="L115" s="254"/>
      <c r="M115" s="254"/>
      <c r="N115" s="254"/>
      <c r="O115" s="254"/>
      <c r="P115" s="254"/>
      <c r="Q115" s="254"/>
      <c r="R115" s="36"/>
      <c r="S115" s="36"/>
      <c r="T115" s="37"/>
    </row>
    <row r="116" spans="1:20" ht="13.8" x14ac:dyDescent="0.3">
      <c r="A116" s="70"/>
      <c r="B116" s="98"/>
      <c r="C116" s="98" t="s">
        <v>20</v>
      </c>
      <c r="D116" s="70"/>
      <c r="E116" s="254"/>
      <c r="F116" s="70"/>
      <c r="G116" s="255">
        <f>ABS(IPMT($E$103/12,25,$E$104,$E$102))</f>
        <v>0</v>
      </c>
      <c r="H116" s="255">
        <f>ABS(IPMT($E$103/12,26,$E$104,$E$102))</f>
        <v>0</v>
      </c>
      <c r="I116" s="255">
        <f>ABS(IPMT($E$103/12,27,$E$104,$E$102))</f>
        <v>0</v>
      </c>
      <c r="J116" s="255">
        <f>ABS(IPMT($E$103/12,28,$E$104,$E$102))</f>
        <v>0</v>
      </c>
      <c r="K116" s="255">
        <f>ABS(IPMT($E$103/12,29,$E$104,$E$102))</f>
        <v>0</v>
      </c>
      <c r="L116" s="255">
        <f>ABS(IPMT($E$103/12,30,$E$104,$E$102))</f>
        <v>0</v>
      </c>
      <c r="M116" s="255">
        <f>ABS(IPMT($E$103/12,31,$E$104,$E$102))</f>
        <v>0</v>
      </c>
      <c r="N116" s="255">
        <f>ABS(IPMT($E$103/12,32,$E$104,$E$102))</f>
        <v>0</v>
      </c>
      <c r="O116" s="255">
        <f>ABS(IPMT($E$103/12,33,$E$104,$E$102))</f>
        <v>0</v>
      </c>
      <c r="P116" s="255">
        <f>ABS(IPMT($E$103/12,34,$E$104,$E$102))</f>
        <v>0</v>
      </c>
      <c r="Q116" s="255">
        <f>ABS(IPMT($E$103/12,35,$E$104,$E$102))</f>
        <v>0</v>
      </c>
      <c r="R116" s="41">
        <f>ABS(IPMT($E$103/12,36,$E$104,$E$102))</f>
        <v>0</v>
      </c>
      <c r="S116" s="41">
        <f>SUM(G116:R116)</f>
        <v>0</v>
      </c>
      <c r="T116" s="37"/>
    </row>
    <row r="117" spans="1:20" ht="13.8" x14ac:dyDescent="0.3">
      <c r="A117" s="70"/>
      <c r="B117" s="98"/>
      <c r="C117" s="98" t="s">
        <v>25</v>
      </c>
      <c r="D117" s="70"/>
      <c r="E117" s="254"/>
      <c r="F117" s="70"/>
      <c r="G117" s="255">
        <f>ABS(PPMT($E$103/12,25,$E$104,$E$102))</f>
        <v>0</v>
      </c>
      <c r="H117" s="255">
        <f>ABS(PPMT($E$103/12,26,$E$104,$E$102))</f>
        <v>0</v>
      </c>
      <c r="I117" s="255">
        <f>ABS(PPMT($E$103/12,27,$E$104,$E$102))</f>
        <v>0</v>
      </c>
      <c r="J117" s="255">
        <f>ABS(PPMT($E$103/12,28,$E$104,$E$102))</f>
        <v>0</v>
      </c>
      <c r="K117" s="255">
        <f>ABS(PPMT($E$103/12,29,$E$104,$E$102))</f>
        <v>0</v>
      </c>
      <c r="L117" s="255">
        <f>ABS(PPMT($E$103/12,30,$E$104,$E$102))</f>
        <v>0</v>
      </c>
      <c r="M117" s="255">
        <f>ABS(PPMT($E$103/12,31,$E$104,$E$102))</f>
        <v>0</v>
      </c>
      <c r="N117" s="255">
        <f>ABS(PPMT($E$103/12,32,$E$104,$E$102))</f>
        <v>0</v>
      </c>
      <c r="O117" s="255">
        <f>ABS(PPMT($E$103/12,33,$E$104,$E$102))</f>
        <v>0</v>
      </c>
      <c r="P117" s="255">
        <f>ABS(PPMT($E$103/12,34,$E$104,$E$102))</f>
        <v>0</v>
      </c>
      <c r="Q117" s="255">
        <f>ABS(PPMT($E$103/12,35,$E$104,$E$102))</f>
        <v>0</v>
      </c>
      <c r="R117" s="41">
        <f>ABS(PPMT($E$103/12,36,$E$104,$E$102))</f>
        <v>0</v>
      </c>
      <c r="S117" s="41">
        <f>SUM(G117:R117)</f>
        <v>0</v>
      </c>
      <c r="T117" s="37"/>
    </row>
    <row r="118" spans="1:20" ht="14.4" thickBot="1" x14ac:dyDescent="0.35">
      <c r="A118" s="70"/>
      <c r="B118" s="98"/>
      <c r="C118" s="109" t="s">
        <v>27</v>
      </c>
      <c r="D118" s="110"/>
      <c r="E118" s="259"/>
      <c r="F118" s="110"/>
      <c r="G118" s="259">
        <f>R114-G117</f>
        <v>0</v>
      </c>
      <c r="H118" s="259">
        <f>G118-H117</f>
        <v>0</v>
      </c>
      <c r="I118" s="259">
        <f t="shared" ref="I118:R118" si="54">H118-I117</f>
        <v>0</v>
      </c>
      <c r="J118" s="259">
        <f t="shared" si="54"/>
        <v>0</v>
      </c>
      <c r="K118" s="259">
        <f t="shared" si="54"/>
        <v>0</v>
      </c>
      <c r="L118" s="259">
        <f t="shared" si="54"/>
        <v>0</v>
      </c>
      <c r="M118" s="259">
        <f t="shared" si="54"/>
        <v>0</v>
      </c>
      <c r="N118" s="259">
        <f t="shared" si="54"/>
        <v>0</v>
      </c>
      <c r="O118" s="259">
        <f t="shared" si="54"/>
        <v>0</v>
      </c>
      <c r="P118" s="259">
        <f t="shared" si="54"/>
        <v>0</v>
      </c>
      <c r="Q118" s="259">
        <f t="shared" si="54"/>
        <v>0</v>
      </c>
      <c r="R118" s="261">
        <f t="shared" si="54"/>
        <v>0</v>
      </c>
      <c r="S118" s="261"/>
      <c r="T118" s="37"/>
    </row>
    <row r="119" spans="1:20" ht="15" thickTop="1" thickBot="1" x14ac:dyDescent="0.35">
      <c r="A119" s="70"/>
      <c r="B119" s="98"/>
      <c r="C119" s="264"/>
      <c r="D119" s="265"/>
      <c r="E119" s="257"/>
      <c r="F119" s="102"/>
      <c r="G119" s="257"/>
      <c r="H119" s="257"/>
      <c r="I119" s="257"/>
      <c r="J119" s="257"/>
      <c r="K119" s="257"/>
      <c r="L119" s="257"/>
      <c r="M119" s="257"/>
      <c r="N119" s="257"/>
      <c r="O119" s="257"/>
      <c r="P119" s="257"/>
      <c r="Q119" s="257"/>
      <c r="R119" s="258"/>
      <c r="S119" s="258"/>
      <c r="T119" s="37"/>
    </row>
    <row r="120" spans="1:20" ht="13.8" x14ac:dyDescent="0.3">
      <c r="A120" s="70"/>
      <c r="B120" s="98"/>
      <c r="C120" s="98"/>
      <c r="D120" s="70"/>
      <c r="E120" s="254"/>
      <c r="F120" s="70"/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36"/>
      <c r="S120" s="36"/>
      <c r="T120" s="37"/>
    </row>
    <row r="121" spans="1:20" ht="13.8" x14ac:dyDescent="0.3">
      <c r="A121" s="70"/>
      <c r="B121" s="98"/>
      <c r="C121" s="98"/>
      <c r="D121" s="70"/>
      <c r="E121" s="254"/>
      <c r="F121" s="70"/>
      <c r="G121" s="254"/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36"/>
      <c r="S121" s="36"/>
      <c r="T121" s="37"/>
    </row>
    <row r="122" spans="1:20" ht="13.8" x14ac:dyDescent="0.3">
      <c r="A122" s="98" t="s">
        <v>240</v>
      </c>
      <c r="B122" s="98"/>
      <c r="C122" s="98"/>
      <c r="D122" s="70"/>
      <c r="E122" s="254"/>
      <c r="F122" s="70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36"/>
      <c r="S122" s="36"/>
      <c r="T122" s="37"/>
    </row>
    <row r="123" spans="1:20" ht="14.4" thickBot="1" x14ac:dyDescent="0.35">
      <c r="A123" s="101"/>
      <c r="B123" s="101"/>
      <c r="C123" s="101"/>
      <c r="D123" s="102"/>
      <c r="E123" s="257"/>
      <c r="F123" s="102"/>
      <c r="G123" s="257"/>
      <c r="H123" s="257"/>
      <c r="I123" s="257"/>
      <c r="J123" s="257"/>
      <c r="K123" s="257"/>
      <c r="L123" s="257"/>
      <c r="M123" s="257"/>
      <c r="N123" s="257"/>
      <c r="O123" s="257"/>
      <c r="P123" s="257"/>
      <c r="Q123" s="257"/>
      <c r="R123" s="258"/>
      <c r="S123" s="258"/>
      <c r="T123" s="37"/>
    </row>
    <row r="124" spans="1:20" ht="13.8" x14ac:dyDescent="0.3">
      <c r="A124" s="98"/>
      <c r="B124" s="98"/>
      <c r="C124" s="98"/>
      <c r="D124" s="70"/>
      <c r="E124" s="254"/>
      <c r="F124" s="70"/>
      <c r="G124" s="254"/>
      <c r="H124" s="254"/>
      <c r="I124" s="254"/>
      <c r="J124" s="254"/>
      <c r="K124" s="254"/>
      <c r="L124" s="254"/>
      <c r="M124" s="254"/>
      <c r="N124" s="254"/>
      <c r="O124" s="254"/>
      <c r="P124" s="254"/>
      <c r="Q124" s="254"/>
      <c r="R124" s="36"/>
      <c r="S124" s="36"/>
      <c r="T124" s="37"/>
    </row>
    <row r="125" spans="1:20" ht="13.8" x14ac:dyDescent="0.3">
      <c r="A125" s="70"/>
      <c r="B125" s="98" t="s">
        <v>22</v>
      </c>
      <c r="C125" s="98"/>
      <c r="D125" s="70"/>
      <c r="E125" s="253">
        <f>'4. Financing'!G29</f>
        <v>0</v>
      </c>
      <c r="F125" s="70"/>
      <c r="G125" s="254"/>
      <c r="H125" s="254"/>
      <c r="I125" s="254"/>
      <c r="J125" s="254"/>
      <c r="K125" s="254"/>
      <c r="L125" s="254"/>
      <c r="M125" s="254"/>
      <c r="N125" s="254"/>
      <c r="O125" s="254"/>
      <c r="P125" s="254"/>
      <c r="Q125" s="254"/>
      <c r="R125" s="36"/>
      <c r="S125" s="36"/>
      <c r="T125" s="37"/>
    </row>
    <row r="126" spans="1:20" ht="13.8" x14ac:dyDescent="0.3">
      <c r="A126" s="70"/>
      <c r="B126" s="98" t="s">
        <v>23</v>
      </c>
      <c r="C126" s="98"/>
      <c r="D126" s="70"/>
      <c r="E126" s="200">
        <f>'4. Financing'!H29</f>
        <v>0.13500000000000001</v>
      </c>
      <c r="F126" s="70"/>
      <c r="G126" s="254"/>
      <c r="H126" s="254"/>
      <c r="I126" s="254"/>
      <c r="J126" s="254"/>
      <c r="K126" s="254"/>
      <c r="L126" s="254"/>
      <c r="M126" s="254"/>
      <c r="N126" s="254"/>
      <c r="O126" s="254"/>
      <c r="P126" s="254"/>
      <c r="Q126" s="254"/>
      <c r="R126" s="36"/>
      <c r="S126" s="36"/>
      <c r="T126" s="37"/>
    </row>
    <row r="127" spans="1:20" ht="13.8" x14ac:dyDescent="0.3">
      <c r="A127" s="70"/>
      <c r="B127" s="98" t="s">
        <v>24</v>
      </c>
      <c r="C127" s="98"/>
      <c r="D127" s="70"/>
      <c r="E127" s="139">
        <f>'4. Financing'!I29</f>
        <v>60</v>
      </c>
      <c r="F127" s="70"/>
      <c r="G127" s="254"/>
      <c r="H127" s="254"/>
      <c r="I127" s="254"/>
      <c r="J127" s="254"/>
      <c r="K127" s="254"/>
      <c r="L127" s="254"/>
      <c r="M127" s="254"/>
      <c r="N127" s="254"/>
      <c r="O127" s="254"/>
      <c r="P127" s="254"/>
      <c r="Q127" s="254"/>
      <c r="R127" s="36"/>
      <c r="S127" s="36"/>
      <c r="T127" s="37"/>
    </row>
    <row r="128" spans="1:20" ht="13.8" x14ac:dyDescent="0.3">
      <c r="A128" s="70"/>
      <c r="B128" s="98" t="s">
        <v>242</v>
      </c>
      <c r="C128" s="98"/>
      <c r="D128" s="70"/>
      <c r="E128" s="254">
        <f>ABS(PMT(E126/12,E127,E125))</f>
        <v>0</v>
      </c>
      <c r="F128" s="70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  <c r="R128" s="36"/>
      <c r="S128" s="36"/>
      <c r="T128" s="37"/>
    </row>
    <row r="129" spans="1:20" ht="14.4" thickBot="1" x14ac:dyDescent="0.35">
      <c r="A129" s="70"/>
      <c r="B129" s="98"/>
      <c r="C129" s="98"/>
      <c r="D129" s="70"/>
      <c r="E129" s="254"/>
      <c r="F129" s="70"/>
      <c r="G129" s="120" t="s">
        <v>84</v>
      </c>
      <c r="H129" s="120" t="s">
        <v>85</v>
      </c>
      <c r="I129" s="120" t="s">
        <v>86</v>
      </c>
      <c r="J129" s="120" t="s">
        <v>217</v>
      </c>
      <c r="K129" s="120" t="s">
        <v>76</v>
      </c>
      <c r="L129" s="120" t="s">
        <v>77</v>
      </c>
      <c r="M129" s="120" t="s">
        <v>78</v>
      </c>
      <c r="N129" s="120" t="s">
        <v>79</v>
      </c>
      <c r="O129" s="120" t="s">
        <v>80</v>
      </c>
      <c r="P129" s="120" t="s">
        <v>81</v>
      </c>
      <c r="Q129" s="120" t="s">
        <v>82</v>
      </c>
      <c r="R129" s="189" t="s">
        <v>83</v>
      </c>
      <c r="S129" s="189" t="s">
        <v>1</v>
      </c>
      <c r="T129" s="37"/>
    </row>
    <row r="130" spans="1:20" ht="13.8" x14ac:dyDescent="0.3">
      <c r="A130" s="70"/>
      <c r="B130" s="98" t="s">
        <v>16</v>
      </c>
      <c r="C130" s="98"/>
      <c r="D130" s="70"/>
      <c r="E130" s="254"/>
      <c r="F130" s="70"/>
      <c r="G130" s="254"/>
      <c r="H130" s="254"/>
      <c r="I130" s="254"/>
      <c r="J130" s="254"/>
      <c r="K130" s="254"/>
      <c r="L130" s="254"/>
      <c r="M130" s="254"/>
      <c r="N130" s="254"/>
      <c r="O130" s="254"/>
      <c r="P130" s="254"/>
      <c r="Q130" s="254"/>
      <c r="R130" s="36"/>
      <c r="S130" s="36"/>
      <c r="T130" s="37"/>
    </row>
    <row r="131" spans="1:20" ht="13.8" x14ac:dyDescent="0.3">
      <c r="A131" s="70"/>
      <c r="B131" s="98"/>
      <c r="C131" s="98" t="s">
        <v>20</v>
      </c>
      <c r="D131" s="70"/>
      <c r="E131" s="254"/>
      <c r="F131" s="70"/>
      <c r="G131" s="255">
        <f>ABS(IPMT($E$126/12,1,$E$127,$E$125))</f>
        <v>0</v>
      </c>
      <c r="H131" s="255">
        <f>ABS(IPMT($E$126/12,2,$E$127,$E$125))</f>
        <v>0</v>
      </c>
      <c r="I131" s="255">
        <f>ABS(IPMT($E$126/12,3,$E$127,$E$125))</f>
        <v>0</v>
      </c>
      <c r="J131" s="255">
        <f>ABS(IPMT($E$126/12,4,$E$127,$E$125))</f>
        <v>0</v>
      </c>
      <c r="K131" s="255">
        <f>ABS(IPMT($E$126/12,5,$E$127,$E$125))</f>
        <v>0</v>
      </c>
      <c r="L131" s="255">
        <f>ABS(IPMT($E$126/12,6,$E$127,$E$125))</f>
        <v>0</v>
      </c>
      <c r="M131" s="255">
        <f>ABS(IPMT($E$126/12,7,$E$127,$E$125))</f>
        <v>0</v>
      </c>
      <c r="N131" s="255">
        <f>ABS(IPMT($E$126/12,8,$E$127,$E$125))</f>
        <v>0</v>
      </c>
      <c r="O131" s="255">
        <f>ABS(IPMT($E$126/12,9,$E$127,$E$125))</f>
        <v>0</v>
      </c>
      <c r="P131" s="255">
        <f>ABS(IPMT($E$126/12,10,$E$127,$E$125))</f>
        <v>0</v>
      </c>
      <c r="Q131" s="255">
        <f>ABS(IPMT($E$126/12,11,$E$127,$E$125))</f>
        <v>0</v>
      </c>
      <c r="R131" s="41">
        <f>ABS(IPMT($E$126/12,12,$E$127,$E$125))</f>
        <v>0</v>
      </c>
      <c r="S131" s="41">
        <f>SUM(G131:R131)</f>
        <v>0</v>
      </c>
      <c r="T131" s="37"/>
    </row>
    <row r="132" spans="1:20" ht="13.8" x14ac:dyDescent="0.3">
      <c r="A132" s="70"/>
      <c r="B132" s="98"/>
      <c r="C132" s="98" t="s">
        <v>25</v>
      </c>
      <c r="D132" s="70"/>
      <c r="E132" s="254"/>
      <c r="F132" s="70"/>
      <c r="G132" s="255">
        <f>ABS(PPMT($E$126/12,1,$E$127,$E$125))</f>
        <v>0</v>
      </c>
      <c r="H132" s="255">
        <f>ABS(PPMT($E$126/12,2,$E$127,$E$125))</f>
        <v>0</v>
      </c>
      <c r="I132" s="255">
        <f>ABS(PPMT($E$126/12,3,$E$127,$E$125))</f>
        <v>0</v>
      </c>
      <c r="J132" s="255">
        <f>ABS(PPMT($E$126/12,4,$E$127,$E$125))</f>
        <v>0</v>
      </c>
      <c r="K132" s="255">
        <f>ABS(PPMT($E$126/12,5,$E$127,$E$125))</f>
        <v>0</v>
      </c>
      <c r="L132" s="255">
        <f>ABS(PPMT($E$126/12,6,$E$127,$E$125))</f>
        <v>0</v>
      </c>
      <c r="M132" s="255">
        <f>ABS(PPMT($E$126/12,7,$E$127,$E$125))</f>
        <v>0</v>
      </c>
      <c r="N132" s="255">
        <f>ABS(PPMT($E$126/12,8,$E$127,$E$125))</f>
        <v>0</v>
      </c>
      <c r="O132" s="255">
        <f>ABS(PPMT($E$126/12,9,$E$127,$E$125))</f>
        <v>0</v>
      </c>
      <c r="P132" s="255">
        <f>ABS(PPMT($E$126/12,10,$E$127,$E$125))</f>
        <v>0</v>
      </c>
      <c r="Q132" s="255">
        <f>ABS(PPMT($E$126/12,11,$E$127,$E$125))</f>
        <v>0</v>
      </c>
      <c r="R132" s="41">
        <f>ABS(PPMT($E$126/12,12,$E$127,$E$125))</f>
        <v>0</v>
      </c>
      <c r="S132" s="41">
        <f>SUM(G132:R132)</f>
        <v>0</v>
      </c>
      <c r="T132" s="37"/>
    </row>
    <row r="133" spans="1:20" ht="14.4" thickBot="1" x14ac:dyDescent="0.35">
      <c r="A133" s="70"/>
      <c r="B133" s="98"/>
      <c r="C133" s="109" t="s">
        <v>27</v>
      </c>
      <c r="D133" s="110"/>
      <c r="E133" s="259"/>
      <c r="F133" s="110"/>
      <c r="G133" s="260">
        <f>E125-G132</f>
        <v>0</v>
      </c>
      <c r="H133" s="259">
        <f t="shared" ref="H133:R133" si="55">G133-H132</f>
        <v>0</v>
      </c>
      <c r="I133" s="259">
        <f t="shared" si="55"/>
        <v>0</v>
      </c>
      <c r="J133" s="259">
        <f t="shared" si="55"/>
        <v>0</v>
      </c>
      <c r="K133" s="259">
        <f t="shared" si="55"/>
        <v>0</v>
      </c>
      <c r="L133" s="259">
        <f t="shared" si="55"/>
        <v>0</v>
      </c>
      <c r="M133" s="259">
        <f t="shared" si="55"/>
        <v>0</v>
      </c>
      <c r="N133" s="259">
        <f t="shared" si="55"/>
        <v>0</v>
      </c>
      <c r="O133" s="259">
        <f t="shared" si="55"/>
        <v>0</v>
      </c>
      <c r="P133" s="259">
        <f t="shared" si="55"/>
        <v>0</v>
      </c>
      <c r="Q133" s="259">
        <f t="shared" si="55"/>
        <v>0</v>
      </c>
      <c r="R133" s="261">
        <f t="shared" si="55"/>
        <v>0</v>
      </c>
      <c r="S133" s="261"/>
      <c r="T133" s="37"/>
    </row>
    <row r="134" spans="1:20" ht="14.4" thickTop="1" x14ac:dyDescent="0.3">
      <c r="A134" s="70"/>
      <c r="B134" s="98" t="s">
        <v>19</v>
      </c>
      <c r="C134" s="98"/>
      <c r="D134" s="70"/>
      <c r="E134" s="254"/>
      <c r="F134" s="70"/>
      <c r="G134" s="254"/>
      <c r="H134" s="254"/>
      <c r="I134" s="254"/>
      <c r="J134" s="254"/>
      <c r="K134" s="254"/>
      <c r="L134" s="254"/>
      <c r="M134" s="254"/>
      <c r="N134" s="254"/>
      <c r="O134" s="254"/>
      <c r="P134" s="254"/>
      <c r="Q134" s="254"/>
      <c r="R134" s="36"/>
      <c r="S134" s="36"/>
      <c r="T134" s="37"/>
    </row>
    <row r="135" spans="1:20" ht="13.8" x14ac:dyDescent="0.3">
      <c r="A135" s="70"/>
      <c r="B135" s="98"/>
      <c r="C135" s="98" t="s">
        <v>20</v>
      </c>
      <c r="D135" s="70"/>
      <c r="E135" s="254"/>
      <c r="F135" s="70"/>
      <c r="G135" s="255">
        <f>ABS(IPMT($E$126/12,13,$E$127,$E$125))</f>
        <v>0</v>
      </c>
      <c r="H135" s="255">
        <f>ABS(IPMT($E$126/12,14,$E$127,$E$125))</f>
        <v>0</v>
      </c>
      <c r="I135" s="255">
        <f>ABS(IPMT($E$126/12,15,$E$127,$E$125))</f>
        <v>0</v>
      </c>
      <c r="J135" s="255">
        <f>ABS(IPMT($E$126/12,16,$E$127,$E$125))</f>
        <v>0</v>
      </c>
      <c r="K135" s="255">
        <f>ABS(IPMT($E$126/12,17,$E$127,$E$125))</f>
        <v>0</v>
      </c>
      <c r="L135" s="255">
        <f>ABS(IPMT($E$126/12,18,$E$127,$E$125))</f>
        <v>0</v>
      </c>
      <c r="M135" s="255">
        <f>ABS(IPMT($E$126/12,19,$E$127,$E$125))</f>
        <v>0</v>
      </c>
      <c r="N135" s="255">
        <f>ABS(IPMT($E$126/12,20,$E$127,$E$125))</f>
        <v>0</v>
      </c>
      <c r="O135" s="255">
        <f>ABS(IPMT($E$126/12,21,$E$127,$E$125))</f>
        <v>0</v>
      </c>
      <c r="P135" s="255">
        <f>ABS(IPMT($E$126/12,22,$E$127,$E$125))</f>
        <v>0</v>
      </c>
      <c r="Q135" s="255">
        <f>ABS(IPMT($E$126/12,23,$E$127,$E$125))</f>
        <v>0</v>
      </c>
      <c r="R135" s="41">
        <f>ABS(IPMT($E$126/12,24,$E$127,$E$125))</f>
        <v>0</v>
      </c>
      <c r="S135" s="41">
        <f>SUM(G135:R135)</f>
        <v>0</v>
      </c>
      <c r="T135" s="37"/>
    </row>
    <row r="136" spans="1:20" ht="13.8" x14ac:dyDescent="0.3">
      <c r="A136" s="70"/>
      <c r="B136" s="98"/>
      <c r="C136" s="98" t="s">
        <v>25</v>
      </c>
      <c r="D136" s="70"/>
      <c r="E136" s="254"/>
      <c r="F136" s="70"/>
      <c r="G136" s="255">
        <f>ABS(PPMT($E$126/12,13,$E$127,$E$125))</f>
        <v>0</v>
      </c>
      <c r="H136" s="255">
        <f>ABS(PPMT($E$126/12,14,$E$127,$E$125))</f>
        <v>0</v>
      </c>
      <c r="I136" s="255">
        <f>ABS(PPMT($E$126/12,15,$E$127,$E$125))</f>
        <v>0</v>
      </c>
      <c r="J136" s="255">
        <f>ABS(PPMT($E$126/12,16,$E$127,$E$125))</f>
        <v>0</v>
      </c>
      <c r="K136" s="255">
        <f>ABS(PPMT($E$126/12,17,$E$127,$E$125))</f>
        <v>0</v>
      </c>
      <c r="L136" s="255">
        <f>ABS(PPMT($E$126/12,18,$E$127,$E$125))</f>
        <v>0</v>
      </c>
      <c r="M136" s="255">
        <f>ABS(PPMT($E$126/12,19,$E$127,$E$125))</f>
        <v>0</v>
      </c>
      <c r="N136" s="255">
        <f>ABS(PPMT($E$126/12,20,$E$127,$E$125))</f>
        <v>0</v>
      </c>
      <c r="O136" s="255">
        <f>ABS(PPMT($E$126/12,21,$E$127,$E$125))</f>
        <v>0</v>
      </c>
      <c r="P136" s="255">
        <f>ABS(PPMT($E$126/12,22,$E$127,$E$125))</f>
        <v>0</v>
      </c>
      <c r="Q136" s="255">
        <f>ABS(PPMT($E$126/12,23,$E$127,$E$125))</f>
        <v>0</v>
      </c>
      <c r="R136" s="41">
        <f>ABS(PPMT($E$126/12,24,$E$127,$E$125))</f>
        <v>0</v>
      </c>
      <c r="S136" s="41">
        <f>SUM(G136:R136)</f>
        <v>0</v>
      </c>
      <c r="T136" s="37"/>
    </row>
    <row r="137" spans="1:20" ht="14.4" thickBot="1" x14ac:dyDescent="0.35">
      <c r="A137" s="70"/>
      <c r="B137" s="98"/>
      <c r="C137" s="109" t="s">
        <v>27</v>
      </c>
      <c r="D137" s="110"/>
      <c r="E137" s="259"/>
      <c r="F137" s="110"/>
      <c r="G137" s="262">
        <f>R133-G136</f>
        <v>0</v>
      </c>
      <c r="H137" s="262">
        <f t="shared" ref="H137:R137" si="56">G137-H136</f>
        <v>0</v>
      </c>
      <c r="I137" s="262">
        <f t="shared" si="56"/>
        <v>0</v>
      </c>
      <c r="J137" s="262">
        <f t="shared" si="56"/>
        <v>0</v>
      </c>
      <c r="K137" s="262">
        <f t="shared" si="56"/>
        <v>0</v>
      </c>
      <c r="L137" s="262">
        <f t="shared" si="56"/>
        <v>0</v>
      </c>
      <c r="M137" s="262">
        <f t="shared" si="56"/>
        <v>0</v>
      </c>
      <c r="N137" s="262">
        <f t="shared" si="56"/>
        <v>0</v>
      </c>
      <c r="O137" s="262">
        <f t="shared" si="56"/>
        <v>0</v>
      </c>
      <c r="P137" s="262">
        <f t="shared" si="56"/>
        <v>0</v>
      </c>
      <c r="Q137" s="262">
        <f t="shared" si="56"/>
        <v>0</v>
      </c>
      <c r="R137" s="263">
        <f t="shared" si="56"/>
        <v>0</v>
      </c>
      <c r="S137" s="263"/>
      <c r="T137" s="37"/>
    </row>
    <row r="138" spans="1:20" ht="14.4" thickTop="1" x14ac:dyDescent="0.3">
      <c r="A138" s="70"/>
      <c r="B138" s="98" t="s">
        <v>17</v>
      </c>
      <c r="C138" s="98"/>
      <c r="D138" s="70"/>
      <c r="E138" s="254"/>
      <c r="F138" s="70"/>
      <c r="G138" s="254"/>
      <c r="H138" s="254"/>
      <c r="I138" s="254"/>
      <c r="J138" s="254"/>
      <c r="K138" s="254"/>
      <c r="L138" s="254"/>
      <c r="M138" s="254"/>
      <c r="N138" s="254"/>
      <c r="O138" s="254"/>
      <c r="P138" s="254"/>
      <c r="Q138" s="254"/>
      <c r="R138" s="36"/>
      <c r="S138" s="36"/>
      <c r="T138" s="37"/>
    </row>
    <row r="139" spans="1:20" ht="13.8" x14ac:dyDescent="0.3">
      <c r="A139" s="70"/>
      <c r="B139" s="98"/>
      <c r="C139" s="98" t="s">
        <v>20</v>
      </c>
      <c r="D139" s="70"/>
      <c r="E139" s="254"/>
      <c r="F139" s="70"/>
      <c r="G139" s="255">
        <f>ABS(IPMT($E$126/12,25,$E$127,$E$125))</f>
        <v>0</v>
      </c>
      <c r="H139" s="255">
        <f>ABS(IPMT($E$126/12,26,$E$127,$E$125))</f>
        <v>0</v>
      </c>
      <c r="I139" s="255">
        <f>ABS(IPMT($E$126/12,27,$E$127,$E$125))</f>
        <v>0</v>
      </c>
      <c r="J139" s="255">
        <f>ABS(IPMT($E$126/12,28,$E$127,$E$125))</f>
        <v>0</v>
      </c>
      <c r="K139" s="255">
        <f>ABS(IPMT($E$126/12,29,$E$127,$E$125))</f>
        <v>0</v>
      </c>
      <c r="L139" s="255">
        <f>ABS(IPMT($E$126/12,30,$E$127,$E$125))</f>
        <v>0</v>
      </c>
      <c r="M139" s="255">
        <f>ABS(IPMT($E$126/12,31,$E$127,$E$125))</f>
        <v>0</v>
      </c>
      <c r="N139" s="255">
        <f>ABS(IPMT($E$126/12,32,$E$127,$E$125))</f>
        <v>0</v>
      </c>
      <c r="O139" s="255">
        <f>ABS(IPMT($E$126/12,33,$E$127,$E$125))</f>
        <v>0</v>
      </c>
      <c r="P139" s="255">
        <f>ABS(IPMT($E$126/12,34,$E$127,$E$125))</f>
        <v>0</v>
      </c>
      <c r="Q139" s="255">
        <f>ABS(IPMT($E$126/12,35,$E$127,$E$125))</f>
        <v>0</v>
      </c>
      <c r="R139" s="41">
        <f>ABS(IPMT($E$126/12,36,$E$127,$E$125))</f>
        <v>0</v>
      </c>
      <c r="S139" s="41">
        <f>SUM(G139:R139)</f>
        <v>0</v>
      </c>
      <c r="T139" s="37"/>
    </row>
    <row r="140" spans="1:20" ht="13.8" x14ac:dyDescent="0.3">
      <c r="A140" s="70"/>
      <c r="B140" s="98"/>
      <c r="C140" s="98" t="s">
        <v>25</v>
      </c>
      <c r="D140" s="70"/>
      <c r="E140" s="254"/>
      <c r="F140" s="70"/>
      <c r="G140" s="255">
        <f>ABS(PPMT($E$126/12,25,$E$127,$E$125))</f>
        <v>0</v>
      </c>
      <c r="H140" s="255">
        <f>ABS(PPMT($E$126/12,26,$E$127,$E$125))</f>
        <v>0</v>
      </c>
      <c r="I140" s="255">
        <f>ABS(PPMT($E$126/12,27,$E$127,$E$125))</f>
        <v>0</v>
      </c>
      <c r="J140" s="255">
        <f>ABS(PPMT($E$126/12,28,$E$127,$E$125))</f>
        <v>0</v>
      </c>
      <c r="K140" s="255">
        <f>ABS(PPMT($E$126/12,29,$E$127,$E$125))</f>
        <v>0</v>
      </c>
      <c r="L140" s="255">
        <f>ABS(PPMT($E$126/12,30,$E$127,$E$125))</f>
        <v>0</v>
      </c>
      <c r="M140" s="255">
        <f>ABS(PPMT($E$126/12,31,$E$127,$E$125))</f>
        <v>0</v>
      </c>
      <c r="N140" s="255">
        <f>ABS(PPMT($E$126/12,32,$E$127,$E$125))</f>
        <v>0</v>
      </c>
      <c r="O140" s="255">
        <f>ABS(PPMT($E$126/12,33,$E$127,$E$125))</f>
        <v>0</v>
      </c>
      <c r="P140" s="255">
        <f>ABS(PPMT($E$126/12,34,$E$127,$E$125))</f>
        <v>0</v>
      </c>
      <c r="Q140" s="255">
        <f>ABS(PPMT($E$126/12,35,$E$127,$E$125))</f>
        <v>0</v>
      </c>
      <c r="R140" s="41">
        <f>ABS(PPMT($E$126/12,36,$E$127,$E$125))</f>
        <v>0</v>
      </c>
      <c r="S140" s="41">
        <f>SUM(G140:R140)</f>
        <v>0</v>
      </c>
      <c r="T140" s="37"/>
    </row>
    <row r="141" spans="1:20" ht="14.4" thickBot="1" x14ac:dyDescent="0.35">
      <c r="A141" s="70"/>
      <c r="B141" s="98"/>
      <c r="C141" s="109" t="s">
        <v>27</v>
      </c>
      <c r="D141" s="110"/>
      <c r="E141" s="259"/>
      <c r="F141" s="110"/>
      <c r="G141" s="259">
        <f>R137-G140</f>
        <v>0</v>
      </c>
      <c r="H141" s="259">
        <f t="shared" ref="H141:R141" si="57">G141-H140</f>
        <v>0</v>
      </c>
      <c r="I141" s="259">
        <f t="shared" si="57"/>
        <v>0</v>
      </c>
      <c r="J141" s="259">
        <f t="shared" si="57"/>
        <v>0</v>
      </c>
      <c r="K141" s="259">
        <f t="shared" si="57"/>
        <v>0</v>
      </c>
      <c r="L141" s="259">
        <f t="shared" si="57"/>
        <v>0</v>
      </c>
      <c r="M141" s="259">
        <f t="shared" si="57"/>
        <v>0</v>
      </c>
      <c r="N141" s="259">
        <f t="shared" si="57"/>
        <v>0</v>
      </c>
      <c r="O141" s="259">
        <f t="shared" si="57"/>
        <v>0</v>
      </c>
      <c r="P141" s="259">
        <f t="shared" si="57"/>
        <v>0</v>
      </c>
      <c r="Q141" s="259">
        <f t="shared" si="57"/>
        <v>0</v>
      </c>
      <c r="R141" s="261">
        <f t="shared" si="57"/>
        <v>0</v>
      </c>
      <c r="S141" s="261"/>
      <c r="T141" s="37"/>
    </row>
    <row r="142" spans="1:20" ht="15" thickTop="1" thickBot="1" x14ac:dyDescent="0.35">
      <c r="A142" s="70"/>
      <c r="B142" s="98"/>
      <c r="C142" s="264"/>
      <c r="D142" s="265"/>
      <c r="E142" s="257"/>
      <c r="F142" s="102"/>
      <c r="G142" s="257"/>
      <c r="H142" s="257"/>
      <c r="I142" s="257"/>
      <c r="J142" s="257"/>
      <c r="K142" s="257"/>
      <c r="L142" s="257"/>
      <c r="M142" s="257"/>
      <c r="N142" s="257"/>
      <c r="O142" s="257"/>
      <c r="P142" s="257"/>
      <c r="Q142" s="257"/>
      <c r="R142" s="268"/>
      <c r="S142" s="268"/>
      <c r="T142" s="37"/>
    </row>
    <row r="143" spans="1:20" ht="13.8" x14ac:dyDescent="0.3">
      <c r="A143" s="70"/>
      <c r="B143" s="98"/>
      <c r="C143" s="98"/>
      <c r="D143" s="70"/>
      <c r="E143" s="254"/>
      <c r="F143" s="70"/>
      <c r="G143" s="254"/>
      <c r="H143" s="254"/>
      <c r="I143" s="254"/>
      <c r="J143" s="254"/>
      <c r="K143" s="254"/>
      <c r="L143" s="254"/>
      <c r="M143" s="254"/>
      <c r="N143" s="254"/>
      <c r="O143" s="254"/>
      <c r="P143" s="254"/>
      <c r="Q143" s="254"/>
      <c r="R143" s="37"/>
      <c r="S143" s="37"/>
      <c r="T143" s="37"/>
    </row>
    <row r="144" spans="1:20" ht="13.8" x14ac:dyDescent="0.3">
      <c r="A144" s="70"/>
      <c r="B144" s="98"/>
      <c r="C144" s="98"/>
      <c r="D144" s="70"/>
      <c r="E144" s="254"/>
      <c r="F144" s="70"/>
      <c r="G144" s="254"/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37"/>
      <c r="S144" s="37"/>
      <c r="T144" s="37"/>
    </row>
    <row r="145" spans="1:20" ht="13.8" x14ac:dyDescent="0.3">
      <c r="A145" s="98" t="s">
        <v>89</v>
      </c>
      <c r="B145" s="98"/>
      <c r="C145" s="98"/>
      <c r="D145" s="70"/>
      <c r="E145" s="254"/>
      <c r="F145" s="70"/>
      <c r="G145" s="254"/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36"/>
      <c r="S145" s="36"/>
      <c r="T145" s="37"/>
    </row>
    <row r="146" spans="1:20" ht="14.4" thickBot="1" x14ac:dyDescent="0.35">
      <c r="A146" s="101"/>
      <c r="B146" s="101"/>
      <c r="C146" s="101"/>
      <c r="D146" s="102"/>
      <c r="E146" s="257"/>
      <c r="F146" s="102"/>
      <c r="G146" s="257"/>
      <c r="H146" s="257"/>
      <c r="I146" s="257"/>
      <c r="J146" s="257"/>
      <c r="K146" s="257"/>
      <c r="L146" s="257"/>
      <c r="M146" s="257"/>
      <c r="N146" s="257"/>
      <c r="O146" s="257"/>
      <c r="P146" s="257"/>
      <c r="Q146" s="257"/>
      <c r="R146" s="258"/>
      <c r="S146" s="258"/>
      <c r="T146" s="37"/>
    </row>
    <row r="147" spans="1:20" ht="13.8" x14ac:dyDescent="0.3">
      <c r="A147" s="98"/>
      <c r="B147" s="98"/>
      <c r="C147" s="98"/>
      <c r="D147" s="70"/>
      <c r="E147" s="254"/>
      <c r="F147" s="70"/>
      <c r="G147" s="254"/>
      <c r="H147" s="254"/>
      <c r="I147" s="254"/>
      <c r="J147" s="254"/>
      <c r="K147" s="254"/>
      <c r="L147" s="254"/>
      <c r="M147" s="254"/>
      <c r="N147" s="254"/>
      <c r="O147" s="254"/>
      <c r="P147" s="254"/>
      <c r="Q147" s="254"/>
      <c r="R147" s="36"/>
      <c r="S147" s="36"/>
      <c r="T147" s="37"/>
    </row>
    <row r="148" spans="1:20" ht="13.8" x14ac:dyDescent="0.3">
      <c r="A148" s="70"/>
      <c r="B148" s="98" t="s">
        <v>22</v>
      </c>
      <c r="C148" s="98"/>
      <c r="D148" s="70"/>
      <c r="E148" s="253">
        <f>'4. Financing'!G30</f>
        <v>0</v>
      </c>
      <c r="F148" s="70"/>
      <c r="G148" s="254"/>
      <c r="H148" s="254"/>
      <c r="I148" s="254"/>
      <c r="J148" s="254"/>
      <c r="K148" s="254"/>
      <c r="L148" s="254"/>
      <c r="M148" s="254"/>
      <c r="N148" s="254"/>
      <c r="O148" s="254"/>
      <c r="P148" s="254"/>
      <c r="Q148" s="254"/>
      <c r="R148" s="36"/>
      <c r="S148" s="36"/>
      <c r="T148" s="37"/>
    </row>
    <row r="149" spans="1:20" ht="13.8" x14ac:dyDescent="0.3">
      <c r="A149" s="70"/>
      <c r="B149" s="98" t="s">
        <v>23</v>
      </c>
      <c r="C149" s="98"/>
      <c r="D149" s="70"/>
      <c r="E149" s="200">
        <f>'4. Financing'!H30</f>
        <v>0.13500000000000001</v>
      </c>
      <c r="F149" s="70"/>
      <c r="G149" s="254"/>
      <c r="H149" s="254"/>
      <c r="I149" s="254"/>
      <c r="J149" s="254"/>
      <c r="K149" s="254"/>
      <c r="L149" s="254"/>
      <c r="M149" s="254"/>
      <c r="N149" s="254"/>
      <c r="O149" s="254"/>
      <c r="P149" s="254"/>
      <c r="Q149" s="254"/>
      <c r="R149" s="36"/>
      <c r="S149" s="36"/>
      <c r="T149" s="37"/>
    </row>
    <row r="150" spans="1:20" ht="13.8" x14ac:dyDescent="0.3">
      <c r="A150" s="70"/>
      <c r="B150" s="98" t="s">
        <v>24</v>
      </c>
      <c r="C150" s="98"/>
      <c r="D150" s="70"/>
      <c r="E150" s="139">
        <f>'4. Financing'!I30</f>
        <v>60</v>
      </c>
      <c r="F150" s="70"/>
      <c r="G150" s="254"/>
      <c r="H150" s="254"/>
      <c r="I150" s="254"/>
      <c r="J150" s="254"/>
      <c r="K150" s="254"/>
      <c r="L150" s="254"/>
      <c r="M150" s="254"/>
      <c r="N150" s="254"/>
      <c r="O150" s="254"/>
      <c r="P150" s="254"/>
      <c r="Q150" s="254"/>
      <c r="R150" s="36"/>
      <c r="S150" s="36"/>
      <c r="T150" s="37"/>
    </row>
    <row r="151" spans="1:20" ht="13.8" x14ac:dyDescent="0.3">
      <c r="A151" s="70"/>
      <c r="B151" s="98" t="s">
        <v>241</v>
      </c>
      <c r="C151" s="98"/>
      <c r="D151" s="70"/>
      <c r="E151" s="254">
        <f>ABS(PMT(E149/12,E150,E148))</f>
        <v>0</v>
      </c>
      <c r="F151" s="70"/>
      <c r="G151" s="254"/>
      <c r="H151" s="254"/>
      <c r="I151" s="254"/>
      <c r="J151" s="254"/>
      <c r="K151" s="254"/>
      <c r="L151" s="254"/>
      <c r="M151" s="254"/>
      <c r="N151" s="254"/>
      <c r="O151" s="254"/>
      <c r="P151" s="254"/>
      <c r="Q151" s="254"/>
      <c r="R151" s="36"/>
      <c r="S151" s="36"/>
      <c r="T151" s="37"/>
    </row>
    <row r="152" spans="1:20" ht="14.4" thickBot="1" x14ac:dyDescent="0.35">
      <c r="A152" s="70"/>
      <c r="B152" s="98"/>
      <c r="C152" s="98"/>
      <c r="D152" s="70"/>
      <c r="E152" s="254"/>
      <c r="F152" s="70"/>
      <c r="G152" s="120" t="s">
        <v>84</v>
      </c>
      <c r="H152" s="120" t="s">
        <v>85</v>
      </c>
      <c r="I152" s="120" t="s">
        <v>86</v>
      </c>
      <c r="J152" s="120" t="s">
        <v>217</v>
      </c>
      <c r="K152" s="120" t="s">
        <v>76</v>
      </c>
      <c r="L152" s="120" t="s">
        <v>77</v>
      </c>
      <c r="M152" s="120" t="s">
        <v>78</v>
      </c>
      <c r="N152" s="120" t="s">
        <v>79</v>
      </c>
      <c r="O152" s="120" t="s">
        <v>80</v>
      </c>
      <c r="P152" s="120" t="s">
        <v>81</v>
      </c>
      <c r="Q152" s="120" t="s">
        <v>82</v>
      </c>
      <c r="R152" s="189" t="s">
        <v>83</v>
      </c>
      <c r="S152" s="189" t="s">
        <v>1</v>
      </c>
      <c r="T152" s="37"/>
    </row>
    <row r="153" spans="1:20" ht="13.8" x14ac:dyDescent="0.3">
      <c r="A153" s="70"/>
      <c r="B153" s="98" t="s">
        <v>16</v>
      </c>
      <c r="C153" s="98"/>
      <c r="D153" s="70"/>
      <c r="E153" s="254"/>
      <c r="F153" s="70"/>
      <c r="G153" s="254"/>
      <c r="H153" s="254"/>
      <c r="I153" s="254"/>
      <c r="J153" s="254"/>
      <c r="K153" s="254"/>
      <c r="L153" s="254"/>
      <c r="M153" s="254"/>
      <c r="N153" s="254"/>
      <c r="O153" s="254"/>
      <c r="P153" s="254"/>
      <c r="Q153" s="254"/>
      <c r="R153" s="36"/>
      <c r="S153" s="36"/>
      <c r="T153" s="37"/>
    </row>
    <row r="154" spans="1:20" ht="13.8" x14ac:dyDescent="0.3">
      <c r="A154" s="70"/>
      <c r="B154" s="98"/>
      <c r="C154" s="98" t="s">
        <v>20</v>
      </c>
      <c r="D154" s="70"/>
      <c r="E154" s="254"/>
      <c r="F154" s="70"/>
      <c r="G154" s="255">
        <f>ABS(IPMT($E$149/12,1,$E$150,$E$148))</f>
        <v>0</v>
      </c>
      <c r="H154" s="255">
        <f>ABS(IPMT($E$149/12,2,$E$150,$E$148))</f>
        <v>0</v>
      </c>
      <c r="I154" s="255">
        <f>ABS(IPMT($E$149/12,3,$E$150,$E$148))</f>
        <v>0</v>
      </c>
      <c r="J154" s="255">
        <f>ABS(IPMT($E$149/12,4,$E$150,$E$148))</f>
        <v>0</v>
      </c>
      <c r="K154" s="255">
        <f>ABS(IPMT($E$149/12,5,$E$150,$E$148))</f>
        <v>0</v>
      </c>
      <c r="L154" s="255">
        <f>ABS(IPMT($E$149/12,6,$E$150,$E$148))</f>
        <v>0</v>
      </c>
      <c r="M154" s="255">
        <f>ABS(IPMT($E$149/12,7,$E$150,$E$148))</f>
        <v>0</v>
      </c>
      <c r="N154" s="255">
        <f>ABS(IPMT($E$149/12,8,$E$150,$E$148))</f>
        <v>0</v>
      </c>
      <c r="O154" s="255">
        <f>ABS(IPMT($E$149/12,9,$E$150,$E$148))</f>
        <v>0</v>
      </c>
      <c r="P154" s="255">
        <f>ABS(IPMT($E$149/12,10,$E$150,$E$148))</f>
        <v>0</v>
      </c>
      <c r="Q154" s="255">
        <f>ABS(IPMT($E$149/12,11,$E$150,$E$148))</f>
        <v>0</v>
      </c>
      <c r="R154" s="41">
        <f>ABS(IPMT($E$149/12,12,$E$150,$E$148))</f>
        <v>0</v>
      </c>
      <c r="S154" s="41">
        <f>SUM(G154:R154)</f>
        <v>0</v>
      </c>
      <c r="T154" s="37"/>
    </row>
    <row r="155" spans="1:20" ht="13.8" x14ac:dyDescent="0.3">
      <c r="A155" s="70"/>
      <c r="B155" s="98"/>
      <c r="C155" s="98" t="s">
        <v>25</v>
      </c>
      <c r="D155" s="70"/>
      <c r="E155" s="254"/>
      <c r="F155" s="70"/>
      <c r="G155" s="255">
        <f>ABS(PPMT($E$149/12,1,$E$150,$E$148))</f>
        <v>0</v>
      </c>
      <c r="H155" s="255">
        <f>ABS(PPMT($E$149/12,2,$E$150,$E$148))</f>
        <v>0</v>
      </c>
      <c r="I155" s="255">
        <f>ABS(PPMT($E$149/12,3,$E$150,$E$148))</f>
        <v>0</v>
      </c>
      <c r="J155" s="255">
        <f>ABS(PPMT($E$149/12,4,$E$150,$E$148))</f>
        <v>0</v>
      </c>
      <c r="K155" s="255">
        <f>ABS(PPMT($E$149/12,5,$E$150,$E$148))</f>
        <v>0</v>
      </c>
      <c r="L155" s="255">
        <f>ABS(PPMT($E$149/12,6,$E$150,$E$148))</f>
        <v>0</v>
      </c>
      <c r="M155" s="255">
        <f>ABS(PPMT($E$149/12,7,$E$150,$E$148))</f>
        <v>0</v>
      </c>
      <c r="N155" s="255">
        <f>ABS(PPMT($E$149/12,8,$E$150,$E$148))</f>
        <v>0</v>
      </c>
      <c r="O155" s="255">
        <f>ABS(PPMT($E$149/12,9,$E$150,$E$148))</f>
        <v>0</v>
      </c>
      <c r="P155" s="255">
        <f>ABS(PPMT($E$149/12,10,$E$150,$E$148))</f>
        <v>0</v>
      </c>
      <c r="Q155" s="255">
        <f>ABS(PPMT($E$149/12,11,$E$150,$E$148))</f>
        <v>0</v>
      </c>
      <c r="R155" s="41">
        <f>ABS(PPMT($E$149/12,12,$E$150,$E$148))</f>
        <v>0</v>
      </c>
      <c r="S155" s="41">
        <f>SUM(G155:R155)</f>
        <v>0</v>
      </c>
      <c r="T155" s="37"/>
    </row>
    <row r="156" spans="1:20" ht="14.4" thickBot="1" x14ac:dyDescent="0.35">
      <c r="A156" s="70"/>
      <c r="B156" s="98"/>
      <c r="C156" s="109" t="s">
        <v>27</v>
      </c>
      <c r="D156" s="110"/>
      <c r="E156" s="259"/>
      <c r="F156" s="110"/>
      <c r="G156" s="260">
        <f>E148-G155</f>
        <v>0</v>
      </c>
      <c r="H156" s="259">
        <f t="shared" ref="H156:R156" si="58">G156-H155</f>
        <v>0</v>
      </c>
      <c r="I156" s="259">
        <f t="shared" si="58"/>
        <v>0</v>
      </c>
      <c r="J156" s="259">
        <f t="shared" si="58"/>
        <v>0</v>
      </c>
      <c r="K156" s="259">
        <f t="shared" si="58"/>
        <v>0</v>
      </c>
      <c r="L156" s="259">
        <f t="shared" si="58"/>
        <v>0</v>
      </c>
      <c r="M156" s="259">
        <f t="shared" si="58"/>
        <v>0</v>
      </c>
      <c r="N156" s="259">
        <f t="shared" si="58"/>
        <v>0</v>
      </c>
      <c r="O156" s="259">
        <f t="shared" si="58"/>
        <v>0</v>
      </c>
      <c r="P156" s="259">
        <f t="shared" si="58"/>
        <v>0</v>
      </c>
      <c r="Q156" s="259">
        <f t="shared" si="58"/>
        <v>0</v>
      </c>
      <c r="R156" s="261">
        <f t="shared" si="58"/>
        <v>0</v>
      </c>
      <c r="S156" s="261"/>
      <c r="T156" s="37"/>
    </row>
    <row r="157" spans="1:20" ht="14.4" thickTop="1" x14ac:dyDescent="0.3">
      <c r="A157" s="70"/>
      <c r="B157" s="98" t="s">
        <v>19</v>
      </c>
      <c r="C157" s="98"/>
      <c r="D157" s="70"/>
      <c r="E157" s="254"/>
      <c r="F157" s="70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  <c r="Q157" s="254"/>
      <c r="R157" s="36"/>
      <c r="S157" s="36"/>
      <c r="T157" s="37"/>
    </row>
    <row r="158" spans="1:20" ht="13.8" x14ac:dyDescent="0.3">
      <c r="A158" s="70"/>
      <c r="B158" s="98"/>
      <c r="C158" s="98" t="s">
        <v>20</v>
      </c>
      <c r="D158" s="70"/>
      <c r="E158" s="254"/>
      <c r="F158" s="70"/>
      <c r="G158" s="255">
        <f>ABS(IPMT($E$149/12,13,$E$150,$E$148))</f>
        <v>0</v>
      </c>
      <c r="H158" s="255">
        <f>ABS(IPMT($E$149/12,14,$E$150,$E$148))</f>
        <v>0</v>
      </c>
      <c r="I158" s="255">
        <f>ABS(IPMT($E$149/12,15,$E$150,$E$148))</f>
        <v>0</v>
      </c>
      <c r="J158" s="255">
        <f>ABS(IPMT($E$149/12,16,$E$150,$E$148))</f>
        <v>0</v>
      </c>
      <c r="K158" s="255">
        <f>ABS(IPMT($E$149/12,17,$E$150,$E$148))</f>
        <v>0</v>
      </c>
      <c r="L158" s="255">
        <f>ABS(IPMT($E$149/12,18,$E$150,$E$148))</f>
        <v>0</v>
      </c>
      <c r="M158" s="255">
        <f>ABS(IPMT($E$149/12,19,$E$150,$E$148))</f>
        <v>0</v>
      </c>
      <c r="N158" s="255">
        <f>ABS(IPMT($E$149/12,20,$E$150,$E$148))</f>
        <v>0</v>
      </c>
      <c r="O158" s="255">
        <f>ABS(IPMT($E$149/12,21,$E$150,$E$148))</f>
        <v>0</v>
      </c>
      <c r="P158" s="255">
        <f>ABS(IPMT($E$149/12,22,$E$150,$E$148))</f>
        <v>0</v>
      </c>
      <c r="Q158" s="255">
        <f>ABS(IPMT($E$149/12,23,$E$150,$E$148))</f>
        <v>0</v>
      </c>
      <c r="R158" s="41">
        <f>ABS(IPMT($E$149/12,24,$E$150,$E$148))</f>
        <v>0</v>
      </c>
      <c r="S158" s="41">
        <f>SUM(G158:R158)</f>
        <v>0</v>
      </c>
      <c r="T158" s="37"/>
    </row>
    <row r="159" spans="1:20" ht="13.8" x14ac:dyDescent="0.3">
      <c r="A159" s="70"/>
      <c r="B159" s="98"/>
      <c r="C159" s="98" t="s">
        <v>25</v>
      </c>
      <c r="D159" s="70"/>
      <c r="E159" s="254"/>
      <c r="F159" s="70"/>
      <c r="G159" s="255">
        <f>ABS(PPMT($E$149/12,13,$E$150,$E$148))</f>
        <v>0</v>
      </c>
      <c r="H159" s="255">
        <f>ABS(PPMT($E$149/12,14,$E$150,$E$148))</f>
        <v>0</v>
      </c>
      <c r="I159" s="255">
        <f>ABS(PPMT($E$149/12,15,$E$150,$E$148))</f>
        <v>0</v>
      </c>
      <c r="J159" s="255">
        <f>ABS(PPMT($E$149/12,16,$E$150,$E$148))</f>
        <v>0</v>
      </c>
      <c r="K159" s="255">
        <f>ABS(PPMT($E$149/12,17,$E$150,$E$148))</f>
        <v>0</v>
      </c>
      <c r="L159" s="255">
        <f>ABS(PPMT($E$149/12,18,$E$150,$E$148))</f>
        <v>0</v>
      </c>
      <c r="M159" s="255">
        <f>ABS(PPMT($E$149/12,19,$E$150,$E$148))</f>
        <v>0</v>
      </c>
      <c r="N159" s="255">
        <f>ABS(PPMT($E$149/12,20,$E$150,$E$148))</f>
        <v>0</v>
      </c>
      <c r="O159" s="255">
        <f>ABS(PPMT($E$149/12,21,$E$150,$E$148))</f>
        <v>0</v>
      </c>
      <c r="P159" s="255">
        <f>ABS(PPMT($E$149/12,22,$E$150,$E$148))</f>
        <v>0</v>
      </c>
      <c r="Q159" s="255">
        <f>ABS(PPMT($E$149/12,23,$E$150,$E$148))</f>
        <v>0</v>
      </c>
      <c r="R159" s="41">
        <f>ABS(PPMT($E$149/12,24,$E$150,$E$148))</f>
        <v>0</v>
      </c>
      <c r="S159" s="41">
        <f>SUM(G159:R159)</f>
        <v>0</v>
      </c>
      <c r="T159" s="37"/>
    </row>
    <row r="160" spans="1:20" ht="14.4" thickBot="1" x14ac:dyDescent="0.35">
      <c r="A160" s="70"/>
      <c r="B160" s="98"/>
      <c r="C160" s="109" t="s">
        <v>27</v>
      </c>
      <c r="D160" s="110"/>
      <c r="E160" s="259"/>
      <c r="F160" s="110"/>
      <c r="G160" s="262">
        <f>R156-G159</f>
        <v>0</v>
      </c>
      <c r="H160" s="262">
        <f t="shared" ref="H160:R160" si="59">G160-H159</f>
        <v>0</v>
      </c>
      <c r="I160" s="262">
        <f t="shared" si="59"/>
        <v>0</v>
      </c>
      <c r="J160" s="262">
        <f t="shared" si="59"/>
        <v>0</v>
      </c>
      <c r="K160" s="262">
        <f t="shared" si="59"/>
        <v>0</v>
      </c>
      <c r="L160" s="262">
        <f t="shared" si="59"/>
        <v>0</v>
      </c>
      <c r="M160" s="262">
        <f t="shared" si="59"/>
        <v>0</v>
      </c>
      <c r="N160" s="262">
        <f t="shared" si="59"/>
        <v>0</v>
      </c>
      <c r="O160" s="262">
        <f t="shared" si="59"/>
        <v>0</v>
      </c>
      <c r="P160" s="262">
        <f t="shared" si="59"/>
        <v>0</v>
      </c>
      <c r="Q160" s="262">
        <f t="shared" si="59"/>
        <v>0</v>
      </c>
      <c r="R160" s="263">
        <f t="shared" si="59"/>
        <v>0</v>
      </c>
      <c r="S160" s="263"/>
      <c r="T160" s="37"/>
    </row>
    <row r="161" spans="1:20" ht="14.4" thickTop="1" x14ac:dyDescent="0.3">
      <c r="A161" s="70"/>
      <c r="B161" s="98" t="s">
        <v>17</v>
      </c>
      <c r="C161" s="98"/>
      <c r="D161" s="70"/>
      <c r="E161" s="254"/>
      <c r="F161" s="70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  <c r="Q161" s="254"/>
      <c r="R161" s="36"/>
      <c r="S161" s="36"/>
      <c r="T161" s="37"/>
    </row>
    <row r="162" spans="1:20" ht="13.8" x14ac:dyDescent="0.3">
      <c r="A162" s="70"/>
      <c r="B162" s="98"/>
      <c r="C162" s="98" t="s">
        <v>20</v>
      </c>
      <c r="D162" s="70"/>
      <c r="E162" s="254"/>
      <c r="F162" s="70"/>
      <c r="G162" s="255">
        <f>ABS(IPMT($E$149/12,25,$E$150,$E$148))</f>
        <v>0</v>
      </c>
      <c r="H162" s="255">
        <f>ABS(IPMT($E$149/12,26,$E$150,$E$148))</f>
        <v>0</v>
      </c>
      <c r="I162" s="255">
        <f>ABS(IPMT($E$149/12,27,$E$150,$E$148))</f>
        <v>0</v>
      </c>
      <c r="J162" s="255">
        <f>ABS(IPMT($E$149/12,28,$E$150,$E$148))</f>
        <v>0</v>
      </c>
      <c r="K162" s="255">
        <f>ABS(IPMT($E$149/12,29,$E$150,$E$148))</f>
        <v>0</v>
      </c>
      <c r="L162" s="255">
        <f>ABS(IPMT($E$149/12,30,$E$150,$E$148))</f>
        <v>0</v>
      </c>
      <c r="M162" s="255">
        <f>ABS(IPMT($E$149/12,31,$E$150,$E$148))</f>
        <v>0</v>
      </c>
      <c r="N162" s="255">
        <f>ABS(IPMT($E$149/12,32,$E$150,$E$148))</f>
        <v>0</v>
      </c>
      <c r="O162" s="255">
        <f>ABS(IPMT($E$149/12,33,$E$150,$E$148))</f>
        <v>0</v>
      </c>
      <c r="P162" s="255">
        <f>ABS(IPMT($E$149/12,34,$E$150,$E$148))</f>
        <v>0</v>
      </c>
      <c r="Q162" s="255">
        <f>ABS(IPMT($E$149/12,35,$E$150,$E$148))</f>
        <v>0</v>
      </c>
      <c r="R162" s="41">
        <f>ABS(IPMT($E$149/12,36,$E$150,$E$148))</f>
        <v>0</v>
      </c>
      <c r="S162" s="41">
        <f>SUM(G162:R162)</f>
        <v>0</v>
      </c>
      <c r="T162" s="37"/>
    </row>
    <row r="163" spans="1:20" ht="13.8" x14ac:dyDescent="0.3">
      <c r="A163" s="70"/>
      <c r="B163" s="98"/>
      <c r="C163" s="98" t="s">
        <v>25</v>
      </c>
      <c r="D163" s="70"/>
      <c r="E163" s="254"/>
      <c r="F163" s="70"/>
      <c r="G163" s="255">
        <f>ABS(PPMT($E$149/12,25,$E$150,$E$148))</f>
        <v>0</v>
      </c>
      <c r="H163" s="255">
        <f>ABS(PPMT($E$149/12,26,$E$150,$E$148))</f>
        <v>0</v>
      </c>
      <c r="I163" s="255">
        <f>ABS(PPMT($E$149/12,27,$E$150,$E$148))</f>
        <v>0</v>
      </c>
      <c r="J163" s="255">
        <f>ABS(PPMT($E$149/12,28,$E$150,$E$148))</f>
        <v>0</v>
      </c>
      <c r="K163" s="255">
        <f>ABS(PPMT($E$149/12,29,$E$150,$E$148))</f>
        <v>0</v>
      </c>
      <c r="L163" s="255">
        <f>ABS(PPMT($E$149/12,30,$E$150,$E$148))</f>
        <v>0</v>
      </c>
      <c r="M163" s="255">
        <f>ABS(PPMT($E$149/12,31,$E$150,$E$148))</f>
        <v>0</v>
      </c>
      <c r="N163" s="255">
        <f>ABS(PPMT($E$149/12,32,$E$150,$E$148))</f>
        <v>0</v>
      </c>
      <c r="O163" s="255">
        <f>ABS(PPMT($E$149/12,33,$E$150,$E$148))</f>
        <v>0</v>
      </c>
      <c r="P163" s="255">
        <f>ABS(PPMT($E$149/12,34,$E$150,$E$148))</f>
        <v>0</v>
      </c>
      <c r="Q163" s="255">
        <f>ABS(PPMT($E$149/12,35,$E$150,$E$148))</f>
        <v>0</v>
      </c>
      <c r="R163" s="41">
        <f>ABS(PPMT($E$149/12,36,$E$150,$E$148))</f>
        <v>0</v>
      </c>
      <c r="S163" s="41">
        <f>SUM(G163:R163)</f>
        <v>0</v>
      </c>
      <c r="T163" s="37"/>
    </row>
    <row r="164" spans="1:20" ht="14.4" thickBot="1" x14ac:dyDescent="0.35">
      <c r="A164" s="70"/>
      <c r="B164" s="98"/>
      <c r="C164" s="109" t="s">
        <v>27</v>
      </c>
      <c r="D164" s="110"/>
      <c r="E164" s="259"/>
      <c r="F164" s="110"/>
      <c r="G164" s="259">
        <f>R160-G163</f>
        <v>0</v>
      </c>
      <c r="H164" s="259">
        <f t="shared" ref="H164:R164" si="60">G164-H163</f>
        <v>0</v>
      </c>
      <c r="I164" s="259">
        <f t="shared" si="60"/>
        <v>0</v>
      </c>
      <c r="J164" s="259">
        <f t="shared" si="60"/>
        <v>0</v>
      </c>
      <c r="K164" s="259">
        <f t="shared" si="60"/>
        <v>0</v>
      </c>
      <c r="L164" s="259">
        <f t="shared" si="60"/>
        <v>0</v>
      </c>
      <c r="M164" s="259">
        <f t="shared" si="60"/>
        <v>0</v>
      </c>
      <c r="N164" s="259">
        <f t="shared" si="60"/>
        <v>0</v>
      </c>
      <c r="O164" s="259">
        <f t="shared" si="60"/>
        <v>0</v>
      </c>
      <c r="P164" s="259">
        <f t="shared" si="60"/>
        <v>0</v>
      </c>
      <c r="Q164" s="259">
        <f t="shared" si="60"/>
        <v>0</v>
      </c>
      <c r="R164" s="261">
        <f t="shared" si="60"/>
        <v>0</v>
      </c>
      <c r="S164" s="261"/>
      <c r="T164" s="37"/>
    </row>
    <row r="165" spans="1:20" ht="15" thickTop="1" thickBot="1" x14ac:dyDescent="0.35">
      <c r="A165" s="70"/>
      <c r="B165" s="98"/>
      <c r="C165" s="101"/>
      <c r="D165" s="102"/>
      <c r="E165" s="257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54"/>
      <c r="S165" s="154"/>
    </row>
    <row r="166" spans="1:20" ht="13.8" x14ac:dyDescent="0.3">
      <c r="A166" s="70"/>
      <c r="B166" s="98"/>
      <c r="C166" s="98"/>
      <c r="D166" s="70"/>
      <c r="E166" s="254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</row>
    <row r="167" spans="1:20" ht="14.4" thickBot="1" x14ac:dyDescent="0.35">
      <c r="A167" s="154"/>
      <c r="B167" s="42"/>
      <c r="C167" s="42"/>
      <c r="D167" s="154"/>
      <c r="E167" s="154"/>
      <c r="F167" s="154"/>
      <c r="G167" s="154"/>
      <c r="H167" s="154"/>
      <c r="I167" s="154"/>
      <c r="J167" s="154"/>
      <c r="K167" s="154"/>
      <c r="L167" s="102"/>
      <c r="M167" s="102"/>
      <c r="N167" s="102"/>
      <c r="O167" s="102"/>
      <c r="P167" s="102"/>
      <c r="Q167" s="102"/>
      <c r="R167" s="154"/>
      <c r="S167" s="154"/>
    </row>
    <row r="168" spans="1:20" ht="13.8" x14ac:dyDescent="0.3">
      <c r="L168" s="70"/>
      <c r="M168" s="70"/>
      <c r="N168" s="70"/>
      <c r="O168" s="70"/>
      <c r="P168" s="70"/>
      <c r="Q168" s="70"/>
    </row>
    <row r="169" spans="1:20" ht="13.8" x14ac:dyDescent="0.3">
      <c r="L169" s="70"/>
      <c r="M169" s="70"/>
      <c r="N169" s="70"/>
      <c r="O169" s="70"/>
      <c r="P169" s="70"/>
      <c r="Q169" s="70"/>
    </row>
    <row r="170" spans="1:20" ht="13.8" x14ac:dyDescent="0.3">
      <c r="L170" s="70"/>
      <c r="M170" s="70"/>
      <c r="N170" s="70"/>
      <c r="O170" s="70"/>
      <c r="P170" s="70"/>
      <c r="Q170" s="70"/>
    </row>
    <row r="171" spans="1:20" ht="13.8" x14ac:dyDescent="0.3">
      <c r="L171" s="70"/>
      <c r="M171" s="70"/>
      <c r="N171" s="70"/>
      <c r="O171" s="70"/>
      <c r="P171" s="70"/>
      <c r="Q171" s="70"/>
    </row>
    <row r="172" spans="1:20" ht="13.8" x14ac:dyDescent="0.3">
      <c r="L172" s="70"/>
      <c r="M172" s="70"/>
      <c r="N172" s="70"/>
      <c r="O172" s="70"/>
      <c r="P172" s="70"/>
      <c r="Q172" s="70"/>
    </row>
    <row r="173" spans="1:20" ht="13.8" x14ac:dyDescent="0.3">
      <c r="L173" s="70"/>
      <c r="M173" s="70"/>
      <c r="N173" s="70"/>
      <c r="O173" s="70"/>
      <c r="P173" s="70"/>
      <c r="Q173" s="70"/>
    </row>
    <row r="174" spans="1:20" ht="13.8" x14ac:dyDescent="0.3">
      <c r="L174" s="70"/>
      <c r="M174" s="70"/>
      <c r="N174" s="70"/>
      <c r="O174" s="70"/>
      <c r="P174" s="70"/>
      <c r="Q174" s="70"/>
    </row>
    <row r="175" spans="1:20" ht="13.8" x14ac:dyDescent="0.3">
      <c r="L175" s="70"/>
      <c r="M175" s="70"/>
      <c r="N175" s="70"/>
      <c r="O175" s="70"/>
      <c r="P175" s="70"/>
      <c r="Q175" s="70"/>
    </row>
    <row r="176" spans="1:20" ht="13.8" x14ac:dyDescent="0.3">
      <c r="L176" s="70"/>
      <c r="M176" s="70"/>
      <c r="N176" s="70"/>
      <c r="O176" s="70"/>
      <c r="P176" s="70"/>
      <c r="Q176" s="70"/>
    </row>
    <row r="177" spans="1:17" ht="13.8" x14ac:dyDescent="0.3">
      <c r="L177" s="70"/>
      <c r="M177" s="70"/>
      <c r="N177" s="70"/>
      <c r="O177" s="70"/>
      <c r="P177" s="70"/>
      <c r="Q177" s="70"/>
    </row>
    <row r="178" spans="1:17" ht="13.8" x14ac:dyDescent="0.3">
      <c r="L178" s="70"/>
      <c r="M178" s="70"/>
      <c r="N178" s="70"/>
      <c r="O178" s="70"/>
      <c r="P178" s="70"/>
      <c r="Q178" s="70"/>
    </row>
    <row r="179" spans="1:17" ht="13.8" x14ac:dyDescent="0.3">
      <c r="L179" s="70"/>
      <c r="M179" s="70"/>
      <c r="N179" s="70"/>
      <c r="O179" s="70"/>
      <c r="P179" s="70"/>
      <c r="Q179" s="70"/>
    </row>
    <row r="180" spans="1:17" ht="13.8" x14ac:dyDescent="0.3">
      <c r="L180" s="70"/>
      <c r="M180" s="70"/>
      <c r="N180" s="70"/>
      <c r="O180" s="70"/>
      <c r="P180" s="70"/>
      <c r="Q180" s="70"/>
    </row>
    <row r="181" spans="1:17" ht="13.8" x14ac:dyDescent="0.3">
      <c r="L181" s="70"/>
      <c r="M181" s="70"/>
      <c r="N181" s="70"/>
      <c r="O181" s="70"/>
      <c r="P181" s="70"/>
      <c r="Q181" s="70"/>
    </row>
    <row r="182" spans="1:17" ht="13.8" x14ac:dyDescent="0.3">
      <c r="L182" s="70"/>
      <c r="M182" s="70"/>
      <c r="N182" s="70"/>
      <c r="O182" s="70"/>
      <c r="P182" s="70"/>
      <c r="Q182" s="70"/>
    </row>
    <row r="183" spans="1:17" ht="13.8" x14ac:dyDescent="0.3">
      <c r="L183" s="70"/>
      <c r="M183" s="70"/>
      <c r="N183" s="70"/>
      <c r="O183" s="70"/>
      <c r="P183" s="70"/>
      <c r="Q183" s="70"/>
    </row>
    <row r="184" spans="1:17" ht="13.8" x14ac:dyDescent="0.3">
      <c r="L184" s="70"/>
      <c r="M184" s="70"/>
      <c r="N184" s="70"/>
      <c r="O184" s="70"/>
      <c r="P184" s="70"/>
      <c r="Q184" s="70"/>
    </row>
    <row r="185" spans="1:17" ht="13.8" x14ac:dyDescent="0.3">
      <c r="L185" s="70"/>
      <c r="M185" s="70"/>
      <c r="N185" s="70"/>
      <c r="O185" s="70"/>
      <c r="P185" s="70"/>
      <c r="Q185" s="70"/>
    </row>
    <row r="186" spans="1:17" ht="13.8" x14ac:dyDescent="0.3">
      <c r="L186" s="70"/>
      <c r="M186" s="70"/>
      <c r="N186" s="70"/>
      <c r="O186" s="70"/>
      <c r="P186" s="70"/>
      <c r="Q186" s="70"/>
    </row>
    <row r="187" spans="1:17" ht="13.8" x14ac:dyDescent="0.3">
      <c r="L187" s="70"/>
      <c r="M187" s="70"/>
      <c r="N187" s="70"/>
      <c r="O187" s="70"/>
      <c r="P187" s="70"/>
      <c r="Q187" s="70"/>
    </row>
    <row r="188" spans="1:17" ht="13.8" x14ac:dyDescent="0.3">
      <c r="L188" s="70"/>
      <c r="M188" s="70"/>
      <c r="N188" s="70"/>
      <c r="O188" s="70"/>
      <c r="P188" s="70"/>
      <c r="Q188" s="70"/>
    </row>
    <row r="189" spans="1:17" ht="13.8" x14ac:dyDescent="0.3">
      <c r="A189" s="70"/>
      <c r="B189" s="98"/>
      <c r="C189" s="98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</row>
    <row r="190" spans="1:17" ht="13.8" x14ac:dyDescent="0.3">
      <c r="A190" s="70"/>
      <c r="B190" s="98"/>
      <c r="C190" s="98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</row>
    <row r="191" spans="1:17" ht="13.8" x14ac:dyDescent="0.3">
      <c r="A191" s="70"/>
      <c r="B191" s="98"/>
      <c r="C191" s="98"/>
      <c r="D191" s="70"/>
      <c r="E191" s="70"/>
      <c r="F191" s="70"/>
      <c r="G191" s="254"/>
      <c r="H191" s="254"/>
      <c r="I191" s="254"/>
      <c r="J191" s="254"/>
      <c r="K191" s="254"/>
      <c r="L191" s="70"/>
      <c r="M191" s="70"/>
      <c r="N191" s="70"/>
      <c r="O191" s="70"/>
      <c r="P191" s="70"/>
      <c r="Q191" s="70"/>
    </row>
    <row r="192" spans="1:17" ht="13.8" x14ac:dyDescent="0.3">
      <c r="A192" s="70"/>
      <c r="B192" s="98"/>
      <c r="C192" s="98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</row>
    <row r="193" spans="1:17" ht="13.8" x14ac:dyDescent="0.3">
      <c r="A193" s="70"/>
      <c r="B193" s="98"/>
      <c r="C193" s="98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</row>
    <row r="194" spans="1:17" ht="13.8" x14ac:dyDescent="0.3">
      <c r="A194" s="70"/>
      <c r="B194" s="98"/>
      <c r="C194" s="98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</row>
    <row r="195" spans="1:17" ht="13.8" x14ac:dyDescent="0.3">
      <c r="A195" s="70"/>
      <c r="B195" s="98"/>
      <c r="C195" s="98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</row>
    <row r="196" spans="1:17" ht="13.8" x14ac:dyDescent="0.3">
      <c r="A196" s="70"/>
      <c r="B196" s="98"/>
      <c r="C196" s="98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</row>
    <row r="197" spans="1:17" ht="13.8" x14ac:dyDescent="0.3">
      <c r="A197" s="70"/>
      <c r="B197" s="98"/>
      <c r="C197" s="98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</row>
    <row r="198" spans="1:17" ht="13.8" x14ac:dyDescent="0.3">
      <c r="A198" s="70"/>
      <c r="B198" s="98"/>
      <c r="C198" s="98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</row>
    <row r="199" spans="1:17" ht="13.8" x14ac:dyDescent="0.3">
      <c r="A199" s="70"/>
      <c r="B199" s="98"/>
      <c r="C199" s="98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</row>
    <row r="200" spans="1:17" ht="13.8" x14ac:dyDescent="0.3">
      <c r="A200" s="70"/>
      <c r="B200" s="98"/>
      <c r="C200" s="98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</row>
    <row r="201" spans="1:17" ht="13.8" x14ac:dyDescent="0.3">
      <c r="A201" s="70"/>
      <c r="B201" s="98"/>
      <c r="C201" s="98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</row>
    <row r="202" spans="1:17" ht="13.8" x14ac:dyDescent="0.3">
      <c r="A202" s="70"/>
      <c r="B202" s="98"/>
      <c r="C202" s="98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</row>
    <row r="203" spans="1:17" ht="13.8" x14ac:dyDescent="0.3">
      <c r="A203" s="70"/>
      <c r="B203" s="98"/>
      <c r="C203" s="98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</row>
    <row r="204" spans="1:17" ht="13.8" x14ac:dyDescent="0.3">
      <c r="A204" s="70"/>
      <c r="B204" s="98"/>
      <c r="C204" s="98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</row>
    <row r="205" spans="1:17" ht="13.8" x14ac:dyDescent="0.3">
      <c r="A205" s="70"/>
      <c r="B205" s="98"/>
      <c r="C205" s="98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</row>
    <row r="206" spans="1:17" ht="13.8" x14ac:dyDescent="0.3">
      <c r="A206" s="70"/>
      <c r="B206" s="98"/>
      <c r="C206" s="98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</row>
    <row r="207" spans="1:17" ht="13.8" x14ac:dyDescent="0.3">
      <c r="A207" s="70"/>
      <c r="B207" s="98"/>
      <c r="C207" s="98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</row>
    <row r="208" spans="1:17" ht="13.8" x14ac:dyDescent="0.3">
      <c r="A208" s="70"/>
      <c r="B208" s="98"/>
      <c r="C208" s="98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</row>
    <row r="209" spans="1:17" ht="13.8" x14ac:dyDescent="0.3">
      <c r="A209" s="70"/>
      <c r="B209" s="98"/>
      <c r="C209" s="98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</row>
    <row r="210" spans="1:17" ht="13.8" x14ac:dyDescent="0.3">
      <c r="A210" s="70"/>
      <c r="B210" s="98"/>
      <c r="C210" s="98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</row>
    <row r="211" spans="1:17" ht="13.8" x14ac:dyDescent="0.3">
      <c r="A211" s="70"/>
      <c r="B211" s="98"/>
      <c r="C211" s="98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</row>
    <row r="212" spans="1:17" ht="13.8" x14ac:dyDescent="0.3">
      <c r="A212" s="70"/>
      <c r="B212" s="98"/>
      <c r="C212" s="98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</row>
    <row r="213" spans="1:17" ht="13.8" x14ac:dyDescent="0.3">
      <c r="A213" s="70"/>
      <c r="B213" s="98"/>
      <c r="C213" s="98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</row>
    <row r="214" spans="1:17" ht="13.8" x14ac:dyDescent="0.3">
      <c r="A214" s="70"/>
      <c r="B214" s="98"/>
      <c r="C214" s="98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</row>
    <row r="215" spans="1:17" ht="13.8" x14ac:dyDescent="0.3">
      <c r="A215" s="70"/>
      <c r="B215" s="98"/>
      <c r="C215" s="98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</row>
    <row r="216" spans="1:17" ht="13.8" x14ac:dyDescent="0.3">
      <c r="A216" s="70"/>
      <c r="B216" s="98"/>
      <c r="C216" s="98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</row>
    <row r="217" spans="1:17" ht="13.8" x14ac:dyDescent="0.3">
      <c r="A217" s="70"/>
      <c r="B217" s="98"/>
      <c r="C217" s="98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</row>
    <row r="218" spans="1:17" ht="13.8" x14ac:dyDescent="0.3">
      <c r="A218" s="70"/>
      <c r="B218" s="98"/>
      <c r="C218" s="98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</row>
    <row r="219" spans="1:17" ht="13.8" x14ac:dyDescent="0.3">
      <c r="A219" s="70"/>
      <c r="B219" s="98"/>
      <c r="C219" s="98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</row>
    <row r="220" spans="1:17" ht="13.8" x14ac:dyDescent="0.3">
      <c r="A220" s="70"/>
      <c r="B220" s="98"/>
      <c r="C220" s="98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</row>
    <row r="221" spans="1:17" ht="13.8" x14ac:dyDescent="0.3">
      <c r="A221" s="70"/>
      <c r="B221" s="98"/>
      <c r="C221" s="98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</row>
    <row r="222" spans="1:17" ht="13.8" x14ac:dyDescent="0.3">
      <c r="A222" s="70"/>
      <c r="B222" s="98"/>
      <c r="C222" s="98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</row>
    <row r="223" spans="1:17" ht="13.8" x14ac:dyDescent="0.3">
      <c r="A223" s="70"/>
      <c r="B223" s="98"/>
      <c r="C223" s="98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</row>
    <row r="224" spans="1:17" ht="13.8" x14ac:dyDescent="0.3">
      <c r="A224" s="70"/>
      <c r="B224" s="98"/>
      <c r="C224" s="98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</row>
    <row r="225" spans="1:17" ht="13.8" x14ac:dyDescent="0.3">
      <c r="A225" s="70"/>
      <c r="B225" s="98"/>
      <c r="C225" s="98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</row>
    <row r="226" spans="1:17" ht="13.8" x14ac:dyDescent="0.3">
      <c r="A226" s="70"/>
      <c r="B226" s="98"/>
      <c r="C226" s="98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</row>
    <row r="227" spans="1:17" ht="13.8" x14ac:dyDescent="0.3">
      <c r="A227" s="70"/>
      <c r="B227" s="98"/>
      <c r="C227" s="98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</row>
  </sheetData>
  <mergeCells count="2">
    <mergeCell ref="A1:S3"/>
    <mergeCell ref="A5:E7"/>
  </mergeCells>
  <phoneticPr fontId="7" type="noConversion"/>
  <pageMargins left="0.75" right="0.75" top="1" bottom="1" header="0.5" footer="0.5"/>
  <pageSetup scale="75" orientation="landscape" horizontalDpi="300" verticalDpi="3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R136"/>
  <sheetViews>
    <sheetView showGridLines="0" showRowColHeaders="0" zoomScaleNormal="100" workbookViewId="0">
      <selection activeCell="B36" sqref="B36"/>
    </sheetView>
  </sheetViews>
  <sheetFormatPr defaultColWidth="8.875" defaultRowHeight="11.4" outlineLevelRow="3" x14ac:dyDescent="0.2"/>
  <cols>
    <col min="1" max="3" width="3" style="3" customWidth="1"/>
    <col min="4" max="4" width="29.75" customWidth="1"/>
    <col min="5" max="11" width="18.75" customWidth="1"/>
    <col min="12" max="15" width="12.125" customWidth="1"/>
    <col min="16" max="16" width="13.75" customWidth="1"/>
    <col min="17" max="17" width="12.375" bestFit="1" customWidth="1"/>
  </cols>
  <sheetData>
    <row r="1" spans="1:17" ht="18.75" customHeight="1" x14ac:dyDescent="0.25">
      <c r="A1" s="594" t="s">
        <v>247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44"/>
      <c r="M1" s="44"/>
      <c r="N1" s="44"/>
      <c r="O1" s="44"/>
      <c r="P1" s="44"/>
      <c r="Q1" s="44"/>
    </row>
    <row r="2" spans="1:17" ht="18.75" customHeight="1" x14ac:dyDescent="0.25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44"/>
      <c r="M2" s="44"/>
      <c r="N2" s="44"/>
      <c r="O2" s="44"/>
      <c r="P2" s="44"/>
      <c r="Q2" s="44"/>
    </row>
    <row r="3" spans="1:17" ht="18.75" customHeight="1" x14ac:dyDescent="0.25">
      <c r="A3" s="594"/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44"/>
      <c r="M3" s="44"/>
      <c r="N3" s="44"/>
      <c r="O3" s="44"/>
      <c r="P3" s="44"/>
      <c r="Q3" s="44"/>
    </row>
    <row r="4" spans="1:17" ht="12.75" customHeight="1" x14ac:dyDescent="0.3">
      <c r="A4" s="98"/>
      <c r="B4" s="98"/>
      <c r="C4" s="98"/>
      <c r="D4" s="70"/>
      <c r="E4" s="70"/>
      <c r="F4" s="70"/>
      <c r="G4" s="70"/>
      <c r="H4" s="70"/>
      <c r="I4" s="70"/>
      <c r="J4" s="70"/>
      <c r="K4" s="70"/>
      <c r="L4" s="44"/>
      <c r="M4" s="44"/>
      <c r="N4" s="44"/>
      <c r="O4" s="44"/>
      <c r="P4" s="44"/>
      <c r="Q4" s="44"/>
    </row>
    <row r="5" spans="1:17" ht="12.75" customHeight="1" x14ac:dyDescent="0.3">
      <c r="A5" s="98"/>
      <c r="B5" s="98"/>
      <c r="C5" s="98"/>
      <c r="D5" s="602" t="s">
        <v>148</v>
      </c>
      <c r="E5" s="70"/>
      <c r="F5" s="70"/>
      <c r="G5" s="70"/>
      <c r="H5" s="70"/>
      <c r="I5" s="70"/>
      <c r="J5" s="70"/>
      <c r="K5" s="70"/>
      <c r="L5" s="44"/>
      <c r="M5" s="44"/>
      <c r="N5" s="44"/>
      <c r="O5" s="44"/>
      <c r="P5" s="44"/>
      <c r="Q5" s="44"/>
    </row>
    <row r="6" spans="1:17" ht="12.75" customHeight="1" x14ac:dyDescent="0.3">
      <c r="B6" s="126"/>
      <c r="D6" s="602"/>
      <c r="E6" s="97">
        <v>2011</v>
      </c>
      <c r="F6" s="97">
        <f>E6+1</f>
        <v>2012</v>
      </c>
      <c r="G6" s="97">
        <f t="shared" ref="G6:I6" si="0">F6+1</f>
        <v>2013</v>
      </c>
      <c r="H6" s="97">
        <f t="shared" si="0"/>
        <v>2014</v>
      </c>
      <c r="I6" s="97">
        <f t="shared" si="0"/>
        <v>2015</v>
      </c>
      <c r="J6" s="97" t="s">
        <v>147</v>
      </c>
      <c r="K6" s="97" t="s">
        <v>173</v>
      </c>
      <c r="L6" s="44"/>
      <c r="M6" s="44"/>
      <c r="N6" s="44"/>
      <c r="O6" s="44"/>
      <c r="P6" s="44"/>
      <c r="Q6" s="44"/>
    </row>
    <row r="7" spans="1:17" ht="12.75" customHeight="1" x14ac:dyDescent="0.3">
      <c r="A7" s="126"/>
      <c r="B7" s="126"/>
      <c r="C7" s="126"/>
      <c r="D7" s="602"/>
      <c r="E7" s="97"/>
      <c r="F7" s="97"/>
      <c r="G7" s="97"/>
      <c r="H7" s="97"/>
      <c r="I7" s="97"/>
      <c r="J7" s="97"/>
      <c r="K7" s="97"/>
      <c r="L7" s="44"/>
      <c r="M7" s="44"/>
      <c r="N7" s="44"/>
      <c r="O7" s="44"/>
      <c r="P7" s="44"/>
      <c r="Q7" s="44"/>
    </row>
    <row r="8" spans="1:17" ht="12.75" customHeight="1" thickBot="1" x14ac:dyDescent="0.35">
      <c r="A8" s="606"/>
      <c r="B8" s="606"/>
      <c r="C8" s="606"/>
      <c r="D8" s="606"/>
      <c r="E8" s="120"/>
      <c r="F8" s="120"/>
      <c r="G8" s="120"/>
      <c r="H8" s="120"/>
      <c r="I8" s="120"/>
      <c r="J8" s="120"/>
      <c r="K8" s="120"/>
      <c r="L8" s="47"/>
      <c r="M8" s="47"/>
      <c r="N8" s="47"/>
      <c r="O8" s="47"/>
      <c r="P8" s="47"/>
      <c r="Q8" s="44"/>
    </row>
    <row r="9" spans="1:17" ht="12.75" customHeight="1" x14ac:dyDescent="0.3">
      <c r="A9" s="118"/>
      <c r="B9" s="118"/>
      <c r="C9" s="118"/>
      <c r="D9" s="118"/>
      <c r="E9" s="97"/>
      <c r="F9" s="97"/>
      <c r="G9" s="97"/>
      <c r="H9" s="97"/>
      <c r="I9" s="97"/>
      <c r="J9" s="97"/>
      <c r="K9" s="97"/>
      <c r="L9" s="47"/>
      <c r="M9" s="47"/>
      <c r="N9" s="47"/>
      <c r="O9" s="47"/>
      <c r="P9" s="47"/>
      <c r="Q9" s="44"/>
    </row>
    <row r="10" spans="1:17" ht="12.75" customHeight="1" x14ac:dyDescent="0.3">
      <c r="A10" s="98" t="s">
        <v>149</v>
      </c>
      <c r="B10" s="98"/>
      <c r="C10" s="98"/>
      <c r="D10" s="70"/>
      <c r="E10" s="108">
        <v>0</v>
      </c>
      <c r="F10" s="108">
        <v>0</v>
      </c>
      <c r="G10" s="108">
        <v>0</v>
      </c>
      <c r="H10" s="108">
        <v>0</v>
      </c>
      <c r="I10" s="108">
        <v>0</v>
      </c>
      <c r="J10" s="108">
        <f>AVERAGE(E10:I10)</f>
        <v>0</v>
      </c>
      <c r="K10" s="108"/>
      <c r="L10" s="81"/>
      <c r="M10" s="81"/>
      <c r="N10" s="81"/>
      <c r="O10" s="81"/>
      <c r="P10" s="81"/>
      <c r="Q10" s="44"/>
    </row>
    <row r="11" spans="1:17" ht="12.75" customHeight="1" thickBot="1" x14ac:dyDescent="0.35">
      <c r="A11" s="101"/>
      <c r="B11" s="101"/>
      <c r="C11" s="101"/>
      <c r="D11" s="102"/>
      <c r="E11" s="103"/>
      <c r="F11" s="103"/>
      <c r="G11" s="103"/>
      <c r="H11" s="103"/>
      <c r="I11" s="103"/>
      <c r="J11" s="123"/>
      <c r="K11" s="123"/>
      <c r="L11" s="82"/>
      <c r="M11" s="82"/>
      <c r="N11" s="82"/>
      <c r="O11" s="82"/>
      <c r="P11" s="82"/>
      <c r="Q11" s="44"/>
    </row>
    <row r="12" spans="1:17" ht="12.75" customHeight="1" outlineLevel="1" x14ac:dyDescent="0.3">
      <c r="A12" s="98"/>
      <c r="B12" s="98"/>
      <c r="C12" s="98"/>
      <c r="D12" s="70"/>
      <c r="E12" s="108"/>
      <c r="F12" s="108"/>
      <c r="G12" s="108"/>
      <c r="H12" s="108"/>
      <c r="I12" s="108"/>
      <c r="J12" s="108"/>
      <c r="K12" s="108"/>
      <c r="L12" s="82"/>
      <c r="M12" s="82"/>
      <c r="N12" s="82"/>
      <c r="O12" s="82"/>
      <c r="P12" s="82"/>
      <c r="Q12" s="44"/>
    </row>
    <row r="13" spans="1:17" ht="12.75" customHeight="1" outlineLevel="3" x14ac:dyDescent="0.3">
      <c r="A13" s="98"/>
      <c r="B13" s="98" t="s">
        <v>264</v>
      </c>
      <c r="C13" s="98"/>
      <c r="D13" s="70"/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f>AVERAGE(E13:I13)</f>
        <v>0</v>
      </c>
      <c r="K13" s="147">
        <f>IF($J$10=0,0,-J13/$J$10)</f>
        <v>0</v>
      </c>
      <c r="L13" s="82"/>
      <c r="M13" s="82"/>
      <c r="N13" s="82"/>
      <c r="O13" s="82"/>
      <c r="P13" s="82"/>
      <c r="Q13" s="44"/>
    </row>
    <row r="14" spans="1:17" ht="12.75" customHeight="1" outlineLevel="3" x14ac:dyDescent="0.3">
      <c r="A14" s="98"/>
      <c r="B14" s="98" t="s">
        <v>264</v>
      </c>
      <c r="C14" s="98"/>
      <c r="D14" s="70"/>
      <c r="E14" s="104">
        <v>0</v>
      </c>
      <c r="F14" s="104">
        <v>0</v>
      </c>
      <c r="G14" s="104">
        <v>0</v>
      </c>
      <c r="H14" s="104">
        <v>0</v>
      </c>
      <c r="I14" s="104">
        <v>0</v>
      </c>
      <c r="J14" s="104">
        <f t="shared" ref="J14:J32" si="1">AVERAGE(E14:I14)</f>
        <v>0</v>
      </c>
      <c r="K14" s="147">
        <f t="shared" ref="K14:K32" si="2">IF($J$10=0,0,-J14/$J$10)</f>
        <v>0</v>
      </c>
      <c r="L14" s="82"/>
      <c r="M14" s="82"/>
      <c r="N14" s="82"/>
      <c r="O14" s="82"/>
      <c r="P14" s="82"/>
      <c r="Q14" s="44"/>
    </row>
    <row r="15" spans="1:17" ht="12.75" customHeight="1" outlineLevel="3" x14ac:dyDescent="0.3">
      <c r="A15" s="98"/>
      <c r="B15" s="98" t="s">
        <v>264</v>
      </c>
      <c r="C15" s="98"/>
      <c r="D15" s="70"/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f t="shared" si="1"/>
        <v>0</v>
      </c>
      <c r="K15" s="147">
        <f t="shared" si="2"/>
        <v>0</v>
      </c>
      <c r="L15" s="82"/>
      <c r="M15" s="82"/>
      <c r="N15" s="82"/>
      <c r="O15" s="82"/>
      <c r="P15" s="82"/>
      <c r="Q15" s="44"/>
    </row>
    <row r="16" spans="1:17" ht="12.75" customHeight="1" outlineLevel="3" x14ac:dyDescent="0.3">
      <c r="A16" s="98"/>
      <c r="B16" s="98" t="s">
        <v>264</v>
      </c>
      <c r="C16" s="98"/>
      <c r="D16" s="70"/>
      <c r="E16" s="104">
        <v>0</v>
      </c>
      <c r="F16" s="104">
        <v>0</v>
      </c>
      <c r="G16" s="104">
        <v>0</v>
      </c>
      <c r="H16" s="104">
        <v>0</v>
      </c>
      <c r="I16" s="104">
        <v>0</v>
      </c>
      <c r="J16" s="104">
        <f t="shared" ref="J16:J23" si="3">AVERAGE(E16:I16)</f>
        <v>0</v>
      </c>
      <c r="K16" s="147">
        <f t="shared" ref="K16:K23" si="4">IF($J$10=0,0,-J16/$J$10)</f>
        <v>0</v>
      </c>
      <c r="L16" s="82"/>
      <c r="M16" s="83"/>
      <c r="N16" s="83"/>
      <c r="O16" s="83"/>
      <c r="P16" s="83"/>
      <c r="Q16" s="44"/>
    </row>
    <row r="17" spans="1:17" ht="12.75" customHeight="1" outlineLevel="3" x14ac:dyDescent="0.3">
      <c r="A17" s="98"/>
      <c r="B17" s="98" t="s">
        <v>264</v>
      </c>
      <c r="C17" s="98"/>
      <c r="D17" s="70"/>
      <c r="E17" s="104">
        <v>0</v>
      </c>
      <c r="F17" s="104">
        <v>0</v>
      </c>
      <c r="G17" s="104">
        <v>0</v>
      </c>
      <c r="H17" s="104">
        <v>0</v>
      </c>
      <c r="I17" s="104">
        <v>0</v>
      </c>
      <c r="J17" s="104">
        <f t="shared" si="3"/>
        <v>0</v>
      </c>
      <c r="K17" s="147">
        <f t="shared" si="4"/>
        <v>0</v>
      </c>
      <c r="L17" s="82"/>
      <c r="M17" s="83"/>
      <c r="N17" s="83"/>
      <c r="O17" s="83"/>
      <c r="P17" s="83"/>
      <c r="Q17" s="44"/>
    </row>
    <row r="18" spans="1:17" ht="12.75" customHeight="1" outlineLevel="3" x14ac:dyDescent="0.3">
      <c r="A18" s="98"/>
      <c r="B18" s="98" t="s">
        <v>264</v>
      </c>
      <c r="C18" s="98"/>
      <c r="D18" s="70"/>
      <c r="E18" s="104">
        <v>0</v>
      </c>
      <c r="F18" s="104">
        <v>0</v>
      </c>
      <c r="G18" s="104">
        <v>0</v>
      </c>
      <c r="H18" s="104">
        <v>0</v>
      </c>
      <c r="I18" s="104">
        <v>0</v>
      </c>
      <c r="J18" s="104">
        <f t="shared" si="3"/>
        <v>0</v>
      </c>
      <c r="K18" s="147">
        <f t="shared" si="4"/>
        <v>0</v>
      </c>
      <c r="L18" s="82"/>
      <c r="M18" s="83"/>
      <c r="N18" s="83"/>
      <c r="O18" s="83"/>
      <c r="P18" s="83"/>
      <c r="Q18" s="44"/>
    </row>
    <row r="19" spans="1:17" ht="12.75" customHeight="1" outlineLevel="3" x14ac:dyDescent="0.3">
      <c r="A19" s="98"/>
      <c r="B19" s="98" t="s">
        <v>264</v>
      </c>
      <c r="C19" s="98"/>
      <c r="D19" s="70"/>
      <c r="E19" s="104">
        <v>0</v>
      </c>
      <c r="F19" s="104">
        <v>0</v>
      </c>
      <c r="G19" s="104">
        <v>0</v>
      </c>
      <c r="H19" s="104">
        <v>0</v>
      </c>
      <c r="I19" s="104">
        <v>0</v>
      </c>
      <c r="J19" s="104">
        <f t="shared" si="3"/>
        <v>0</v>
      </c>
      <c r="K19" s="147">
        <f t="shared" si="4"/>
        <v>0</v>
      </c>
      <c r="L19" s="82"/>
      <c r="M19" s="83"/>
      <c r="N19" s="83"/>
      <c r="O19" s="83"/>
      <c r="P19" s="83"/>
      <c r="Q19" s="44"/>
    </row>
    <row r="20" spans="1:17" ht="12.75" customHeight="1" outlineLevel="3" x14ac:dyDescent="0.3">
      <c r="A20" s="98"/>
      <c r="B20" s="98" t="s">
        <v>264</v>
      </c>
      <c r="C20" s="98"/>
      <c r="D20" s="70"/>
      <c r="E20" s="104">
        <v>0</v>
      </c>
      <c r="F20" s="104">
        <v>0</v>
      </c>
      <c r="G20" s="104">
        <v>0</v>
      </c>
      <c r="H20" s="104">
        <v>0</v>
      </c>
      <c r="I20" s="104">
        <v>0</v>
      </c>
      <c r="J20" s="104">
        <f t="shared" si="3"/>
        <v>0</v>
      </c>
      <c r="K20" s="147">
        <f t="shared" si="4"/>
        <v>0</v>
      </c>
      <c r="L20" s="82"/>
      <c r="M20" s="83"/>
      <c r="N20" s="83"/>
      <c r="O20" s="83"/>
      <c r="P20" s="83"/>
      <c r="Q20" s="44"/>
    </row>
    <row r="21" spans="1:17" ht="12.75" customHeight="1" outlineLevel="3" x14ac:dyDescent="0.3">
      <c r="A21" s="98"/>
      <c r="B21" s="98" t="s">
        <v>264</v>
      </c>
      <c r="C21" s="98"/>
      <c r="D21" s="70"/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f t="shared" si="3"/>
        <v>0</v>
      </c>
      <c r="K21" s="147">
        <f t="shared" si="4"/>
        <v>0</v>
      </c>
      <c r="L21" s="82"/>
      <c r="M21" s="83"/>
      <c r="N21" s="83"/>
      <c r="O21" s="83"/>
      <c r="P21" s="83"/>
      <c r="Q21" s="44"/>
    </row>
    <row r="22" spans="1:17" ht="12.75" customHeight="1" outlineLevel="3" x14ac:dyDescent="0.3">
      <c r="A22" s="98"/>
      <c r="B22" s="98" t="s">
        <v>264</v>
      </c>
      <c r="C22" s="98"/>
      <c r="D22" s="70"/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f t="shared" si="3"/>
        <v>0</v>
      </c>
      <c r="K22" s="147">
        <f t="shared" si="4"/>
        <v>0</v>
      </c>
      <c r="L22" s="82"/>
      <c r="M22" s="83"/>
      <c r="N22" s="83"/>
      <c r="O22" s="83"/>
      <c r="P22" s="83"/>
      <c r="Q22" s="44"/>
    </row>
    <row r="23" spans="1:17" ht="12.75" customHeight="1" outlineLevel="3" x14ac:dyDescent="0.3">
      <c r="A23" s="98"/>
      <c r="B23" s="98" t="s">
        <v>264</v>
      </c>
      <c r="C23" s="98"/>
      <c r="D23" s="70"/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f t="shared" si="3"/>
        <v>0</v>
      </c>
      <c r="K23" s="147">
        <f t="shared" si="4"/>
        <v>0</v>
      </c>
      <c r="L23" s="82"/>
      <c r="M23" s="83"/>
      <c r="N23" s="83"/>
      <c r="O23" s="83"/>
      <c r="P23" s="83"/>
      <c r="Q23" s="44"/>
    </row>
    <row r="24" spans="1:17" ht="12.75" customHeight="1" outlineLevel="3" x14ac:dyDescent="0.3">
      <c r="A24" s="98"/>
      <c r="B24" s="98" t="s">
        <v>264</v>
      </c>
      <c r="C24" s="98"/>
      <c r="D24" s="70"/>
      <c r="E24" s="104">
        <v>0</v>
      </c>
      <c r="F24" s="104">
        <v>0</v>
      </c>
      <c r="G24" s="104">
        <v>0</v>
      </c>
      <c r="H24" s="104">
        <v>0</v>
      </c>
      <c r="I24" s="104">
        <v>0</v>
      </c>
      <c r="J24" s="104">
        <f t="shared" si="1"/>
        <v>0</v>
      </c>
      <c r="K24" s="147">
        <f t="shared" si="2"/>
        <v>0</v>
      </c>
      <c r="L24" s="82"/>
      <c r="M24" s="83"/>
      <c r="N24" s="83"/>
      <c r="O24" s="83"/>
      <c r="P24" s="83"/>
      <c r="Q24" s="44"/>
    </row>
    <row r="25" spans="1:17" ht="12.75" customHeight="1" outlineLevel="3" x14ac:dyDescent="0.3">
      <c r="A25" s="98"/>
      <c r="B25" s="98" t="s">
        <v>264</v>
      </c>
      <c r="C25" s="98"/>
      <c r="D25" s="70"/>
      <c r="E25" s="104">
        <v>0</v>
      </c>
      <c r="F25" s="104">
        <v>0</v>
      </c>
      <c r="G25" s="104">
        <v>0</v>
      </c>
      <c r="H25" s="104">
        <v>0</v>
      </c>
      <c r="I25" s="104">
        <v>0</v>
      </c>
      <c r="J25" s="104">
        <f t="shared" si="1"/>
        <v>0</v>
      </c>
      <c r="K25" s="147">
        <f t="shared" si="2"/>
        <v>0</v>
      </c>
      <c r="L25" s="82"/>
      <c r="M25" s="83"/>
      <c r="N25" s="83"/>
      <c r="O25" s="83"/>
      <c r="P25" s="83"/>
      <c r="Q25" s="44"/>
    </row>
    <row r="26" spans="1:17" ht="12.75" customHeight="1" outlineLevel="3" x14ac:dyDescent="0.3">
      <c r="A26" s="98"/>
      <c r="B26" s="98" t="s">
        <v>264</v>
      </c>
      <c r="C26" s="98"/>
      <c r="D26" s="70"/>
      <c r="E26" s="104">
        <v>0</v>
      </c>
      <c r="F26" s="104">
        <v>0</v>
      </c>
      <c r="G26" s="104">
        <v>0</v>
      </c>
      <c r="H26" s="104">
        <v>0</v>
      </c>
      <c r="I26" s="104">
        <v>0</v>
      </c>
      <c r="J26" s="104">
        <f t="shared" si="1"/>
        <v>0</v>
      </c>
      <c r="K26" s="147">
        <f t="shared" si="2"/>
        <v>0</v>
      </c>
      <c r="L26" s="82"/>
      <c r="M26" s="83"/>
      <c r="N26" s="83"/>
      <c r="O26" s="83"/>
      <c r="P26" s="83"/>
      <c r="Q26" s="44"/>
    </row>
    <row r="27" spans="1:17" ht="12.75" customHeight="1" outlineLevel="3" x14ac:dyDescent="0.3">
      <c r="A27" s="98"/>
      <c r="B27" s="98" t="s">
        <v>264</v>
      </c>
      <c r="C27" s="98"/>
      <c r="D27" s="70"/>
      <c r="E27" s="104">
        <v>0</v>
      </c>
      <c r="F27" s="104">
        <v>0</v>
      </c>
      <c r="G27" s="104">
        <v>0</v>
      </c>
      <c r="H27" s="104">
        <v>0</v>
      </c>
      <c r="I27" s="104">
        <v>0</v>
      </c>
      <c r="J27" s="104">
        <f t="shared" si="1"/>
        <v>0</v>
      </c>
      <c r="K27" s="147">
        <f t="shared" si="2"/>
        <v>0</v>
      </c>
      <c r="L27" s="82"/>
      <c r="M27" s="83"/>
      <c r="N27" s="83"/>
      <c r="O27" s="83"/>
      <c r="P27" s="83"/>
      <c r="Q27" s="44"/>
    </row>
    <row r="28" spans="1:17" ht="12.75" customHeight="1" outlineLevel="3" x14ac:dyDescent="0.3">
      <c r="A28" s="98"/>
      <c r="B28" s="98" t="s">
        <v>264</v>
      </c>
      <c r="C28" s="98"/>
      <c r="D28" s="70"/>
      <c r="E28" s="104">
        <v>0</v>
      </c>
      <c r="F28" s="104">
        <v>0</v>
      </c>
      <c r="G28" s="104">
        <v>0</v>
      </c>
      <c r="H28" s="104">
        <v>0</v>
      </c>
      <c r="I28" s="104">
        <v>0</v>
      </c>
      <c r="J28" s="104">
        <f t="shared" si="1"/>
        <v>0</v>
      </c>
      <c r="K28" s="147">
        <f t="shared" si="2"/>
        <v>0</v>
      </c>
      <c r="L28" s="82"/>
      <c r="M28" s="83"/>
      <c r="N28" s="83"/>
      <c r="O28" s="83"/>
      <c r="P28" s="83"/>
      <c r="Q28" s="44"/>
    </row>
    <row r="29" spans="1:17" ht="12.75" customHeight="1" outlineLevel="3" x14ac:dyDescent="0.3">
      <c r="A29" s="98"/>
      <c r="B29" s="98" t="s">
        <v>264</v>
      </c>
      <c r="C29" s="98"/>
      <c r="D29" s="70"/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f t="shared" si="1"/>
        <v>0</v>
      </c>
      <c r="K29" s="147">
        <f t="shared" si="2"/>
        <v>0</v>
      </c>
      <c r="L29" s="82"/>
      <c r="M29" s="82"/>
      <c r="N29" s="82"/>
      <c r="O29" s="82"/>
      <c r="P29" s="82"/>
      <c r="Q29" s="44"/>
    </row>
    <row r="30" spans="1:17" ht="12.75" customHeight="1" outlineLevel="3" x14ac:dyDescent="0.3">
      <c r="A30" s="98"/>
      <c r="B30" s="98" t="s">
        <v>264</v>
      </c>
      <c r="C30" s="98"/>
      <c r="D30" s="70"/>
      <c r="E30" s="104">
        <v>0</v>
      </c>
      <c r="F30" s="104">
        <v>0</v>
      </c>
      <c r="G30" s="104">
        <v>0</v>
      </c>
      <c r="H30" s="104">
        <v>0</v>
      </c>
      <c r="I30" s="104">
        <v>0</v>
      </c>
      <c r="J30" s="104">
        <f t="shared" si="1"/>
        <v>0</v>
      </c>
      <c r="K30" s="147">
        <f t="shared" si="2"/>
        <v>0</v>
      </c>
      <c r="L30" s="82"/>
      <c r="M30" s="82"/>
      <c r="N30" s="82"/>
      <c r="O30" s="82"/>
      <c r="P30" s="82"/>
      <c r="Q30" s="44"/>
    </row>
    <row r="31" spans="1:17" ht="12.75" customHeight="1" outlineLevel="3" x14ac:dyDescent="0.3">
      <c r="A31" s="98"/>
      <c r="B31" s="98" t="s">
        <v>264</v>
      </c>
      <c r="D31" s="70"/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f t="shared" si="1"/>
        <v>0</v>
      </c>
      <c r="K31" s="147">
        <f t="shared" si="2"/>
        <v>0</v>
      </c>
      <c r="L31" s="82"/>
      <c r="M31" s="82"/>
      <c r="N31" s="82"/>
      <c r="O31" s="82"/>
      <c r="P31" s="82"/>
      <c r="Q31" s="44"/>
    </row>
    <row r="32" spans="1:17" ht="12.75" customHeight="1" outlineLevel="3" x14ac:dyDescent="0.3">
      <c r="A32" s="98"/>
      <c r="B32" s="98" t="s">
        <v>264</v>
      </c>
      <c r="C32" s="98"/>
      <c r="D32" s="70"/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f t="shared" si="1"/>
        <v>0</v>
      </c>
      <c r="K32" s="147">
        <f t="shared" si="2"/>
        <v>0</v>
      </c>
      <c r="L32" s="82"/>
      <c r="M32" s="82"/>
      <c r="N32" s="82"/>
      <c r="O32" s="82"/>
      <c r="P32" s="82"/>
      <c r="Q32" s="44"/>
    </row>
    <row r="33" spans="1:17" ht="12.75" customHeight="1" x14ac:dyDescent="0.3">
      <c r="A33" s="98"/>
      <c r="B33" s="98"/>
      <c r="C33" s="98"/>
      <c r="D33" s="70"/>
      <c r="E33" s="99"/>
      <c r="F33" s="99"/>
      <c r="G33" s="99"/>
      <c r="H33" s="99"/>
      <c r="I33" s="99"/>
      <c r="J33" s="108"/>
      <c r="K33" s="108"/>
      <c r="L33" s="82"/>
      <c r="M33" s="82"/>
      <c r="N33" s="82"/>
      <c r="O33" s="82"/>
      <c r="P33" s="82"/>
      <c r="Q33" s="44"/>
    </row>
    <row r="34" spans="1:17" ht="12.75" customHeight="1" thickBot="1" x14ac:dyDescent="0.35">
      <c r="A34" s="109" t="s">
        <v>150</v>
      </c>
      <c r="B34" s="109"/>
      <c r="C34" s="109"/>
      <c r="D34" s="110"/>
      <c r="E34" s="119">
        <f t="shared" ref="E34:J34" si="5">(E13+E14+E31+E32)</f>
        <v>0</v>
      </c>
      <c r="F34" s="119">
        <f t="shared" si="5"/>
        <v>0</v>
      </c>
      <c r="G34" s="119">
        <f t="shared" si="5"/>
        <v>0</v>
      </c>
      <c r="H34" s="119">
        <f t="shared" si="5"/>
        <v>0</v>
      </c>
      <c r="I34" s="119">
        <f t="shared" si="5"/>
        <v>0</v>
      </c>
      <c r="J34" s="119">
        <f t="shared" si="5"/>
        <v>0</v>
      </c>
      <c r="K34" s="146">
        <f>IF($J$10=0,0,-J34/J10)</f>
        <v>0</v>
      </c>
      <c r="L34" s="82"/>
      <c r="M34" s="82"/>
      <c r="N34" s="82"/>
      <c r="O34" s="82"/>
      <c r="P34" s="82"/>
      <c r="Q34" s="44"/>
    </row>
    <row r="35" spans="1:17" ht="12.75" customHeight="1" thickTop="1" x14ac:dyDescent="0.3">
      <c r="A35" s="98"/>
      <c r="B35" s="98"/>
      <c r="C35" s="98"/>
      <c r="D35" s="70"/>
      <c r="E35" s="99"/>
      <c r="F35" s="99"/>
      <c r="G35" s="99"/>
      <c r="H35" s="99"/>
      <c r="I35" s="99"/>
      <c r="J35" s="108"/>
      <c r="K35" s="108"/>
      <c r="L35" s="82"/>
      <c r="M35" s="82"/>
      <c r="N35" s="82"/>
      <c r="O35" s="82"/>
      <c r="P35" s="82"/>
      <c r="Q35" s="44"/>
    </row>
    <row r="36" spans="1:17" ht="12.75" customHeight="1" thickBot="1" x14ac:dyDescent="0.35">
      <c r="A36" s="101"/>
      <c r="B36" s="101"/>
      <c r="C36" s="101"/>
      <c r="D36" s="102"/>
      <c r="E36" s="103"/>
      <c r="F36" s="103"/>
      <c r="G36" s="103"/>
      <c r="H36" s="103"/>
      <c r="I36" s="103"/>
      <c r="J36" s="123"/>
      <c r="K36" s="123"/>
      <c r="L36" s="82"/>
      <c r="M36" s="82"/>
      <c r="N36" s="82"/>
      <c r="O36" s="82"/>
      <c r="P36" s="82"/>
      <c r="Q36" s="44"/>
    </row>
    <row r="37" spans="1:17" ht="12.75" customHeight="1" x14ac:dyDescent="0.3">
      <c r="A37" s="98"/>
      <c r="B37" s="98"/>
      <c r="C37" s="98"/>
      <c r="D37" s="70"/>
      <c r="E37" s="99"/>
      <c r="F37" s="99"/>
      <c r="G37" s="99"/>
      <c r="H37" s="99"/>
      <c r="I37" s="99"/>
      <c r="J37" s="108"/>
      <c r="K37" s="108"/>
      <c r="L37" s="82"/>
      <c r="M37" s="82"/>
      <c r="N37" s="82"/>
      <c r="O37" s="82"/>
      <c r="P37" s="82"/>
      <c r="Q37" s="44"/>
    </row>
    <row r="38" spans="1:17" ht="12.75" customHeight="1" x14ac:dyDescent="0.3">
      <c r="A38" s="98" t="s">
        <v>151</v>
      </c>
      <c r="B38" s="98"/>
      <c r="C38" s="98"/>
      <c r="D38" s="70"/>
      <c r="E38" s="108">
        <f>E10+E34</f>
        <v>0</v>
      </c>
      <c r="F38" s="108">
        <f>F10+F34</f>
        <v>0</v>
      </c>
      <c r="G38" s="108">
        <f>G10+G34</f>
        <v>0</v>
      </c>
      <c r="H38" s="108">
        <f>H10+H34</f>
        <v>0</v>
      </c>
      <c r="I38" s="108">
        <f>I10+I34</f>
        <v>0</v>
      </c>
      <c r="J38" s="108">
        <f>AVERAGE(E38:I38)</f>
        <v>0</v>
      </c>
      <c r="K38" s="147">
        <f>IF($J$10=0,0,J38/J10)</f>
        <v>0</v>
      </c>
      <c r="L38" s="81"/>
      <c r="M38" s="81"/>
      <c r="N38" s="81"/>
      <c r="O38" s="81"/>
      <c r="P38" s="81"/>
      <c r="Q38" s="44"/>
    </row>
    <row r="39" spans="1:17" ht="12.75" customHeight="1" thickBot="1" x14ac:dyDescent="0.35">
      <c r="A39" s="101"/>
      <c r="B39" s="101"/>
      <c r="C39" s="101"/>
      <c r="D39" s="102"/>
      <c r="E39" s="123"/>
      <c r="F39" s="123"/>
      <c r="G39" s="123"/>
      <c r="H39" s="123"/>
      <c r="I39" s="123"/>
      <c r="J39" s="123"/>
      <c r="K39" s="123"/>
      <c r="L39" s="81"/>
      <c r="M39" s="81"/>
      <c r="N39" s="81"/>
      <c r="O39" s="81"/>
      <c r="P39" s="81"/>
      <c r="Q39" s="44"/>
    </row>
    <row r="40" spans="1:17" ht="12.75" customHeight="1" outlineLevel="1" x14ac:dyDescent="0.3">
      <c r="A40" s="98"/>
      <c r="B40" s="98"/>
      <c r="C40" s="98"/>
      <c r="D40" s="70"/>
      <c r="E40" s="99"/>
      <c r="F40" s="99"/>
      <c r="G40" s="99"/>
      <c r="H40" s="99"/>
      <c r="I40" s="99"/>
      <c r="J40" s="108"/>
      <c r="K40" s="108"/>
      <c r="L40" s="82"/>
      <c r="M40" s="82"/>
      <c r="N40" s="82"/>
      <c r="O40" s="82"/>
      <c r="P40" s="82"/>
      <c r="Q40" s="44"/>
    </row>
    <row r="41" spans="1:17" ht="12.75" customHeight="1" outlineLevel="1" x14ac:dyDescent="0.3">
      <c r="A41" s="98"/>
      <c r="E41" s="104"/>
      <c r="F41" s="104"/>
      <c r="G41" s="104"/>
      <c r="H41" s="104"/>
      <c r="I41" s="104"/>
      <c r="J41" s="108"/>
      <c r="K41" s="108"/>
      <c r="L41" s="82"/>
      <c r="M41" s="82"/>
      <c r="N41" s="82"/>
      <c r="O41" s="82"/>
      <c r="P41" s="82"/>
      <c r="Q41" s="44"/>
    </row>
    <row r="42" spans="1:17" ht="12.75" customHeight="1" outlineLevel="1" x14ac:dyDescent="0.3">
      <c r="A42" s="98"/>
      <c r="B42" s="98" t="s">
        <v>104</v>
      </c>
      <c r="C42" s="98"/>
      <c r="D42" s="70"/>
      <c r="E42" s="104">
        <v>0</v>
      </c>
      <c r="F42" s="104">
        <v>0</v>
      </c>
      <c r="G42" s="104">
        <v>0</v>
      </c>
      <c r="H42" s="104">
        <v>0</v>
      </c>
      <c r="I42" s="104">
        <v>0</v>
      </c>
      <c r="J42" s="108">
        <f t="shared" ref="J42:J47" si="6">AVERAGE(E42:I42)</f>
        <v>0</v>
      </c>
      <c r="K42" s="108"/>
      <c r="L42" s="82"/>
      <c r="M42" s="82"/>
      <c r="N42" s="82"/>
      <c r="O42" s="82"/>
      <c r="P42" s="82"/>
      <c r="Q42" s="44"/>
    </row>
    <row r="43" spans="1:17" ht="12.75" customHeight="1" outlineLevel="1" x14ac:dyDescent="0.3">
      <c r="A43" s="98"/>
      <c r="B43" s="98" t="s">
        <v>105</v>
      </c>
      <c r="C43" s="98"/>
      <c r="D43" s="70"/>
      <c r="E43" s="104">
        <v>0</v>
      </c>
      <c r="F43" s="104">
        <v>0</v>
      </c>
      <c r="G43" s="104">
        <v>0</v>
      </c>
      <c r="H43" s="104">
        <v>0</v>
      </c>
      <c r="I43" s="104">
        <v>0</v>
      </c>
      <c r="J43" s="108">
        <f t="shared" si="6"/>
        <v>0</v>
      </c>
      <c r="K43" s="108"/>
      <c r="L43" s="82"/>
      <c r="M43" s="82"/>
      <c r="N43" s="82"/>
      <c r="O43" s="82"/>
      <c r="P43" s="82"/>
      <c r="Q43" s="44"/>
    </row>
    <row r="44" spans="1:17" ht="12.75" customHeight="1" outlineLevel="1" x14ac:dyDescent="0.3">
      <c r="A44" s="98"/>
      <c r="B44" s="98" t="s">
        <v>106</v>
      </c>
      <c r="C44" s="98"/>
      <c r="D44" s="70"/>
      <c r="E44" s="104">
        <v>0</v>
      </c>
      <c r="F44" s="104">
        <v>0</v>
      </c>
      <c r="G44" s="104">
        <v>0</v>
      </c>
      <c r="H44" s="104">
        <v>0</v>
      </c>
      <c r="I44" s="104">
        <v>0</v>
      </c>
      <c r="J44" s="108">
        <f t="shared" si="6"/>
        <v>0</v>
      </c>
      <c r="K44" s="108"/>
      <c r="L44" s="82"/>
      <c r="M44" s="82"/>
      <c r="N44" s="82"/>
      <c r="O44" s="82"/>
      <c r="P44" s="82"/>
      <c r="Q44" s="44"/>
    </row>
    <row r="45" spans="1:17" ht="12.75" customHeight="1" outlineLevel="1" x14ac:dyDescent="0.3">
      <c r="A45" s="98"/>
      <c r="B45" s="98" t="s">
        <v>107</v>
      </c>
      <c r="C45" s="98"/>
      <c r="D45" s="70"/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8">
        <f t="shared" si="6"/>
        <v>0</v>
      </c>
      <c r="K45" s="108"/>
      <c r="L45" s="82"/>
      <c r="M45" s="82"/>
      <c r="N45" s="82"/>
      <c r="O45" s="82"/>
      <c r="P45" s="82"/>
      <c r="Q45" s="44"/>
    </row>
    <row r="46" spans="1:17" ht="12.75" customHeight="1" x14ac:dyDescent="0.3">
      <c r="A46" s="98"/>
      <c r="B46" s="98" t="s">
        <v>143</v>
      </c>
      <c r="C46" s="98"/>
      <c r="D46" s="70"/>
      <c r="E46" s="104">
        <v>0</v>
      </c>
      <c r="F46" s="104">
        <v>0</v>
      </c>
      <c r="G46" s="104">
        <v>0</v>
      </c>
      <c r="H46" s="104">
        <v>0</v>
      </c>
      <c r="I46" s="104">
        <v>0</v>
      </c>
      <c r="J46" s="108">
        <f t="shared" si="6"/>
        <v>0</v>
      </c>
      <c r="K46" s="108"/>
      <c r="L46" s="82"/>
      <c r="M46" s="82"/>
      <c r="N46" s="82"/>
      <c r="O46" s="82"/>
      <c r="P46" s="82"/>
      <c r="Q46" s="44"/>
    </row>
    <row r="47" spans="1:17" ht="12.75" customHeight="1" thickBot="1" x14ac:dyDescent="0.35">
      <c r="A47" s="109" t="s">
        <v>152</v>
      </c>
      <c r="B47" s="109"/>
      <c r="C47" s="109"/>
      <c r="D47" s="110"/>
      <c r="E47" s="119">
        <f t="shared" ref="E47:G47" si="7">SUM(E42:E46)</f>
        <v>0</v>
      </c>
      <c r="F47" s="119">
        <f t="shared" si="7"/>
        <v>0</v>
      </c>
      <c r="G47" s="119">
        <f t="shared" si="7"/>
        <v>0</v>
      </c>
      <c r="H47" s="119">
        <f>SUM(H42:H46)</f>
        <v>0</v>
      </c>
      <c r="I47" s="119">
        <f t="shared" ref="I47" si="8">SUM(I42:I46)</f>
        <v>0</v>
      </c>
      <c r="J47" s="124">
        <f t="shared" si="6"/>
        <v>0</v>
      </c>
      <c r="K47" s="124"/>
      <c r="L47" s="82"/>
      <c r="M47" s="82"/>
      <c r="N47" s="82"/>
      <c r="O47" s="82"/>
      <c r="P47" s="82"/>
      <c r="Q47" s="44"/>
    </row>
    <row r="48" spans="1:17" ht="12.75" customHeight="1" thickTop="1" x14ac:dyDescent="0.3">
      <c r="A48" s="98"/>
      <c r="B48" s="98"/>
      <c r="C48" s="98"/>
      <c r="D48" s="70"/>
      <c r="E48" s="104"/>
      <c r="F48" s="104"/>
      <c r="G48" s="104"/>
      <c r="H48" s="104"/>
      <c r="I48" s="104"/>
      <c r="J48" s="108"/>
      <c r="K48" s="108"/>
      <c r="L48" s="82"/>
      <c r="M48" s="82"/>
      <c r="N48" s="82"/>
      <c r="O48" s="82"/>
      <c r="P48" s="82"/>
      <c r="Q48" s="44"/>
    </row>
    <row r="49" spans="1:18" ht="12.75" customHeight="1" outlineLevel="1" x14ac:dyDescent="0.3">
      <c r="A49" s="98"/>
      <c r="E49" s="104"/>
      <c r="F49" s="104"/>
      <c r="G49" s="104"/>
      <c r="H49" s="104"/>
      <c r="I49" s="104"/>
      <c r="J49" s="108"/>
      <c r="K49" s="108"/>
      <c r="L49" s="82"/>
      <c r="M49" s="82"/>
      <c r="N49" s="82"/>
      <c r="O49" s="82"/>
      <c r="P49" s="82"/>
      <c r="Q49" s="59"/>
      <c r="R49" s="37"/>
    </row>
    <row r="50" spans="1:18" ht="12.75" customHeight="1" outlineLevel="1" x14ac:dyDescent="0.3">
      <c r="A50" s="98"/>
      <c r="B50" s="98" t="e">
        <f>#REF!</f>
        <v>#REF!</v>
      </c>
      <c r="C50" s="98"/>
      <c r="D50" s="70"/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108">
        <f t="shared" ref="J50:J81" si="9">AVERAGE(E50:I50)</f>
        <v>0</v>
      </c>
      <c r="K50" s="108"/>
      <c r="L50" s="82"/>
      <c r="M50" s="82"/>
      <c r="N50" s="82"/>
      <c r="O50" s="82"/>
      <c r="P50" s="82"/>
      <c r="Q50" s="59"/>
      <c r="R50" s="37"/>
    </row>
    <row r="51" spans="1:18" ht="12.75" customHeight="1" outlineLevel="1" x14ac:dyDescent="0.3">
      <c r="A51" s="98"/>
      <c r="B51" s="98" t="e">
        <f>#REF!</f>
        <v>#REF!</v>
      </c>
      <c r="C51" s="98"/>
      <c r="D51" s="70"/>
      <c r="E51" s="99">
        <v>0</v>
      </c>
      <c r="F51" s="99">
        <v>0</v>
      </c>
      <c r="G51" s="99">
        <v>0</v>
      </c>
      <c r="H51" s="99">
        <v>0</v>
      </c>
      <c r="I51" s="99">
        <v>0</v>
      </c>
      <c r="J51" s="108">
        <f t="shared" si="9"/>
        <v>0</v>
      </c>
      <c r="K51" s="108"/>
      <c r="L51" s="82"/>
      <c r="M51" s="82"/>
      <c r="N51" s="82"/>
      <c r="O51" s="82"/>
      <c r="P51" s="82"/>
      <c r="Q51" s="59"/>
      <c r="R51" s="37"/>
    </row>
    <row r="52" spans="1:18" ht="12.75" customHeight="1" outlineLevel="1" x14ac:dyDescent="0.3">
      <c r="A52" s="98"/>
      <c r="B52" s="98" t="e">
        <f>#REF!</f>
        <v>#REF!</v>
      </c>
      <c r="C52" s="98"/>
      <c r="D52" s="70"/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108">
        <f t="shared" si="9"/>
        <v>0</v>
      </c>
      <c r="K52" s="108"/>
      <c r="L52" s="82"/>
      <c r="M52" s="82"/>
      <c r="N52" s="82"/>
      <c r="O52" s="82"/>
      <c r="P52" s="82"/>
      <c r="Q52" s="59"/>
      <c r="R52" s="37"/>
    </row>
    <row r="53" spans="1:18" ht="12.75" customHeight="1" outlineLevel="1" x14ac:dyDescent="0.3">
      <c r="A53" s="98"/>
      <c r="B53" s="98" t="e">
        <f>#REF!</f>
        <v>#REF!</v>
      </c>
      <c r="C53" s="98"/>
      <c r="D53" s="70"/>
      <c r="E53" s="99">
        <v>0</v>
      </c>
      <c r="F53" s="99">
        <v>0</v>
      </c>
      <c r="G53" s="99">
        <v>0</v>
      </c>
      <c r="H53" s="99">
        <v>0</v>
      </c>
      <c r="I53" s="99">
        <v>0</v>
      </c>
      <c r="J53" s="108">
        <f t="shared" si="9"/>
        <v>0</v>
      </c>
      <c r="K53" s="108"/>
      <c r="L53" s="82"/>
      <c r="M53" s="82"/>
      <c r="N53" s="82"/>
      <c r="O53" s="82"/>
      <c r="P53" s="82"/>
      <c r="Q53" s="59"/>
      <c r="R53" s="37"/>
    </row>
    <row r="54" spans="1:18" ht="12.75" customHeight="1" outlineLevel="1" x14ac:dyDescent="0.3">
      <c r="A54" s="98"/>
      <c r="B54" s="98" t="e">
        <f>#REF!</f>
        <v>#REF!</v>
      </c>
      <c r="C54" s="98"/>
      <c r="D54" s="70"/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108">
        <f t="shared" si="9"/>
        <v>0</v>
      </c>
      <c r="K54" s="108"/>
      <c r="L54" s="82"/>
      <c r="M54" s="82"/>
      <c r="N54" s="82"/>
      <c r="O54" s="82"/>
      <c r="P54" s="82"/>
      <c r="Q54" s="59"/>
      <c r="R54" s="37"/>
    </row>
    <row r="55" spans="1:18" ht="12.75" customHeight="1" outlineLevel="1" x14ac:dyDescent="0.3">
      <c r="A55" s="98"/>
      <c r="B55" s="98" t="e">
        <f>#REF!</f>
        <v>#REF!</v>
      </c>
      <c r="C55" s="98"/>
      <c r="D55" s="70"/>
      <c r="E55" s="99">
        <v>0</v>
      </c>
      <c r="F55" s="99">
        <v>0</v>
      </c>
      <c r="G55" s="99">
        <v>0</v>
      </c>
      <c r="H55" s="99">
        <v>0</v>
      </c>
      <c r="I55" s="99">
        <v>0</v>
      </c>
      <c r="J55" s="108">
        <f t="shared" si="9"/>
        <v>0</v>
      </c>
      <c r="K55" s="108"/>
      <c r="L55" s="82"/>
      <c r="M55" s="82"/>
      <c r="N55" s="82"/>
      <c r="O55" s="82"/>
      <c r="P55" s="82"/>
      <c r="Q55" s="59"/>
      <c r="R55" s="37"/>
    </row>
    <row r="56" spans="1:18" ht="12.75" customHeight="1" outlineLevel="1" x14ac:dyDescent="0.3">
      <c r="A56" s="98"/>
      <c r="B56" s="98" t="e">
        <f>#REF!</f>
        <v>#REF!</v>
      </c>
      <c r="C56" s="98"/>
      <c r="D56" s="70"/>
      <c r="E56" s="99">
        <v>0</v>
      </c>
      <c r="F56" s="99">
        <v>0</v>
      </c>
      <c r="G56" s="99">
        <v>0</v>
      </c>
      <c r="H56" s="99">
        <v>0</v>
      </c>
      <c r="I56" s="99">
        <v>0</v>
      </c>
      <c r="J56" s="108">
        <f t="shared" si="9"/>
        <v>0</v>
      </c>
      <c r="K56" s="108"/>
      <c r="L56" s="82"/>
      <c r="M56" s="82"/>
      <c r="N56" s="82"/>
      <c r="O56" s="82"/>
      <c r="P56" s="82"/>
      <c r="Q56" s="59"/>
      <c r="R56" s="37"/>
    </row>
    <row r="57" spans="1:18" ht="12.75" customHeight="1" outlineLevel="1" x14ac:dyDescent="0.3">
      <c r="A57" s="98"/>
      <c r="B57" s="98" t="e">
        <f>#REF!</f>
        <v>#REF!</v>
      </c>
      <c r="C57" s="98"/>
      <c r="D57" s="70"/>
      <c r="E57" s="99">
        <v>0</v>
      </c>
      <c r="F57" s="99">
        <v>0</v>
      </c>
      <c r="G57" s="99">
        <v>0</v>
      </c>
      <c r="H57" s="99">
        <v>0</v>
      </c>
      <c r="I57" s="99">
        <v>0</v>
      </c>
      <c r="J57" s="108">
        <f t="shared" si="9"/>
        <v>0</v>
      </c>
      <c r="K57" s="108"/>
      <c r="L57" s="82"/>
      <c r="M57" s="82"/>
      <c r="N57" s="82"/>
      <c r="O57" s="82"/>
      <c r="P57" s="82"/>
      <c r="Q57" s="59"/>
      <c r="R57" s="37"/>
    </row>
    <row r="58" spans="1:18" ht="12.75" customHeight="1" outlineLevel="1" x14ac:dyDescent="0.3">
      <c r="A58" s="98"/>
      <c r="B58" s="98" t="e">
        <f>#REF!</f>
        <v>#REF!</v>
      </c>
      <c r="C58" s="98"/>
      <c r="D58" s="70"/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108">
        <f t="shared" si="9"/>
        <v>0</v>
      </c>
      <c r="K58" s="108"/>
      <c r="L58" s="82"/>
      <c r="M58" s="82"/>
      <c r="N58" s="82"/>
      <c r="O58" s="82"/>
      <c r="P58" s="82"/>
      <c r="Q58" s="59"/>
      <c r="R58" s="37"/>
    </row>
    <row r="59" spans="1:18" ht="12.75" customHeight="1" outlineLevel="1" x14ac:dyDescent="0.3">
      <c r="A59" s="98"/>
      <c r="B59" s="105" t="s">
        <v>221</v>
      </c>
      <c r="C59" s="98"/>
      <c r="D59" s="70"/>
      <c r="E59" s="99">
        <v>0</v>
      </c>
      <c r="F59" s="99">
        <v>0</v>
      </c>
      <c r="G59" s="99">
        <v>0</v>
      </c>
      <c r="H59" s="99">
        <v>0</v>
      </c>
      <c r="I59" s="99">
        <v>0</v>
      </c>
      <c r="J59" s="108">
        <f t="shared" si="9"/>
        <v>0</v>
      </c>
      <c r="K59" s="108"/>
      <c r="L59" s="82"/>
      <c r="M59" s="82"/>
      <c r="N59" s="82"/>
      <c r="O59" s="82"/>
      <c r="P59" s="82"/>
      <c r="Q59" s="59"/>
      <c r="R59" s="37"/>
    </row>
    <row r="60" spans="1:18" ht="12.75" customHeight="1" outlineLevel="1" x14ac:dyDescent="0.3">
      <c r="A60" s="98"/>
      <c r="B60" s="98" t="s">
        <v>103</v>
      </c>
      <c r="C60" s="105"/>
      <c r="D60" s="77"/>
      <c r="E60" s="99">
        <v>0</v>
      </c>
      <c r="F60" s="99">
        <v>0</v>
      </c>
      <c r="G60" s="99">
        <v>0</v>
      </c>
      <c r="H60" s="99">
        <v>0</v>
      </c>
      <c r="I60" s="99">
        <v>0</v>
      </c>
      <c r="J60" s="108">
        <f t="shared" si="9"/>
        <v>0</v>
      </c>
      <c r="K60" s="108"/>
      <c r="L60" s="82"/>
      <c r="M60" s="82"/>
      <c r="N60" s="82"/>
      <c r="O60" s="82"/>
      <c r="P60" s="82"/>
      <c r="Q60" s="59"/>
      <c r="R60" s="37"/>
    </row>
    <row r="61" spans="1:18" ht="12.75" customHeight="1" outlineLevel="1" x14ac:dyDescent="0.3">
      <c r="A61" s="98"/>
      <c r="B61" s="98" t="s">
        <v>146</v>
      </c>
      <c r="C61" s="98"/>
      <c r="D61" s="70"/>
      <c r="E61" s="99">
        <v>0</v>
      </c>
      <c r="F61" s="99">
        <v>0</v>
      </c>
      <c r="G61" s="99">
        <v>0</v>
      </c>
      <c r="H61" s="99">
        <v>0</v>
      </c>
      <c r="I61" s="99">
        <v>0</v>
      </c>
      <c r="J61" s="108">
        <f t="shared" si="9"/>
        <v>0</v>
      </c>
      <c r="K61" s="108"/>
      <c r="L61" s="82"/>
      <c r="M61" s="82"/>
      <c r="N61" s="82"/>
      <c r="O61" s="82"/>
      <c r="P61" s="82"/>
      <c r="Q61" s="59"/>
      <c r="R61" s="37"/>
    </row>
    <row r="62" spans="1:18" ht="12.75" customHeight="1" outlineLevel="1" x14ac:dyDescent="0.3">
      <c r="A62" s="98"/>
      <c r="B62" s="98" t="s">
        <v>265</v>
      </c>
      <c r="C62" s="98"/>
      <c r="D62" s="70"/>
      <c r="E62" s="99">
        <v>0</v>
      </c>
      <c r="F62" s="99">
        <v>0</v>
      </c>
      <c r="G62" s="99">
        <v>0</v>
      </c>
      <c r="H62" s="99">
        <v>0</v>
      </c>
      <c r="I62" s="99">
        <v>0</v>
      </c>
      <c r="J62" s="108">
        <f t="shared" si="9"/>
        <v>0</v>
      </c>
      <c r="K62" s="108"/>
      <c r="L62" s="82"/>
      <c r="M62" s="82"/>
      <c r="N62" s="82"/>
      <c r="O62" s="82"/>
      <c r="P62" s="82"/>
      <c r="Q62" s="59"/>
      <c r="R62" s="37"/>
    </row>
    <row r="63" spans="1:18" ht="12.75" customHeight="1" outlineLevel="1" x14ac:dyDescent="0.3">
      <c r="A63" s="98"/>
      <c r="B63" s="98" t="s">
        <v>266</v>
      </c>
      <c r="C63" s="98"/>
      <c r="D63" s="70"/>
      <c r="E63" s="99">
        <v>0</v>
      </c>
      <c r="F63" s="99">
        <v>0</v>
      </c>
      <c r="G63" s="99">
        <v>0</v>
      </c>
      <c r="H63" s="99">
        <v>0</v>
      </c>
      <c r="I63" s="99">
        <v>0</v>
      </c>
      <c r="J63" s="108">
        <f t="shared" si="9"/>
        <v>0</v>
      </c>
      <c r="K63" s="108"/>
      <c r="L63" s="82"/>
      <c r="M63" s="82"/>
      <c r="N63" s="82"/>
      <c r="O63" s="82"/>
      <c r="P63" s="82"/>
      <c r="Q63" s="59"/>
      <c r="R63" s="37"/>
    </row>
    <row r="64" spans="1:18" ht="12.75" customHeight="1" outlineLevel="1" x14ac:dyDescent="0.3">
      <c r="A64" s="98"/>
      <c r="B64" s="98" t="s">
        <v>266</v>
      </c>
      <c r="C64" s="98"/>
      <c r="D64" s="70"/>
      <c r="E64" s="99">
        <v>0</v>
      </c>
      <c r="F64" s="99">
        <v>0</v>
      </c>
      <c r="G64" s="99">
        <v>0</v>
      </c>
      <c r="H64" s="99">
        <v>0</v>
      </c>
      <c r="I64" s="99">
        <v>0</v>
      </c>
      <c r="J64" s="108">
        <f t="shared" si="9"/>
        <v>0</v>
      </c>
      <c r="K64" s="108"/>
      <c r="L64" s="82"/>
      <c r="M64" s="82"/>
      <c r="N64" s="82"/>
      <c r="O64" s="82"/>
      <c r="P64" s="82"/>
      <c r="Q64" s="59"/>
      <c r="R64" s="37"/>
    </row>
    <row r="65" spans="1:18" ht="12.75" customHeight="1" outlineLevel="1" x14ac:dyDescent="0.3">
      <c r="A65" s="98"/>
      <c r="B65" s="98" t="s">
        <v>266</v>
      </c>
      <c r="C65" s="98"/>
      <c r="D65" s="70"/>
      <c r="E65" s="99">
        <v>0</v>
      </c>
      <c r="F65" s="99">
        <v>0</v>
      </c>
      <c r="G65" s="99">
        <v>0</v>
      </c>
      <c r="H65" s="99">
        <v>0</v>
      </c>
      <c r="I65" s="99">
        <v>0</v>
      </c>
      <c r="J65" s="108">
        <f t="shared" si="9"/>
        <v>0</v>
      </c>
      <c r="K65" s="108"/>
      <c r="L65" s="82"/>
      <c r="M65" s="82"/>
      <c r="N65" s="82"/>
      <c r="O65" s="82"/>
      <c r="P65" s="82"/>
      <c r="Q65" s="59"/>
      <c r="R65" s="37"/>
    </row>
    <row r="66" spans="1:18" ht="12.75" customHeight="1" outlineLevel="1" x14ac:dyDescent="0.3">
      <c r="A66" s="98"/>
      <c r="B66" s="98" t="s">
        <v>266</v>
      </c>
      <c r="C66" s="98"/>
      <c r="D66" s="70"/>
      <c r="E66" s="99">
        <v>0</v>
      </c>
      <c r="F66" s="99">
        <v>0</v>
      </c>
      <c r="G66" s="99">
        <v>0</v>
      </c>
      <c r="H66" s="99">
        <v>0</v>
      </c>
      <c r="I66" s="99">
        <v>0</v>
      </c>
      <c r="J66" s="108">
        <f t="shared" si="9"/>
        <v>0</v>
      </c>
      <c r="K66" s="108"/>
      <c r="L66" s="82"/>
      <c r="M66" s="82"/>
      <c r="N66" s="82"/>
      <c r="O66" s="82"/>
      <c r="P66" s="82"/>
      <c r="Q66" s="59"/>
      <c r="R66" s="37"/>
    </row>
    <row r="67" spans="1:18" ht="12.75" customHeight="1" outlineLevel="1" x14ac:dyDescent="0.3">
      <c r="A67" s="98"/>
      <c r="B67" s="98" t="s">
        <v>266</v>
      </c>
      <c r="C67" s="98"/>
      <c r="D67" s="70"/>
      <c r="E67" s="99">
        <v>0</v>
      </c>
      <c r="F67" s="99">
        <v>0</v>
      </c>
      <c r="G67" s="99">
        <v>0</v>
      </c>
      <c r="H67" s="99">
        <v>0</v>
      </c>
      <c r="I67" s="99">
        <v>0</v>
      </c>
      <c r="J67" s="108">
        <f t="shared" si="9"/>
        <v>0</v>
      </c>
      <c r="K67" s="108"/>
      <c r="L67" s="82"/>
      <c r="M67" s="82"/>
      <c r="N67" s="82"/>
      <c r="O67" s="82"/>
      <c r="P67" s="82"/>
      <c r="Q67" s="59"/>
      <c r="R67" s="37"/>
    </row>
    <row r="68" spans="1:18" ht="12.75" customHeight="1" outlineLevel="1" x14ac:dyDescent="0.3">
      <c r="A68" s="98"/>
      <c r="B68" s="98" t="s">
        <v>266</v>
      </c>
      <c r="C68" s="98"/>
      <c r="D68" s="70"/>
      <c r="E68" s="99">
        <v>0</v>
      </c>
      <c r="F68" s="99">
        <v>0</v>
      </c>
      <c r="G68" s="99">
        <v>0</v>
      </c>
      <c r="H68" s="99">
        <v>0</v>
      </c>
      <c r="I68" s="99">
        <v>0</v>
      </c>
      <c r="J68" s="108">
        <f t="shared" si="9"/>
        <v>0</v>
      </c>
      <c r="K68" s="108"/>
      <c r="L68" s="82"/>
      <c r="M68" s="82"/>
      <c r="N68" s="82"/>
      <c r="O68" s="82"/>
      <c r="P68" s="82"/>
      <c r="Q68" s="59"/>
      <c r="R68" s="37"/>
    </row>
    <row r="69" spans="1:18" ht="12.75" customHeight="1" outlineLevel="1" x14ac:dyDescent="0.3">
      <c r="A69" s="98"/>
      <c r="B69" s="98" t="s">
        <v>266</v>
      </c>
      <c r="C69" s="98"/>
      <c r="D69" s="70"/>
      <c r="E69" s="99">
        <v>0</v>
      </c>
      <c r="F69" s="99">
        <v>0</v>
      </c>
      <c r="G69" s="99">
        <v>0</v>
      </c>
      <c r="H69" s="99">
        <v>0</v>
      </c>
      <c r="I69" s="99">
        <v>0</v>
      </c>
      <c r="J69" s="108">
        <f t="shared" si="9"/>
        <v>0</v>
      </c>
      <c r="K69" s="108"/>
      <c r="L69" s="82"/>
      <c r="M69" s="82"/>
      <c r="N69" s="82"/>
      <c r="O69" s="82"/>
      <c r="P69" s="82"/>
      <c r="Q69" s="59"/>
      <c r="R69" s="37"/>
    </row>
    <row r="70" spans="1:18" ht="12.75" customHeight="1" outlineLevel="1" x14ac:dyDescent="0.3">
      <c r="A70" s="98"/>
      <c r="B70" s="98" t="s">
        <v>266</v>
      </c>
      <c r="C70" s="98"/>
      <c r="D70" s="70"/>
      <c r="E70" s="99">
        <v>0</v>
      </c>
      <c r="F70" s="99">
        <v>0</v>
      </c>
      <c r="G70" s="99">
        <v>0</v>
      </c>
      <c r="H70" s="99">
        <v>0</v>
      </c>
      <c r="I70" s="99">
        <v>0</v>
      </c>
      <c r="J70" s="108">
        <f t="shared" si="9"/>
        <v>0</v>
      </c>
      <c r="K70" s="108"/>
      <c r="L70" s="82"/>
      <c r="M70" s="82"/>
      <c r="N70" s="82"/>
      <c r="O70" s="82"/>
      <c r="P70" s="82"/>
      <c r="Q70" s="59"/>
      <c r="R70" s="37"/>
    </row>
    <row r="71" spans="1:18" ht="12.75" customHeight="1" outlineLevel="1" x14ac:dyDescent="0.3">
      <c r="A71" s="98"/>
      <c r="B71" s="98" t="s">
        <v>266</v>
      </c>
      <c r="C71" s="98"/>
      <c r="D71" s="70"/>
      <c r="E71" s="99">
        <v>0</v>
      </c>
      <c r="F71" s="99">
        <v>0</v>
      </c>
      <c r="G71" s="99">
        <v>0</v>
      </c>
      <c r="H71" s="99">
        <v>0</v>
      </c>
      <c r="I71" s="99">
        <v>0</v>
      </c>
      <c r="J71" s="108">
        <f t="shared" si="9"/>
        <v>0</v>
      </c>
      <c r="K71" s="108"/>
      <c r="L71" s="82"/>
      <c r="M71" s="82"/>
      <c r="N71" s="82"/>
      <c r="O71" s="82"/>
      <c r="P71" s="82"/>
      <c r="Q71" s="59"/>
      <c r="R71" s="37"/>
    </row>
    <row r="72" spans="1:18" ht="12.75" customHeight="1" outlineLevel="1" x14ac:dyDescent="0.3">
      <c r="A72" s="98"/>
      <c r="B72" s="98" t="s">
        <v>266</v>
      </c>
      <c r="C72" s="98"/>
      <c r="D72" s="70"/>
      <c r="E72" s="99">
        <v>0</v>
      </c>
      <c r="F72" s="99">
        <v>0</v>
      </c>
      <c r="G72" s="99">
        <v>0</v>
      </c>
      <c r="H72" s="99">
        <v>0</v>
      </c>
      <c r="I72" s="99">
        <v>0</v>
      </c>
      <c r="J72" s="108">
        <f t="shared" si="9"/>
        <v>0</v>
      </c>
      <c r="K72" s="108"/>
      <c r="L72" s="82"/>
      <c r="M72" s="82"/>
      <c r="N72" s="82"/>
      <c r="O72" s="82"/>
      <c r="P72" s="82"/>
      <c r="Q72" s="59"/>
      <c r="R72" s="37"/>
    </row>
    <row r="73" spans="1:18" ht="12.75" customHeight="1" outlineLevel="1" x14ac:dyDescent="0.3">
      <c r="A73" s="98"/>
      <c r="B73" s="98" t="s">
        <v>266</v>
      </c>
      <c r="C73" s="98"/>
      <c r="D73" s="70"/>
      <c r="E73" s="99">
        <v>0</v>
      </c>
      <c r="F73" s="99">
        <v>0</v>
      </c>
      <c r="G73" s="99">
        <v>0</v>
      </c>
      <c r="H73" s="99">
        <v>0</v>
      </c>
      <c r="I73" s="99">
        <v>0</v>
      </c>
      <c r="J73" s="108">
        <f t="shared" si="9"/>
        <v>0</v>
      </c>
      <c r="K73" s="108"/>
      <c r="L73" s="82"/>
      <c r="M73" s="82"/>
      <c r="N73" s="82"/>
      <c r="O73" s="82"/>
      <c r="P73" s="82"/>
      <c r="Q73" s="59"/>
      <c r="R73" s="37"/>
    </row>
    <row r="74" spans="1:18" ht="12.75" customHeight="1" outlineLevel="1" x14ac:dyDescent="0.3">
      <c r="A74" s="98"/>
      <c r="B74" s="98" t="s">
        <v>266</v>
      </c>
      <c r="C74" s="98"/>
      <c r="D74" s="70"/>
      <c r="E74" s="99">
        <v>0</v>
      </c>
      <c r="F74" s="99">
        <v>0</v>
      </c>
      <c r="G74" s="99">
        <v>0</v>
      </c>
      <c r="H74" s="99">
        <v>0</v>
      </c>
      <c r="I74" s="99">
        <v>0</v>
      </c>
      <c r="J74" s="108">
        <f t="shared" si="9"/>
        <v>0</v>
      </c>
      <c r="K74" s="108"/>
      <c r="L74" s="82"/>
      <c r="M74" s="82"/>
      <c r="N74" s="82"/>
      <c r="O74" s="82"/>
      <c r="P74" s="82"/>
      <c r="Q74" s="59"/>
      <c r="R74" s="37"/>
    </row>
    <row r="75" spans="1:18" ht="12.75" customHeight="1" outlineLevel="1" x14ac:dyDescent="0.3">
      <c r="A75" s="98"/>
      <c r="B75" s="98" t="s">
        <v>266</v>
      </c>
      <c r="C75" s="98"/>
      <c r="D75" s="70"/>
      <c r="E75" s="99">
        <v>0</v>
      </c>
      <c r="F75" s="99">
        <v>0</v>
      </c>
      <c r="G75" s="99">
        <v>0</v>
      </c>
      <c r="H75" s="99">
        <v>0</v>
      </c>
      <c r="I75" s="99">
        <v>0</v>
      </c>
      <c r="J75" s="108">
        <f t="shared" si="9"/>
        <v>0</v>
      </c>
      <c r="K75" s="108"/>
      <c r="L75" s="82"/>
      <c r="M75" s="82"/>
      <c r="N75" s="82"/>
      <c r="O75" s="82"/>
      <c r="P75" s="82"/>
      <c r="Q75" s="59"/>
      <c r="R75" s="37"/>
    </row>
    <row r="76" spans="1:18" ht="12.75" customHeight="1" outlineLevel="1" x14ac:dyDescent="0.3">
      <c r="A76" s="98"/>
      <c r="B76" s="98" t="s">
        <v>266</v>
      </c>
      <c r="C76" s="98"/>
      <c r="D76" s="70"/>
      <c r="E76" s="99">
        <v>0</v>
      </c>
      <c r="F76" s="99">
        <v>0</v>
      </c>
      <c r="G76" s="99">
        <v>0</v>
      </c>
      <c r="H76" s="99">
        <v>0</v>
      </c>
      <c r="I76" s="99">
        <v>0</v>
      </c>
      <c r="J76" s="108">
        <f t="shared" si="9"/>
        <v>0</v>
      </c>
      <c r="K76" s="108"/>
      <c r="L76" s="82"/>
      <c r="M76" s="82"/>
      <c r="N76" s="82"/>
      <c r="O76" s="82"/>
      <c r="P76" s="82"/>
      <c r="Q76" s="59"/>
      <c r="R76" s="37"/>
    </row>
    <row r="77" spans="1:18" ht="12.75" customHeight="1" outlineLevel="1" x14ac:dyDescent="0.3">
      <c r="A77" s="98"/>
      <c r="B77" s="98" t="s">
        <v>266</v>
      </c>
      <c r="C77" s="98"/>
      <c r="D77" s="70"/>
      <c r="E77" s="99">
        <v>0</v>
      </c>
      <c r="F77" s="99">
        <v>0</v>
      </c>
      <c r="G77" s="99">
        <v>0</v>
      </c>
      <c r="H77" s="99">
        <v>0</v>
      </c>
      <c r="I77" s="99">
        <v>0</v>
      </c>
      <c r="J77" s="108">
        <f t="shared" si="9"/>
        <v>0</v>
      </c>
      <c r="K77" s="108"/>
      <c r="L77" s="82"/>
      <c r="M77" s="82"/>
      <c r="N77" s="82"/>
      <c r="O77" s="82"/>
      <c r="P77" s="82"/>
      <c r="Q77" s="59"/>
      <c r="R77" s="37"/>
    </row>
    <row r="78" spans="1:18" ht="12.75" customHeight="1" outlineLevel="1" x14ac:dyDescent="0.3">
      <c r="A78" s="98"/>
      <c r="B78" s="98" t="s">
        <v>266</v>
      </c>
      <c r="C78" s="98"/>
      <c r="D78" s="70"/>
      <c r="E78" s="99">
        <v>0</v>
      </c>
      <c r="F78" s="99">
        <v>0</v>
      </c>
      <c r="G78" s="99">
        <v>0</v>
      </c>
      <c r="H78" s="99">
        <v>0</v>
      </c>
      <c r="I78" s="99">
        <v>0</v>
      </c>
      <c r="J78" s="108">
        <f t="shared" si="9"/>
        <v>0</v>
      </c>
      <c r="K78" s="108"/>
      <c r="L78" s="82"/>
      <c r="M78" s="82"/>
      <c r="N78" s="82"/>
      <c r="O78" s="82"/>
      <c r="P78" s="82"/>
      <c r="Q78" s="59"/>
      <c r="R78" s="37"/>
    </row>
    <row r="79" spans="1:18" ht="12.75" customHeight="1" outlineLevel="1" x14ac:dyDescent="0.3">
      <c r="A79" s="98"/>
      <c r="B79" s="98" t="s">
        <v>266</v>
      </c>
      <c r="C79" s="98"/>
      <c r="D79" s="70"/>
      <c r="E79" s="99">
        <v>0</v>
      </c>
      <c r="F79" s="99">
        <v>0</v>
      </c>
      <c r="G79" s="99">
        <v>0</v>
      </c>
      <c r="H79" s="99">
        <v>0</v>
      </c>
      <c r="I79" s="99">
        <v>0</v>
      </c>
      <c r="J79" s="108">
        <f t="shared" si="9"/>
        <v>0</v>
      </c>
      <c r="K79" s="108"/>
      <c r="L79" s="82"/>
      <c r="M79" s="82"/>
      <c r="N79" s="82"/>
      <c r="O79" s="82"/>
      <c r="P79" s="82"/>
      <c r="Q79" s="59"/>
      <c r="R79" s="37"/>
    </row>
    <row r="80" spans="1:18" ht="12.75" customHeight="1" outlineLevel="1" x14ac:dyDescent="0.3">
      <c r="A80" s="98"/>
      <c r="B80" s="98" t="s">
        <v>266</v>
      </c>
      <c r="C80" s="98"/>
      <c r="D80" s="70"/>
      <c r="E80" s="99">
        <v>0</v>
      </c>
      <c r="F80" s="99">
        <v>0</v>
      </c>
      <c r="G80" s="99">
        <v>0</v>
      </c>
      <c r="H80" s="99">
        <v>0</v>
      </c>
      <c r="I80" s="99">
        <v>0</v>
      </c>
      <c r="J80" s="108">
        <f t="shared" si="9"/>
        <v>0</v>
      </c>
      <c r="K80" s="108"/>
      <c r="L80" s="82"/>
      <c r="M80" s="82"/>
      <c r="N80" s="82"/>
      <c r="O80" s="82"/>
      <c r="P80" s="82"/>
      <c r="Q80" s="59"/>
      <c r="R80" s="37"/>
    </row>
    <row r="81" spans="1:18" ht="12.75" customHeight="1" thickBot="1" x14ac:dyDescent="0.35">
      <c r="A81" s="109" t="s">
        <v>153</v>
      </c>
      <c r="B81" s="109"/>
      <c r="C81" s="109"/>
      <c r="D81" s="110"/>
      <c r="E81" s="119">
        <f>SUM(E50:E80)</f>
        <v>0</v>
      </c>
      <c r="F81" s="119">
        <f>SUM(F50:F80)</f>
        <v>0</v>
      </c>
      <c r="G81" s="119">
        <f>SUM(G50:G80)</f>
        <v>0</v>
      </c>
      <c r="H81" s="119">
        <f>SUM(H50:H80)</f>
        <v>0</v>
      </c>
      <c r="I81" s="119">
        <f>SUM(I50:I80)</f>
        <v>0</v>
      </c>
      <c r="J81" s="124">
        <f t="shared" si="9"/>
        <v>0</v>
      </c>
      <c r="K81" s="111">
        <f>IF($J$10=0,0,-J81/J10)</f>
        <v>0</v>
      </c>
      <c r="L81" s="82"/>
      <c r="M81" s="82"/>
      <c r="N81" s="82"/>
      <c r="O81" s="82"/>
      <c r="P81" s="82"/>
      <c r="Q81" s="59"/>
      <c r="R81" s="37"/>
    </row>
    <row r="82" spans="1:18" ht="12.75" customHeight="1" thickTop="1" x14ac:dyDescent="0.3">
      <c r="A82" s="98"/>
      <c r="B82" s="98"/>
      <c r="C82" s="98"/>
      <c r="D82" s="70"/>
      <c r="E82" s="104"/>
      <c r="F82" s="104"/>
      <c r="G82" s="104"/>
      <c r="H82" s="104"/>
      <c r="I82" s="104"/>
      <c r="J82" s="108"/>
      <c r="K82" s="108"/>
      <c r="L82" s="82"/>
      <c r="M82" s="82"/>
      <c r="N82" s="82"/>
      <c r="O82" s="82"/>
      <c r="P82" s="82"/>
      <c r="Q82" s="59"/>
      <c r="R82" s="37"/>
    </row>
    <row r="83" spans="1:18" ht="12.75" customHeight="1" thickBot="1" x14ac:dyDescent="0.35">
      <c r="A83" s="101"/>
      <c r="B83" s="101"/>
      <c r="C83" s="101"/>
      <c r="D83" s="102"/>
      <c r="E83" s="103"/>
      <c r="F83" s="103"/>
      <c r="G83" s="103"/>
      <c r="H83" s="103"/>
      <c r="I83" s="103"/>
      <c r="J83" s="123"/>
      <c r="K83" s="123"/>
      <c r="L83" s="82"/>
      <c r="M83" s="82"/>
      <c r="N83" s="82"/>
      <c r="O83" s="82"/>
      <c r="P83" s="82"/>
      <c r="Q83" s="59"/>
      <c r="R83" s="37"/>
    </row>
    <row r="84" spans="1:18" ht="12.75" customHeight="1" x14ac:dyDescent="0.3">
      <c r="A84" s="98"/>
      <c r="B84" s="98"/>
      <c r="C84" s="98"/>
      <c r="D84" s="70"/>
      <c r="E84" s="99"/>
      <c r="F84" s="99"/>
      <c r="G84" s="99"/>
      <c r="H84" s="99"/>
      <c r="I84" s="99"/>
      <c r="J84" s="108"/>
      <c r="K84" s="108"/>
      <c r="L84" s="82"/>
      <c r="M84" s="82"/>
      <c r="N84" s="82"/>
      <c r="O84" s="82"/>
      <c r="P84" s="82"/>
      <c r="Q84" s="59"/>
      <c r="R84" s="37"/>
    </row>
    <row r="85" spans="1:18" ht="12.75" customHeight="1" x14ac:dyDescent="0.3">
      <c r="A85" s="98" t="s">
        <v>154</v>
      </c>
      <c r="B85" s="98"/>
      <c r="C85" s="98"/>
      <c r="D85" s="70"/>
      <c r="E85" s="104">
        <f>E38+E47+E81</f>
        <v>0</v>
      </c>
      <c r="F85" s="104">
        <f>F38+F47+F81</f>
        <v>0</v>
      </c>
      <c r="G85" s="104">
        <f>G38+G47+G81</f>
        <v>0</v>
      </c>
      <c r="H85" s="104">
        <f>H38+H47+H81</f>
        <v>0</v>
      </c>
      <c r="I85" s="104">
        <f>I38+I47+I81</f>
        <v>0</v>
      </c>
      <c r="J85" s="108">
        <f>AVERAGE(E85:I85)</f>
        <v>0</v>
      </c>
      <c r="K85" s="145">
        <f>IF($J$10=0,0,J85/J10)</f>
        <v>0</v>
      </c>
      <c r="L85" s="82"/>
      <c r="M85" s="82"/>
      <c r="N85" s="82"/>
      <c r="O85" s="82"/>
      <c r="P85" s="82"/>
      <c r="Q85" s="59"/>
      <c r="R85" s="37"/>
    </row>
    <row r="86" spans="1:18" ht="12.75" customHeight="1" thickBot="1" x14ac:dyDescent="0.35">
      <c r="A86" s="101"/>
      <c r="B86" s="101"/>
      <c r="C86" s="101"/>
      <c r="D86" s="102"/>
      <c r="E86" s="103"/>
      <c r="F86" s="103"/>
      <c r="G86" s="103"/>
      <c r="H86" s="103"/>
      <c r="I86" s="103"/>
      <c r="J86" s="123"/>
      <c r="K86" s="123"/>
      <c r="L86" s="82"/>
      <c r="M86" s="82"/>
      <c r="N86" s="82"/>
      <c r="O86" s="82"/>
      <c r="P86" s="82"/>
      <c r="Q86" s="59"/>
      <c r="R86" s="37"/>
    </row>
    <row r="87" spans="1:18" ht="12.75" customHeight="1" x14ac:dyDescent="0.3">
      <c r="A87" s="98"/>
      <c r="B87" s="98"/>
      <c r="C87" s="98"/>
      <c r="D87" s="70"/>
      <c r="E87" s="99"/>
      <c r="F87" s="99"/>
      <c r="G87" s="99"/>
      <c r="H87" s="99"/>
      <c r="I87" s="99"/>
      <c r="J87" s="108"/>
      <c r="K87" s="108"/>
      <c r="L87" s="82"/>
      <c r="M87" s="82"/>
      <c r="N87" s="82"/>
      <c r="O87" s="82"/>
      <c r="P87" s="82"/>
      <c r="Q87" s="59"/>
      <c r="R87" s="37"/>
    </row>
    <row r="88" spans="1:18" ht="12.75" customHeight="1" x14ac:dyDescent="0.3">
      <c r="A88" s="98"/>
      <c r="B88" s="98"/>
      <c r="C88" s="98"/>
      <c r="D88" s="70"/>
      <c r="E88" s="99"/>
      <c r="F88" s="99"/>
      <c r="G88" s="99"/>
      <c r="H88" s="99"/>
      <c r="I88" s="99"/>
      <c r="J88" s="108"/>
      <c r="K88" s="108"/>
      <c r="L88" s="82"/>
      <c r="M88" s="82"/>
      <c r="N88" s="82"/>
      <c r="O88" s="82"/>
      <c r="P88" s="82"/>
      <c r="Q88" s="59"/>
      <c r="R88" s="37"/>
    </row>
    <row r="89" spans="1:18" ht="12.75" customHeight="1" thickBot="1" x14ac:dyDescent="0.35">
      <c r="A89" s="109" t="s">
        <v>155</v>
      </c>
      <c r="B89" s="109"/>
      <c r="C89" s="109"/>
      <c r="D89" s="110"/>
      <c r="E89" s="119">
        <v>0</v>
      </c>
      <c r="F89" s="119">
        <v>0</v>
      </c>
      <c r="G89" s="119">
        <v>0</v>
      </c>
      <c r="H89" s="119">
        <v>0</v>
      </c>
      <c r="I89" s="119">
        <v>0</v>
      </c>
      <c r="J89" s="124">
        <f>AVERAGE(E89:I89)</f>
        <v>0</v>
      </c>
      <c r="K89" s="124"/>
      <c r="L89" s="82"/>
      <c r="M89" s="82"/>
      <c r="N89" s="82"/>
      <c r="O89" s="82"/>
      <c r="P89" s="82"/>
      <c r="Q89" s="59"/>
      <c r="R89" s="37"/>
    </row>
    <row r="90" spans="1:18" ht="12.75" customHeight="1" thickTop="1" x14ac:dyDescent="0.3">
      <c r="A90" s="98"/>
      <c r="B90" s="98"/>
      <c r="C90" s="98"/>
      <c r="D90" s="70"/>
      <c r="E90" s="99"/>
      <c r="F90" s="99"/>
      <c r="G90" s="99"/>
      <c r="H90" s="99"/>
      <c r="I90" s="99"/>
      <c r="J90" s="108"/>
      <c r="K90" s="108"/>
      <c r="L90" s="82"/>
      <c r="M90" s="82"/>
      <c r="N90" s="82"/>
      <c r="O90" s="82"/>
      <c r="P90" s="82"/>
      <c r="Q90" s="59"/>
      <c r="R90" s="37"/>
    </row>
    <row r="91" spans="1:18" ht="12.75" customHeight="1" thickBot="1" x14ac:dyDescent="0.35">
      <c r="A91" s="101"/>
      <c r="B91" s="101"/>
      <c r="C91" s="101"/>
      <c r="D91" s="102"/>
      <c r="E91" s="103"/>
      <c r="F91" s="103"/>
      <c r="G91" s="103"/>
      <c r="H91" s="103"/>
      <c r="I91" s="103"/>
      <c r="J91" s="123"/>
      <c r="K91" s="123"/>
      <c r="L91" s="82"/>
      <c r="M91" s="82"/>
      <c r="N91" s="82"/>
      <c r="O91" s="82"/>
      <c r="P91" s="82"/>
      <c r="Q91" s="59"/>
      <c r="R91" s="37"/>
    </row>
    <row r="92" spans="1:18" ht="12.75" customHeight="1" outlineLevel="1" x14ac:dyDescent="0.3">
      <c r="A92" s="98"/>
      <c r="B92" s="98"/>
      <c r="C92" s="98" t="s">
        <v>9</v>
      </c>
      <c r="D92" s="70"/>
      <c r="E92" s="99">
        <v>0</v>
      </c>
      <c r="F92" s="99">
        <v>0</v>
      </c>
      <c r="G92" s="99">
        <v>0</v>
      </c>
      <c r="H92" s="99">
        <v>0</v>
      </c>
      <c r="I92" s="99">
        <v>0</v>
      </c>
      <c r="J92" s="108">
        <f t="shared" ref="J92:J98" si="10">AVERAGE(E92:I92)</f>
        <v>0</v>
      </c>
      <c r="K92" s="108"/>
      <c r="L92" s="82"/>
      <c r="M92" s="82"/>
      <c r="N92" s="82"/>
      <c r="O92" s="82"/>
      <c r="P92" s="82"/>
      <c r="Q92" s="59"/>
      <c r="R92" s="37"/>
    </row>
    <row r="93" spans="1:18" ht="12.75" customHeight="1" outlineLevel="1" x14ac:dyDescent="0.3">
      <c r="A93" s="98"/>
      <c r="B93" s="98"/>
      <c r="C93" s="98" t="s">
        <v>11</v>
      </c>
      <c r="D93" s="70"/>
      <c r="E93" s="131">
        <v>0</v>
      </c>
      <c r="F93" s="131">
        <v>0</v>
      </c>
      <c r="G93" s="131">
        <v>0</v>
      </c>
      <c r="H93" s="131">
        <v>0</v>
      </c>
      <c r="I93" s="131">
        <v>0</v>
      </c>
      <c r="J93" s="275">
        <f t="shared" si="10"/>
        <v>0</v>
      </c>
      <c r="K93" s="108"/>
      <c r="L93" s="82"/>
      <c r="M93" s="82"/>
      <c r="N93" s="82"/>
      <c r="O93" s="82"/>
      <c r="P93" s="82"/>
      <c r="Q93" s="59"/>
      <c r="R93" s="37"/>
    </row>
    <row r="94" spans="1:18" ht="12.75" customHeight="1" outlineLevel="1" x14ac:dyDescent="0.3">
      <c r="A94" s="98"/>
      <c r="B94" s="98"/>
      <c r="C94" s="98" t="s">
        <v>21</v>
      </c>
      <c r="D94" s="70"/>
      <c r="E94" s="131">
        <v>0</v>
      </c>
      <c r="F94" s="131">
        <v>0</v>
      </c>
      <c r="G94" s="131">
        <v>0</v>
      </c>
      <c r="H94" s="131">
        <v>0</v>
      </c>
      <c r="I94" s="131">
        <v>0</v>
      </c>
      <c r="J94" s="275">
        <f t="shared" si="10"/>
        <v>0</v>
      </c>
      <c r="K94" s="108"/>
      <c r="L94" s="82"/>
      <c r="M94" s="82"/>
      <c r="N94" s="82"/>
      <c r="O94" s="82"/>
      <c r="P94" s="82"/>
      <c r="Q94" s="59"/>
      <c r="R94" s="37"/>
    </row>
    <row r="95" spans="1:18" ht="12.75" customHeight="1" outlineLevel="1" x14ac:dyDescent="0.3">
      <c r="A95" s="98"/>
      <c r="B95" s="98"/>
      <c r="C95" s="98" t="s">
        <v>88</v>
      </c>
      <c r="D95" s="98"/>
      <c r="E95" s="131">
        <v>0</v>
      </c>
      <c r="F95" s="131">
        <v>0</v>
      </c>
      <c r="G95" s="131">
        <v>0</v>
      </c>
      <c r="H95" s="131">
        <v>0</v>
      </c>
      <c r="I95" s="131">
        <v>0</v>
      </c>
      <c r="J95" s="275">
        <f t="shared" si="10"/>
        <v>0</v>
      </c>
      <c r="K95" s="108"/>
      <c r="L95" s="82"/>
      <c r="M95" s="82"/>
      <c r="N95" s="82"/>
      <c r="O95" s="82"/>
      <c r="P95" s="82"/>
      <c r="Q95" s="59"/>
      <c r="R95" s="37"/>
    </row>
    <row r="96" spans="1:18" ht="12.75" customHeight="1" outlineLevel="1" x14ac:dyDescent="0.3">
      <c r="A96" s="98"/>
      <c r="B96" s="98"/>
      <c r="C96" s="98" t="s">
        <v>89</v>
      </c>
      <c r="D96" s="98"/>
      <c r="E96" s="131">
        <v>0</v>
      </c>
      <c r="F96" s="131">
        <v>0</v>
      </c>
      <c r="G96" s="131">
        <v>0</v>
      </c>
      <c r="H96" s="131">
        <v>0</v>
      </c>
      <c r="I96" s="131">
        <v>0</v>
      </c>
      <c r="J96" s="275">
        <f t="shared" si="10"/>
        <v>0</v>
      </c>
      <c r="K96" s="108"/>
      <c r="L96" s="82"/>
      <c r="M96" s="82"/>
      <c r="N96" s="82"/>
      <c r="O96" s="82"/>
      <c r="P96" s="82"/>
      <c r="Q96" s="59"/>
      <c r="R96" s="37"/>
    </row>
    <row r="97" spans="1:18" ht="12.75" customHeight="1" outlineLevel="1" x14ac:dyDescent="0.3">
      <c r="A97" s="98"/>
      <c r="B97" s="98"/>
      <c r="C97" s="98" t="s">
        <v>90</v>
      </c>
      <c r="D97" s="98"/>
      <c r="E97" s="131">
        <v>0</v>
      </c>
      <c r="F97" s="131">
        <v>0</v>
      </c>
      <c r="G97" s="131">
        <v>0</v>
      </c>
      <c r="H97" s="131">
        <v>0</v>
      </c>
      <c r="I97" s="131">
        <v>0</v>
      </c>
      <c r="J97" s="275">
        <f t="shared" si="10"/>
        <v>0</v>
      </c>
      <c r="K97" s="108"/>
      <c r="L97" s="82"/>
      <c r="M97" s="82"/>
      <c r="N97" s="82"/>
      <c r="O97" s="82"/>
      <c r="P97" s="82"/>
      <c r="Q97" s="59"/>
      <c r="R97" s="37"/>
    </row>
    <row r="98" spans="1:18" ht="12.75" customHeight="1" thickBot="1" x14ac:dyDescent="0.35">
      <c r="A98" s="109" t="s">
        <v>156</v>
      </c>
      <c r="B98" s="109"/>
      <c r="C98" s="109"/>
      <c r="D98" s="109"/>
      <c r="E98" s="119">
        <f>SUM(E92:E97)</f>
        <v>0</v>
      </c>
      <c r="F98" s="119">
        <f>SUM(F92:F97)</f>
        <v>0</v>
      </c>
      <c r="G98" s="119">
        <f>SUM(G92:G97)</f>
        <v>0</v>
      </c>
      <c r="H98" s="119">
        <f>SUM(H92:H97)</f>
        <v>0</v>
      </c>
      <c r="I98" s="119">
        <f>SUM(I92:I97)</f>
        <v>0</v>
      </c>
      <c r="J98" s="124">
        <f t="shared" si="10"/>
        <v>0</v>
      </c>
      <c r="K98" s="124"/>
      <c r="L98" s="82"/>
      <c r="M98" s="82"/>
      <c r="N98" s="82"/>
      <c r="O98" s="82"/>
      <c r="P98" s="82"/>
      <c r="Q98" s="59"/>
      <c r="R98" s="37"/>
    </row>
    <row r="99" spans="1:18" ht="12.75" customHeight="1" thickTop="1" x14ac:dyDescent="0.3">
      <c r="A99" s="98"/>
      <c r="B99" s="98"/>
      <c r="C99" s="98"/>
      <c r="D99" s="98"/>
      <c r="E99" s="99"/>
      <c r="F99" s="99"/>
      <c r="G99" s="99"/>
      <c r="H99" s="99"/>
      <c r="I99" s="99"/>
      <c r="J99" s="108"/>
      <c r="K99" s="108"/>
      <c r="L99" s="82"/>
      <c r="M99" s="82"/>
      <c r="N99" s="82"/>
      <c r="O99" s="82"/>
      <c r="P99" s="82"/>
      <c r="Q99" s="59"/>
      <c r="R99" s="37"/>
    </row>
    <row r="100" spans="1:18" ht="12.75" customHeight="1" thickBot="1" x14ac:dyDescent="0.35">
      <c r="A100" s="101"/>
      <c r="B100" s="101"/>
      <c r="C100" s="101"/>
      <c r="D100" s="101"/>
      <c r="E100" s="103"/>
      <c r="F100" s="103"/>
      <c r="G100" s="103"/>
      <c r="H100" s="103"/>
      <c r="I100" s="103"/>
      <c r="J100" s="123"/>
      <c r="K100" s="123"/>
      <c r="L100" s="82"/>
      <c r="M100" s="82"/>
      <c r="N100" s="82"/>
      <c r="O100" s="82"/>
      <c r="P100" s="82"/>
      <c r="Q100" s="59"/>
      <c r="R100" s="37"/>
    </row>
    <row r="101" spans="1:18" ht="12.75" customHeight="1" x14ac:dyDescent="0.3">
      <c r="A101" s="98"/>
      <c r="B101" s="98"/>
      <c r="C101" s="98"/>
      <c r="D101" s="98"/>
      <c r="E101" s="99"/>
      <c r="F101" s="99"/>
      <c r="G101" s="99"/>
      <c r="H101" s="99"/>
      <c r="I101" s="99"/>
      <c r="J101" s="108"/>
      <c r="K101" s="108"/>
      <c r="L101" s="82"/>
      <c r="M101" s="82"/>
      <c r="N101" s="82"/>
      <c r="O101" s="82"/>
      <c r="P101" s="82"/>
      <c r="Q101" s="59"/>
      <c r="R101" s="37"/>
    </row>
    <row r="102" spans="1:18" ht="12.75" customHeight="1" x14ac:dyDescent="0.3">
      <c r="A102" s="98" t="s">
        <v>157</v>
      </c>
      <c r="B102" s="98"/>
      <c r="C102" s="98"/>
      <c r="D102" s="98"/>
      <c r="E102" s="104">
        <f>E85+E89+E98</f>
        <v>0</v>
      </c>
      <c r="F102" s="104">
        <f>F85+F89+F98</f>
        <v>0</v>
      </c>
      <c r="G102" s="104">
        <f>G85+G89+G98</f>
        <v>0</v>
      </c>
      <c r="H102" s="104">
        <f>H85+H89+H98</f>
        <v>0</v>
      </c>
      <c r="I102" s="104">
        <f>I85+I89+I98</f>
        <v>0</v>
      </c>
      <c r="J102" s="108">
        <f>AVERAGE(E102:I102)</f>
        <v>0</v>
      </c>
      <c r="K102" s="147">
        <f>IF($J$10=0,0,J102/J10)</f>
        <v>0</v>
      </c>
      <c r="L102" s="82"/>
      <c r="M102" s="82"/>
      <c r="N102" s="82"/>
      <c r="O102" s="82"/>
      <c r="P102" s="82"/>
      <c r="Q102" s="59"/>
      <c r="R102" s="37"/>
    </row>
    <row r="103" spans="1:18" ht="12.75" customHeight="1" thickBot="1" x14ac:dyDescent="0.35">
      <c r="A103" s="101"/>
      <c r="B103" s="101"/>
      <c r="C103" s="101"/>
      <c r="D103" s="101" t="s">
        <v>108</v>
      </c>
      <c r="E103" s="103"/>
      <c r="F103" s="103"/>
      <c r="G103" s="103"/>
      <c r="H103" s="103"/>
      <c r="I103" s="103"/>
      <c r="J103" s="123"/>
      <c r="K103" s="123"/>
      <c r="L103" s="82"/>
      <c r="M103" s="82"/>
      <c r="N103" s="82"/>
      <c r="O103" s="82"/>
      <c r="P103" s="82"/>
      <c r="Q103" s="59"/>
      <c r="R103" s="37"/>
    </row>
    <row r="104" spans="1:18" ht="12.75" customHeight="1" x14ac:dyDescent="0.3">
      <c r="A104" s="98"/>
      <c r="B104" s="98"/>
      <c r="C104" s="98"/>
      <c r="D104" s="98"/>
      <c r="E104" s="99"/>
      <c r="F104" s="99"/>
      <c r="G104" s="99"/>
      <c r="H104" s="99"/>
      <c r="I104" s="99"/>
      <c r="J104" s="108"/>
      <c r="K104" s="108"/>
      <c r="L104" s="82"/>
      <c r="M104" s="82"/>
      <c r="N104" s="82"/>
      <c r="O104" s="82"/>
      <c r="P104" s="82"/>
      <c r="Q104" s="59"/>
      <c r="R104" s="37"/>
    </row>
    <row r="105" spans="1:18" ht="12.75" customHeight="1" thickBot="1" x14ac:dyDescent="0.35">
      <c r="A105" s="101"/>
      <c r="B105" s="101"/>
      <c r="C105" s="101"/>
      <c r="D105" s="101"/>
      <c r="E105" s="103"/>
      <c r="F105" s="103"/>
      <c r="G105" s="103"/>
      <c r="H105" s="103"/>
      <c r="I105" s="103"/>
      <c r="J105" s="123"/>
      <c r="K105" s="123"/>
      <c r="L105" s="82"/>
      <c r="M105" s="82"/>
      <c r="N105" s="82"/>
      <c r="O105" s="82"/>
      <c r="P105" s="82"/>
      <c r="Q105" s="59"/>
      <c r="R105" s="37"/>
    </row>
    <row r="106" spans="1:18" ht="12.75" customHeight="1" x14ac:dyDescent="0.3">
      <c r="A106" s="98"/>
      <c r="B106" s="98"/>
      <c r="C106" s="98"/>
      <c r="D106" s="98"/>
      <c r="E106" s="99"/>
      <c r="F106" s="99"/>
      <c r="G106" s="99"/>
      <c r="H106" s="99"/>
      <c r="I106" s="99"/>
      <c r="J106" s="108"/>
      <c r="K106" s="108"/>
      <c r="L106" s="82"/>
      <c r="M106" s="82"/>
      <c r="N106" s="82"/>
      <c r="O106" s="82"/>
      <c r="P106" s="82"/>
      <c r="Q106" s="59"/>
      <c r="R106" s="37"/>
    </row>
    <row r="107" spans="1:18" ht="12.75" customHeight="1" x14ac:dyDescent="0.3">
      <c r="A107" s="98" t="s">
        <v>158</v>
      </c>
      <c r="B107" s="98"/>
      <c r="C107" s="98"/>
      <c r="D107" s="70"/>
      <c r="E107" s="104">
        <f>-'1. Assumptions'!$D$18*E102</f>
        <v>0</v>
      </c>
      <c r="F107" s="104">
        <f>-'1. Assumptions'!$D$18*F102</f>
        <v>0</v>
      </c>
      <c r="G107" s="104">
        <f>-'1. Assumptions'!$D$18*G102</f>
        <v>0</v>
      </c>
      <c r="H107" s="104">
        <f>-'1. Assumptions'!$D$18*H102</f>
        <v>0</v>
      </c>
      <c r="I107" s="104">
        <f>-'1. Assumptions'!$D$18*I102</f>
        <v>0</v>
      </c>
      <c r="J107" s="108">
        <f>AVERAGE(E107:I107)</f>
        <v>0</v>
      </c>
      <c r="K107" s="108">
        <f>AVERAGE(F107:J107)</f>
        <v>0</v>
      </c>
      <c r="L107" s="82"/>
      <c r="M107" s="82"/>
      <c r="N107" s="82"/>
      <c r="O107" s="82"/>
      <c r="P107" s="82"/>
      <c r="Q107" s="59"/>
      <c r="R107" s="37"/>
    </row>
    <row r="108" spans="1:18" ht="12.75" customHeight="1" thickBot="1" x14ac:dyDescent="0.35">
      <c r="A108" s="101"/>
      <c r="B108" s="101"/>
      <c r="C108" s="101"/>
      <c r="D108" s="102"/>
      <c r="E108" s="103"/>
      <c r="F108" s="103"/>
      <c r="G108" s="103"/>
      <c r="H108" s="103"/>
      <c r="I108" s="103"/>
      <c r="J108" s="123"/>
      <c r="K108" s="123"/>
      <c r="L108" s="82"/>
      <c r="M108" s="82"/>
      <c r="N108" s="82"/>
      <c r="O108" s="82"/>
      <c r="P108" s="82"/>
      <c r="Q108" s="59"/>
      <c r="R108" s="37"/>
    </row>
    <row r="109" spans="1:18" ht="12.75" customHeight="1" x14ac:dyDescent="0.3">
      <c r="A109" s="98"/>
      <c r="B109" s="98"/>
      <c r="C109" s="98"/>
      <c r="D109" s="70"/>
      <c r="E109" s="99"/>
      <c r="F109" s="99"/>
      <c r="G109" s="99"/>
      <c r="H109" s="99"/>
      <c r="I109" s="99"/>
      <c r="J109" s="108"/>
      <c r="K109" s="108"/>
      <c r="L109" s="82"/>
      <c r="M109" s="82"/>
      <c r="N109" s="82"/>
      <c r="O109" s="82"/>
      <c r="P109" s="82"/>
      <c r="Q109" s="59"/>
      <c r="R109" s="37"/>
    </row>
    <row r="110" spans="1:18" ht="12.75" customHeight="1" x14ac:dyDescent="0.3">
      <c r="A110" s="98"/>
      <c r="B110" s="98"/>
      <c r="C110" s="98"/>
      <c r="D110" s="70"/>
      <c r="E110" s="99"/>
      <c r="F110" s="99"/>
      <c r="G110" s="99"/>
      <c r="H110" s="99"/>
      <c r="I110" s="99"/>
      <c r="J110" s="108"/>
      <c r="K110" s="108"/>
      <c r="L110" s="82"/>
      <c r="M110" s="82"/>
      <c r="N110" s="82"/>
      <c r="O110" s="82"/>
      <c r="P110" s="82"/>
      <c r="Q110" s="59"/>
      <c r="R110" s="37"/>
    </row>
    <row r="111" spans="1:18" ht="12.75" customHeight="1" thickBot="1" x14ac:dyDescent="0.35">
      <c r="A111" s="101"/>
      <c r="B111" s="101"/>
      <c r="C111" s="101"/>
      <c r="D111" s="102"/>
      <c r="E111" s="103"/>
      <c r="F111" s="103"/>
      <c r="G111" s="103"/>
      <c r="H111" s="103"/>
      <c r="I111" s="103"/>
      <c r="J111" s="123"/>
      <c r="K111" s="123"/>
      <c r="L111" s="82"/>
      <c r="M111" s="82"/>
      <c r="N111" s="82"/>
      <c r="O111" s="82"/>
      <c r="P111" s="82"/>
      <c r="Q111" s="59"/>
      <c r="R111" s="37"/>
    </row>
    <row r="112" spans="1:18" ht="12.75" customHeight="1" x14ac:dyDescent="0.3">
      <c r="A112" s="98"/>
      <c r="B112" s="98"/>
      <c r="C112" s="98"/>
      <c r="D112" s="70"/>
      <c r="E112" s="99"/>
      <c r="F112" s="99"/>
      <c r="G112" s="99"/>
      <c r="H112" s="99"/>
      <c r="I112" s="99"/>
      <c r="J112" s="108"/>
      <c r="K112" s="108"/>
      <c r="L112" s="82"/>
      <c r="M112" s="82"/>
      <c r="N112" s="82"/>
      <c r="O112" s="82"/>
      <c r="P112" s="82"/>
      <c r="Q112" s="59"/>
      <c r="R112" s="37"/>
    </row>
    <row r="113" spans="1:18" ht="15.9" customHeight="1" x14ac:dyDescent="0.3">
      <c r="A113" s="98" t="s">
        <v>159</v>
      </c>
      <c r="B113" s="98"/>
      <c r="C113" s="98"/>
      <c r="D113" s="70"/>
      <c r="E113" s="99">
        <f>E102+E107</f>
        <v>0</v>
      </c>
      <c r="F113" s="99">
        <f>F102+F107</f>
        <v>0</v>
      </c>
      <c r="G113" s="99">
        <f>G102+G107</f>
        <v>0</v>
      </c>
      <c r="H113" s="99">
        <f>H102+H107</f>
        <v>0</v>
      </c>
      <c r="I113" s="99">
        <f>I102+I107</f>
        <v>0</v>
      </c>
      <c r="J113" s="108">
        <f>AVERAGE(E113:I113)</f>
        <v>0</v>
      </c>
      <c r="K113" s="147">
        <f>IF($J$10=0,0,J113/J10)</f>
        <v>0</v>
      </c>
      <c r="L113" s="82"/>
      <c r="M113" s="82"/>
      <c r="N113" s="82"/>
      <c r="O113" s="82"/>
      <c r="P113" s="82"/>
      <c r="Q113" s="59"/>
      <c r="R113" s="37"/>
    </row>
    <row r="114" spans="1:18" ht="12.75" customHeight="1" thickBot="1" x14ac:dyDescent="0.35">
      <c r="A114" s="106"/>
      <c r="B114" s="106"/>
      <c r="C114" s="106"/>
      <c r="D114" s="107"/>
      <c r="E114" s="121"/>
      <c r="F114" s="121"/>
      <c r="G114" s="121"/>
      <c r="H114" s="121"/>
      <c r="I114" s="121"/>
      <c r="J114" s="121"/>
      <c r="K114" s="121"/>
      <c r="L114" s="81"/>
      <c r="M114" s="81"/>
      <c r="N114" s="81"/>
      <c r="O114" s="81"/>
      <c r="P114" s="81"/>
      <c r="Q114" s="59"/>
      <c r="R114" s="37"/>
    </row>
    <row r="115" spans="1:18" ht="12.75" customHeight="1" thickTop="1" x14ac:dyDescent="0.3">
      <c r="A115" s="98"/>
      <c r="B115" s="98"/>
      <c r="C115" s="98"/>
      <c r="D115" s="70"/>
      <c r="E115" s="108"/>
      <c r="F115" s="108"/>
      <c r="G115" s="108"/>
      <c r="H115" s="108"/>
      <c r="I115" s="108"/>
      <c r="J115" s="108"/>
      <c r="K115" s="108"/>
      <c r="L115" s="81"/>
      <c r="M115" s="81"/>
      <c r="N115" s="81"/>
      <c r="O115" s="81"/>
      <c r="P115" s="81"/>
      <c r="Q115" s="59"/>
      <c r="R115" s="37"/>
    </row>
    <row r="116" spans="1:18" ht="12.75" customHeight="1" x14ac:dyDescent="0.3">
      <c r="A116" s="98"/>
      <c r="B116" s="98"/>
      <c r="C116" s="98"/>
      <c r="D116" s="70"/>
      <c r="E116" s="108"/>
      <c r="F116" s="108"/>
      <c r="G116" s="108"/>
      <c r="H116" s="108"/>
      <c r="I116" s="108"/>
      <c r="J116" s="108"/>
      <c r="K116" s="108"/>
      <c r="L116" s="81"/>
      <c r="M116" s="81"/>
      <c r="N116" s="81"/>
      <c r="O116" s="81"/>
      <c r="P116" s="81"/>
      <c r="Q116" s="59"/>
      <c r="R116" s="37"/>
    </row>
    <row r="117" spans="1:18" ht="12.75" customHeight="1" thickBot="1" x14ac:dyDescent="0.35">
      <c r="A117" s="109" t="s">
        <v>160</v>
      </c>
      <c r="B117" s="109"/>
      <c r="C117" s="109"/>
      <c r="D117" s="110"/>
      <c r="E117" s="146">
        <f>IF(E102=0,0,-E107/E102)</f>
        <v>0</v>
      </c>
      <c r="F117" s="146">
        <f t="shared" ref="F117:J117" si="11">IF(F102=0,0,-F107/F102)</f>
        <v>0</v>
      </c>
      <c r="G117" s="146">
        <f t="shared" si="11"/>
        <v>0</v>
      </c>
      <c r="H117" s="146">
        <f t="shared" si="11"/>
        <v>0</v>
      </c>
      <c r="I117" s="146">
        <f t="shared" si="11"/>
        <v>0</v>
      </c>
      <c r="J117" s="146">
        <f t="shared" si="11"/>
        <v>0</v>
      </c>
      <c r="K117" s="146">
        <f>AVERAGE(E117:J117)</f>
        <v>0</v>
      </c>
      <c r="L117" s="81"/>
      <c r="M117" s="81"/>
      <c r="N117" s="81"/>
      <c r="O117" s="81"/>
      <c r="P117" s="81"/>
      <c r="Q117" s="59"/>
      <c r="R117" s="93"/>
    </row>
    <row r="118" spans="1:18" ht="12.75" customHeight="1" thickTop="1" x14ac:dyDescent="0.25">
      <c r="A118" s="46"/>
      <c r="B118" s="63"/>
      <c r="C118" s="46"/>
      <c r="D118" s="44"/>
      <c r="E118" s="59"/>
      <c r="F118" s="59"/>
      <c r="G118" s="59"/>
      <c r="H118" s="94"/>
      <c r="I118" s="59"/>
      <c r="J118" s="59"/>
      <c r="K118" s="59"/>
      <c r="L118" s="59"/>
      <c r="M118" s="59"/>
      <c r="N118" s="59"/>
      <c r="O118" s="59"/>
      <c r="P118" s="59"/>
      <c r="Q118" s="59"/>
      <c r="R118" s="93"/>
    </row>
    <row r="119" spans="1:18" ht="12.75" customHeight="1" x14ac:dyDescent="0.25">
      <c r="A119" s="63"/>
      <c r="B119" s="63"/>
      <c r="C119" s="63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68"/>
      <c r="P119" s="44"/>
      <c r="Q119" s="44"/>
      <c r="R119" s="9"/>
    </row>
    <row r="120" spans="1:18" ht="12.75" customHeight="1" x14ac:dyDescent="0.25">
      <c r="A120" s="63"/>
      <c r="B120" s="63"/>
      <c r="C120" s="63"/>
      <c r="D120" s="44"/>
      <c r="E120" s="132"/>
      <c r="F120" s="132"/>
      <c r="G120" s="132"/>
      <c r="H120" s="132"/>
      <c r="I120" s="135"/>
      <c r="J120" s="132"/>
      <c r="K120" s="44"/>
      <c r="L120" s="44"/>
      <c r="M120" s="44"/>
      <c r="N120" s="44"/>
      <c r="O120" s="44"/>
      <c r="P120" s="44"/>
      <c r="Q120" s="44"/>
    </row>
    <row r="121" spans="1:18" ht="12.75" customHeight="1" x14ac:dyDescent="0.25">
      <c r="A121" s="63"/>
      <c r="B121" s="63"/>
      <c r="C121" s="63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</row>
    <row r="122" spans="1:18" ht="12.75" customHeight="1" x14ac:dyDescent="0.25">
      <c r="A122" s="63"/>
      <c r="B122" s="63"/>
      <c r="C122" s="63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</row>
    <row r="123" spans="1:18" ht="12.75" customHeight="1" x14ac:dyDescent="0.25">
      <c r="A123" s="63"/>
      <c r="B123" s="63"/>
      <c r="C123" s="63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</row>
    <row r="124" spans="1:18" ht="12.75" customHeight="1" x14ac:dyDescent="0.25">
      <c r="A124" s="63"/>
      <c r="B124" s="63"/>
      <c r="C124" s="63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</row>
    <row r="125" spans="1:18" ht="12.75" customHeight="1" x14ac:dyDescent="0.25">
      <c r="A125" s="63"/>
      <c r="B125" s="63"/>
      <c r="C125" s="63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</row>
    <row r="126" spans="1:18" ht="12.75" customHeight="1" x14ac:dyDescent="0.25">
      <c r="A126" s="63"/>
      <c r="B126" s="63"/>
      <c r="C126" s="63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</row>
    <row r="127" spans="1:18" ht="12.75" customHeight="1" x14ac:dyDescent="0.25">
      <c r="A127" s="63"/>
      <c r="C127" s="63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</row>
    <row r="128" spans="1:18" ht="12.75" customHeight="1" x14ac:dyDescent="0.2"/>
    <row r="129" spans="4:18" ht="12.75" customHeight="1" x14ac:dyDescent="0.2"/>
    <row r="130" spans="4:18" ht="12.75" customHeight="1" x14ac:dyDescent="0.2"/>
    <row r="131" spans="4:18" ht="12.75" customHeight="1" x14ac:dyDescent="0.2"/>
    <row r="132" spans="4:18" ht="12.75" customHeight="1" x14ac:dyDescent="0.2"/>
    <row r="133" spans="4:18" ht="12.75" customHeight="1" x14ac:dyDescent="0.2"/>
    <row r="134" spans="4:18" ht="12.75" customHeight="1" x14ac:dyDescent="0.2"/>
    <row r="135" spans="4:18" ht="12.75" customHeight="1" x14ac:dyDescent="0.2"/>
    <row r="136" spans="4:18" s="3" customFormat="1" ht="12.75" customHeight="1" x14ac:dyDescent="0.2"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</sheetData>
  <mergeCells count="3">
    <mergeCell ref="D5:D7"/>
    <mergeCell ref="A8:D8"/>
    <mergeCell ref="A1:K3"/>
  </mergeCells>
  <pageMargins left="0.75" right="0.75" top="1" bottom="0.75" header="0.5" footer="0.5"/>
  <pageSetup scale="75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3:S108"/>
  <sheetViews>
    <sheetView showGridLines="0" showRowColHeaders="0" topLeftCell="A9" zoomScale="90" zoomScaleNormal="90" workbookViewId="0">
      <selection activeCell="H66" sqref="H66"/>
    </sheetView>
  </sheetViews>
  <sheetFormatPr defaultColWidth="8.875" defaultRowHeight="11.4" x14ac:dyDescent="0.2"/>
  <cols>
    <col min="1" max="1" width="2.75" customWidth="1"/>
    <col min="2" max="2" width="22.75" style="3" customWidth="1"/>
    <col min="3" max="4" width="3" style="3" customWidth="1"/>
    <col min="5" max="5" width="22.75" customWidth="1"/>
    <col min="6" max="12" width="20.75" customWidth="1"/>
    <col min="13" max="17" width="11.75" customWidth="1"/>
    <col min="18" max="18" width="15.75" customWidth="1"/>
  </cols>
  <sheetData>
    <row r="3" spans="1:19" ht="12" customHeight="1" x14ac:dyDescent="0.2">
      <c r="A3" s="594" t="s">
        <v>248</v>
      </c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155"/>
      <c r="M3" s="125"/>
      <c r="N3" s="125"/>
      <c r="O3" s="125"/>
      <c r="P3" s="125"/>
      <c r="Q3" s="125"/>
    </row>
    <row r="4" spans="1:19" ht="12" customHeight="1" x14ac:dyDescent="0.2">
      <c r="A4" s="594"/>
      <c r="B4" s="594"/>
      <c r="C4" s="594"/>
      <c r="D4" s="594"/>
      <c r="E4" s="594"/>
      <c r="F4" s="594"/>
      <c r="G4" s="594"/>
      <c r="H4" s="594"/>
      <c r="I4" s="594"/>
      <c r="J4" s="594"/>
      <c r="K4" s="594"/>
      <c r="L4" s="155"/>
      <c r="M4" s="125"/>
      <c r="N4" s="125"/>
      <c r="O4" s="125"/>
      <c r="P4" s="125"/>
      <c r="Q4" s="125"/>
    </row>
    <row r="5" spans="1:19" ht="12" customHeight="1" x14ac:dyDescent="0.25">
      <c r="A5" s="594"/>
      <c r="B5" s="594"/>
      <c r="C5" s="594"/>
      <c r="D5" s="594"/>
      <c r="E5" s="594"/>
      <c r="F5" s="594"/>
      <c r="G5" s="594"/>
      <c r="H5" s="594"/>
      <c r="I5" s="594"/>
      <c r="J5" s="594"/>
      <c r="K5" s="594"/>
      <c r="L5" s="155"/>
      <c r="M5" s="125"/>
      <c r="N5" s="125"/>
      <c r="O5" s="125"/>
      <c r="P5" s="125"/>
      <c r="Q5" s="125"/>
      <c r="R5" s="44"/>
    </row>
    <row r="6" spans="1:19" ht="12" customHeight="1" x14ac:dyDescent="0.25">
      <c r="A6" s="594"/>
      <c r="B6" s="594"/>
      <c r="C6" s="594"/>
      <c r="D6" s="594"/>
      <c r="E6" s="594"/>
      <c r="F6" s="594"/>
      <c r="G6" s="594"/>
      <c r="H6" s="594"/>
      <c r="I6" s="594"/>
      <c r="J6" s="594"/>
      <c r="K6" s="594"/>
      <c r="L6" s="155"/>
      <c r="M6" s="125"/>
      <c r="N6" s="125"/>
      <c r="O6" s="125"/>
      <c r="P6" s="125"/>
      <c r="Q6" s="125"/>
      <c r="R6" s="44"/>
    </row>
    <row r="7" spans="1:19" ht="12.75" customHeight="1" x14ac:dyDescent="0.25">
      <c r="A7" s="594"/>
      <c r="B7" s="594"/>
      <c r="C7" s="594"/>
      <c r="D7" s="594"/>
      <c r="E7" s="594"/>
      <c r="F7" s="594"/>
      <c r="G7" s="594"/>
      <c r="H7" s="594"/>
      <c r="I7" s="594"/>
      <c r="J7" s="594"/>
      <c r="K7" s="594"/>
      <c r="L7" s="155"/>
      <c r="M7" s="125"/>
      <c r="N7" s="125"/>
      <c r="O7" s="125"/>
      <c r="P7" s="125"/>
      <c r="Q7" s="125"/>
      <c r="R7" s="44"/>
      <c r="S7" s="44"/>
    </row>
    <row r="8" spans="1:19" ht="12.75" customHeight="1" x14ac:dyDescent="0.3">
      <c r="A8" s="77"/>
      <c r="B8" s="105"/>
      <c r="C8" s="105"/>
      <c r="D8" s="105"/>
      <c r="E8" s="77"/>
      <c r="F8" s="77"/>
      <c r="G8" s="77"/>
      <c r="H8" s="77"/>
      <c r="I8" s="77"/>
      <c r="J8" s="77"/>
      <c r="K8" s="77"/>
      <c r="L8" s="77"/>
      <c r="M8" s="75"/>
      <c r="N8" s="75"/>
      <c r="O8" s="75"/>
      <c r="P8" s="75"/>
      <c r="Q8" s="75"/>
      <c r="R8" s="44"/>
      <c r="S8" s="44"/>
    </row>
    <row r="9" spans="1:19" ht="12.75" customHeight="1" x14ac:dyDescent="0.3">
      <c r="A9" s="70"/>
      <c r="B9" s="602" t="s">
        <v>148</v>
      </c>
      <c r="C9" s="98"/>
      <c r="D9" s="98"/>
      <c r="F9" s="70"/>
      <c r="G9" s="70"/>
      <c r="H9" s="70"/>
      <c r="I9" s="70"/>
      <c r="J9" s="70"/>
      <c r="K9" s="77"/>
      <c r="L9" s="77"/>
      <c r="M9" s="75"/>
      <c r="N9" s="75"/>
      <c r="O9" s="75"/>
      <c r="P9" s="75"/>
      <c r="Q9" s="75"/>
      <c r="R9" s="44"/>
      <c r="S9" s="44"/>
    </row>
    <row r="10" spans="1:19" ht="12.75" customHeight="1" x14ac:dyDescent="0.3">
      <c r="A10" s="70"/>
      <c r="B10" s="602"/>
      <c r="C10" s="98"/>
      <c r="D10" s="98"/>
      <c r="F10" s="97">
        <v>2011</v>
      </c>
      <c r="G10" s="97">
        <v>2012</v>
      </c>
      <c r="H10" s="97">
        <v>2013</v>
      </c>
      <c r="I10" s="97">
        <v>2014</v>
      </c>
      <c r="J10" s="97">
        <v>2015</v>
      </c>
      <c r="K10" s="97" t="s">
        <v>147</v>
      </c>
      <c r="L10" s="97"/>
      <c r="M10" s="47"/>
      <c r="N10" s="47"/>
      <c r="O10" s="47"/>
      <c r="P10" s="47"/>
      <c r="Q10" s="47"/>
      <c r="R10" s="47"/>
      <c r="S10" s="44"/>
    </row>
    <row r="11" spans="1:19" ht="12.75" customHeight="1" x14ac:dyDescent="0.3">
      <c r="A11" s="70"/>
      <c r="B11" s="602"/>
      <c r="C11" s="98"/>
      <c r="D11" s="98"/>
      <c r="F11" s="97"/>
      <c r="G11" s="97"/>
      <c r="H11" s="97"/>
      <c r="I11" s="97"/>
      <c r="J11" s="97"/>
      <c r="K11" s="97"/>
      <c r="L11" s="97"/>
      <c r="M11" s="47"/>
      <c r="N11" s="47"/>
      <c r="O11" s="47"/>
      <c r="P11" s="47"/>
      <c r="Q11" s="47"/>
      <c r="R11" s="47"/>
      <c r="S11" s="44"/>
    </row>
    <row r="12" spans="1:19" ht="12.75" customHeight="1" thickBot="1" x14ac:dyDescent="0.35">
      <c r="A12" s="102"/>
      <c r="B12" s="101"/>
      <c r="C12" s="101"/>
      <c r="D12" s="101"/>
      <c r="E12" s="102"/>
      <c r="F12" s="120"/>
      <c r="G12" s="120"/>
      <c r="H12" s="120"/>
      <c r="I12" s="120"/>
      <c r="J12" s="120"/>
      <c r="K12" s="120"/>
      <c r="L12" s="97"/>
      <c r="M12" s="47"/>
      <c r="N12" s="47"/>
      <c r="O12" s="47"/>
      <c r="P12" s="47"/>
      <c r="Q12" s="47"/>
      <c r="R12" s="47"/>
      <c r="S12" s="44"/>
    </row>
    <row r="13" spans="1:19" ht="12.75" customHeight="1" x14ac:dyDescent="0.3">
      <c r="A13" s="70"/>
      <c r="B13" s="98"/>
      <c r="C13" s="98"/>
      <c r="D13" s="98"/>
      <c r="E13" s="70"/>
      <c r="F13" s="97"/>
      <c r="G13" s="97"/>
      <c r="H13" s="97"/>
      <c r="I13" s="97"/>
      <c r="J13" s="97"/>
      <c r="K13" s="97"/>
      <c r="L13" s="97"/>
      <c r="M13" s="47"/>
      <c r="N13" s="47"/>
      <c r="O13" s="47"/>
      <c r="P13" s="47"/>
      <c r="Q13" s="47"/>
      <c r="R13" s="47"/>
      <c r="S13" s="44"/>
    </row>
    <row r="14" spans="1:19" ht="12.75" customHeight="1" x14ac:dyDescent="0.3">
      <c r="A14" s="70"/>
      <c r="B14" s="98"/>
      <c r="C14" s="98"/>
      <c r="D14" s="98"/>
      <c r="E14" s="70"/>
      <c r="F14" s="134"/>
      <c r="G14" s="134"/>
      <c r="H14" s="134"/>
      <c r="I14" s="134"/>
      <c r="J14" s="134"/>
      <c r="K14" s="134"/>
      <c r="L14" s="70"/>
      <c r="M14" s="44"/>
      <c r="N14" s="44"/>
      <c r="O14" s="44"/>
      <c r="P14" s="44"/>
      <c r="Q14" s="44"/>
      <c r="R14" s="44"/>
      <c r="S14" s="44"/>
    </row>
    <row r="15" spans="1:19" ht="12.75" customHeight="1" x14ac:dyDescent="0.3">
      <c r="A15" s="43" t="s">
        <v>167</v>
      </c>
      <c r="B15" s="43"/>
      <c r="C15" s="43"/>
      <c r="D15" s="98"/>
      <c r="E15" s="98"/>
      <c r="F15" s="100"/>
      <c r="G15" s="100"/>
      <c r="H15" s="100"/>
      <c r="I15" s="100"/>
      <c r="J15" s="100"/>
      <c r="K15" s="100"/>
      <c r="L15" s="70"/>
      <c r="M15" s="44"/>
      <c r="N15" s="44"/>
      <c r="O15" s="44"/>
      <c r="P15" s="44"/>
      <c r="Q15" s="44"/>
      <c r="R15" s="44"/>
      <c r="S15" s="44"/>
    </row>
    <row r="16" spans="1:19" ht="12.75" customHeight="1" x14ac:dyDescent="0.3">
      <c r="A16" s="70"/>
      <c r="B16" s="98" t="s">
        <v>182</v>
      </c>
      <c r="C16" s="98"/>
      <c r="D16" s="98"/>
      <c r="E16" s="70"/>
      <c r="F16" s="99">
        <v>0</v>
      </c>
      <c r="G16" s="99">
        <v>0</v>
      </c>
      <c r="H16" s="99">
        <v>0</v>
      </c>
      <c r="I16" s="99">
        <v>0</v>
      </c>
      <c r="J16" s="99">
        <v>0</v>
      </c>
      <c r="K16" s="99">
        <f>AVERAGE(F16:J16)</f>
        <v>0</v>
      </c>
      <c r="L16" s="99"/>
      <c r="M16" s="82"/>
      <c r="N16" s="82"/>
      <c r="O16" s="82"/>
      <c r="P16" s="82"/>
      <c r="Q16" s="82"/>
      <c r="R16" s="82"/>
      <c r="S16" s="44"/>
    </row>
    <row r="17" spans="1:19" ht="12.75" customHeight="1" x14ac:dyDescent="0.3">
      <c r="A17" s="70"/>
      <c r="B17" s="98" t="s">
        <v>183</v>
      </c>
      <c r="C17" s="98"/>
      <c r="D17" s="98"/>
      <c r="E17" s="70"/>
      <c r="F17" s="99">
        <v>0</v>
      </c>
      <c r="G17" s="99">
        <v>0</v>
      </c>
      <c r="H17" s="99">
        <v>0</v>
      </c>
      <c r="I17" s="99">
        <v>0</v>
      </c>
      <c r="J17" s="99">
        <v>0</v>
      </c>
      <c r="K17" s="99">
        <f t="shared" ref="K17:K24" si="0">AVERAGE(F17:J17)</f>
        <v>0</v>
      </c>
      <c r="L17" s="99"/>
      <c r="M17" s="82"/>
      <c r="N17" s="82"/>
      <c r="O17" s="82"/>
      <c r="P17" s="82"/>
      <c r="Q17" s="82"/>
      <c r="R17" s="82"/>
      <c r="S17" s="44"/>
    </row>
    <row r="18" spans="1:19" ht="12.75" customHeight="1" x14ac:dyDescent="0.3">
      <c r="A18" s="70"/>
      <c r="B18" s="98" t="s">
        <v>184</v>
      </c>
      <c r="C18" s="98"/>
      <c r="D18" s="98"/>
      <c r="E18" s="70"/>
      <c r="F18" s="99">
        <v>0</v>
      </c>
      <c r="G18" s="99">
        <v>0</v>
      </c>
      <c r="H18" s="99">
        <v>0</v>
      </c>
      <c r="I18" s="99">
        <v>0</v>
      </c>
      <c r="J18" s="99">
        <v>0</v>
      </c>
      <c r="K18" s="99">
        <f t="shared" si="0"/>
        <v>0</v>
      </c>
      <c r="L18" s="99"/>
      <c r="M18" s="82"/>
      <c r="N18" s="82"/>
      <c r="O18" s="82"/>
      <c r="P18" s="82"/>
      <c r="Q18" s="82"/>
      <c r="R18" s="82"/>
      <c r="S18" s="44"/>
    </row>
    <row r="19" spans="1:19" ht="12.75" customHeight="1" x14ac:dyDescent="0.3">
      <c r="A19" s="70"/>
      <c r="B19" s="98" t="s">
        <v>175</v>
      </c>
      <c r="C19" s="98"/>
      <c r="D19" s="98"/>
      <c r="E19" s="70"/>
      <c r="F19" s="99">
        <v>0</v>
      </c>
      <c r="G19" s="99">
        <v>0</v>
      </c>
      <c r="H19" s="99">
        <v>0</v>
      </c>
      <c r="I19" s="99">
        <v>0</v>
      </c>
      <c r="J19" s="99">
        <v>0</v>
      </c>
      <c r="K19" s="99">
        <f t="shared" si="0"/>
        <v>0</v>
      </c>
      <c r="L19" s="99"/>
      <c r="M19" s="82"/>
      <c r="N19" s="82"/>
      <c r="O19" s="82"/>
      <c r="P19" s="82"/>
      <c r="Q19" s="82"/>
      <c r="R19" s="82"/>
      <c r="S19" s="44"/>
    </row>
    <row r="20" spans="1:19" ht="12.75" customHeight="1" x14ac:dyDescent="0.3">
      <c r="A20" s="70"/>
      <c r="B20" s="98" t="s">
        <v>109</v>
      </c>
      <c r="C20" s="98"/>
      <c r="D20" s="98"/>
      <c r="E20" s="70"/>
      <c r="F20" s="99">
        <v>0</v>
      </c>
      <c r="G20" s="99">
        <v>0</v>
      </c>
      <c r="H20" s="99">
        <v>0</v>
      </c>
      <c r="I20" s="99">
        <v>0</v>
      </c>
      <c r="J20" s="99">
        <v>0</v>
      </c>
      <c r="K20" s="99">
        <f t="shared" si="0"/>
        <v>0</v>
      </c>
      <c r="L20" s="99"/>
      <c r="M20" s="82"/>
      <c r="N20" s="82"/>
      <c r="O20" s="82"/>
      <c r="P20" s="82"/>
      <c r="Q20" s="82"/>
      <c r="R20" s="82"/>
      <c r="S20" s="44"/>
    </row>
    <row r="21" spans="1:19" ht="12.75" customHeight="1" x14ac:dyDescent="0.3">
      <c r="A21" s="70"/>
      <c r="B21" s="98" t="s">
        <v>185</v>
      </c>
      <c r="C21" s="98"/>
      <c r="D21" s="98"/>
      <c r="E21" s="70"/>
      <c r="F21" s="99">
        <v>0</v>
      </c>
      <c r="G21" s="99">
        <v>0</v>
      </c>
      <c r="H21" s="99">
        <v>0</v>
      </c>
      <c r="I21" s="99">
        <v>0</v>
      </c>
      <c r="J21" s="99">
        <v>0</v>
      </c>
      <c r="K21" s="99">
        <f t="shared" si="0"/>
        <v>0</v>
      </c>
      <c r="L21" s="99"/>
      <c r="M21" s="82"/>
      <c r="N21" s="82"/>
      <c r="O21" s="82"/>
      <c r="P21" s="82"/>
      <c r="Q21" s="82"/>
      <c r="R21" s="82"/>
      <c r="S21" s="44"/>
    </row>
    <row r="22" spans="1:19" ht="12.75" customHeight="1" x14ac:dyDescent="0.3">
      <c r="A22" s="70"/>
      <c r="B22" s="98" t="s">
        <v>201</v>
      </c>
      <c r="C22" s="98"/>
      <c r="D22" s="98"/>
      <c r="E22" s="70"/>
      <c r="F22" s="99">
        <v>0</v>
      </c>
      <c r="G22" s="99">
        <v>0</v>
      </c>
      <c r="H22" s="99">
        <v>0</v>
      </c>
      <c r="I22" s="99">
        <v>0</v>
      </c>
      <c r="J22" s="99">
        <v>0</v>
      </c>
      <c r="K22" s="99">
        <f t="shared" si="0"/>
        <v>0</v>
      </c>
      <c r="L22" s="99"/>
      <c r="M22" s="82"/>
      <c r="N22" s="82"/>
      <c r="O22" s="82"/>
      <c r="P22" s="82"/>
      <c r="Q22" s="82"/>
      <c r="R22" s="82"/>
      <c r="S22" s="44"/>
    </row>
    <row r="23" spans="1:19" ht="12.75" customHeight="1" x14ac:dyDescent="0.3">
      <c r="A23" s="70"/>
      <c r="B23" s="98" t="s">
        <v>186</v>
      </c>
      <c r="C23" s="98"/>
      <c r="D23" s="98"/>
      <c r="E23" s="70"/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99">
        <f t="shared" si="0"/>
        <v>0</v>
      </c>
      <c r="L23" s="99"/>
      <c r="M23" s="82"/>
      <c r="N23" s="82"/>
      <c r="O23" s="82"/>
      <c r="P23" s="82"/>
      <c r="Q23" s="82"/>
      <c r="R23" s="82"/>
      <c r="S23" s="44"/>
    </row>
    <row r="24" spans="1:19" ht="12.75" customHeight="1" thickBot="1" x14ac:dyDescent="0.35">
      <c r="A24" s="102"/>
      <c r="B24" s="101" t="s">
        <v>140</v>
      </c>
      <c r="C24" s="101"/>
      <c r="D24" s="101"/>
      <c r="E24" s="102"/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f t="shared" si="0"/>
        <v>0</v>
      </c>
      <c r="L24" s="99"/>
      <c r="M24" s="82"/>
      <c r="N24" s="82"/>
      <c r="O24" s="82"/>
      <c r="P24" s="82"/>
      <c r="Q24" s="82"/>
      <c r="R24" s="82"/>
      <c r="S24" s="44"/>
    </row>
    <row r="25" spans="1:19" ht="12.75" customHeight="1" x14ac:dyDescent="0.3">
      <c r="A25" s="70"/>
      <c r="B25" s="98" t="s">
        <v>111</v>
      </c>
      <c r="C25" s="98"/>
      <c r="D25" s="98"/>
      <c r="E25" s="70"/>
      <c r="F25" s="99">
        <f>SUM(F16:F24)</f>
        <v>0</v>
      </c>
      <c r="G25" s="99">
        <f t="shared" ref="G25:K25" si="1">SUM(G16:G24)</f>
        <v>0</v>
      </c>
      <c r="H25" s="99">
        <f>SUM(H16:H24)</f>
        <v>0</v>
      </c>
      <c r="I25" s="99">
        <f t="shared" ref="I25:J25" si="2">SUM(I16:I24)</f>
        <v>0</v>
      </c>
      <c r="J25" s="99">
        <f t="shared" si="2"/>
        <v>0</v>
      </c>
      <c r="K25" s="99">
        <f t="shared" si="1"/>
        <v>0</v>
      </c>
      <c r="L25" s="145"/>
      <c r="M25" s="82"/>
      <c r="N25" s="82"/>
      <c r="O25" s="82"/>
      <c r="P25" s="82"/>
      <c r="Q25" s="82"/>
      <c r="R25" s="82"/>
      <c r="S25" s="44"/>
    </row>
    <row r="26" spans="1:19" ht="12.75" customHeight="1" x14ac:dyDescent="0.3">
      <c r="A26" s="70"/>
      <c r="B26" s="98" t="s">
        <v>112</v>
      </c>
      <c r="C26" s="98"/>
      <c r="D26" s="98"/>
      <c r="E26" s="70"/>
      <c r="F26" s="99">
        <v>0</v>
      </c>
      <c r="G26" s="99">
        <v>0</v>
      </c>
      <c r="H26" s="99">
        <v>0</v>
      </c>
      <c r="I26" s="99">
        <v>0</v>
      </c>
      <c r="J26" s="99">
        <v>0</v>
      </c>
      <c r="K26" s="99">
        <f t="shared" ref="K26:K58" si="3">AVERAGE(F26:J26)</f>
        <v>0</v>
      </c>
      <c r="L26" s="148"/>
      <c r="M26" s="82"/>
      <c r="N26" s="82"/>
      <c r="O26" s="82"/>
      <c r="P26" s="82"/>
      <c r="Q26" s="82"/>
      <c r="R26" s="82"/>
      <c r="S26" s="44"/>
    </row>
    <row r="27" spans="1:19" ht="12.75" customHeight="1" x14ac:dyDescent="0.3">
      <c r="A27" s="70"/>
      <c r="B27" s="98" t="s">
        <v>109</v>
      </c>
      <c r="C27" s="98"/>
      <c r="D27" s="98"/>
      <c r="E27" s="70"/>
      <c r="F27" s="99">
        <v>0</v>
      </c>
      <c r="G27" s="99">
        <v>0</v>
      </c>
      <c r="H27" s="99">
        <v>0</v>
      </c>
      <c r="I27" s="99">
        <v>0</v>
      </c>
      <c r="J27" s="99">
        <v>0</v>
      </c>
      <c r="K27" s="99">
        <f t="shared" si="3"/>
        <v>0</v>
      </c>
      <c r="L27" s="99"/>
      <c r="M27" s="82"/>
      <c r="N27" s="82"/>
      <c r="O27" s="82"/>
      <c r="P27" s="82"/>
      <c r="Q27" s="82"/>
      <c r="R27" s="82"/>
      <c r="S27" s="44"/>
    </row>
    <row r="28" spans="1:19" ht="12.75" customHeight="1" x14ac:dyDescent="0.3">
      <c r="A28" s="70"/>
      <c r="B28" s="98" t="s">
        <v>113</v>
      </c>
      <c r="C28" s="98"/>
      <c r="D28" s="98"/>
      <c r="E28" s="70"/>
      <c r="F28" s="99">
        <v>0</v>
      </c>
      <c r="G28" s="99">
        <v>0</v>
      </c>
      <c r="H28" s="99">
        <v>0</v>
      </c>
      <c r="I28" s="99">
        <v>0</v>
      </c>
      <c r="J28" s="99">
        <v>0</v>
      </c>
      <c r="K28" s="99">
        <f t="shared" si="3"/>
        <v>0</v>
      </c>
      <c r="L28" s="147"/>
      <c r="M28" s="82"/>
      <c r="N28" s="82"/>
      <c r="O28" s="82"/>
      <c r="P28" s="82"/>
      <c r="Q28" s="82"/>
      <c r="R28" s="82"/>
      <c r="S28" s="44"/>
    </row>
    <row r="29" spans="1:19" ht="12.75" customHeight="1" thickBot="1" x14ac:dyDescent="0.35">
      <c r="A29" s="110"/>
      <c r="B29" s="109" t="s">
        <v>114</v>
      </c>
      <c r="C29" s="109"/>
      <c r="D29" s="109"/>
      <c r="E29" s="110"/>
      <c r="F29" s="119">
        <f>SUM(F25:F28)</f>
        <v>0</v>
      </c>
      <c r="G29" s="119">
        <f t="shared" ref="G29:J29" si="4">SUM(G25:G28)</f>
        <v>0</v>
      </c>
      <c r="H29" s="119">
        <f t="shared" si="4"/>
        <v>0</v>
      </c>
      <c r="I29" s="119">
        <f t="shared" si="4"/>
        <v>0</v>
      </c>
      <c r="J29" s="119">
        <f t="shared" si="4"/>
        <v>0</v>
      </c>
      <c r="K29" s="119">
        <f t="shared" si="3"/>
        <v>0</v>
      </c>
      <c r="L29" s="99"/>
      <c r="M29" s="82"/>
      <c r="N29" s="82"/>
      <c r="O29" s="82"/>
      <c r="P29" s="82"/>
      <c r="Q29" s="82"/>
      <c r="R29" s="82"/>
      <c r="S29" s="44"/>
    </row>
    <row r="30" spans="1:19" ht="12.75" customHeight="1" thickTop="1" x14ac:dyDescent="0.3">
      <c r="A30" s="70"/>
      <c r="B30" s="70"/>
      <c r="C30" s="98"/>
      <c r="D30" s="98"/>
      <c r="E30" s="70"/>
      <c r="F30" s="99"/>
      <c r="G30" s="99"/>
      <c r="H30" s="99"/>
      <c r="I30" s="99"/>
      <c r="J30" s="99"/>
      <c r="K30" s="99"/>
      <c r="L30" s="99"/>
      <c r="M30" s="82"/>
      <c r="N30" s="82"/>
      <c r="O30" s="82"/>
      <c r="P30" s="82"/>
      <c r="Q30" s="82"/>
      <c r="R30" s="82"/>
      <c r="S30" s="44"/>
    </row>
    <row r="31" spans="1:19" ht="12.75" customHeight="1" x14ac:dyDescent="0.3">
      <c r="A31" s="70"/>
      <c r="B31" s="98"/>
      <c r="C31" s="98"/>
      <c r="D31" s="98"/>
      <c r="E31" s="70"/>
      <c r="F31" s="99"/>
      <c r="G31" s="99"/>
      <c r="H31" s="99"/>
      <c r="I31" s="99"/>
      <c r="J31" s="99"/>
      <c r="K31" s="99"/>
      <c r="L31" s="99"/>
      <c r="M31" s="82"/>
      <c r="N31" s="82"/>
      <c r="O31" s="82"/>
      <c r="P31" s="82"/>
      <c r="Q31" s="82"/>
      <c r="R31" s="82"/>
      <c r="S31" s="44"/>
    </row>
    <row r="32" spans="1:19" ht="12.75" customHeight="1" x14ac:dyDescent="0.3">
      <c r="A32" s="43" t="s">
        <v>168</v>
      </c>
      <c r="B32" s="43"/>
      <c r="C32" s="43"/>
      <c r="D32" s="43"/>
      <c r="E32" s="98"/>
      <c r="F32" s="99"/>
      <c r="G32" s="99"/>
      <c r="H32" s="99"/>
      <c r="I32" s="99"/>
      <c r="J32" s="99"/>
      <c r="K32" s="99"/>
      <c r="L32" s="99"/>
      <c r="M32" s="82"/>
      <c r="N32" s="82"/>
      <c r="O32" s="82"/>
      <c r="P32" s="82"/>
      <c r="Q32" s="82"/>
      <c r="R32" s="82"/>
      <c r="S32" s="44"/>
    </row>
    <row r="33" spans="1:19" ht="12.75" customHeight="1" x14ac:dyDescent="0.3">
      <c r="A33" s="70"/>
      <c r="B33" s="98" t="s">
        <v>174</v>
      </c>
      <c r="C33" s="98"/>
      <c r="D33" s="98"/>
      <c r="E33" s="70"/>
      <c r="F33" s="299">
        <v>0</v>
      </c>
      <c r="G33" s="299">
        <v>0</v>
      </c>
      <c r="H33" s="299">
        <v>0</v>
      </c>
      <c r="I33" s="299">
        <v>0</v>
      </c>
      <c r="J33" s="299">
        <v>0</v>
      </c>
      <c r="K33" s="99">
        <f t="shared" si="3"/>
        <v>0</v>
      </c>
      <c r="L33" s="99"/>
      <c r="M33" s="87"/>
      <c r="N33" s="87"/>
      <c r="O33" s="87"/>
      <c r="P33" s="87"/>
      <c r="Q33" s="87"/>
      <c r="R33" s="84"/>
      <c r="S33" s="44"/>
    </row>
    <row r="34" spans="1:19" ht="12.75" customHeight="1" x14ac:dyDescent="0.3">
      <c r="A34" s="70"/>
      <c r="B34" s="98" t="s">
        <v>116</v>
      </c>
      <c r="C34" s="98"/>
      <c r="D34" s="98"/>
      <c r="E34" s="70"/>
      <c r="F34" s="299">
        <v>0</v>
      </c>
      <c r="G34" s="299">
        <v>0</v>
      </c>
      <c r="H34" s="299">
        <v>0</v>
      </c>
      <c r="I34" s="299">
        <v>0</v>
      </c>
      <c r="J34" s="299">
        <v>0</v>
      </c>
      <c r="K34" s="99">
        <f t="shared" si="3"/>
        <v>0</v>
      </c>
      <c r="L34" s="99"/>
      <c r="M34" s="87"/>
      <c r="N34" s="87"/>
      <c r="O34" s="87"/>
      <c r="P34" s="87"/>
      <c r="Q34" s="87"/>
      <c r="R34" s="84"/>
      <c r="S34" s="44"/>
    </row>
    <row r="35" spans="1:19" ht="12.75" customHeight="1" thickBot="1" x14ac:dyDescent="0.35">
      <c r="A35" s="110"/>
      <c r="B35" s="109" t="s">
        <v>117</v>
      </c>
      <c r="C35" s="109"/>
      <c r="D35" s="109"/>
      <c r="E35" s="110"/>
      <c r="F35" s="140">
        <f>F33+F34</f>
        <v>0</v>
      </c>
      <c r="G35" s="140">
        <f>G33+G34</f>
        <v>0</v>
      </c>
      <c r="H35" s="140">
        <f t="shared" ref="H35:J35" si="5">H33+H34</f>
        <v>0</v>
      </c>
      <c r="I35" s="140">
        <f t="shared" si="5"/>
        <v>0</v>
      </c>
      <c r="J35" s="140">
        <f t="shared" si="5"/>
        <v>0</v>
      </c>
      <c r="K35" s="119">
        <f t="shared" si="3"/>
        <v>0</v>
      </c>
      <c r="L35" s="99"/>
      <c r="M35" s="84"/>
      <c r="N35" s="84"/>
      <c r="O35" s="84"/>
      <c r="P35" s="84"/>
      <c r="Q35" s="84"/>
      <c r="R35" s="84"/>
      <c r="S35" s="44"/>
    </row>
    <row r="36" spans="1:19" ht="12.75" customHeight="1" thickTop="1" x14ac:dyDescent="0.3">
      <c r="A36" s="70"/>
      <c r="B36" s="98"/>
      <c r="C36" s="98"/>
      <c r="D36" s="98"/>
      <c r="E36" s="70"/>
      <c r="F36" s="137"/>
      <c r="G36" s="137"/>
      <c r="H36" s="137"/>
      <c r="I36" s="137"/>
      <c r="J36" s="137"/>
      <c r="K36" s="99"/>
      <c r="L36" s="99"/>
      <c r="M36" s="84"/>
      <c r="N36" s="84"/>
      <c r="O36" s="84"/>
      <c r="P36" s="84"/>
      <c r="Q36" s="84"/>
      <c r="R36" s="84"/>
      <c r="S36" s="44"/>
    </row>
    <row r="37" spans="1:19" ht="12.75" customHeight="1" x14ac:dyDescent="0.3">
      <c r="A37" s="70"/>
      <c r="B37" s="98"/>
      <c r="C37" s="98"/>
      <c r="D37" s="98"/>
      <c r="E37" s="70"/>
      <c r="F37" s="104"/>
      <c r="G37" s="104"/>
      <c r="H37" s="104"/>
      <c r="I37" s="104"/>
      <c r="J37" s="104"/>
      <c r="K37" s="99"/>
      <c r="L37" s="99"/>
      <c r="M37" s="82"/>
      <c r="N37" s="82"/>
      <c r="O37" s="82"/>
      <c r="P37" s="82"/>
      <c r="Q37" s="82"/>
      <c r="R37" s="82"/>
      <c r="S37" s="44"/>
    </row>
    <row r="38" spans="1:19" ht="12.75" customHeight="1" x14ac:dyDescent="0.3">
      <c r="A38" s="43" t="s">
        <v>169</v>
      </c>
      <c r="B38" s="43"/>
      <c r="C38" s="43"/>
      <c r="D38" s="98"/>
      <c r="E38" s="70"/>
      <c r="F38" s="104"/>
      <c r="G38" s="104"/>
      <c r="H38" s="104"/>
      <c r="I38" s="104"/>
      <c r="J38" s="104"/>
      <c r="K38" s="99"/>
      <c r="L38" s="99"/>
      <c r="M38" s="82"/>
      <c r="N38" s="82"/>
      <c r="O38" s="82"/>
      <c r="P38" s="82"/>
      <c r="Q38" s="82"/>
      <c r="R38" s="82"/>
      <c r="S38" s="44"/>
    </row>
    <row r="39" spans="1:19" ht="12.75" customHeight="1" x14ac:dyDescent="0.3">
      <c r="A39" s="70"/>
      <c r="B39" s="98" t="s">
        <v>119</v>
      </c>
      <c r="C39" s="98"/>
      <c r="D39" s="98"/>
      <c r="E39" s="70"/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99">
        <f t="shared" si="3"/>
        <v>0</v>
      </c>
      <c r="L39" s="99"/>
      <c r="M39" s="82"/>
      <c r="N39" s="82"/>
      <c r="O39" s="82"/>
      <c r="P39" s="82"/>
      <c r="Q39" s="82"/>
      <c r="R39" s="82"/>
      <c r="S39" s="44"/>
    </row>
    <row r="40" spans="1:19" ht="12.75" customHeight="1" x14ac:dyDescent="0.3">
      <c r="A40" s="70"/>
      <c r="B40" s="98" t="s">
        <v>120</v>
      </c>
      <c r="C40" s="98"/>
      <c r="D40" s="98"/>
      <c r="E40" s="70"/>
      <c r="F40" s="104">
        <v>0</v>
      </c>
      <c r="G40" s="104">
        <v>0</v>
      </c>
      <c r="H40" s="104">
        <v>0</v>
      </c>
      <c r="I40" s="104">
        <v>0</v>
      </c>
      <c r="J40" s="104">
        <v>0</v>
      </c>
      <c r="K40" s="99">
        <f t="shared" si="3"/>
        <v>0</v>
      </c>
      <c r="L40" s="99"/>
      <c r="M40" s="82"/>
      <c r="N40" s="82"/>
      <c r="O40" s="82"/>
      <c r="P40" s="82"/>
      <c r="Q40" s="82"/>
      <c r="R40" s="82"/>
      <c r="S40" s="44"/>
    </row>
    <row r="41" spans="1:19" ht="12.75" customHeight="1" thickBot="1" x14ac:dyDescent="0.35">
      <c r="A41" s="110"/>
      <c r="B41" s="109" t="s">
        <v>166</v>
      </c>
      <c r="C41" s="109"/>
      <c r="D41" s="109"/>
      <c r="E41" s="110"/>
      <c r="F41" s="119">
        <f>F39+F40</f>
        <v>0</v>
      </c>
      <c r="G41" s="119">
        <f>G39+G40</f>
        <v>0</v>
      </c>
      <c r="H41" s="119">
        <f t="shared" ref="H41:J41" si="6">H39+H40</f>
        <v>0</v>
      </c>
      <c r="I41" s="119">
        <f t="shared" si="6"/>
        <v>0</v>
      </c>
      <c r="J41" s="119">
        <f t="shared" si="6"/>
        <v>0</v>
      </c>
      <c r="K41" s="119">
        <f t="shared" si="3"/>
        <v>0</v>
      </c>
      <c r="L41" s="99"/>
      <c r="M41" s="82"/>
      <c r="N41" s="82"/>
      <c r="O41" s="82"/>
      <c r="P41" s="82"/>
      <c r="Q41" s="82"/>
      <c r="R41" s="82"/>
      <c r="S41" s="44"/>
    </row>
    <row r="42" spans="1:19" ht="12.75" customHeight="1" thickTop="1" x14ac:dyDescent="0.3">
      <c r="A42" s="70"/>
      <c r="B42" s="98"/>
      <c r="C42" s="98"/>
      <c r="D42" s="98"/>
      <c r="E42" s="70"/>
      <c r="F42" s="104"/>
      <c r="G42" s="104"/>
      <c r="H42" s="104"/>
      <c r="I42" s="104"/>
      <c r="J42" s="104"/>
      <c r="K42" s="99"/>
      <c r="L42" s="99"/>
      <c r="M42" s="82"/>
      <c r="N42" s="82"/>
      <c r="O42" s="82"/>
      <c r="P42" s="82"/>
      <c r="Q42" s="82"/>
      <c r="R42" s="82"/>
      <c r="S42" s="44"/>
    </row>
    <row r="43" spans="1:19" ht="12.75" customHeight="1" x14ac:dyDescent="0.3">
      <c r="A43" s="70"/>
      <c r="B43" s="98"/>
      <c r="C43" s="98"/>
      <c r="D43" s="98"/>
      <c r="E43" s="70"/>
      <c r="F43" s="104"/>
      <c r="G43" s="104"/>
      <c r="H43" s="104"/>
      <c r="I43" s="104"/>
      <c r="J43" s="104"/>
      <c r="K43" s="99"/>
      <c r="L43" s="99"/>
      <c r="M43" s="82"/>
      <c r="N43" s="82"/>
      <c r="O43" s="82"/>
      <c r="P43" s="82"/>
      <c r="Q43" s="82"/>
      <c r="R43" s="82"/>
      <c r="S43" s="44"/>
    </row>
    <row r="44" spans="1:19" ht="12.75" customHeight="1" thickBot="1" x14ac:dyDescent="0.35">
      <c r="A44" s="102"/>
      <c r="B44" s="101"/>
      <c r="C44" s="101"/>
      <c r="D44" s="101"/>
      <c r="E44" s="102"/>
      <c r="F44" s="103"/>
      <c r="G44" s="103"/>
      <c r="H44" s="103"/>
      <c r="I44" s="103"/>
      <c r="J44" s="103"/>
      <c r="K44" s="103"/>
      <c r="L44" s="99"/>
      <c r="M44" s="82"/>
      <c r="N44" s="82"/>
      <c r="O44" s="82"/>
      <c r="P44" s="82"/>
      <c r="Q44" s="82"/>
      <c r="R44" s="82"/>
      <c r="S44" s="44"/>
    </row>
    <row r="45" spans="1:19" ht="12.75" customHeight="1" x14ac:dyDescent="0.3">
      <c r="A45" s="70"/>
      <c r="B45" s="98"/>
      <c r="C45" s="98"/>
      <c r="D45" s="98"/>
      <c r="E45" s="70"/>
      <c r="F45" s="99"/>
      <c r="G45" s="99"/>
      <c r="H45" s="99"/>
      <c r="I45" s="99"/>
      <c r="J45" s="99"/>
      <c r="K45" s="99"/>
      <c r="L45" s="99"/>
      <c r="M45" s="82"/>
      <c r="N45" s="82"/>
      <c r="O45" s="82"/>
      <c r="P45" s="82"/>
      <c r="Q45" s="82"/>
      <c r="R45" s="82"/>
      <c r="S45" s="44"/>
    </row>
    <row r="46" spans="1:19" ht="12.75" customHeight="1" x14ac:dyDescent="0.3">
      <c r="A46" s="43" t="s">
        <v>170</v>
      </c>
      <c r="B46" s="98"/>
      <c r="C46" s="98"/>
      <c r="D46" s="98"/>
      <c r="E46" s="98"/>
      <c r="F46" s="104">
        <f>F29+F35+F41</f>
        <v>0</v>
      </c>
      <c r="G46" s="104">
        <f>G29+G35+G41</f>
        <v>0</v>
      </c>
      <c r="H46" s="104">
        <f t="shared" ref="H46:J46" si="7">H29+H35+H41</f>
        <v>0</v>
      </c>
      <c r="I46" s="104">
        <f t="shared" si="7"/>
        <v>0</v>
      </c>
      <c r="J46" s="104">
        <f t="shared" si="7"/>
        <v>0</v>
      </c>
      <c r="K46" s="99">
        <f t="shared" si="3"/>
        <v>0</v>
      </c>
      <c r="L46" s="99"/>
      <c r="M46" s="82"/>
      <c r="N46" s="82"/>
      <c r="O46" s="82"/>
      <c r="P46" s="82"/>
      <c r="Q46" s="82"/>
      <c r="R46" s="82"/>
      <c r="S46" s="44"/>
    </row>
    <row r="47" spans="1:19" ht="12.75" customHeight="1" thickBot="1" x14ac:dyDescent="0.35">
      <c r="A47" s="141"/>
      <c r="B47" s="101"/>
      <c r="C47" s="101"/>
      <c r="D47" s="101"/>
      <c r="E47" s="101"/>
      <c r="F47" s="103"/>
      <c r="G47" s="103"/>
      <c r="H47" s="103"/>
      <c r="I47" s="103"/>
      <c r="J47" s="103"/>
      <c r="K47" s="103"/>
      <c r="L47" s="99"/>
      <c r="M47" s="82"/>
      <c r="N47" s="82"/>
      <c r="O47" s="82"/>
      <c r="P47" s="82"/>
      <c r="Q47" s="82"/>
      <c r="R47" s="82"/>
      <c r="S47" s="44"/>
    </row>
    <row r="48" spans="1:19" ht="12.75" customHeight="1" x14ac:dyDescent="0.3">
      <c r="A48" s="43"/>
      <c r="B48" s="98"/>
      <c r="C48" s="98"/>
      <c r="D48" s="98"/>
      <c r="E48" s="98"/>
      <c r="F48" s="104"/>
      <c r="G48" s="104"/>
      <c r="H48" s="104"/>
      <c r="I48" s="104"/>
      <c r="J48" s="104"/>
      <c r="K48" s="99"/>
      <c r="L48" s="99"/>
      <c r="M48" s="82"/>
      <c r="N48" s="82"/>
      <c r="O48" s="82"/>
      <c r="P48" s="82"/>
      <c r="Q48" s="82"/>
      <c r="R48" s="82"/>
      <c r="S48" s="44"/>
    </row>
    <row r="49" spans="1:19" ht="12.75" customHeight="1" x14ac:dyDescent="0.3">
      <c r="A49" s="43"/>
      <c r="B49" s="98"/>
      <c r="C49" s="98"/>
      <c r="D49" s="98"/>
      <c r="E49" s="98"/>
      <c r="F49" s="104"/>
      <c r="G49" s="104"/>
      <c r="H49" s="104"/>
      <c r="I49" s="104"/>
      <c r="J49" s="104"/>
      <c r="K49" s="99"/>
      <c r="L49" s="99"/>
      <c r="M49" s="82"/>
      <c r="N49" s="82"/>
      <c r="O49" s="82"/>
      <c r="P49" s="82"/>
      <c r="Q49" s="82"/>
      <c r="R49" s="82"/>
      <c r="S49" s="44"/>
    </row>
    <row r="50" spans="1:19" ht="12.75" customHeight="1" thickBot="1" x14ac:dyDescent="0.35">
      <c r="A50" s="141"/>
      <c r="B50" s="101"/>
      <c r="C50" s="101"/>
      <c r="D50" s="101"/>
      <c r="E50" s="101"/>
      <c r="F50" s="103"/>
      <c r="G50" s="103"/>
      <c r="H50" s="103"/>
      <c r="I50" s="103"/>
      <c r="J50" s="103"/>
      <c r="K50" s="103"/>
      <c r="L50" s="99"/>
      <c r="M50" s="82"/>
      <c r="N50" s="82"/>
      <c r="O50" s="82"/>
      <c r="P50" s="82"/>
      <c r="Q50" s="82"/>
      <c r="R50" s="82"/>
      <c r="S50" s="44"/>
    </row>
    <row r="51" spans="1:19" ht="12.75" customHeight="1" x14ac:dyDescent="0.3">
      <c r="A51" s="98"/>
      <c r="B51" s="98"/>
      <c r="C51" s="98"/>
      <c r="D51" s="98"/>
      <c r="E51" s="98"/>
      <c r="F51" s="104"/>
      <c r="G51" s="104"/>
      <c r="H51" s="104"/>
      <c r="I51" s="104"/>
      <c r="J51" s="104"/>
      <c r="K51" s="99"/>
      <c r="L51" s="99"/>
      <c r="M51" s="82"/>
      <c r="N51" s="82"/>
      <c r="O51" s="82"/>
      <c r="P51" s="82"/>
      <c r="Q51" s="82"/>
      <c r="R51" s="82"/>
      <c r="S51" s="44"/>
    </row>
    <row r="52" spans="1:19" ht="12.75" customHeight="1" x14ac:dyDescent="0.3">
      <c r="A52" s="43" t="s">
        <v>171</v>
      </c>
      <c r="B52" s="98"/>
      <c r="C52" s="98"/>
      <c r="D52" s="98"/>
      <c r="E52" s="98"/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99">
        <f t="shared" si="3"/>
        <v>0</v>
      </c>
      <c r="L52" s="99"/>
      <c r="M52" s="82"/>
      <c r="N52" s="82"/>
      <c r="O52" s="82"/>
      <c r="P52" s="82"/>
      <c r="Q52" s="82"/>
      <c r="R52" s="82"/>
      <c r="S52" s="44"/>
    </row>
    <row r="53" spans="1:19" ht="12.75" customHeight="1" thickBot="1" x14ac:dyDescent="0.35">
      <c r="A53" s="141"/>
      <c r="B53" s="101"/>
      <c r="C53" s="101"/>
      <c r="D53" s="101"/>
      <c r="E53" s="101"/>
      <c r="F53" s="103"/>
      <c r="G53" s="103"/>
      <c r="H53" s="103"/>
      <c r="I53" s="103"/>
      <c r="J53" s="103"/>
      <c r="K53" s="103"/>
      <c r="L53" s="99"/>
      <c r="M53" s="82"/>
      <c r="N53" s="82"/>
      <c r="O53" s="82"/>
      <c r="P53" s="82"/>
      <c r="Q53" s="82"/>
      <c r="R53" s="82"/>
      <c r="S53" s="44"/>
    </row>
    <row r="54" spans="1:19" ht="12.75" customHeight="1" x14ac:dyDescent="0.3">
      <c r="A54" s="43"/>
      <c r="B54" s="98"/>
      <c r="C54" s="98"/>
      <c r="D54" s="98"/>
      <c r="E54" s="98"/>
      <c r="F54" s="99"/>
      <c r="G54" s="99"/>
      <c r="H54" s="99"/>
      <c r="I54" s="99"/>
      <c r="J54" s="99"/>
      <c r="K54" s="99"/>
      <c r="L54" s="99"/>
      <c r="M54" s="82"/>
      <c r="N54" s="82"/>
      <c r="O54" s="82"/>
      <c r="P54" s="82"/>
      <c r="Q54" s="82"/>
      <c r="R54" s="82"/>
      <c r="S54" s="44"/>
    </row>
    <row r="55" spans="1:19" ht="12.75" customHeight="1" x14ac:dyDescent="0.3">
      <c r="A55" s="43"/>
      <c r="B55" s="98"/>
      <c r="C55" s="98"/>
      <c r="D55" s="98"/>
      <c r="E55" s="98"/>
      <c r="F55" s="104"/>
      <c r="G55" s="104"/>
      <c r="H55" s="104"/>
      <c r="I55" s="104"/>
      <c r="J55" s="104"/>
      <c r="K55" s="99"/>
      <c r="L55" s="99"/>
      <c r="M55" s="82"/>
      <c r="N55" s="82"/>
      <c r="O55" s="82"/>
      <c r="P55" s="82"/>
      <c r="Q55" s="82"/>
      <c r="R55" s="82"/>
      <c r="S55" s="44"/>
    </row>
    <row r="56" spans="1:19" ht="12.75" customHeight="1" thickBot="1" x14ac:dyDescent="0.35">
      <c r="A56" s="102"/>
      <c r="B56" s="101"/>
      <c r="C56" s="101"/>
      <c r="D56" s="101"/>
      <c r="E56" s="102"/>
      <c r="F56" s="103"/>
      <c r="G56" s="103"/>
      <c r="H56" s="103"/>
      <c r="I56" s="103"/>
      <c r="J56" s="103"/>
      <c r="K56" s="103"/>
      <c r="L56" s="99"/>
      <c r="M56" s="82"/>
      <c r="N56" s="82"/>
      <c r="O56" s="82"/>
      <c r="P56" s="82"/>
      <c r="Q56" s="82"/>
      <c r="R56" s="82"/>
      <c r="S56" s="44"/>
    </row>
    <row r="57" spans="1:19" ht="12.75" customHeight="1" x14ac:dyDescent="0.3">
      <c r="A57" s="70"/>
      <c r="B57" s="98"/>
      <c r="C57" s="98"/>
      <c r="D57" s="98"/>
      <c r="E57" s="70"/>
      <c r="F57" s="99"/>
      <c r="G57" s="99"/>
      <c r="H57" s="99"/>
      <c r="I57" s="99"/>
      <c r="J57" s="99"/>
      <c r="K57" s="99"/>
      <c r="L57" s="99"/>
      <c r="M57" s="82"/>
      <c r="N57" s="82"/>
      <c r="O57" s="82"/>
      <c r="P57" s="82"/>
      <c r="Q57" s="82"/>
      <c r="R57" s="82"/>
      <c r="S57" s="44"/>
    </row>
    <row r="58" spans="1:19" ht="15.9" customHeight="1" x14ac:dyDescent="0.3">
      <c r="A58" s="43" t="s">
        <v>172</v>
      </c>
      <c r="B58" s="98"/>
      <c r="C58" s="98"/>
      <c r="D58" s="98"/>
      <c r="E58" s="96"/>
      <c r="F58" s="99">
        <f>F46+F52</f>
        <v>0</v>
      </c>
      <c r="G58" s="99">
        <f>G46+G52</f>
        <v>0</v>
      </c>
      <c r="H58" s="99">
        <f t="shared" ref="H58:J58" si="8">H46+H52</f>
        <v>0</v>
      </c>
      <c r="I58" s="99">
        <f t="shared" si="8"/>
        <v>0</v>
      </c>
      <c r="J58" s="99">
        <f t="shared" si="8"/>
        <v>0</v>
      </c>
      <c r="K58" s="99">
        <f t="shared" si="3"/>
        <v>0</v>
      </c>
      <c r="L58" s="99"/>
      <c r="M58" s="82"/>
      <c r="N58" s="82"/>
      <c r="O58" s="82"/>
      <c r="P58" s="82"/>
      <c r="Q58" s="82"/>
      <c r="R58" s="82"/>
      <c r="S58" s="44"/>
    </row>
    <row r="59" spans="1:19" ht="12.75" customHeight="1" thickBot="1" x14ac:dyDescent="0.35">
      <c r="A59" s="107"/>
      <c r="B59" s="106"/>
      <c r="C59" s="106"/>
      <c r="D59" s="106"/>
      <c r="E59" s="107"/>
      <c r="F59" s="142"/>
      <c r="G59" s="142"/>
      <c r="H59" s="142"/>
      <c r="I59" s="142"/>
      <c r="J59" s="142"/>
      <c r="K59" s="142"/>
      <c r="L59" s="99"/>
      <c r="M59" s="82"/>
      <c r="N59" s="82"/>
      <c r="O59" s="82"/>
      <c r="P59" s="82"/>
      <c r="Q59" s="82"/>
      <c r="R59" s="82"/>
      <c r="S59" s="44"/>
    </row>
    <row r="60" spans="1:19" ht="12.75" customHeight="1" thickTop="1" x14ac:dyDescent="0.3">
      <c r="A60" s="70"/>
      <c r="B60" s="98"/>
      <c r="C60" s="98"/>
      <c r="D60" s="98"/>
      <c r="E60" s="70"/>
      <c r="F60" s="138"/>
      <c r="G60" s="138"/>
      <c r="H60" s="138"/>
      <c r="I60" s="138"/>
      <c r="J60" s="138"/>
      <c r="K60" s="138"/>
      <c r="L60" s="138"/>
      <c r="M60" s="88"/>
      <c r="N60" s="88"/>
      <c r="O60" s="88"/>
      <c r="P60" s="88"/>
      <c r="Q60" s="88"/>
      <c r="R60" s="82"/>
      <c r="S60" s="44"/>
    </row>
    <row r="61" spans="1:19" ht="12.75" customHeight="1" x14ac:dyDescent="0.3">
      <c r="A61" s="70"/>
      <c r="B61" s="98"/>
      <c r="C61" s="98"/>
      <c r="D61" s="98"/>
      <c r="E61" s="70"/>
      <c r="F61" s="139"/>
      <c r="G61" s="139"/>
      <c r="H61" s="139"/>
      <c r="I61" s="139"/>
      <c r="J61" s="139"/>
      <c r="K61" s="139"/>
      <c r="L61" s="139"/>
      <c r="M61" s="85"/>
      <c r="N61" s="85"/>
      <c r="O61" s="85"/>
      <c r="P61" s="85"/>
      <c r="Q61" s="85"/>
      <c r="R61" s="85"/>
      <c r="S61" s="44"/>
    </row>
    <row r="62" spans="1:19" ht="12.75" customHeight="1" x14ac:dyDescent="0.3">
      <c r="A62" s="70"/>
      <c r="B62" s="98"/>
      <c r="C62" s="98"/>
      <c r="D62" s="98"/>
      <c r="E62" s="70"/>
      <c r="F62" s="70"/>
      <c r="G62" s="70"/>
      <c r="H62" s="70"/>
      <c r="I62" s="70"/>
      <c r="J62" s="70"/>
      <c r="K62" s="70"/>
      <c r="L62" s="70"/>
      <c r="M62" s="44"/>
      <c r="N62" s="44"/>
      <c r="O62" s="44"/>
      <c r="P62" s="44"/>
      <c r="Q62" s="44"/>
      <c r="R62" s="44"/>
      <c r="S62" s="44"/>
    </row>
    <row r="63" spans="1:19" ht="12.75" customHeight="1" x14ac:dyDescent="0.3">
      <c r="A63" s="70"/>
      <c r="B63" s="98"/>
      <c r="C63" s="98"/>
      <c r="D63" s="98"/>
      <c r="E63" s="70"/>
      <c r="F63" s="70"/>
      <c r="G63" s="70"/>
      <c r="H63" s="70"/>
      <c r="I63" s="70"/>
      <c r="J63" s="70"/>
      <c r="K63" s="70"/>
      <c r="L63" s="70"/>
      <c r="M63" s="44"/>
      <c r="N63" s="44"/>
      <c r="O63" s="44"/>
      <c r="P63" s="44"/>
      <c r="Q63" s="44"/>
      <c r="R63" s="44"/>
      <c r="S63" s="44"/>
    </row>
    <row r="64" spans="1:19" ht="12.75" customHeight="1" x14ac:dyDescent="0.3">
      <c r="A64" s="70"/>
      <c r="B64" s="98"/>
      <c r="C64" s="98"/>
      <c r="D64" s="98"/>
      <c r="E64" s="70"/>
      <c r="F64" s="116"/>
      <c r="G64" s="70"/>
      <c r="H64" s="70"/>
      <c r="I64" s="70"/>
      <c r="J64" s="70"/>
      <c r="K64" s="70"/>
      <c r="L64" s="70"/>
      <c r="M64" s="44"/>
      <c r="N64" s="44"/>
      <c r="O64" s="44"/>
      <c r="P64" s="44"/>
      <c r="Q64" s="44"/>
      <c r="R64" s="44"/>
      <c r="S64" s="44"/>
    </row>
    <row r="65" spans="1:19" ht="12.75" customHeight="1" x14ac:dyDescent="0.3">
      <c r="A65" s="70"/>
      <c r="B65" s="98"/>
      <c r="C65" s="98"/>
      <c r="D65" s="98"/>
      <c r="E65" s="70"/>
      <c r="F65" s="70"/>
      <c r="G65" s="70"/>
      <c r="H65" s="70"/>
      <c r="I65" s="70"/>
      <c r="J65" s="70"/>
      <c r="K65" s="70"/>
      <c r="L65" s="70"/>
      <c r="M65" s="44"/>
      <c r="N65" s="44"/>
      <c r="O65" s="44"/>
      <c r="P65" s="44"/>
      <c r="Q65" s="44"/>
      <c r="R65" s="44"/>
      <c r="S65" s="44"/>
    </row>
    <row r="66" spans="1:19" ht="12.75" customHeight="1" x14ac:dyDescent="0.3">
      <c r="A66" s="70"/>
      <c r="B66" s="98"/>
      <c r="C66" s="98"/>
      <c r="D66" s="98"/>
      <c r="E66" s="70"/>
      <c r="F66" s="70"/>
      <c r="G66" s="70"/>
      <c r="H66" s="70"/>
      <c r="I66" s="70"/>
      <c r="J66" s="70"/>
      <c r="K66" s="70"/>
      <c r="L66" s="70"/>
      <c r="M66" s="44"/>
      <c r="N66" s="44"/>
      <c r="O66" s="44"/>
      <c r="P66" s="44"/>
      <c r="Q66" s="44"/>
      <c r="R66" s="44"/>
      <c r="S66" s="44"/>
    </row>
    <row r="67" spans="1:19" ht="12.75" customHeight="1" x14ac:dyDescent="0.3">
      <c r="A67" s="70"/>
      <c r="B67" s="98"/>
      <c r="C67" s="98"/>
      <c r="D67" s="98"/>
      <c r="E67" s="70"/>
      <c r="F67" s="70"/>
      <c r="G67" s="70"/>
      <c r="H67" s="70"/>
      <c r="I67" s="70"/>
      <c r="J67" s="70"/>
      <c r="K67" s="70"/>
      <c r="L67" s="70"/>
      <c r="M67" s="44"/>
      <c r="N67" s="44"/>
      <c r="O67" s="44"/>
      <c r="P67" s="44"/>
      <c r="Q67" s="44"/>
      <c r="R67" s="44"/>
      <c r="S67" s="44"/>
    </row>
    <row r="68" spans="1:19" ht="12.75" customHeight="1" x14ac:dyDescent="0.3">
      <c r="A68" s="70"/>
      <c r="B68" s="98"/>
      <c r="C68" s="98"/>
      <c r="D68" s="98"/>
      <c r="E68" s="70"/>
      <c r="F68" s="70"/>
      <c r="G68" s="70"/>
      <c r="H68" s="70"/>
      <c r="I68" s="70"/>
      <c r="J68" s="70"/>
      <c r="K68" s="70"/>
      <c r="L68" s="70"/>
      <c r="M68" s="44"/>
      <c r="N68" s="44"/>
      <c r="O68" s="44"/>
      <c r="P68" s="44"/>
      <c r="Q68" s="44"/>
      <c r="R68" s="44"/>
      <c r="S68" s="44"/>
    </row>
    <row r="69" spans="1:19" ht="12.75" customHeight="1" x14ac:dyDescent="0.3">
      <c r="A69" s="70"/>
      <c r="B69" s="98"/>
      <c r="C69" s="98"/>
      <c r="D69" s="98"/>
      <c r="E69" s="70"/>
      <c r="F69" s="70"/>
      <c r="G69" s="70"/>
      <c r="H69" s="70"/>
      <c r="I69" s="70"/>
      <c r="J69" s="70"/>
      <c r="K69" s="70"/>
      <c r="L69" s="70"/>
      <c r="M69" s="44"/>
      <c r="N69" s="44"/>
      <c r="O69" s="44"/>
      <c r="P69" s="44"/>
      <c r="Q69" s="44"/>
      <c r="R69" s="44"/>
      <c r="S69" s="44"/>
    </row>
    <row r="70" spans="1:19" ht="12.75" customHeight="1" x14ac:dyDescent="0.3">
      <c r="A70" s="70"/>
      <c r="B70" s="98"/>
      <c r="C70" s="98"/>
      <c r="D70" s="98"/>
      <c r="E70" s="70"/>
      <c r="F70" s="70"/>
      <c r="G70" s="70"/>
      <c r="H70" s="70"/>
      <c r="I70" s="70"/>
      <c r="J70" s="70"/>
      <c r="K70" s="70"/>
      <c r="L70" s="70"/>
      <c r="M70" s="44"/>
      <c r="N70" s="44"/>
      <c r="O70" s="44"/>
      <c r="P70" s="44"/>
      <c r="Q70" s="44"/>
      <c r="R70" s="44"/>
      <c r="S70" s="44"/>
    </row>
    <row r="71" spans="1:19" ht="12.75" customHeight="1" x14ac:dyDescent="0.3">
      <c r="A71" s="70"/>
      <c r="B71" s="98"/>
      <c r="C71" s="98"/>
      <c r="D71" s="98"/>
      <c r="E71" s="70"/>
      <c r="F71" s="70"/>
      <c r="G71" s="70"/>
      <c r="H71" s="70"/>
      <c r="I71" s="70"/>
      <c r="J71" s="70"/>
      <c r="K71" s="70"/>
      <c r="L71" s="70"/>
      <c r="M71" s="44"/>
      <c r="N71" s="44"/>
      <c r="O71" s="44"/>
      <c r="P71" s="44"/>
      <c r="Q71" s="44"/>
      <c r="R71" s="44"/>
      <c r="S71" s="44"/>
    </row>
    <row r="72" spans="1:19" ht="12.75" customHeight="1" x14ac:dyDescent="0.3">
      <c r="A72" s="70"/>
      <c r="B72" s="98"/>
      <c r="C72" s="98"/>
      <c r="D72" s="98"/>
      <c r="E72" s="70"/>
      <c r="F72" s="70"/>
      <c r="G72" s="70"/>
      <c r="H72" s="70"/>
      <c r="I72" s="70"/>
      <c r="J72" s="70"/>
      <c r="K72" s="70"/>
      <c r="L72" s="70"/>
      <c r="M72" s="44"/>
      <c r="N72" s="44"/>
      <c r="O72" s="44"/>
      <c r="P72" s="44"/>
      <c r="Q72" s="44"/>
      <c r="R72" s="44"/>
      <c r="S72" s="44"/>
    </row>
    <row r="73" spans="1:19" ht="12.75" customHeight="1" x14ac:dyDescent="0.3">
      <c r="A73" s="70"/>
      <c r="B73" s="98"/>
      <c r="C73" s="98"/>
      <c r="D73" s="98"/>
      <c r="E73" s="70"/>
      <c r="F73" s="70"/>
      <c r="G73" s="70"/>
      <c r="H73" s="70"/>
      <c r="I73" s="70"/>
      <c r="J73" s="70"/>
      <c r="K73" s="70"/>
      <c r="L73" s="70"/>
      <c r="M73" s="44"/>
      <c r="N73" s="44"/>
      <c r="O73" s="44"/>
      <c r="P73" s="44"/>
      <c r="Q73" s="44"/>
      <c r="R73" s="44"/>
      <c r="S73" s="44"/>
    </row>
    <row r="74" spans="1:19" ht="12.75" customHeight="1" x14ac:dyDescent="0.3">
      <c r="A74" s="70"/>
      <c r="B74" s="98"/>
      <c r="C74" s="98"/>
      <c r="D74" s="98"/>
      <c r="E74" s="70"/>
      <c r="F74" s="70"/>
      <c r="G74" s="70"/>
      <c r="H74" s="70"/>
      <c r="I74" s="70"/>
      <c r="J74" s="70"/>
      <c r="K74" s="70"/>
      <c r="L74" s="70"/>
      <c r="M74" s="44"/>
      <c r="N74" s="44"/>
      <c r="O74" s="44"/>
      <c r="P74" s="44"/>
      <c r="Q74" s="44"/>
      <c r="R74" s="44"/>
      <c r="S74" s="44"/>
    </row>
    <row r="75" spans="1:19" ht="12.75" customHeight="1" x14ac:dyDescent="0.3">
      <c r="A75" s="70"/>
      <c r="B75" s="98"/>
      <c r="C75" s="98"/>
      <c r="D75" s="98"/>
      <c r="E75" s="70"/>
      <c r="F75" s="70"/>
      <c r="G75" s="70"/>
      <c r="H75" s="70"/>
      <c r="I75" s="70"/>
      <c r="J75" s="70"/>
      <c r="K75" s="70"/>
      <c r="L75" s="70"/>
      <c r="M75" s="44"/>
      <c r="N75" s="44"/>
      <c r="O75" s="44"/>
      <c r="P75" s="44"/>
      <c r="Q75" s="44"/>
      <c r="R75" s="44"/>
      <c r="S75" s="44"/>
    </row>
    <row r="76" spans="1:19" ht="12.75" customHeight="1" x14ac:dyDescent="0.3">
      <c r="A76" s="70"/>
      <c r="B76" s="98"/>
      <c r="C76" s="98"/>
      <c r="D76" s="98"/>
      <c r="E76" s="70"/>
      <c r="F76" s="70"/>
      <c r="G76" s="70"/>
      <c r="H76" s="70"/>
      <c r="I76" s="70"/>
      <c r="J76" s="70"/>
      <c r="K76" s="70"/>
      <c r="L76" s="70"/>
      <c r="M76" s="44"/>
      <c r="N76" s="44"/>
      <c r="O76" s="44"/>
      <c r="P76" s="44"/>
      <c r="Q76" s="44"/>
      <c r="R76" s="44"/>
      <c r="S76" s="44"/>
    </row>
    <row r="77" spans="1:19" ht="12.75" customHeight="1" x14ac:dyDescent="0.3">
      <c r="A77" s="70"/>
      <c r="B77" s="98"/>
      <c r="C77" s="98"/>
      <c r="D77" s="98"/>
      <c r="E77" s="70"/>
      <c r="F77" s="70"/>
      <c r="G77" s="70"/>
      <c r="H77" s="70"/>
      <c r="I77" s="70"/>
      <c r="J77" s="70"/>
      <c r="K77" s="70"/>
      <c r="L77" s="70"/>
      <c r="M77" s="44"/>
      <c r="N77" s="44"/>
      <c r="O77" s="44"/>
      <c r="P77" s="44"/>
      <c r="Q77" s="44"/>
      <c r="R77" s="44"/>
      <c r="S77" s="44"/>
    </row>
    <row r="78" spans="1:19" ht="12.75" customHeight="1" x14ac:dyDescent="0.3">
      <c r="A78" s="70"/>
      <c r="B78" s="98"/>
      <c r="C78" s="98"/>
      <c r="D78" s="98"/>
      <c r="E78" s="70"/>
      <c r="F78" s="70"/>
      <c r="G78" s="70"/>
      <c r="H78" s="70"/>
      <c r="I78" s="70"/>
      <c r="J78" s="70"/>
      <c r="K78" s="70"/>
      <c r="L78" s="70"/>
      <c r="M78" s="44"/>
      <c r="N78" s="44"/>
      <c r="O78" s="44"/>
      <c r="P78" s="44"/>
      <c r="Q78" s="44"/>
      <c r="R78" s="44"/>
      <c r="S78" s="44"/>
    </row>
    <row r="79" spans="1:19" ht="12.75" customHeight="1" x14ac:dyDescent="0.25">
      <c r="A79" s="44"/>
      <c r="B79" s="63"/>
      <c r="C79" s="63"/>
      <c r="D79" s="63"/>
      <c r="E79" s="61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12.75" customHeight="1" x14ac:dyDescent="0.25">
      <c r="A80" s="44"/>
      <c r="B80" s="63"/>
      <c r="C80" s="63"/>
      <c r="D80" s="63"/>
      <c r="E80" s="61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19" ht="12.75" customHeight="1" x14ac:dyDescent="0.25">
      <c r="A81" s="44"/>
      <c r="B81" s="63"/>
      <c r="C81" s="63"/>
      <c r="D81" s="63"/>
      <c r="E81" s="61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19" ht="12.75" customHeight="1" x14ac:dyDescent="0.25">
      <c r="A82" s="44"/>
      <c r="B82" s="63"/>
      <c r="C82" s="63"/>
      <c r="D82" s="63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19" ht="12.75" customHeight="1" x14ac:dyDescent="0.25">
      <c r="A83" s="44"/>
      <c r="B83" s="63"/>
      <c r="C83" s="63"/>
      <c r="D83" s="63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</row>
    <row r="84" spans="1:19" ht="12.75" customHeight="1" x14ac:dyDescent="0.25">
      <c r="A84" s="44"/>
      <c r="B84" s="63"/>
      <c r="C84" s="63"/>
      <c r="D84" s="63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</row>
    <row r="85" spans="1:19" ht="12.75" customHeight="1" x14ac:dyDescent="0.25">
      <c r="B85" s="63"/>
      <c r="C85" s="63"/>
      <c r="D85" s="63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</row>
    <row r="86" spans="1:19" ht="12.75" customHeight="1" x14ac:dyDescent="0.25">
      <c r="B86" s="63"/>
      <c r="C86" s="63"/>
      <c r="D86" s="63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</row>
    <row r="87" spans="1:19" ht="12.75" customHeight="1" x14ac:dyDescent="0.25">
      <c r="B87" s="63"/>
      <c r="C87" s="63"/>
      <c r="D87" s="63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</row>
    <row r="88" spans="1:19" ht="12.75" customHeight="1" x14ac:dyDescent="0.25">
      <c r="B88" s="63"/>
      <c r="C88" s="63"/>
      <c r="D88" s="63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</row>
    <row r="89" spans="1:19" ht="12.75" customHeight="1" x14ac:dyDescent="0.25">
      <c r="B89" s="63"/>
      <c r="C89" s="63"/>
      <c r="D89" s="63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</row>
    <row r="90" spans="1:19" ht="12.75" customHeight="1" x14ac:dyDescent="0.25">
      <c r="B90" s="63"/>
      <c r="C90" s="63"/>
      <c r="D90" s="63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</row>
    <row r="91" spans="1:19" ht="12.75" customHeight="1" x14ac:dyDescent="0.25">
      <c r="B91" s="63"/>
      <c r="C91" s="63"/>
      <c r="D91" s="63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</row>
    <row r="92" spans="1:19" ht="12.75" customHeight="1" x14ac:dyDescent="0.25">
      <c r="B92" s="63"/>
      <c r="C92" s="63"/>
      <c r="D92" s="63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</row>
    <row r="93" spans="1:19" ht="12.75" customHeight="1" x14ac:dyDescent="0.25">
      <c r="B93" s="63"/>
      <c r="C93" s="63"/>
      <c r="D93" s="63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</row>
    <row r="94" spans="1:19" ht="12.75" customHeight="1" x14ac:dyDescent="0.25">
      <c r="B94" s="63"/>
      <c r="C94" s="63"/>
      <c r="D94" s="63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</row>
    <row r="95" spans="1:19" ht="12.75" customHeight="1" x14ac:dyDescent="0.25">
      <c r="B95" s="63"/>
      <c r="C95" s="63"/>
      <c r="D95" s="63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</row>
    <row r="96" spans="1:19" ht="12.75" customHeight="1" x14ac:dyDescent="0.25">
      <c r="B96" s="63"/>
      <c r="C96" s="63"/>
      <c r="D96" s="63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</row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</sheetData>
  <mergeCells count="2">
    <mergeCell ref="B9:B11"/>
    <mergeCell ref="A3:K7"/>
  </mergeCells>
  <pageMargins left="0.75" right="0.75" top="1" bottom="0.75" header="0.5" footer="0.5"/>
  <pageSetup scale="75" orientation="landscape" blackAndWhite="1" horizontalDpi="300" verticalDpi="300"/>
  <headerFooter alignWithMargins="0"/>
  <ignoredErrors>
    <ignoredError sqref="K25" formula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S92"/>
  <sheetViews>
    <sheetView showGridLines="0" showRowColHeaders="0" topLeftCell="A19" workbookViewId="0">
      <selection activeCell="O29" sqref="O29"/>
    </sheetView>
  </sheetViews>
  <sheetFormatPr defaultColWidth="8.875" defaultRowHeight="11.4" x14ac:dyDescent="0.2"/>
  <cols>
    <col min="1" max="1" width="3" style="3" customWidth="1"/>
    <col min="2" max="2" width="22.75" style="3" customWidth="1"/>
    <col min="3" max="3" width="3" style="3" customWidth="1"/>
    <col min="4" max="4" width="22.75" customWidth="1"/>
    <col min="5" max="5" width="10.75" customWidth="1"/>
    <col min="6" max="11" width="15.75" customWidth="1"/>
    <col min="12" max="12" width="20.75" customWidth="1"/>
    <col min="13" max="13" width="11.75" customWidth="1"/>
    <col min="14" max="15" width="10.75" customWidth="1"/>
    <col min="16" max="16" width="15.75" customWidth="1"/>
  </cols>
  <sheetData>
    <row r="1" spans="1:19" ht="12" customHeight="1" x14ac:dyDescent="0.25">
      <c r="A1" s="594" t="s">
        <v>250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44"/>
      <c r="N1" s="44"/>
      <c r="O1" s="44"/>
      <c r="P1" s="44"/>
      <c r="Q1" s="44"/>
      <c r="R1" s="44"/>
      <c r="S1" s="44"/>
    </row>
    <row r="2" spans="1:19" ht="12" customHeight="1" x14ac:dyDescent="0.25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44"/>
      <c r="N2" s="44"/>
      <c r="O2" s="44"/>
      <c r="P2" s="44"/>
      <c r="Q2" s="44"/>
      <c r="R2" s="44"/>
      <c r="S2" s="44"/>
    </row>
    <row r="3" spans="1:19" ht="15.75" customHeight="1" x14ac:dyDescent="0.25">
      <c r="A3" s="594"/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594"/>
      <c r="M3" s="44"/>
      <c r="N3" s="44"/>
      <c r="O3" s="44"/>
      <c r="P3" s="44"/>
      <c r="Q3" s="44"/>
      <c r="R3" s="44"/>
      <c r="S3" s="44"/>
    </row>
    <row r="4" spans="1:19" ht="15.75" customHeight="1" x14ac:dyDescent="0.25">
      <c r="A4" s="594"/>
      <c r="B4" s="594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44"/>
      <c r="N4" s="44"/>
      <c r="O4" s="44"/>
      <c r="P4" s="44"/>
      <c r="Q4" s="44"/>
      <c r="R4" s="44"/>
      <c r="S4" s="44"/>
    </row>
    <row r="5" spans="1:19" ht="12.75" customHeight="1" x14ac:dyDescent="0.25">
      <c r="A5" s="46"/>
      <c r="B5" s="46"/>
      <c r="C5" s="46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61"/>
      <c r="P5" s="61"/>
      <c r="Q5" s="44"/>
      <c r="R5" s="44"/>
      <c r="S5" s="44"/>
    </row>
    <row r="6" spans="1:19" ht="12.75" customHeight="1" x14ac:dyDescent="0.25">
      <c r="A6" s="46"/>
      <c r="B6" s="602" t="s">
        <v>148</v>
      </c>
      <c r="C6" s="46"/>
      <c r="D6" s="44"/>
      <c r="E6" s="47"/>
      <c r="L6" s="47"/>
      <c r="M6" s="47"/>
      <c r="N6" s="47"/>
      <c r="O6" s="71"/>
      <c r="P6" s="71"/>
      <c r="Q6" s="44"/>
      <c r="R6" s="44"/>
      <c r="S6" s="44"/>
    </row>
    <row r="7" spans="1:19" ht="12.75" customHeight="1" x14ac:dyDescent="0.3">
      <c r="A7" s="46"/>
      <c r="B7" s="602"/>
      <c r="C7" s="46"/>
      <c r="D7" s="44"/>
      <c r="E7" s="47"/>
      <c r="F7" s="97">
        <v>2011</v>
      </c>
      <c r="G7" s="97">
        <v>2012</v>
      </c>
      <c r="H7" s="97">
        <v>2013</v>
      </c>
      <c r="I7" s="97">
        <v>2014</v>
      </c>
      <c r="J7" s="97">
        <v>2015</v>
      </c>
      <c r="K7" s="97" t="s">
        <v>189</v>
      </c>
      <c r="L7" s="47" t="s">
        <v>190</v>
      </c>
      <c r="M7" s="47"/>
      <c r="N7" s="47"/>
      <c r="O7" s="71"/>
      <c r="P7" s="71"/>
      <c r="Q7" s="44"/>
      <c r="R7" s="44"/>
      <c r="S7" s="44"/>
    </row>
    <row r="8" spans="1:19" ht="12.75" customHeight="1" x14ac:dyDescent="0.25">
      <c r="B8" s="602"/>
      <c r="C8" s="46"/>
      <c r="D8" s="44"/>
      <c r="E8" s="44"/>
      <c r="F8" s="49"/>
      <c r="G8" s="49"/>
      <c r="H8" s="49"/>
      <c r="I8" s="49"/>
      <c r="J8" s="49"/>
      <c r="K8" s="49"/>
      <c r="L8" s="44"/>
      <c r="M8" s="44"/>
      <c r="N8" s="44"/>
      <c r="O8" s="61"/>
      <c r="P8" s="61"/>
      <c r="Q8" s="44"/>
      <c r="R8" s="44"/>
      <c r="S8" s="44"/>
    </row>
    <row r="9" spans="1:19" ht="12.75" customHeight="1" thickBot="1" x14ac:dyDescent="0.3">
      <c r="A9" s="195"/>
      <c r="B9" s="196"/>
      <c r="C9" s="66"/>
      <c r="D9" s="80"/>
      <c r="E9" s="80"/>
      <c r="F9" s="57"/>
      <c r="G9" s="57"/>
      <c r="H9" s="57"/>
      <c r="I9" s="57"/>
      <c r="J9" s="57"/>
      <c r="K9" s="57"/>
      <c r="L9" s="80"/>
      <c r="M9" s="44"/>
      <c r="N9" s="44"/>
      <c r="O9" s="61"/>
      <c r="P9" s="61"/>
      <c r="Q9" s="44"/>
      <c r="R9" s="44"/>
      <c r="S9" s="44"/>
    </row>
    <row r="10" spans="1:19" ht="12.75" customHeight="1" x14ac:dyDescent="0.3">
      <c r="A10" s="98"/>
      <c r="B10" s="157"/>
      <c r="C10" s="98"/>
      <c r="D10" s="70"/>
      <c r="E10" s="70"/>
      <c r="F10" s="158"/>
      <c r="G10" s="158"/>
      <c r="H10" s="158"/>
      <c r="I10" s="158"/>
      <c r="J10" s="158"/>
      <c r="K10" s="158"/>
      <c r="L10" s="44"/>
      <c r="M10" s="44"/>
      <c r="N10" s="44"/>
      <c r="O10" s="61"/>
      <c r="P10" s="61"/>
      <c r="Q10" s="44"/>
      <c r="R10" s="44"/>
      <c r="S10" s="44"/>
    </row>
    <row r="11" spans="1:19" ht="12.75" customHeight="1" x14ac:dyDescent="0.3">
      <c r="A11" s="98"/>
      <c r="B11" s="168" t="s">
        <v>187</v>
      </c>
      <c r="C11" s="98"/>
      <c r="D11" s="70"/>
      <c r="E11" s="70"/>
      <c r="F11" s="158"/>
      <c r="G11" s="158"/>
      <c r="H11" s="158"/>
      <c r="I11" s="158"/>
      <c r="J11" s="158"/>
      <c r="K11" s="158"/>
      <c r="L11" s="44"/>
      <c r="M11" s="44"/>
      <c r="N11" s="44"/>
      <c r="O11" s="61"/>
      <c r="P11" s="61"/>
      <c r="Q11" s="44"/>
      <c r="R11" s="44"/>
      <c r="S11" s="44"/>
    </row>
    <row r="12" spans="1:19" ht="12.75" customHeight="1" x14ac:dyDescent="0.3">
      <c r="A12" s="98"/>
      <c r="B12" s="98"/>
      <c r="C12" s="98" t="s">
        <v>122</v>
      </c>
      <c r="D12" s="70"/>
      <c r="E12" s="70"/>
      <c r="F12" s="161">
        <v>0</v>
      </c>
      <c r="G12" s="161">
        <v>0</v>
      </c>
      <c r="H12" s="161">
        <v>0</v>
      </c>
      <c r="I12" s="161">
        <v>0</v>
      </c>
      <c r="J12" s="161">
        <v>0</v>
      </c>
      <c r="K12" s="161">
        <f>AVERAGE(F12:J12)</f>
        <v>0</v>
      </c>
      <c r="L12" s="171">
        <f>IF('12. Historical Income Statement'!$J$10=0,0,K12/'12. Historical Income Statement'!$J$10)</f>
        <v>0</v>
      </c>
      <c r="M12" s="91"/>
      <c r="N12" s="81"/>
      <c r="O12" s="61"/>
      <c r="P12" s="61"/>
      <c r="Q12" s="44"/>
      <c r="R12" s="44"/>
      <c r="S12" s="44"/>
    </row>
    <row r="13" spans="1:19" ht="12.75" customHeight="1" x14ac:dyDescent="0.3">
      <c r="A13" s="98"/>
      <c r="B13" s="98"/>
      <c r="C13" s="98" t="s">
        <v>123</v>
      </c>
      <c r="D13" s="70"/>
      <c r="E13" s="70"/>
      <c r="F13" s="161">
        <v>0</v>
      </c>
      <c r="G13" s="161">
        <v>0</v>
      </c>
      <c r="H13" s="161">
        <v>0</v>
      </c>
      <c r="I13" s="161">
        <v>0</v>
      </c>
      <c r="J13" s="161">
        <v>0</v>
      </c>
      <c r="K13" s="161">
        <f t="shared" ref="K13:K14" si="0">AVERAGE(F13:J13)</f>
        <v>0</v>
      </c>
      <c r="L13" s="171">
        <f>IF('12. Historical Income Statement'!$J$10=0,0,K13/'12. Historical Income Statement'!$J$10)</f>
        <v>0</v>
      </c>
      <c r="M13" s="91"/>
      <c r="N13" s="81"/>
      <c r="O13" s="61"/>
      <c r="P13" s="61"/>
      <c r="Q13" s="44"/>
      <c r="R13" s="44"/>
      <c r="S13" s="44"/>
    </row>
    <row r="14" spans="1:19" ht="12.75" customHeight="1" x14ac:dyDescent="0.3">
      <c r="A14" s="98"/>
      <c r="B14" s="98"/>
      <c r="C14" s="98" t="s">
        <v>124</v>
      </c>
      <c r="D14" s="70"/>
      <c r="E14" s="70"/>
      <c r="F14" s="161">
        <v>0</v>
      </c>
      <c r="G14" s="161">
        <v>0</v>
      </c>
      <c r="H14" s="161">
        <v>0</v>
      </c>
      <c r="I14" s="161">
        <v>0</v>
      </c>
      <c r="J14" s="161">
        <v>0</v>
      </c>
      <c r="K14" s="161">
        <f t="shared" si="0"/>
        <v>0</v>
      </c>
      <c r="L14" s="171">
        <f>IF('12. Historical Income Statement'!$J$10=0,0,K14/'12. Historical Income Statement'!$J$10)</f>
        <v>0</v>
      </c>
      <c r="M14" s="91"/>
      <c r="N14" s="81"/>
      <c r="O14" s="61"/>
      <c r="P14" s="61"/>
      <c r="Q14" s="44"/>
      <c r="R14" s="44"/>
      <c r="S14" s="44"/>
    </row>
    <row r="15" spans="1:19" ht="12.75" customHeight="1" thickBot="1" x14ac:dyDescent="0.35">
      <c r="A15" s="98"/>
      <c r="B15" s="109" t="s">
        <v>125</v>
      </c>
      <c r="C15" s="109"/>
      <c r="D15" s="110"/>
      <c r="E15" s="122"/>
      <c r="F15" s="160">
        <f>SUM(F12:F14)</f>
        <v>0</v>
      </c>
      <c r="G15" s="160">
        <f>SUM(G12:G14)</f>
        <v>0</v>
      </c>
      <c r="H15" s="160">
        <f t="shared" ref="H15:J15" si="1">SUM(H12:H14)</f>
        <v>0</v>
      </c>
      <c r="I15" s="160">
        <f t="shared" si="1"/>
        <v>0</v>
      </c>
      <c r="J15" s="160">
        <f t="shared" si="1"/>
        <v>0</v>
      </c>
      <c r="K15" s="160">
        <f t="shared" ref="K15:K50" si="2">AVERAGE(F15:J15)</f>
        <v>0</v>
      </c>
      <c r="L15" s="172">
        <f>IF('12. Historical Income Statement'!$J$10=0,0,K15/'12. Historical Income Statement'!$J$10)</f>
        <v>0</v>
      </c>
      <c r="M15" s="90"/>
      <c r="N15" s="82"/>
      <c r="O15" s="72"/>
      <c r="P15" s="72"/>
      <c r="Q15" s="44"/>
      <c r="R15" s="44"/>
      <c r="S15" s="44"/>
    </row>
    <row r="16" spans="1:19" ht="12.75" customHeight="1" thickTop="1" x14ac:dyDescent="0.3">
      <c r="A16" s="98"/>
      <c r="B16" s="98"/>
      <c r="C16" s="98"/>
      <c r="D16" s="70"/>
      <c r="E16" s="117"/>
      <c r="F16" s="161"/>
      <c r="G16" s="161"/>
      <c r="H16" s="161"/>
      <c r="I16" s="161"/>
      <c r="J16" s="161"/>
      <c r="K16" s="161"/>
      <c r="L16" s="171"/>
      <c r="M16" s="90"/>
      <c r="N16" s="82"/>
      <c r="O16" s="72"/>
      <c r="P16" s="72"/>
      <c r="Q16" s="44"/>
      <c r="R16" s="44"/>
      <c r="S16" s="44"/>
    </row>
    <row r="17" spans="1:19" ht="12.75" customHeight="1" x14ac:dyDescent="0.3">
      <c r="A17" s="98"/>
      <c r="B17" s="98" t="s">
        <v>126</v>
      </c>
      <c r="C17" s="98"/>
      <c r="D17" s="70"/>
      <c r="E17" s="116"/>
      <c r="F17" s="169"/>
      <c r="G17" s="161"/>
      <c r="H17" s="169"/>
      <c r="I17" s="169"/>
      <c r="J17" s="161"/>
      <c r="K17" s="161"/>
      <c r="L17" s="171"/>
      <c r="M17" s="91"/>
      <c r="N17" s="81"/>
      <c r="O17" s="73"/>
      <c r="P17" s="73"/>
      <c r="Q17" s="44"/>
      <c r="R17" s="44"/>
      <c r="S17" s="44"/>
    </row>
    <row r="18" spans="1:19" ht="12.75" customHeight="1" x14ac:dyDescent="0.3">
      <c r="A18" s="98"/>
      <c r="B18" s="98"/>
      <c r="C18" s="98" t="s">
        <v>127</v>
      </c>
      <c r="D18" s="70"/>
      <c r="E18" s="116"/>
      <c r="F18" s="161">
        <v>0</v>
      </c>
      <c r="G18" s="161">
        <v>0</v>
      </c>
      <c r="H18" s="161">
        <v>0</v>
      </c>
      <c r="I18" s="161">
        <v>0</v>
      </c>
      <c r="J18" s="161">
        <v>0</v>
      </c>
      <c r="K18" s="161">
        <v>0</v>
      </c>
      <c r="L18" s="171">
        <f>IF('12. Historical Income Statement'!$J$10=0,0,K18/'12. Historical Income Statement'!$J$10)</f>
        <v>0</v>
      </c>
      <c r="M18" s="91"/>
      <c r="N18" s="81"/>
      <c r="O18" s="73"/>
      <c r="P18" s="73"/>
      <c r="Q18" s="44"/>
      <c r="R18" s="44"/>
      <c r="S18" s="44"/>
    </row>
    <row r="19" spans="1:19" ht="12.75" customHeight="1" x14ac:dyDescent="0.3">
      <c r="A19" s="98"/>
      <c r="B19" s="98"/>
      <c r="C19" s="98" t="s">
        <v>128</v>
      </c>
      <c r="D19" s="70"/>
      <c r="E19" s="117"/>
      <c r="F19" s="161">
        <v>0</v>
      </c>
      <c r="G19" s="161">
        <v>0</v>
      </c>
      <c r="H19" s="161">
        <v>0</v>
      </c>
      <c r="I19" s="161">
        <v>0</v>
      </c>
      <c r="J19" s="161">
        <v>0</v>
      </c>
      <c r="K19" s="161">
        <v>0</v>
      </c>
      <c r="L19" s="171">
        <f>IF('12. Historical Income Statement'!$J$10=0,0,K19/'12. Historical Income Statement'!$J$10)</f>
        <v>0</v>
      </c>
      <c r="M19" s="90"/>
      <c r="N19" s="82"/>
      <c r="O19" s="72"/>
      <c r="P19" s="72"/>
      <c r="Q19" s="44"/>
      <c r="R19" s="44"/>
      <c r="S19" s="44"/>
    </row>
    <row r="20" spans="1:19" ht="12.75" customHeight="1" x14ac:dyDescent="0.3">
      <c r="A20" s="98"/>
      <c r="B20" s="98"/>
      <c r="C20" s="98" t="s">
        <v>129</v>
      </c>
      <c r="D20" s="70"/>
      <c r="E20" s="117"/>
      <c r="F20" s="161">
        <v>0</v>
      </c>
      <c r="G20" s="161">
        <v>0</v>
      </c>
      <c r="H20" s="161">
        <v>0</v>
      </c>
      <c r="I20" s="161">
        <v>0</v>
      </c>
      <c r="J20" s="161">
        <v>0</v>
      </c>
      <c r="K20" s="161">
        <v>0</v>
      </c>
      <c r="L20" s="171">
        <f>IF('12. Historical Income Statement'!$J$10=0,0,K20/'12. Historical Income Statement'!$J$10)</f>
        <v>0</v>
      </c>
      <c r="M20" s="90"/>
      <c r="N20" s="82"/>
      <c r="O20" s="72"/>
      <c r="P20" s="72"/>
      <c r="Q20" s="44"/>
      <c r="R20" s="44"/>
      <c r="S20" s="44"/>
    </row>
    <row r="21" spans="1:19" ht="12.75" customHeight="1" thickBot="1" x14ac:dyDescent="0.35">
      <c r="A21" s="98"/>
      <c r="B21" s="109" t="s">
        <v>130</v>
      </c>
      <c r="C21" s="109"/>
      <c r="D21" s="110"/>
      <c r="E21" s="122"/>
      <c r="F21" s="160">
        <f>SUM(F18:F20)</f>
        <v>0</v>
      </c>
      <c r="G21" s="160">
        <f>SUM(G18:G20)</f>
        <v>0</v>
      </c>
      <c r="H21" s="160">
        <f t="shared" ref="H21:J21" si="3">SUM(H18:H20)</f>
        <v>0</v>
      </c>
      <c r="I21" s="160">
        <f t="shared" si="3"/>
        <v>0</v>
      </c>
      <c r="J21" s="160">
        <f t="shared" si="3"/>
        <v>0</v>
      </c>
      <c r="K21" s="160">
        <f t="shared" si="2"/>
        <v>0</v>
      </c>
      <c r="L21" s="172">
        <f>IF('12. Historical Income Statement'!$J$10=0,0,K21/'12. Historical Income Statement'!$J$10)</f>
        <v>0</v>
      </c>
      <c r="M21" s="90"/>
      <c r="N21" s="82"/>
      <c r="O21" s="72"/>
      <c r="P21" s="72"/>
      <c r="Q21" s="44"/>
      <c r="R21" s="44"/>
      <c r="S21" s="44"/>
    </row>
    <row r="22" spans="1:19" ht="12.75" customHeight="1" thickTop="1" x14ac:dyDescent="0.3">
      <c r="A22" s="98"/>
      <c r="B22" s="98"/>
      <c r="C22" s="98"/>
      <c r="D22" s="70"/>
      <c r="E22" s="117"/>
      <c r="F22" s="161"/>
      <c r="G22" s="161"/>
      <c r="H22" s="161"/>
      <c r="I22" s="161"/>
      <c r="J22" s="161"/>
      <c r="K22" s="161"/>
      <c r="L22" s="171"/>
      <c r="M22" s="90"/>
      <c r="N22" s="82"/>
      <c r="O22" s="72"/>
      <c r="P22" s="72"/>
      <c r="Q22" s="44"/>
      <c r="R22" s="44"/>
      <c r="S22" s="44"/>
    </row>
    <row r="23" spans="1:19" ht="12.75" customHeight="1" thickBot="1" x14ac:dyDescent="0.35">
      <c r="A23" s="101"/>
      <c r="B23" s="101"/>
      <c r="C23" s="101"/>
      <c r="D23" s="102"/>
      <c r="E23" s="130"/>
      <c r="F23" s="162"/>
      <c r="G23" s="162"/>
      <c r="H23" s="162"/>
      <c r="I23" s="162"/>
      <c r="J23" s="162"/>
      <c r="K23" s="162"/>
      <c r="L23" s="174"/>
      <c r="M23" s="91"/>
      <c r="N23" s="81"/>
      <c r="O23" s="73"/>
      <c r="P23" s="73"/>
      <c r="Q23" s="44"/>
      <c r="R23" s="44"/>
      <c r="S23" s="44"/>
    </row>
    <row r="24" spans="1:19" ht="15.9" customHeight="1" thickBot="1" x14ac:dyDescent="0.35">
      <c r="A24" s="106" t="s">
        <v>41</v>
      </c>
      <c r="B24" s="106"/>
      <c r="C24" s="106"/>
      <c r="D24" s="107"/>
      <c r="E24" s="107"/>
      <c r="F24" s="163">
        <f>F15+F21</f>
        <v>0</v>
      </c>
      <c r="G24" s="163">
        <f>G15+G21</f>
        <v>0</v>
      </c>
      <c r="H24" s="163">
        <f t="shared" ref="H24:J24" si="4">H15+H21</f>
        <v>0</v>
      </c>
      <c r="I24" s="163">
        <f t="shared" si="4"/>
        <v>0</v>
      </c>
      <c r="J24" s="163">
        <f t="shared" si="4"/>
        <v>0</v>
      </c>
      <c r="K24" s="300">
        <f t="shared" si="2"/>
        <v>0</v>
      </c>
      <c r="L24" s="173">
        <f>IF('12. Historical Income Statement'!$J$10=0,0,K24/'12. Historical Income Statement'!$J$10)</f>
        <v>0</v>
      </c>
      <c r="M24" s="91"/>
      <c r="N24" s="81"/>
      <c r="O24" s="61"/>
      <c r="P24" s="61"/>
      <c r="Q24" s="44"/>
      <c r="R24" s="44"/>
      <c r="S24" s="44"/>
    </row>
    <row r="25" spans="1:19" ht="12.75" customHeight="1" thickTop="1" x14ac:dyDescent="0.3">
      <c r="A25" s="98"/>
      <c r="B25" s="98"/>
      <c r="C25" s="98"/>
      <c r="D25" s="70"/>
      <c r="E25" s="70"/>
      <c r="F25" s="161"/>
      <c r="G25" s="161"/>
      <c r="H25" s="161"/>
      <c r="I25" s="161"/>
      <c r="J25" s="161"/>
      <c r="K25" s="161"/>
      <c r="L25" s="171"/>
      <c r="M25" s="91"/>
      <c r="N25" s="81"/>
      <c r="O25" s="61"/>
      <c r="P25" s="61"/>
      <c r="Q25" s="44"/>
      <c r="R25" s="44"/>
      <c r="S25" s="44"/>
    </row>
    <row r="26" spans="1:19" ht="12.75" customHeight="1" x14ac:dyDescent="0.3">
      <c r="A26" s="98"/>
      <c r="B26" s="98" t="s">
        <v>145</v>
      </c>
      <c r="C26" s="98"/>
      <c r="D26" s="70"/>
      <c r="E26" s="70"/>
      <c r="F26" s="161"/>
      <c r="G26" s="161"/>
      <c r="H26" s="161"/>
      <c r="I26" s="161"/>
      <c r="J26" s="161"/>
      <c r="K26" s="161"/>
      <c r="L26" s="171"/>
      <c r="M26" s="91"/>
      <c r="N26" s="81"/>
      <c r="O26" s="61"/>
      <c r="P26" s="61"/>
      <c r="Q26" s="44"/>
      <c r="R26" s="44"/>
      <c r="S26" s="44"/>
    </row>
    <row r="27" spans="1:19" ht="12.75" customHeight="1" x14ac:dyDescent="0.3">
      <c r="A27" s="98"/>
      <c r="B27" s="98"/>
      <c r="C27" s="98" t="s">
        <v>131</v>
      </c>
      <c r="D27" s="70"/>
      <c r="E27" s="117"/>
      <c r="F27" s="161">
        <v>0</v>
      </c>
      <c r="G27" s="161">
        <v>0</v>
      </c>
      <c r="H27" s="161">
        <v>0</v>
      </c>
      <c r="I27" s="161">
        <v>0</v>
      </c>
      <c r="J27" s="161">
        <v>0</v>
      </c>
      <c r="K27" s="161">
        <v>0</v>
      </c>
      <c r="L27" s="171">
        <f>IF('12. Historical Income Statement'!$J$10=0,0,K27/'12. Historical Income Statement'!$J$10)</f>
        <v>0</v>
      </c>
      <c r="M27" s="90"/>
      <c r="N27" s="82"/>
      <c r="O27" s="72"/>
      <c r="P27" s="72"/>
      <c r="Q27" s="44"/>
      <c r="R27" s="44"/>
      <c r="S27" s="44"/>
    </row>
    <row r="28" spans="1:19" ht="12.75" customHeight="1" thickBot="1" x14ac:dyDescent="0.35">
      <c r="A28" s="101"/>
      <c r="B28" s="101"/>
      <c r="C28" s="101" t="s">
        <v>132</v>
      </c>
      <c r="D28" s="102"/>
      <c r="E28" s="130"/>
      <c r="F28" s="162">
        <v>0</v>
      </c>
      <c r="G28" s="162">
        <v>0</v>
      </c>
      <c r="H28" s="162">
        <v>0</v>
      </c>
      <c r="I28" s="162">
        <v>0</v>
      </c>
      <c r="J28" s="162">
        <v>0</v>
      </c>
      <c r="K28" s="161">
        <v>0</v>
      </c>
      <c r="L28" s="174">
        <f>IF('12. Historical Income Statement'!$J$10=0,0,K28/'12. Historical Income Statement'!$J$10)</f>
        <v>0</v>
      </c>
      <c r="M28" s="91"/>
      <c r="N28" s="81"/>
      <c r="O28" s="73"/>
      <c r="P28" s="61"/>
      <c r="Q28" s="44"/>
      <c r="R28" s="44"/>
      <c r="S28" s="44"/>
    </row>
    <row r="29" spans="1:19" ht="12.75" customHeight="1" thickBot="1" x14ac:dyDescent="0.35">
      <c r="A29" s="106"/>
      <c r="B29" s="106" t="s">
        <v>133</v>
      </c>
      <c r="C29" s="106"/>
      <c r="D29" s="107"/>
      <c r="E29" s="107"/>
      <c r="F29" s="163">
        <f>SUM(F27:F28)</f>
        <v>0</v>
      </c>
      <c r="G29" s="163">
        <f>SUM(G27:G28)</f>
        <v>0</v>
      </c>
      <c r="H29" s="163">
        <f t="shared" ref="H29:J29" si="5">SUM(H27:H28)</f>
        <v>0</v>
      </c>
      <c r="I29" s="163">
        <f t="shared" si="5"/>
        <v>0</v>
      </c>
      <c r="J29" s="163">
        <f t="shared" si="5"/>
        <v>0</v>
      </c>
      <c r="K29" s="300">
        <f t="shared" si="2"/>
        <v>0</v>
      </c>
      <c r="L29" s="173">
        <f>IF('12. Historical Income Statement'!$J$10=0,0,K29/'12. Historical Income Statement'!$J$10)</f>
        <v>0</v>
      </c>
      <c r="M29" s="91"/>
      <c r="N29" s="81"/>
      <c r="O29" s="61"/>
      <c r="P29" s="61"/>
      <c r="Q29" s="44"/>
      <c r="R29" s="44"/>
      <c r="S29" s="44"/>
    </row>
    <row r="30" spans="1:19" ht="12.75" customHeight="1" thickTop="1" x14ac:dyDescent="0.3">
      <c r="A30" s="98"/>
      <c r="B30" s="98"/>
      <c r="C30" s="98"/>
      <c r="D30" s="70"/>
      <c r="E30" s="70"/>
      <c r="F30" s="165"/>
      <c r="G30" s="165"/>
      <c r="H30" s="165"/>
      <c r="I30" s="165"/>
      <c r="J30" s="165"/>
      <c r="K30" s="161"/>
      <c r="L30" s="171"/>
      <c r="M30" s="91"/>
      <c r="N30" s="81"/>
      <c r="O30" s="61"/>
      <c r="P30" s="61"/>
      <c r="Q30" s="44"/>
      <c r="R30" s="44"/>
      <c r="S30" s="44"/>
    </row>
    <row r="31" spans="1:19" ht="12.75" customHeight="1" x14ac:dyDescent="0.3">
      <c r="A31" s="98"/>
      <c r="B31" s="98"/>
      <c r="C31" s="98"/>
      <c r="D31" s="70"/>
      <c r="E31" s="70"/>
      <c r="F31" s="165"/>
      <c r="G31" s="165"/>
      <c r="H31" s="165"/>
      <c r="I31" s="165"/>
      <c r="J31" s="165"/>
      <c r="K31" s="161"/>
      <c r="L31" s="171"/>
      <c r="M31" s="91"/>
      <c r="N31" s="81"/>
      <c r="O31" s="61"/>
      <c r="P31" s="61"/>
      <c r="Q31" s="44"/>
      <c r="R31" s="44"/>
      <c r="S31" s="44"/>
    </row>
    <row r="32" spans="1:19" ht="12.75" customHeight="1" x14ac:dyDescent="0.3">
      <c r="A32" s="98"/>
      <c r="B32" s="98" t="s">
        <v>134</v>
      </c>
      <c r="C32" s="98"/>
      <c r="D32" s="70"/>
      <c r="E32" s="70"/>
      <c r="F32" s="165"/>
      <c r="G32" s="165"/>
      <c r="H32" s="165"/>
      <c r="I32" s="165"/>
      <c r="J32" s="165"/>
      <c r="K32" s="161"/>
      <c r="L32" s="171"/>
      <c r="M32" s="91"/>
      <c r="N32" s="81"/>
      <c r="O32" s="61"/>
      <c r="P32" s="61"/>
      <c r="Q32" s="44"/>
      <c r="R32" s="44"/>
      <c r="S32" s="44"/>
    </row>
    <row r="33" spans="1:19" ht="12.75" customHeight="1" x14ac:dyDescent="0.3">
      <c r="A33" s="98"/>
      <c r="B33" s="98"/>
      <c r="C33" s="98" t="s">
        <v>135</v>
      </c>
      <c r="D33" s="70"/>
      <c r="E33" s="70"/>
      <c r="F33" s="161">
        <v>0</v>
      </c>
      <c r="G33" s="161">
        <v>0</v>
      </c>
      <c r="H33" s="161">
        <v>0</v>
      </c>
      <c r="I33" s="161">
        <v>0</v>
      </c>
      <c r="J33" s="161">
        <v>0</v>
      </c>
      <c r="K33" s="161">
        <v>0</v>
      </c>
      <c r="L33" s="171">
        <f>IF('12. Historical Income Statement'!$J$10=0,0,K33/'12. Historical Income Statement'!$J$10)</f>
        <v>0</v>
      </c>
      <c r="M33" s="91"/>
      <c r="N33" s="81"/>
      <c r="O33" s="61"/>
      <c r="P33" s="61"/>
      <c r="Q33" s="44"/>
      <c r="R33" s="44"/>
      <c r="S33" s="44"/>
    </row>
    <row r="34" spans="1:19" ht="12.75" customHeight="1" x14ac:dyDescent="0.3">
      <c r="A34" s="98"/>
      <c r="B34" s="98"/>
      <c r="C34" s="98" t="s">
        <v>136</v>
      </c>
      <c r="D34" s="70"/>
      <c r="E34" s="70"/>
      <c r="F34" s="161">
        <v>0</v>
      </c>
      <c r="G34" s="161">
        <v>0</v>
      </c>
      <c r="H34" s="161">
        <v>0</v>
      </c>
      <c r="I34" s="161">
        <v>0</v>
      </c>
      <c r="J34" s="161">
        <v>0</v>
      </c>
      <c r="K34" s="161">
        <v>0</v>
      </c>
      <c r="L34" s="171">
        <f>IF('12. Historical Income Statement'!$J$10=0,0,K34/'12. Historical Income Statement'!$J$10)</f>
        <v>0</v>
      </c>
      <c r="M34" s="91"/>
      <c r="N34" s="81"/>
      <c r="O34" s="61"/>
      <c r="P34" s="61"/>
      <c r="Q34" s="44"/>
      <c r="R34" s="44"/>
      <c r="S34" s="44"/>
    </row>
    <row r="35" spans="1:19" ht="12.75" customHeight="1" x14ac:dyDescent="0.3">
      <c r="A35" s="98"/>
      <c r="B35" s="98"/>
      <c r="C35" s="98" t="s">
        <v>124</v>
      </c>
      <c r="D35" s="70"/>
      <c r="E35" s="70"/>
      <c r="F35" s="161">
        <v>0</v>
      </c>
      <c r="G35" s="161">
        <v>0</v>
      </c>
      <c r="H35" s="161">
        <v>0</v>
      </c>
      <c r="I35" s="161">
        <v>0</v>
      </c>
      <c r="J35" s="161">
        <v>0</v>
      </c>
      <c r="K35" s="161">
        <v>0</v>
      </c>
      <c r="L35" s="171">
        <f>IF('12. Historical Income Statement'!$J$10=0,0,K35/'12. Historical Income Statement'!$J$10)</f>
        <v>0</v>
      </c>
      <c r="M35" s="91"/>
      <c r="N35" s="81"/>
      <c r="O35" s="61"/>
      <c r="P35" s="61"/>
      <c r="Q35" s="44"/>
      <c r="R35" s="44"/>
      <c r="S35" s="44"/>
    </row>
    <row r="36" spans="1:19" ht="12.75" customHeight="1" thickBot="1" x14ac:dyDescent="0.35">
      <c r="A36" s="98"/>
      <c r="B36" s="109" t="s">
        <v>137</v>
      </c>
      <c r="C36" s="109"/>
      <c r="D36" s="110"/>
      <c r="E36" s="110"/>
      <c r="F36" s="160">
        <f>SUM(F33:F35)</f>
        <v>0</v>
      </c>
      <c r="G36" s="160">
        <f>SUM(G33:G35)</f>
        <v>0</v>
      </c>
      <c r="H36" s="160">
        <f t="shared" ref="H36:J36" si="6">SUM(H33:H35)</f>
        <v>0</v>
      </c>
      <c r="I36" s="160">
        <f t="shared" si="6"/>
        <v>0</v>
      </c>
      <c r="J36" s="160">
        <f t="shared" si="6"/>
        <v>0</v>
      </c>
      <c r="K36" s="160">
        <f t="shared" si="2"/>
        <v>0</v>
      </c>
      <c r="L36" s="172">
        <f>IF('12. Historical Income Statement'!$J$10=0,0,K36/'12. Historical Income Statement'!$J$10)</f>
        <v>0</v>
      </c>
      <c r="M36" s="91"/>
      <c r="N36" s="81"/>
      <c r="O36" s="44"/>
      <c r="P36" s="44"/>
      <c r="Q36" s="44"/>
      <c r="R36" s="44"/>
      <c r="S36" s="44"/>
    </row>
    <row r="37" spans="1:19" ht="12.75" customHeight="1" thickTop="1" x14ac:dyDescent="0.3">
      <c r="A37" s="98"/>
      <c r="B37" s="98"/>
      <c r="C37" s="98"/>
      <c r="D37" s="70"/>
      <c r="E37" s="70"/>
      <c r="F37" s="161"/>
      <c r="G37" s="161"/>
      <c r="H37" s="161"/>
      <c r="I37" s="161"/>
      <c r="J37" s="161"/>
      <c r="K37" s="161"/>
      <c r="L37" s="171"/>
      <c r="M37" s="91"/>
      <c r="N37" s="81"/>
      <c r="O37" s="44"/>
      <c r="P37" s="44"/>
      <c r="Q37" s="44"/>
      <c r="R37" s="44"/>
      <c r="S37" s="44"/>
    </row>
    <row r="38" spans="1:19" ht="12.75" customHeight="1" x14ac:dyDescent="0.3">
      <c r="A38" s="98"/>
      <c r="B38" s="98" t="s">
        <v>138</v>
      </c>
      <c r="C38" s="98"/>
      <c r="D38" s="70"/>
      <c r="E38" s="70"/>
      <c r="F38" s="165"/>
      <c r="G38" s="165"/>
      <c r="H38" s="165"/>
      <c r="I38" s="165"/>
      <c r="J38" s="165"/>
      <c r="K38" s="161"/>
      <c r="L38" s="171"/>
      <c r="M38" s="91"/>
      <c r="N38" s="81"/>
      <c r="O38" s="44"/>
      <c r="P38" s="44"/>
      <c r="Q38" s="44"/>
      <c r="R38" s="44"/>
      <c r="S38" s="44"/>
    </row>
    <row r="39" spans="1:19" ht="12.75" customHeight="1" x14ac:dyDescent="0.3">
      <c r="A39" s="98"/>
      <c r="B39" s="98"/>
      <c r="C39" s="98" t="s">
        <v>136</v>
      </c>
      <c r="D39" s="70"/>
      <c r="E39" s="70"/>
      <c r="F39" s="161">
        <v>0</v>
      </c>
      <c r="G39" s="161">
        <v>0</v>
      </c>
      <c r="H39" s="161">
        <v>0</v>
      </c>
      <c r="I39" s="161">
        <v>0</v>
      </c>
      <c r="J39" s="161">
        <v>0</v>
      </c>
      <c r="K39" s="161">
        <v>0</v>
      </c>
      <c r="L39" s="171">
        <f>IF('12. Historical Income Statement'!$J$10=0,0,K39/'12. Historical Income Statement'!$J$10)</f>
        <v>0</v>
      </c>
      <c r="M39" s="91"/>
      <c r="N39" s="81"/>
      <c r="O39" s="44"/>
      <c r="P39" s="44"/>
      <c r="Q39" s="44"/>
      <c r="R39" s="44"/>
      <c r="S39" s="44"/>
    </row>
    <row r="40" spans="1:19" ht="12.75" customHeight="1" x14ac:dyDescent="0.3">
      <c r="A40" s="98"/>
      <c r="B40" s="98"/>
      <c r="C40" s="98" t="s">
        <v>139</v>
      </c>
      <c r="D40" s="70"/>
      <c r="E40" s="70"/>
      <c r="F40" s="161">
        <v>0</v>
      </c>
      <c r="G40" s="161">
        <v>0</v>
      </c>
      <c r="H40" s="161">
        <v>0</v>
      </c>
      <c r="I40" s="161">
        <v>0</v>
      </c>
      <c r="J40" s="161">
        <v>0</v>
      </c>
      <c r="K40" s="161">
        <v>0</v>
      </c>
      <c r="L40" s="171">
        <f>IF('12. Historical Income Statement'!$J$10=0,0,K40/'12. Historical Income Statement'!$J$10)</f>
        <v>0</v>
      </c>
      <c r="M40" s="91"/>
      <c r="N40" s="81"/>
      <c r="O40" s="44"/>
      <c r="P40" s="44"/>
      <c r="Q40" s="44"/>
      <c r="R40" s="44"/>
      <c r="S40" s="44"/>
    </row>
    <row r="41" spans="1:19" ht="12.75" customHeight="1" x14ac:dyDescent="0.3">
      <c r="A41" s="98"/>
      <c r="B41" s="98"/>
      <c r="C41" s="98" t="s">
        <v>140</v>
      </c>
      <c r="D41" s="70"/>
      <c r="E41" s="70"/>
      <c r="F41" s="161">
        <v>0</v>
      </c>
      <c r="G41" s="161">
        <v>0</v>
      </c>
      <c r="H41" s="161">
        <v>0</v>
      </c>
      <c r="I41" s="161">
        <v>0</v>
      </c>
      <c r="J41" s="161">
        <v>0</v>
      </c>
      <c r="K41" s="161">
        <v>0</v>
      </c>
      <c r="L41" s="171">
        <f>IF('12. Historical Income Statement'!$J$10=0,0,K41/'12. Historical Income Statement'!$J$10)</f>
        <v>0</v>
      </c>
      <c r="M41" s="91"/>
      <c r="N41" s="81"/>
      <c r="O41" s="44"/>
      <c r="P41" s="44"/>
      <c r="Q41" s="44"/>
      <c r="R41" s="44"/>
      <c r="S41" s="44"/>
    </row>
    <row r="42" spans="1:19" ht="12.75" customHeight="1" x14ac:dyDescent="0.3">
      <c r="A42" s="98"/>
      <c r="B42" s="98"/>
      <c r="C42" s="98" t="s">
        <v>141</v>
      </c>
      <c r="D42" s="70"/>
      <c r="E42" s="70"/>
      <c r="F42" s="161">
        <v>0</v>
      </c>
      <c r="G42" s="161">
        <v>0</v>
      </c>
      <c r="H42" s="161">
        <v>0</v>
      </c>
      <c r="I42" s="161">
        <v>0</v>
      </c>
      <c r="J42" s="161">
        <v>0</v>
      </c>
      <c r="K42" s="161">
        <v>0</v>
      </c>
      <c r="L42" s="171">
        <f>IF('12. Historical Income Statement'!$J$10=0,0,K42/'12. Historical Income Statement'!$J$10)</f>
        <v>0</v>
      </c>
      <c r="M42" s="91"/>
      <c r="N42" s="81"/>
      <c r="O42" s="44"/>
      <c r="P42" s="44"/>
      <c r="Q42" s="44"/>
      <c r="R42" s="44"/>
      <c r="S42" s="44"/>
    </row>
    <row r="43" spans="1:19" ht="12.75" customHeight="1" x14ac:dyDescent="0.3">
      <c r="A43" s="98"/>
      <c r="B43" s="98"/>
      <c r="C43" s="98" t="s">
        <v>144</v>
      </c>
      <c r="D43" s="70"/>
      <c r="E43" s="70"/>
      <c r="F43" s="161">
        <v>0</v>
      </c>
      <c r="G43" s="161">
        <v>0</v>
      </c>
      <c r="H43" s="161">
        <v>0</v>
      </c>
      <c r="I43" s="161">
        <v>0</v>
      </c>
      <c r="J43" s="161">
        <v>0</v>
      </c>
      <c r="K43" s="161">
        <v>0</v>
      </c>
      <c r="L43" s="171">
        <f>IF('12. Historical Income Statement'!$J$10=0,0,K43/'12. Historical Income Statement'!$J$10)</f>
        <v>0</v>
      </c>
      <c r="M43" s="91"/>
      <c r="N43" s="81"/>
      <c r="O43" s="44"/>
      <c r="P43" s="44"/>
      <c r="Q43" s="44"/>
      <c r="R43" s="44"/>
      <c r="S43" s="44"/>
    </row>
    <row r="44" spans="1:19" ht="12.75" customHeight="1" thickBot="1" x14ac:dyDescent="0.35">
      <c r="A44" s="98"/>
      <c r="B44" s="109" t="s">
        <v>142</v>
      </c>
      <c r="C44" s="109"/>
      <c r="D44" s="110"/>
      <c r="E44" s="110"/>
      <c r="F44" s="160">
        <f>SUM(F39:F43)</f>
        <v>0</v>
      </c>
      <c r="G44" s="160">
        <f>SUM(G39:G43)</f>
        <v>0</v>
      </c>
      <c r="H44" s="160">
        <f>SUM(H39:H43)</f>
        <v>0</v>
      </c>
      <c r="I44" s="160">
        <f>SUM(I39:I43)</f>
        <v>0</v>
      </c>
      <c r="J44" s="160">
        <f>SUM(J39:J43)</f>
        <v>0</v>
      </c>
      <c r="K44" s="160">
        <f t="shared" si="2"/>
        <v>0</v>
      </c>
      <c r="L44" s="172">
        <f>IF('12. Historical Income Statement'!$J$10=0,0,K44/'12. Historical Income Statement'!$J$10)</f>
        <v>0</v>
      </c>
      <c r="M44" s="91"/>
      <c r="N44" s="81"/>
      <c r="O44" s="44"/>
      <c r="P44" s="44"/>
      <c r="Q44" s="44"/>
      <c r="R44" s="44"/>
      <c r="S44" s="44"/>
    </row>
    <row r="45" spans="1:19" ht="12.75" customHeight="1" thickTop="1" x14ac:dyDescent="0.3">
      <c r="A45" s="98"/>
      <c r="B45" s="98"/>
      <c r="C45" s="98"/>
      <c r="D45" s="70"/>
      <c r="E45" s="70"/>
      <c r="F45" s="165"/>
      <c r="G45" s="165"/>
      <c r="H45" s="165"/>
      <c r="I45" s="165"/>
      <c r="J45" s="165"/>
      <c r="K45" s="161"/>
      <c r="L45" s="171"/>
      <c r="M45" s="91"/>
      <c r="N45" s="81"/>
      <c r="O45" s="44"/>
      <c r="P45" s="44"/>
      <c r="Q45" s="44"/>
      <c r="R45" s="44"/>
      <c r="S45" s="44"/>
    </row>
    <row r="46" spans="1:19" ht="12.75" customHeight="1" x14ac:dyDescent="0.3">
      <c r="A46" s="98"/>
      <c r="B46" s="98"/>
      <c r="C46" s="98"/>
      <c r="D46" s="70"/>
      <c r="E46" s="70"/>
      <c r="F46" s="165"/>
      <c r="G46" s="165"/>
      <c r="H46" s="165"/>
      <c r="I46" s="165"/>
      <c r="J46" s="165"/>
      <c r="K46" s="161"/>
      <c r="L46" s="171"/>
      <c r="M46" s="91"/>
      <c r="N46" s="81"/>
      <c r="O46" s="44"/>
      <c r="P46" s="44"/>
      <c r="Q46" s="44"/>
      <c r="R46" s="44"/>
      <c r="S46" s="44"/>
    </row>
    <row r="47" spans="1:19" ht="12.75" customHeight="1" thickBot="1" x14ac:dyDescent="0.35">
      <c r="A47" s="109" t="s">
        <v>47</v>
      </c>
      <c r="B47" s="109"/>
      <c r="C47" s="109"/>
      <c r="D47" s="110"/>
      <c r="E47" s="110"/>
      <c r="F47" s="160">
        <f>F36+F44</f>
        <v>0</v>
      </c>
      <c r="G47" s="160">
        <f>G36+G44</f>
        <v>0</v>
      </c>
      <c r="H47" s="160">
        <f>H36+H44</f>
        <v>0</v>
      </c>
      <c r="I47" s="160">
        <f>I36+I44</f>
        <v>0</v>
      </c>
      <c r="J47" s="160">
        <f>J36+J44</f>
        <v>0</v>
      </c>
      <c r="K47" s="160">
        <f t="shared" si="2"/>
        <v>0</v>
      </c>
      <c r="L47" s="172">
        <f>IF('12. Historical Income Statement'!$J$10=0,0,K47/'12. Historical Income Statement'!$J$10)</f>
        <v>0</v>
      </c>
      <c r="M47" s="91"/>
      <c r="N47" s="81"/>
      <c r="O47" s="44"/>
      <c r="P47" s="44"/>
      <c r="Q47" s="44"/>
      <c r="R47" s="44"/>
      <c r="S47" s="44"/>
    </row>
    <row r="48" spans="1:19" ht="12.75" customHeight="1" thickTop="1" x14ac:dyDescent="0.3">
      <c r="A48" s="98"/>
      <c r="B48" s="98"/>
      <c r="C48" s="98"/>
      <c r="D48" s="70"/>
      <c r="E48" s="70"/>
      <c r="F48" s="161"/>
      <c r="G48" s="161"/>
      <c r="H48" s="161"/>
      <c r="I48" s="161"/>
      <c r="J48" s="161"/>
      <c r="K48" s="161"/>
      <c r="L48" s="171"/>
      <c r="M48" s="91"/>
      <c r="N48" s="81"/>
      <c r="O48" s="44"/>
      <c r="P48" s="44"/>
      <c r="Q48" s="44"/>
      <c r="R48" s="44"/>
      <c r="S48" s="44"/>
    </row>
    <row r="49" spans="1:19" ht="12.75" customHeight="1" thickBot="1" x14ac:dyDescent="0.35">
      <c r="A49" s="101"/>
      <c r="B49" s="101"/>
      <c r="C49" s="101"/>
      <c r="D49" s="102"/>
      <c r="E49" s="102"/>
      <c r="F49" s="162"/>
      <c r="G49" s="162"/>
      <c r="H49" s="162"/>
      <c r="I49" s="162"/>
      <c r="J49" s="162"/>
      <c r="K49" s="162"/>
      <c r="L49" s="174"/>
      <c r="M49" s="91"/>
      <c r="N49" s="81"/>
      <c r="O49" s="44"/>
      <c r="P49" s="44"/>
      <c r="Q49" s="44"/>
      <c r="R49" s="44"/>
      <c r="S49" s="44"/>
    </row>
    <row r="50" spans="1:19" ht="15.9" customHeight="1" thickBot="1" x14ac:dyDescent="0.35">
      <c r="A50" s="106" t="s">
        <v>55</v>
      </c>
      <c r="B50" s="106"/>
      <c r="C50" s="106"/>
      <c r="D50" s="107"/>
      <c r="E50" s="107"/>
      <c r="F50" s="163">
        <f>F29+F47</f>
        <v>0</v>
      </c>
      <c r="G50" s="163">
        <f>G29+G47</f>
        <v>0</v>
      </c>
      <c r="H50" s="163">
        <f>H29+H47</f>
        <v>0</v>
      </c>
      <c r="I50" s="163">
        <f>I29+I47</f>
        <v>0</v>
      </c>
      <c r="J50" s="163">
        <f>J29+J47</f>
        <v>0</v>
      </c>
      <c r="K50" s="163">
        <f t="shared" si="2"/>
        <v>0</v>
      </c>
      <c r="L50" s="173">
        <f>IF('12. Historical Income Statement'!$J$10=0,0,K50/'12. Historical Income Statement'!$J$10)</f>
        <v>0</v>
      </c>
      <c r="M50" s="91"/>
      <c r="N50" s="81"/>
      <c r="O50" s="44"/>
      <c r="P50" s="44"/>
      <c r="Q50" s="44"/>
      <c r="R50" s="44"/>
      <c r="S50" s="44"/>
    </row>
    <row r="51" spans="1:19" ht="12.75" customHeight="1" thickTop="1" x14ac:dyDescent="0.3">
      <c r="A51" s="98"/>
      <c r="B51" s="98"/>
      <c r="C51" s="98"/>
      <c r="D51" s="70"/>
      <c r="E51" s="70"/>
      <c r="F51" s="108"/>
      <c r="G51" s="108"/>
      <c r="H51" s="108"/>
      <c r="I51" s="108"/>
      <c r="J51" s="108"/>
      <c r="K51" s="108"/>
      <c r="L51" s="81"/>
      <c r="M51" s="81"/>
      <c r="N51" s="81"/>
      <c r="O51" s="44"/>
      <c r="P51" s="44"/>
      <c r="Q51" s="44"/>
      <c r="R51" s="44"/>
      <c r="S51" s="44"/>
    </row>
    <row r="52" spans="1:19" ht="12.75" customHeight="1" x14ac:dyDescent="0.3">
      <c r="A52" s="98"/>
      <c r="B52" s="98"/>
      <c r="C52" s="98"/>
      <c r="D52" s="70"/>
      <c r="E52" s="70"/>
      <c r="F52" s="108"/>
      <c r="G52" s="108"/>
      <c r="H52" s="108"/>
      <c r="I52" s="108"/>
      <c r="J52" s="108"/>
      <c r="K52" s="108"/>
      <c r="L52" s="81"/>
      <c r="M52" s="81"/>
      <c r="N52" s="81"/>
      <c r="O52" s="44"/>
      <c r="P52" s="44"/>
      <c r="Q52" s="44"/>
      <c r="R52" s="44"/>
      <c r="S52" s="44"/>
    </row>
    <row r="53" spans="1:19" ht="30" customHeight="1" x14ac:dyDescent="0.3">
      <c r="A53" s="98"/>
      <c r="B53" s="98"/>
      <c r="C53" s="98"/>
      <c r="D53" s="70"/>
      <c r="E53" s="166"/>
      <c r="F53" s="167" t="str">
        <f>IF(F24=F50,"Statement Balances","Does Not Balance")</f>
        <v>Statement Balances</v>
      </c>
      <c r="G53" s="167" t="str">
        <f>IF(G24-G50=0,"Statement Balances","Does Not Balance")</f>
        <v>Statement Balances</v>
      </c>
      <c r="H53" s="167" t="str">
        <f>IF(H24-H50=0,"Statement Balances","Does Not Balance")</f>
        <v>Statement Balances</v>
      </c>
      <c r="I53" s="167" t="str">
        <f>IF(I24-I50=0,"Statement Balances","Does Not Balance")</f>
        <v>Statement Balances</v>
      </c>
      <c r="J53" s="167" t="str">
        <f>IF(J24-J50=0,"Statement Balances","Does Not Balance")</f>
        <v>Statement Balances</v>
      </c>
      <c r="K53" s="167" t="str">
        <f>IF(K24-K50=0,"Statement Balances","Does Not Balance")</f>
        <v>Statement Balances</v>
      </c>
      <c r="L53" s="44"/>
      <c r="M53" s="44"/>
      <c r="N53" s="44"/>
      <c r="O53" s="44"/>
      <c r="P53" s="44"/>
      <c r="Q53" s="44"/>
      <c r="R53" s="44"/>
      <c r="S53" s="44"/>
    </row>
    <row r="54" spans="1:19" ht="12.75" customHeight="1" x14ac:dyDescent="0.3">
      <c r="A54" s="98"/>
      <c r="B54" s="98"/>
      <c r="C54" s="98"/>
      <c r="D54" s="70"/>
      <c r="E54" s="70"/>
      <c r="F54" s="70"/>
      <c r="G54" s="70"/>
      <c r="H54" s="70"/>
      <c r="I54" s="70"/>
      <c r="J54" s="70"/>
      <c r="K54" s="70"/>
      <c r="L54" s="44"/>
      <c r="M54" s="44"/>
      <c r="N54" s="44"/>
      <c r="O54" s="44"/>
      <c r="P54" s="44"/>
      <c r="Q54" s="44"/>
      <c r="R54" s="44"/>
      <c r="S54" s="44"/>
    </row>
    <row r="55" spans="1:19" ht="12.75" customHeight="1" x14ac:dyDescent="0.3">
      <c r="A55" s="98"/>
      <c r="B55" s="98"/>
      <c r="C55" s="98"/>
      <c r="D55" s="70"/>
      <c r="E55" s="70"/>
      <c r="F55" s="70"/>
      <c r="G55" s="70"/>
      <c r="H55" s="70"/>
      <c r="I55" s="70"/>
      <c r="J55" s="70"/>
      <c r="K55" s="70"/>
      <c r="L55" s="44"/>
      <c r="M55" s="44"/>
      <c r="N55" s="44"/>
      <c r="O55" s="44"/>
      <c r="P55" s="44"/>
      <c r="Q55" s="44"/>
      <c r="R55" s="44"/>
      <c r="S55" s="44"/>
    </row>
    <row r="56" spans="1:19" ht="12.75" customHeight="1" x14ac:dyDescent="0.3">
      <c r="A56" s="98"/>
      <c r="B56" s="98"/>
      <c r="C56" s="98"/>
      <c r="D56" s="70"/>
      <c r="E56" s="70"/>
      <c r="F56" s="70"/>
      <c r="G56" s="70"/>
      <c r="H56" s="70"/>
      <c r="I56" s="70"/>
      <c r="J56" s="70"/>
      <c r="K56" s="70"/>
      <c r="L56" s="44"/>
      <c r="M56" s="44"/>
      <c r="N56" s="44"/>
      <c r="O56" s="44"/>
      <c r="P56" s="44"/>
      <c r="Q56" s="44"/>
      <c r="R56" s="44"/>
      <c r="S56" s="44"/>
    </row>
    <row r="57" spans="1:19" ht="12.75" customHeight="1" x14ac:dyDescent="0.3">
      <c r="A57" s="98"/>
      <c r="B57" s="98"/>
      <c r="C57" s="98"/>
      <c r="D57" s="70"/>
      <c r="E57" s="70"/>
      <c r="F57" s="70"/>
      <c r="G57" s="70"/>
      <c r="H57" s="70"/>
      <c r="I57" s="70"/>
      <c r="J57" s="70"/>
      <c r="K57" s="70"/>
      <c r="L57" s="44"/>
      <c r="M57" s="44"/>
      <c r="N57" s="44"/>
      <c r="O57" s="44"/>
      <c r="P57" s="44"/>
      <c r="Q57" s="44"/>
      <c r="R57" s="44"/>
      <c r="S57" s="44"/>
    </row>
    <row r="58" spans="1:19" ht="12.75" customHeight="1" x14ac:dyDescent="0.3">
      <c r="A58" s="98"/>
      <c r="B58" s="98"/>
      <c r="C58" s="98"/>
      <c r="D58" s="70"/>
      <c r="E58" s="70"/>
      <c r="F58" s="70"/>
      <c r="G58" s="70"/>
      <c r="H58" s="70"/>
      <c r="I58" s="70"/>
      <c r="J58" s="70"/>
      <c r="K58" s="70"/>
      <c r="L58" s="44"/>
      <c r="M58" s="44"/>
      <c r="N58" s="44"/>
      <c r="O58" s="44"/>
      <c r="P58" s="44"/>
      <c r="Q58" s="44"/>
      <c r="R58" s="44"/>
      <c r="S58" s="44"/>
    </row>
    <row r="59" spans="1:19" ht="12.75" customHeight="1" x14ac:dyDescent="0.3">
      <c r="A59" s="98"/>
      <c r="B59" s="98"/>
      <c r="C59" s="98"/>
      <c r="D59" s="70"/>
      <c r="E59" s="70"/>
      <c r="F59" s="70"/>
      <c r="G59" s="70"/>
      <c r="H59" s="70"/>
      <c r="I59" s="70"/>
      <c r="J59" s="70"/>
      <c r="K59" s="70"/>
      <c r="L59" s="44"/>
      <c r="M59" s="44"/>
      <c r="N59" s="44"/>
      <c r="O59" s="44"/>
      <c r="P59" s="44"/>
      <c r="Q59" s="44"/>
      <c r="R59" s="44"/>
      <c r="S59" s="44"/>
    </row>
    <row r="60" spans="1:19" ht="12.75" customHeight="1" x14ac:dyDescent="0.3">
      <c r="A60" s="98"/>
      <c r="B60" s="98"/>
      <c r="C60" s="98"/>
      <c r="D60" s="70"/>
      <c r="E60" s="70"/>
      <c r="F60" s="70"/>
      <c r="G60" s="70"/>
      <c r="H60" s="70"/>
      <c r="I60" s="70"/>
      <c r="J60" s="70"/>
      <c r="K60" s="70"/>
      <c r="L60" s="44"/>
      <c r="M60" s="44"/>
      <c r="N60" s="44"/>
      <c r="O60" s="44"/>
      <c r="P60" s="44"/>
      <c r="Q60" s="44"/>
      <c r="R60" s="44"/>
      <c r="S60" s="44"/>
    </row>
    <row r="61" spans="1:19" ht="12.75" customHeight="1" x14ac:dyDescent="0.3">
      <c r="A61" s="98"/>
      <c r="B61" s="98"/>
      <c r="C61" s="98"/>
      <c r="D61" s="70"/>
      <c r="E61" s="70"/>
      <c r="F61" s="70"/>
      <c r="G61" s="70"/>
      <c r="H61" s="70"/>
      <c r="I61" s="70"/>
      <c r="J61" s="70"/>
      <c r="K61" s="70"/>
      <c r="L61" s="44"/>
      <c r="M61" s="44"/>
      <c r="N61" s="44"/>
      <c r="O61" s="44"/>
      <c r="P61" s="44"/>
      <c r="Q61" s="44"/>
      <c r="R61" s="44"/>
      <c r="S61" s="44"/>
    </row>
    <row r="62" spans="1:19" ht="12.75" customHeight="1" x14ac:dyDescent="0.25">
      <c r="A62" s="63"/>
      <c r="B62" s="63"/>
      <c r="C62" s="63"/>
      <c r="D62" s="61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</row>
    <row r="63" spans="1:19" ht="12.75" customHeight="1" x14ac:dyDescent="0.25">
      <c r="A63" s="63"/>
      <c r="B63" s="63"/>
      <c r="C63" s="63"/>
      <c r="D63" s="61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</row>
    <row r="64" spans="1:19" ht="12.75" customHeight="1" x14ac:dyDescent="0.25">
      <c r="A64" s="63"/>
      <c r="B64" s="63"/>
      <c r="C64" s="63"/>
      <c r="D64" s="61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</row>
    <row r="65" spans="1:19" ht="12.75" customHeight="1" x14ac:dyDescent="0.25">
      <c r="A65" s="63"/>
      <c r="B65" s="63"/>
      <c r="C65" s="63"/>
      <c r="D65" s="61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</row>
    <row r="66" spans="1:19" ht="12.75" customHeight="1" x14ac:dyDescent="0.25">
      <c r="A66" s="63"/>
      <c r="B66" s="63"/>
      <c r="C66" s="63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</row>
    <row r="67" spans="1:19" ht="12.75" customHeight="1" x14ac:dyDescent="0.25">
      <c r="A67" s="63"/>
      <c r="B67" s="63"/>
      <c r="C67" s="63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</row>
    <row r="68" spans="1:19" ht="12.75" customHeight="1" x14ac:dyDescent="0.25">
      <c r="A68" s="63"/>
      <c r="B68" s="63"/>
      <c r="C68" s="63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</row>
    <row r="69" spans="1:19" ht="12.75" customHeight="1" x14ac:dyDescent="0.25">
      <c r="A69" s="63"/>
      <c r="B69" s="63"/>
      <c r="C69" s="63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</row>
    <row r="70" spans="1:19" ht="12.75" customHeight="1" x14ac:dyDescent="0.25">
      <c r="A70" s="63"/>
      <c r="B70" s="63"/>
      <c r="C70" s="63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</row>
    <row r="71" spans="1:19" ht="12.75" customHeight="1" x14ac:dyDescent="0.25">
      <c r="A71" s="63"/>
      <c r="B71" s="63"/>
      <c r="C71" s="63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</row>
    <row r="72" spans="1:19" ht="12.75" customHeight="1" x14ac:dyDescent="0.25">
      <c r="A72" s="63"/>
      <c r="B72" s="63"/>
      <c r="C72" s="63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</row>
    <row r="73" spans="1:19" ht="12.75" customHeight="1" x14ac:dyDescent="0.25">
      <c r="A73" s="63"/>
      <c r="B73" s="63"/>
      <c r="C73" s="63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</row>
    <row r="74" spans="1:19" ht="12.75" customHeight="1" x14ac:dyDescent="0.25">
      <c r="A74" s="63"/>
      <c r="B74" s="63"/>
      <c r="C74" s="63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</row>
    <row r="75" spans="1:19" ht="12.75" customHeight="1" x14ac:dyDescent="0.25">
      <c r="A75" s="63"/>
      <c r="B75" s="63"/>
      <c r="C75" s="63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</row>
    <row r="76" spans="1:19" ht="12.75" customHeight="1" x14ac:dyDescent="0.25">
      <c r="A76" s="63"/>
      <c r="B76" s="63"/>
      <c r="C76" s="63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</row>
    <row r="77" spans="1:19" ht="12.75" customHeight="1" x14ac:dyDescent="0.25">
      <c r="A77" s="63"/>
      <c r="B77" s="63"/>
      <c r="C77" s="63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</row>
    <row r="78" spans="1:19" ht="12.75" customHeight="1" x14ac:dyDescent="0.25">
      <c r="A78" s="63"/>
      <c r="B78" s="63"/>
      <c r="C78" s="63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 ht="12.75" customHeight="1" x14ac:dyDescent="0.25">
      <c r="A79" s="63"/>
      <c r="B79" s="63"/>
      <c r="C79" s="63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 ht="12.75" customHeight="1" x14ac:dyDescent="0.25">
      <c r="A80" s="63"/>
      <c r="B80" s="63"/>
      <c r="C80" s="63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19" ht="12.75" customHeight="1" x14ac:dyDescent="0.25">
      <c r="A81" s="63"/>
      <c r="B81" s="63"/>
      <c r="C81" s="63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19" ht="12.75" customHeight="1" x14ac:dyDescent="0.25">
      <c r="A82" s="63"/>
      <c r="B82" s="63"/>
      <c r="C82" s="63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19" ht="12.75" customHeight="1" x14ac:dyDescent="0.25">
      <c r="A83" s="63"/>
      <c r="B83" s="63"/>
      <c r="C83" s="63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</row>
    <row r="84" spans="1:19" ht="12.75" customHeight="1" x14ac:dyDescent="0.25">
      <c r="A84" s="63"/>
      <c r="B84" s="63"/>
      <c r="C84" s="63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</row>
    <row r="85" spans="1:19" ht="12.75" customHeight="1" x14ac:dyDescent="0.25">
      <c r="A85" s="63"/>
      <c r="B85" s="63"/>
      <c r="C85" s="63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</row>
    <row r="86" spans="1:19" ht="12.75" customHeight="1" x14ac:dyDescent="0.25">
      <c r="A86" s="63"/>
      <c r="B86" s="63"/>
      <c r="C86" s="63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</row>
    <row r="87" spans="1:19" ht="12.75" customHeight="1" x14ac:dyDescent="0.25">
      <c r="A87" s="63"/>
      <c r="B87" s="63"/>
      <c r="C87" s="63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</row>
    <row r="88" spans="1:19" ht="12.75" customHeight="1" x14ac:dyDescent="0.25">
      <c r="A88" s="63"/>
      <c r="B88" s="63"/>
      <c r="C88" s="63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</row>
    <row r="89" spans="1:19" ht="12.75" customHeight="1" x14ac:dyDescent="0.2"/>
    <row r="90" spans="1:19" ht="12.75" customHeight="1" x14ac:dyDescent="0.2"/>
    <row r="91" spans="1:19" ht="12.75" customHeight="1" x14ac:dyDescent="0.2"/>
    <row r="92" spans="1:19" ht="12.75" customHeight="1" x14ac:dyDescent="0.2"/>
  </sheetData>
  <mergeCells count="2">
    <mergeCell ref="B6:B8"/>
    <mergeCell ref="A1:L4"/>
  </mergeCells>
  <pageMargins left="0.75" right="0.75" top="1" bottom="0.75" header="0.5" footer="0.5"/>
  <pageSetup scale="75" orientation="landscape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R81"/>
  <sheetViews>
    <sheetView workbookViewId="0">
      <selection sqref="A1:M4"/>
    </sheetView>
  </sheetViews>
  <sheetFormatPr defaultRowHeight="11.4" x14ac:dyDescent="0.2"/>
  <cols>
    <col min="1" max="1" width="23.875" customWidth="1"/>
    <col min="2" max="13" width="12.75" customWidth="1"/>
    <col min="14" max="18" width="15.75" customWidth="1"/>
  </cols>
  <sheetData>
    <row r="1" spans="1:18" s="76" customFormat="1" ht="12" customHeight="1" x14ac:dyDescent="0.2">
      <c r="A1" s="594" t="s">
        <v>252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  <c r="N1" s="125"/>
      <c r="O1" s="125"/>
      <c r="P1" s="125"/>
      <c r="Q1" s="125"/>
      <c r="R1" s="125"/>
    </row>
    <row r="2" spans="1:18" s="76" customFormat="1" ht="12" customHeight="1" x14ac:dyDescent="0.2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125"/>
      <c r="O2" s="125"/>
      <c r="P2" s="125"/>
      <c r="Q2" s="125"/>
      <c r="R2" s="125"/>
    </row>
    <row r="3" spans="1:18" s="76" customFormat="1" ht="12" customHeight="1" x14ac:dyDescent="0.2">
      <c r="A3" s="594"/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594"/>
      <c r="M3" s="594"/>
      <c r="N3" s="125"/>
      <c r="O3" s="125"/>
      <c r="P3" s="125"/>
      <c r="Q3" s="125"/>
      <c r="R3" s="125"/>
    </row>
    <row r="4" spans="1:18" s="76" customFormat="1" ht="12" customHeight="1" x14ac:dyDescent="0.2">
      <c r="A4" s="594"/>
      <c r="B4" s="594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4"/>
      <c r="N4" s="125"/>
      <c r="O4" s="125"/>
      <c r="P4" s="125"/>
      <c r="Q4" s="125"/>
      <c r="R4" s="125"/>
    </row>
    <row r="5" spans="1:18" s="76" customFormat="1" ht="13.8" x14ac:dyDescent="0.3">
      <c r="A5" s="70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</row>
    <row r="6" spans="1:18" s="76" customFormat="1" ht="12" customHeight="1" x14ac:dyDescent="0.3">
      <c r="A6" s="602" t="s">
        <v>148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spans="1:18" s="76" customFormat="1" ht="12" customHeight="1" x14ac:dyDescent="0.3">
      <c r="A7" s="602"/>
      <c r="B7" s="127">
        <v>2011</v>
      </c>
      <c r="C7" s="127">
        <f>B7+1</f>
        <v>2012</v>
      </c>
      <c r="D7" s="127">
        <f>C7+1</f>
        <v>2013</v>
      </c>
      <c r="E7" s="127">
        <f t="shared" ref="E7:F7" si="0">D7+1</f>
        <v>2014</v>
      </c>
      <c r="F7" s="127">
        <f t="shared" si="0"/>
        <v>2015</v>
      </c>
      <c r="G7" s="127" t="s">
        <v>228</v>
      </c>
      <c r="H7" s="127" t="s">
        <v>206</v>
      </c>
      <c r="I7" s="127" t="s">
        <v>207</v>
      </c>
      <c r="J7" s="127" t="s">
        <v>208</v>
      </c>
      <c r="K7" s="127" t="s">
        <v>209</v>
      </c>
      <c r="L7" s="127" t="s">
        <v>210</v>
      </c>
      <c r="M7" s="127" t="s">
        <v>228</v>
      </c>
      <c r="N7" s="77"/>
      <c r="O7" s="77"/>
      <c r="P7" s="77"/>
      <c r="Q7" s="77"/>
      <c r="R7" s="77"/>
    </row>
    <row r="8" spans="1:18" s="76" customFormat="1" ht="12" customHeight="1" x14ac:dyDescent="0.3">
      <c r="A8" s="602"/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77"/>
      <c r="N8" s="77"/>
      <c r="O8" s="77"/>
      <c r="P8" s="77"/>
      <c r="Q8" s="77"/>
      <c r="R8" s="77"/>
    </row>
    <row r="9" spans="1:18" s="76" customFormat="1" ht="12" customHeight="1" thickBot="1" x14ac:dyDescent="0.35">
      <c r="A9" s="102"/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77"/>
      <c r="O9" s="77"/>
      <c r="P9" s="77"/>
      <c r="Q9" s="77"/>
      <c r="R9" s="77"/>
    </row>
    <row r="10" spans="1:18" s="76" customFormat="1" ht="12" customHeight="1" x14ac:dyDescent="0.3">
      <c r="A10" s="77"/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77"/>
      <c r="O10" s="77"/>
      <c r="P10" s="77"/>
      <c r="Q10" s="77"/>
      <c r="R10" s="77"/>
    </row>
    <row r="11" spans="1:18" s="76" customFormat="1" ht="15.6" x14ac:dyDescent="0.3">
      <c r="A11" s="70"/>
      <c r="B11" s="604" t="s">
        <v>229</v>
      </c>
      <c r="C11" s="604"/>
      <c r="D11" s="604"/>
      <c r="E11" s="604"/>
      <c r="F11" s="604"/>
      <c r="G11" s="604"/>
      <c r="H11" s="605" t="s">
        <v>230</v>
      </c>
      <c r="I11" s="605"/>
      <c r="J11" s="605"/>
      <c r="K11" s="605"/>
      <c r="L11" s="605"/>
      <c r="M11" s="605"/>
      <c r="N11" s="77"/>
      <c r="O11" s="77"/>
      <c r="P11" s="77"/>
      <c r="Q11" s="77"/>
      <c r="R11" s="77"/>
    </row>
    <row r="12" spans="1:18" s="76" customFormat="1" ht="12" customHeight="1" x14ac:dyDescent="0.3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</row>
    <row r="13" spans="1:18" s="76" customFormat="1" ht="13.8" x14ac:dyDescent="0.3">
      <c r="A13" s="105" t="s">
        <v>200</v>
      </c>
      <c r="B13" s="243">
        <f>IF('12. Historical Income Statement'!E10=0,0,360*('14. History Balance Sheet'!F19/'12. Historical Income Statement'!E10))</f>
        <v>0</v>
      </c>
      <c r="C13" s="243">
        <f>IF('12. Historical Income Statement'!F10=0,0,360*('14. History Balance Sheet'!G19/'12. Historical Income Statement'!F10))</f>
        <v>0</v>
      </c>
      <c r="D13" s="243">
        <f>IF('12. Historical Income Statement'!G10=0,0,360*('14. History Balance Sheet'!H19/'12. Historical Income Statement'!G10))</f>
        <v>0</v>
      </c>
      <c r="E13" s="243">
        <f>IF('12. Historical Income Statement'!H10=0,0,360*('14. History Balance Sheet'!I19/'12. Historical Income Statement'!H10))</f>
        <v>0</v>
      </c>
      <c r="F13" s="243">
        <f>IF('12. Historical Income Statement'!I10=0,0,360*('14. History Balance Sheet'!J19/'12. Historical Income Statement'!I10))</f>
        <v>0</v>
      </c>
      <c r="G13" s="243">
        <f>AVERAGE(B13:F13)</f>
        <v>0</v>
      </c>
      <c r="H13" s="245">
        <f>G13</f>
        <v>0</v>
      </c>
      <c r="I13" s="245">
        <f t="shared" ref="I13:M13" si="1">H13</f>
        <v>0</v>
      </c>
      <c r="J13" s="245">
        <f t="shared" si="1"/>
        <v>0</v>
      </c>
      <c r="K13" s="245">
        <f t="shared" si="1"/>
        <v>0</v>
      </c>
      <c r="L13" s="245">
        <f t="shared" si="1"/>
        <v>0</v>
      </c>
      <c r="M13" s="245">
        <f t="shared" si="1"/>
        <v>0</v>
      </c>
      <c r="N13" s="77"/>
      <c r="O13" s="77"/>
      <c r="P13" s="77"/>
      <c r="Q13" s="77"/>
      <c r="R13" s="77"/>
    </row>
    <row r="14" spans="1:18" s="76" customFormat="1" ht="13.8" x14ac:dyDescent="0.3">
      <c r="A14" s="105" t="s">
        <v>199</v>
      </c>
      <c r="B14" s="243">
        <f>IF('12. Historical Income Statement'!E34=0,0,360*(-'14. History Balance Sheet'!F41/'12. Historical Income Statement'!E34))</f>
        <v>0</v>
      </c>
      <c r="C14" s="243">
        <f>IF('12. Historical Income Statement'!F34=0,0,360*(-'14. History Balance Sheet'!G41/'12. Historical Income Statement'!F34))</f>
        <v>0</v>
      </c>
      <c r="D14" s="243">
        <f>IF('12. Historical Income Statement'!G34=0,0,360*(-'14. History Balance Sheet'!H41/'12. Historical Income Statement'!G34))</f>
        <v>0</v>
      </c>
      <c r="E14" s="243">
        <f>IF('12. Historical Income Statement'!H34=0,0,360*(-'14. History Balance Sheet'!I41/'12. Historical Income Statement'!H34))</f>
        <v>0</v>
      </c>
      <c r="F14" s="243">
        <f>IF('12. Historical Income Statement'!I34=0,0,360*(-'14. History Balance Sheet'!J41/'12. Historical Income Statement'!I34))</f>
        <v>0</v>
      </c>
      <c r="G14" s="243">
        <f>AVERAGE(B14:F14)</f>
        <v>0</v>
      </c>
      <c r="H14" s="245">
        <f>G14</f>
        <v>0</v>
      </c>
      <c r="I14" s="245">
        <f t="shared" ref="I14:M14" si="2">H14</f>
        <v>0</v>
      </c>
      <c r="J14" s="245">
        <f t="shared" si="2"/>
        <v>0</v>
      </c>
      <c r="K14" s="245">
        <f t="shared" si="2"/>
        <v>0</v>
      </c>
      <c r="L14" s="245">
        <f t="shared" si="2"/>
        <v>0</v>
      </c>
      <c r="M14" s="245">
        <f t="shared" si="2"/>
        <v>0</v>
      </c>
      <c r="N14" s="77"/>
      <c r="O14" s="77"/>
      <c r="P14" s="77"/>
      <c r="Q14" s="77"/>
      <c r="R14" s="77"/>
    </row>
    <row r="15" spans="1:18" s="76" customFormat="1" ht="13.8" x14ac:dyDescent="0.3">
      <c r="A15" s="105"/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77"/>
      <c r="O15" s="77"/>
      <c r="P15" s="77"/>
      <c r="Q15" s="77"/>
      <c r="R15" s="77"/>
    </row>
    <row r="16" spans="1:18" s="76" customFormat="1" ht="13.8" x14ac:dyDescent="0.3">
      <c r="A16" s="105" t="s">
        <v>231</v>
      </c>
      <c r="B16" s="248">
        <f>'14. History Balance Sheet'!F19</f>
        <v>0</v>
      </c>
      <c r="C16" s="248">
        <f>'14. History Balance Sheet'!G19</f>
        <v>0</v>
      </c>
      <c r="D16" s="248">
        <f>'14. History Balance Sheet'!H19</f>
        <v>0</v>
      </c>
      <c r="E16" s="248">
        <f>'14. History Balance Sheet'!I19</f>
        <v>0</v>
      </c>
      <c r="F16" s="248">
        <f>'14. History Balance Sheet'!J19</f>
        <v>0</v>
      </c>
      <c r="G16" s="248">
        <f t="shared" ref="G16:G20" si="3">AVERAGE(B16:F16)</f>
        <v>0</v>
      </c>
      <c r="H16" s="249">
        <f>($G$13*'6. Income Statement'!Q14)/360</f>
        <v>0</v>
      </c>
      <c r="I16" s="249">
        <f>($G$13*'6. Income Statement'!R14)/360</f>
        <v>0</v>
      </c>
      <c r="J16" s="249">
        <f>($G$13*'6. Income Statement'!S14)/360</f>
        <v>0</v>
      </c>
      <c r="K16" s="249">
        <f>($G$13*'6. Income Statement'!T14)/360</f>
        <v>0</v>
      </c>
      <c r="L16" s="249">
        <f>($G$13*'6. Income Statement'!U14)/360</f>
        <v>0</v>
      </c>
      <c r="M16" s="249">
        <f>AVERAGE(H16:L16)</f>
        <v>0</v>
      </c>
      <c r="N16" s="77"/>
      <c r="O16" s="77"/>
      <c r="P16" s="77"/>
      <c r="Q16" s="77"/>
      <c r="R16" s="77"/>
    </row>
    <row r="17" spans="1:18" s="76" customFormat="1" ht="13.8" x14ac:dyDescent="0.3">
      <c r="A17" s="105" t="s">
        <v>232</v>
      </c>
      <c r="B17" s="248">
        <f>B16/12</f>
        <v>0</v>
      </c>
      <c r="C17" s="248">
        <f t="shared" ref="C17:F17" si="4">C16/12</f>
        <v>0</v>
      </c>
      <c r="D17" s="248">
        <f t="shared" si="4"/>
        <v>0</v>
      </c>
      <c r="E17" s="248">
        <f t="shared" si="4"/>
        <v>0</v>
      </c>
      <c r="F17" s="248">
        <f t="shared" si="4"/>
        <v>0</v>
      </c>
      <c r="G17" s="248">
        <f t="shared" si="3"/>
        <v>0</v>
      </c>
      <c r="H17" s="249">
        <f>H16/12</f>
        <v>0</v>
      </c>
      <c r="I17" s="249">
        <f t="shared" ref="I17:L17" si="5">I16/12</f>
        <v>0</v>
      </c>
      <c r="J17" s="249">
        <f t="shared" si="5"/>
        <v>0</v>
      </c>
      <c r="K17" s="249">
        <f t="shared" si="5"/>
        <v>0</v>
      </c>
      <c r="L17" s="249">
        <f t="shared" si="5"/>
        <v>0</v>
      </c>
      <c r="M17" s="249">
        <f>AVERAGE(H17:L17)</f>
        <v>0</v>
      </c>
      <c r="N17" s="77"/>
      <c r="O17" s="77"/>
      <c r="P17" s="77"/>
      <c r="Q17" s="77"/>
      <c r="R17" s="77"/>
    </row>
    <row r="18" spans="1:18" s="76" customFormat="1" ht="13.8" x14ac:dyDescent="0.3">
      <c r="A18" s="105"/>
      <c r="B18" s="185"/>
      <c r="C18" s="185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77"/>
      <c r="O18" s="77"/>
      <c r="P18" s="77"/>
      <c r="Q18" s="77"/>
      <c r="R18" s="77"/>
    </row>
    <row r="19" spans="1:18" s="76" customFormat="1" ht="13.8" x14ac:dyDescent="0.3">
      <c r="A19" s="105" t="s">
        <v>233</v>
      </c>
      <c r="B19" s="244">
        <f>'14. History Balance Sheet'!F41</f>
        <v>0</v>
      </c>
      <c r="C19" s="244">
        <f>'14. History Balance Sheet'!G41</f>
        <v>0</v>
      </c>
      <c r="D19" s="244">
        <f>'14. History Balance Sheet'!H41</f>
        <v>0</v>
      </c>
      <c r="E19" s="244">
        <f>'14. History Balance Sheet'!I41</f>
        <v>0</v>
      </c>
      <c r="F19" s="244">
        <f>'14. History Balance Sheet'!J41</f>
        <v>0</v>
      </c>
      <c r="G19" s="248">
        <f t="shared" si="3"/>
        <v>0</v>
      </c>
      <c r="H19" s="249">
        <f>-($G$14*'6. Income Statement'!Q37)/360</f>
        <v>0</v>
      </c>
      <c r="I19" s="249">
        <f>-($G$14*'6. Income Statement'!R37)/360</f>
        <v>0</v>
      </c>
      <c r="J19" s="249">
        <f>-($G$14*'6. Income Statement'!S37)/360</f>
        <v>0</v>
      </c>
      <c r="K19" s="249">
        <f>-($G$14*'6. Income Statement'!T37)/360</f>
        <v>0</v>
      </c>
      <c r="L19" s="249">
        <f>-($G$14*'6. Income Statement'!U37)/360</f>
        <v>0</v>
      </c>
      <c r="M19" s="249">
        <f t="shared" ref="M19:M20" si="6">AVERAGE(H19:L19)</f>
        <v>0</v>
      </c>
      <c r="N19" s="77"/>
      <c r="O19" s="77"/>
      <c r="P19" s="77"/>
      <c r="Q19" s="77"/>
      <c r="R19" s="77"/>
    </row>
    <row r="20" spans="1:18" s="76" customFormat="1" ht="13.8" x14ac:dyDescent="0.3">
      <c r="A20" s="105" t="s">
        <v>234</v>
      </c>
      <c r="B20" s="244">
        <f>B19/12</f>
        <v>0</v>
      </c>
      <c r="C20" s="244">
        <f t="shared" ref="C20:F20" si="7">C19/12</f>
        <v>0</v>
      </c>
      <c r="D20" s="244">
        <f t="shared" si="7"/>
        <v>0</v>
      </c>
      <c r="E20" s="244">
        <f t="shared" si="7"/>
        <v>0</v>
      </c>
      <c r="F20" s="244">
        <f t="shared" si="7"/>
        <v>0</v>
      </c>
      <c r="G20" s="248">
        <f t="shared" si="3"/>
        <v>0</v>
      </c>
      <c r="H20" s="249">
        <f>H19/12</f>
        <v>0</v>
      </c>
      <c r="I20" s="249">
        <f t="shared" ref="I20:L20" si="8">I19/12</f>
        <v>0</v>
      </c>
      <c r="J20" s="249">
        <f t="shared" si="8"/>
        <v>0</v>
      </c>
      <c r="K20" s="249">
        <f t="shared" si="8"/>
        <v>0</v>
      </c>
      <c r="L20" s="249">
        <f t="shared" si="8"/>
        <v>0</v>
      </c>
      <c r="M20" s="249">
        <f t="shared" si="6"/>
        <v>0</v>
      </c>
      <c r="N20" s="77"/>
      <c r="O20" s="77"/>
      <c r="P20" s="77"/>
      <c r="Q20" s="77"/>
      <c r="R20" s="77"/>
    </row>
    <row r="21" spans="1:18" s="76" customFormat="1" ht="13.8" x14ac:dyDescent="0.3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</row>
    <row r="22" spans="1:18" s="76" customFormat="1" ht="12" thickBot="1" x14ac:dyDescent="0.25">
      <c r="A22" s="242"/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</row>
    <row r="23" spans="1:18" s="76" customFormat="1" x14ac:dyDescent="0.2"/>
    <row r="24" spans="1:18" s="76" customFormat="1" x14ac:dyDescent="0.2">
      <c r="A24" s="78"/>
    </row>
    <row r="25" spans="1:18" s="76" customFormat="1" x14ac:dyDescent="0.2">
      <c r="G25" s="78"/>
    </row>
    <row r="26" spans="1:18" s="76" customFormat="1" x14ac:dyDescent="0.2">
      <c r="A26" s="78"/>
    </row>
    <row r="27" spans="1:18" s="76" customFormat="1" x14ac:dyDescent="0.2">
      <c r="A27" s="78"/>
    </row>
    <row r="28" spans="1:18" s="76" customFormat="1" ht="13.8" x14ac:dyDescent="0.3">
      <c r="A28" s="78"/>
      <c r="H28" s="175"/>
    </row>
    <row r="29" spans="1:18" s="76" customFormat="1" ht="13.8" x14ac:dyDescent="0.3">
      <c r="A29" s="78"/>
      <c r="H29" s="175"/>
    </row>
    <row r="30" spans="1:18" s="76" customFormat="1" ht="13.8" x14ac:dyDescent="0.3">
      <c r="B30" s="175"/>
      <c r="C30" s="175"/>
      <c r="D30" s="175"/>
      <c r="E30" s="175"/>
      <c r="F30" s="175"/>
      <c r="G30" s="175"/>
      <c r="H30" s="175"/>
    </row>
    <row r="31" spans="1:18" s="76" customFormat="1" ht="13.8" x14ac:dyDescent="0.3">
      <c r="B31" s="175"/>
      <c r="C31" s="175"/>
      <c r="D31" s="175"/>
      <c r="E31" s="175"/>
      <c r="F31" s="175"/>
      <c r="G31" s="175"/>
      <c r="H31" s="175"/>
    </row>
    <row r="32" spans="1:18" s="76" customFormat="1" ht="13.8" x14ac:dyDescent="0.3">
      <c r="B32" s="175"/>
      <c r="C32" s="175"/>
      <c r="D32" s="175"/>
      <c r="E32" s="175"/>
      <c r="F32" s="175"/>
      <c r="G32" s="175"/>
      <c r="H32" s="175"/>
    </row>
    <row r="33" spans="2:8" s="76" customFormat="1" ht="13.8" x14ac:dyDescent="0.3">
      <c r="B33" s="175"/>
      <c r="C33" s="175"/>
      <c r="D33" s="175"/>
      <c r="E33" s="175"/>
      <c r="F33" s="175"/>
      <c r="G33" s="175"/>
      <c r="H33" s="175"/>
    </row>
    <row r="34" spans="2:8" s="76" customFormat="1" ht="13.8" x14ac:dyDescent="0.3">
      <c r="B34" s="175"/>
      <c r="C34" s="175"/>
      <c r="D34" s="175"/>
      <c r="E34" s="175"/>
      <c r="F34" s="175"/>
      <c r="G34" s="175"/>
      <c r="H34" s="175"/>
    </row>
    <row r="35" spans="2:8" s="76" customFormat="1" ht="13.8" x14ac:dyDescent="0.3">
      <c r="B35" s="175"/>
      <c r="C35" s="175"/>
      <c r="D35" s="175"/>
      <c r="E35" s="175"/>
      <c r="F35" s="175"/>
      <c r="G35" s="175"/>
      <c r="H35" s="175"/>
    </row>
    <row r="36" spans="2:8" s="76" customFormat="1" ht="13.8" x14ac:dyDescent="0.3">
      <c r="B36" s="175"/>
      <c r="C36" s="175"/>
      <c r="D36" s="175"/>
      <c r="E36" s="175"/>
      <c r="F36" s="175"/>
      <c r="G36" s="175"/>
      <c r="H36" s="175"/>
    </row>
    <row r="37" spans="2:8" s="76" customFormat="1" ht="13.8" x14ac:dyDescent="0.3">
      <c r="B37" s="175"/>
      <c r="C37" s="175"/>
      <c r="D37" s="175"/>
      <c r="E37" s="175"/>
      <c r="F37" s="175"/>
      <c r="G37" s="175"/>
      <c r="H37" s="175"/>
    </row>
    <row r="38" spans="2:8" s="76" customFormat="1" ht="13.8" x14ac:dyDescent="0.3">
      <c r="B38" s="175"/>
      <c r="C38" s="175"/>
      <c r="D38" s="175"/>
      <c r="E38" s="175"/>
      <c r="F38" s="175"/>
      <c r="G38" s="175"/>
      <c r="H38" s="175"/>
    </row>
    <row r="39" spans="2:8" s="76" customFormat="1" ht="13.8" x14ac:dyDescent="0.3">
      <c r="B39" s="175"/>
      <c r="C39" s="175"/>
      <c r="D39" s="175"/>
      <c r="E39" s="175"/>
      <c r="F39" s="175"/>
      <c r="G39" s="175"/>
      <c r="H39" s="175"/>
    </row>
    <row r="40" spans="2:8" s="76" customFormat="1" ht="13.8" x14ac:dyDescent="0.3">
      <c r="B40" s="175"/>
      <c r="C40" s="175"/>
      <c r="D40" s="175"/>
      <c r="E40" s="175"/>
      <c r="F40" s="175"/>
      <c r="G40" s="175"/>
      <c r="H40" s="175"/>
    </row>
    <row r="41" spans="2:8" s="76" customFormat="1" ht="13.8" x14ac:dyDescent="0.3">
      <c r="B41" s="175"/>
      <c r="C41" s="175"/>
      <c r="D41" s="175"/>
      <c r="E41" s="175"/>
      <c r="F41" s="175"/>
      <c r="G41" s="175"/>
      <c r="H41" s="175"/>
    </row>
    <row r="42" spans="2:8" s="76" customFormat="1" ht="13.8" x14ac:dyDescent="0.3">
      <c r="B42" s="175"/>
      <c r="C42" s="175"/>
      <c r="D42" s="175"/>
      <c r="E42" s="175"/>
      <c r="F42" s="175"/>
      <c r="G42" s="175"/>
      <c r="H42" s="175"/>
    </row>
    <row r="43" spans="2:8" s="76" customFormat="1" ht="13.8" x14ac:dyDescent="0.3">
      <c r="B43" s="175"/>
      <c r="C43" s="175"/>
      <c r="D43" s="175"/>
      <c r="E43" s="175"/>
      <c r="F43" s="175"/>
      <c r="G43" s="175"/>
      <c r="H43" s="175"/>
    </row>
    <row r="44" spans="2:8" s="76" customFormat="1" ht="13.8" x14ac:dyDescent="0.3">
      <c r="B44" s="175"/>
      <c r="C44" s="175"/>
      <c r="D44" s="175"/>
      <c r="E44" s="175"/>
      <c r="F44" s="175"/>
      <c r="G44" s="175"/>
      <c r="H44" s="175"/>
    </row>
    <row r="45" spans="2:8" s="76" customFormat="1" ht="13.8" x14ac:dyDescent="0.3">
      <c r="B45" s="175"/>
      <c r="C45" s="175"/>
      <c r="D45" s="175"/>
      <c r="E45" s="175"/>
      <c r="F45" s="175"/>
      <c r="G45" s="175"/>
      <c r="H45" s="175"/>
    </row>
    <row r="46" spans="2:8" s="76" customFormat="1" ht="13.8" x14ac:dyDescent="0.3">
      <c r="B46" s="175"/>
      <c r="C46" s="175"/>
      <c r="D46" s="175"/>
      <c r="E46" s="175"/>
      <c r="F46" s="175"/>
      <c r="G46" s="175"/>
      <c r="H46" s="175"/>
    </row>
    <row r="47" spans="2:8" s="76" customFormat="1" ht="13.8" x14ac:dyDescent="0.3">
      <c r="B47" s="175"/>
      <c r="C47" s="175"/>
      <c r="D47" s="175"/>
      <c r="E47" s="175"/>
      <c r="F47" s="175"/>
      <c r="G47" s="175"/>
      <c r="H47" s="175"/>
    </row>
    <row r="48" spans="2:8" s="76" customFormat="1" ht="13.8" x14ac:dyDescent="0.3">
      <c r="B48" s="175"/>
      <c r="C48" s="175"/>
      <c r="D48" s="175"/>
      <c r="E48" s="175"/>
      <c r="F48" s="175"/>
      <c r="G48" s="175"/>
      <c r="H48" s="175"/>
    </row>
    <row r="49" spans="2:8" s="76" customFormat="1" ht="13.8" x14ac:dyDescent="0.3">
      <c r="B49" s="175"/>
      <c r="C49" s="175"/>
      <c r="D49" s="175"/>
      <c r="E49" s="175"/>
      <c r="F49" s="175"/>
      <c r="G49" s="175"/>
      <c r="H49" s="175"/>
    </row>
    <row r="50" spans="2:8" s="76" customFormat="1" ht="13.8" x14ac:dyDescent="0.3">
      <c r="B50" s="175"/>
      <c r="C50" s="175"/>
      <c r="D50" s="175"/>
      <c r="E50" s="175"/>
      <c r="F50" s="175"/>
      <c r="G50" s="175"/>
      <c r="H50" s="175"/>
    </row>
    <row r="51" spans="2:8" s="76" customFormat="1" ht="13.8" x14ac:dyDescent="0.3">
      <c r="B51" s="175"/>
      <c r="C51" s="175"/>
      <c r="D51" s="175"/>
      <c r="E51" s="175"/>
      <c r="F51" s="175"/>
      <c r="G51" s="175"/>
      <c r="H51" s="175"/>
    </row>
    <row r="52" spans="2:8" s="76" customFormat="1" ht="13.8" x14ac:dyDescent="0.3">
      <c r="B52" s="175"/>
      <c r="C52" s="175"/>
      <c r="D52" s="175"/>
      <c r="E52" s="175"/>
      <c r="F52" s="175"/>
      <c r="G52" s="175"/>
      <c r="H52" s="175"/>
    </row>
    <row r="53" spans="2:8" s="76" customFormat="1" ht="13.8" x14ac:dyDescent="0.3">
      <c r="B53" s="175"/>
      <c r="C53" s="175"/>
      <c r="D53" s="175"/>
      <c r="E53" s="175"/>
      <c r="F53" s="175"/>
      <c r="G53" s="175"/>
      <c r="H53" s="175"/>
    </row>
    <row r="54" spans="2:8" s="76" customFormat="1" ht="13.8" x14ac:dyDescent="0.3">
      <c r="B54" s="175"/>
      <c r="C54" s="175"/>
      <c r="D54" s="175"/>
      <c r="E54" s="175"/>
      <c r="F54" s="175"/>
      <c r="G54" s="175"/>
      <c r="H54" s="175"/>
    </row>
    <row r="55" spans="2:8" s="76" customFormat="1" ht="13.8" x14ac:dyDescent="0.3">
      <c r="B55" s="175"/>
      <c r="C55" s="175"/>
      <c r="D55" s="175"/>
      <c r="E55" s="175"/>
      <c r="F55" s="175"/>
      <c r="G55" s="175"/>
      <c r="H55" s="175"/>
    </row>
    <row r="56" spans="2:8" s="76" customFormat="1" ht="13.8" x14ac:dyDescent="0.3">
      <c r="B56" s="175"/>
      <c r="C56" s="175"/>
      <c r="D56" s="175"/>
      <c r="E56" s="175"/>
      <c r="F56" s="175"/>
      <c r="G56" s="175"/>
      <c r="H56" s="175"/>
    </row>
    <row r="57" spans="2:8" s="76" customFormat="1" ht="13.8" x14ac:dyDescent="0.3">
      <c r="B57" s="175"/>
      <c r="C57" s="175"/>
      <c r="D57" s="175"/>
      <c r="E57" s="175"/>
      <c r="F57" s="175"/>
      <c r="G57" s="175"/>
      <c r="H57" s="175"/>
    </row>
    <row r="58" spans="2:8" s="76" customFormat="1" ht="13.8" x14ac:dyDescent="0.3">
      <c r="B58" s="175"/>
      <c r="C58" s="175"/>
      <c r="D58" s="175"/>
      <c r="E58" s="175"/>
      <c r="F58" s="175"/>
      <c r="G58" s="175"/>
      <c r="H58" s="175"/>
    </row>
    <row r="59" spans="2:8" s="76" customFormat="1" ht="13.8" x14ac:dyDescent="0.3">
      <c r="B59" s="175"/>
      <c r="C59" s="175"/>
      <c r="D59" s="175"/>
      <c r="E59" s="175"/>
      <c r="F59" s="175"/>
      <c r="G59" s="175"/>
      <c r="H59" s="175"/>
    </row>
    <row r="60" spans="2:8" s="76" customFormat="1" x14ac:dyDescent="0.2"/>
    <row r="61" spans="2:8" s="76" customFormat="1" x14ac:dyDescent="0.2"/>
    <row r="62" spans="2:8" s="76" customFormat="1" x14ac:dyDescent="0.2"/>
    <row r="63" spans="2:8" s="76" customFormat="1" x14ac:dyDescent="0.2"/>
    <row r="64" spans="2:8" s="76" customFormat="1" x14ac:dyDescent="0.2"/>
    <row r="65" s="76" customFormat="1" x14ac:dyDescent="0.2"/>
    <row r="66" s="76" customFormat="1" x14ac:dyDescent="0.2"/>
    <row r="67" s="76" customFormat="1" x14ac:dyDescent="0.2"/>
    <row r="68" s="76" customFormat="1" x14ac:dyDescent="0.2"/>
    <row r="69" s="76" customFormat="1" x14ac:dyDescent="0.2"/>
    <row r="70" s="76" customFormat="1" x14ac:dyDescent="0.2"/>
    <row r="71" s="76" customFormat="1" x14ac:dyDescent="0.2"/>
    <row r="72" s="76" customFormat="1" x14ac:dyDescent="0.2"/>
    <row r="73" s="76" customFormat="1" x14ac:dyDescent="0.2"/>
    <row r="74" s="76" customFormat="1" x14ac:dyDescent="0.2"/>
    <row r="75" s="76" customFormat="1" x14ac:dyDescent="0.2"/>
    <row r="76" s="76" customFormat="1" x14ac:dyDescent="0.2"/>
    <row r="77" s="76" customFormat="1" x14ac:dyDescent="0.2"/>
    <row r="78" s="76" customFormat="1" x14ac:dyDescent="0.2"/>
    <row r="79" s="76" customFormat="1" x14ac:dyDescent="0.2"/>
    <row r="80" s="76" customFormat="1" x14ac:dyDescent="0.2"/>
    <row r="81" s="76" customFormat="1" x14ac:dyDescent="0.2"/>
  </sheetData>
  <mergeCells count="4">
    <mergeCell ref="A6:A8"/>
    <mergeCell ref="B11:G11"/>
    <mergeCell ref="H11:M11"/>
    <mergeCell ref="A1:M4"/>
  </mergeCells>
  <pageMargins left="0.7" right="0.7" top="0.75" bottom="0.75" header="0.3" footer="0.3"/>
  <ignoredErrors>
    <ignoredError sqref="B19:L19 G17 G20" formula="1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1249-D7B1-4713-B157-2D465D79EFCB}">
  <dimension ref="A1:M109"/>
  <sheetViews>
    <sheetView topLeftCell="A27" workbookViewId="0">
      <selection activeCell="P15" sqref="P15"/>
    </sheetView>
  </sheetViews>
  <sheetFormatPr defaultColWidth="10" defaultRowHeight="13.8" x14ac:dyDescent="0.3"/>
  <cols>
    <col min="1" max="1" width="47.5" style="409" customWidth="1"/>
    <col min="2" max="2" width="15.125" style="409" customWidth="1"/>
    <col min="3" max="3" width="6" style="409" customWidth="1"/>
    <col min="4" max="4" width="5.5" style="409" customWidth="1"/>
    <col min="5" max="5" width="6.25" style="409" customWidth="1"/>
    <col min="6" max="6" width="6.75" style="409" customWidth="1"/>
    <col min="7" max="9" width="7.875" style="409" customWidth="1"/>
    <col min="10" max="10" width="12.875" style="409" customWidth="1"/>
    <col min="11" max="11" width="11.125" style="406" customWidth="1"/>
    <col min="12" max="12" width="15.125" style="409" customWidth="1"/>
    <col min="13" max="13" width="18.5" style="409" customWidth="1"/>
    <col min="14" max="23" width="7.875" style="409" customWidth="1"/>
    <col min="24" max="28" width="6.75" style="409" customWidth="1"/>
    <col min="29" max="33" width="9" style="409" customWidth="1"/>
    <col min="34" max="36" width="4.5" style="409" customWidth="1"/>
    <col min="37" max="37" width="6.875" style="409" customWidth="1"/>
    <col min="38" max="16384" width="10" style="409"/>
  </cols>
  <sheetData>
    <row r="1" spans="1:10" ht="14.4" thickBot="1" x14ac:dyDescent="0.35"/>
    <row r="2" spans="1:10" ht="15.6" x14ac:dyDescent="0.3">
      <c r="A2" s="607" t="s">
        <v>18</v>
      </c>
      <c r="B2" s="608"/>
      <c r="C2" s="608"/>
      <c r="D2" s="608"/>
      <c r="E2" s="608"/>
      <c r="F2" s="608"/>
      <c r="G2" s="608"/>
      <c r="H2" s="608"/>
      <c r="I2" s="608"/>
      <c r="J2" s="609"/>
    </row>
    <row r="3" spans="1:10" x14ac:dyDescent="0.3">
      <c r="A3" s="407" t="s">
        <v>312</v>
      </c>
      <c r="B3" s="408">
        <v>40000</v>
      </c>
      <c r="C3" s="409" t="s">
        <v>313</v>
      </c>
      <c r="D3" s="409" t="s">
        <v>314</v>
      </c>
      <c r="J3" s="410"/>
    </row>
    <row r="4" spans="1:10" x14ac:dyDescent="0.3">
      <c r="A4" s="407" t="s">
        <v>315</v>
      </c>
      <c r="B4" s="408">
        <v>12</v>
      </c>
      <c r="D4" s="409" t="s">
        <v>316</v>
      </c>
      <c r="J4" s="410"/>
    </row>
    <row r="5" spans="1:10" x14ac:dyDescent="0.3">
      <c r="A5" s="407" t="s">
        <v>317</v>
      </c>
      <c r="B5" s="408">
        <f>B3/B4</f>
        <v>3333.3333333333335</v>
      </c>
      <c r="C5" s="409" t="s">
        <v>313</v>
      </c>
      <c r="D5" s="409" t="s">
        <v>316</v>
      </c>
      <c r="J5" s="410"/>
    </row>
    <row r="6" spans="1:10" x14ac:dyDescent="0.3">
      <c r="A6" s="407" t="s">
        <v>318</v>
      </c>
      <c r="B6" s="408">
        <v>3</v>
      </c>
      <c r="D6" s="409" t="s">
        <v>316</v>
      </c>
      <c r="J6" s="410"/>
    </row>
    <row r="7" spans="1:10" x14ac:dyDescent="0.3">
      <c r="A7" s="407" t="s">
        <v>319</v>
      </c>
      <c r="B7" s="408">
        <f>B5/B6</f>
        <v>1111.1111111111111</v>
      </c>
      <c r="C7" s="409" t="s">
        <v>313</v>
      </c>
      <c r="D7" s="409" t="s">
        <v>316</v>
      </c>
      <c r="J7" s="410"/>
    </row>
    <row r="8" spans="1:10" x14ac:dyDescent="0.3">
      <c r="A8" s="407" t="s">
        <v>320</v>
      </c>
      <c r="B8" s="408">
        <v>14000</v>
      </c>
      <c r="C8" s="409" t="s">
        <v>321</v>
      </c>
      <c r="D8" s="409" t="s">
        <v>322</v>
      </c>
      <c r="J8" s="410"/>
    </row>
    <row r="9" spans="1:10" x14ac:dyDescent="0.3">
      <c r="A9" s="407" t="s">
        <v>323</v>
      </c>
      <c r="B9" s="408">
        <v>12000</v>
      </c>
      <c r="C9" s="409" t="s">
        <v>321</v>
      </c>
      <c r="D9" s="409" t="s">
        <v>324</v>
      </c>
      <c r="J9" s="410"/>
    </row>
    <row r="10" spans="1:10" x14ac:dyDescent="0.3">
      <c r="A10" s="407" t="s">
        <v>325</v>
      </c>
      <c r="B10" s="408">
        <v>8000</v>
      </c>
      <c r="C10" s="409" t="s">
        <v>321</v>
      </c>
      <c r="J10" s="410"/>
    </row>
    <row r="11" spans="1:10" x14ac:dyDescent="0.3">
      <c r="A11" s="407" t="s">
        <v>326</v>
      </c>
      <c r="B11" s="409">
        <f>B8/10000</f>
        <v>1.4</v>
      </c>
      <c r="C11" s="409" t="s">
        <v>321</v>
      </c>
      <c r="J11" s="410"/>
    </row>
    <row r="12" spans="1:10" x14ac:dyDescent="0.3">
      <c r="A12" s="407" t="s">
        <v>327</v>
      </c>
      <c r="B12" s="409">
        <f>B9/10000</f>
        <v>1.2</v>
      </c>
      <c r="C12" s="409" t="s">
        <v>321</v>
      </c>
      <c r="J12" s="410"/>
    </row>
    <row r="13" spans="1:10" x14ac:dyDescent="0.3">
      <c r="A13" s="407" t="s">
        <v>328</v>
      </c>
      <c r="B13" s="409">
        <f>B10/10000</f>
        <v>0.8</v>
      </c>
      <c r="C13" s="409" t="s">
        <v>321</v>
      </c>
      <c r="J13" s="410"/>
    </row>
    <row r="14" spans="1:10" x14ac:dyDescent="0.3">
      <c r="A14" s="407" t="s">
        <v>329</v>
      </c>
      <c r="B14" s="408">
        <f>$B$7*B11</f>
        <v>1555.5555555555554</v>
      </c>
      <c r="C14" s="409" t="s">
        <v>321</v>
      </c>
      <c r="J14" s="410"/>
    </row>
    <row r="15" spans="1:10" x14ac:dyDescent="0.3">
      <c r="A15" s="407" t="s">
        <v>330</v>
      </c>
      <c r="B15" s="408">
        <f>$B$7*B12</f>
        <v>1333.3333333333333</v>
      </c>
      <c r="C15" s="409" t="s">
        <v>321</v>
      </c>
      <c r="J15" s="410"/>
    </row>
    <row r="16" spans="1:10" x14ac:dyDescent="0.3">
      <c r="A16" s="407" t="s">
        <v>331</v>
      </c>
      <c r="B16" s="408">
        <f>$B$7*B13</f>
        <v>888.88888888888891</v>
      </c>
      <c r="C16" s="409" t="s">
        <v>321</v>
      </c>
      <c r="J16" s="410"/>
    </row>
    <row r="17" spans="1:13" x14ac:dyDescent="0.3">
      <c r="A17" s="407" t="s">
        <v>332</v>
      </c>
      <c r="B17" s="411">
        <v>1.2</v>
      </c>
      <c r="D17" s="409" t="s">
        <v>333</v>
      </c>
      <c r="F17" s="411">
        <v>1.1000000000000001</v>
      </c>
      <c r="J17" s="410"/>
    </row>
    <row r="18" spans="1:13" ht="14.4" thickBot="1" x14ac:dyDescent="0.35">
      <c r="A18" s="412" t="s">
        <v>334</v>
      </c>
      <c r="B18" s="413">
        <v>0.1</v>
      </c>
      <c r="C18" s="414"/>
      <c r="D18" s="414"/>
      <c r="E18" s="414"/>
      <c r="F18" s="414"/>
      <c r="G18" s="414"/>
      <c r="H18" s="414"/>
      <c r="I18" s="414"/>
      <c r="J18" s="415"/>
    </row>
    <row r="19" spans="1:13" x14ac:dyDescent="0.3">
      <c r="B19" s="408"/>
    </row>
    <row r="22" spans="1:13" ht="15" thickBot="1" x14ac:dyDescent="0.35">
      <c r="A22" s="610" t="s">
        <v>335</v>
      </c>
      <c r="B22" s="611"/>
      <c r="C22" s="611"/>
      <c r="D22" s="611"/>
      <c r="E22" s="611"/>
      <c r="F22" s="611"/>
      <c r="G22" s="611"/>
      <c r="H22" s="611"/>
      <c r="I22" s="611"/>
      <c r="J22" s="611"/>
      <c r="K22" s="611"/>
      <c r="L22" s="611"/>
      <c r="M22" s="612"/>
    </row>
    <row r="23" spans="1:13" x14ac:dyDescent="0.3">
      <c r="A23" s="407"/>
      <c r="E23" s="613" t="s">
        <v>336</v>
      </c>
      <c r="F23" s="613"/>
      <c r="G23" s="613"/>
      <c r="H23" s="613"/>
      <c r="I23" s="613"/>
      <c r="M23" s="410"/>
    </row>
    <row r="24" spans="1:13" ht="14.4" x14ac:dyDescent="0.3">
      <c r="A24" s="417">
        <f ca="1">TODAY()</f>
        <v>45813</v>
      </c>
      <c r="B24" s="418" t="s">
        <v>337</v>
      </c>
      <c r="C24" s="418"/>
      <c r="D24" s="419" t="s">
        <v>338</v>
      </c>
      <c r="E24" s="419">
        <v>1</v>
      </c>
      <c r="F24" s="419">
        <v>2</v>
      </c>
      <c r="G24" s="419">
        <v>3</v>
      </c>
      <c r="H24" s="420">
        <v>4</v>
      </c>
      <c r="I24" s="420">
        <v>5</v>
      </c>
      <c r="J24" s="420"/>
      <c r="K24" s="421"/>
      <c r="L24" s="422"/>
      <c r="M24" s="410"/>
    </row>
    <row r="25" spans="1:13" x14ac:dyDescent="0.3">
      <c r="A25" s="423"/>
      <c r="B25" s="424"/>
      <c r="C25" s="424"/>
      <c r="D25" s="419"/>
      <c r="E25" s="419" t="s">
        <v>339</v>
      </c>
      <c r="F25" s="419" t="s">
        <v>339</v>
      </c>
      <c r="G25" s="419" t="s">
        <v>339</v>
      </c>
      <c r="H25" s="419" t="s">
        <v>339</v>
      </c>
      <c r="I25" s="419" t="s">
        <v>339</v>
      </c>
      <c r="J25" s="425" t="s">
        <v>340</v>
      </c>
      <c r="K25" s="426" t="s">
        <v>341</v>
      </c>
      <c r="L25" s="427" t="s">
        <v>342</v>
      </c>
      <c r="M25" s="410"/>
    </row>
    <row r="26" spans="1:13" ht="14.4" x14ac:dyDescent="0.3">
      <c r="A26" s="423" t="s">
        <v>343</v>
      </c>
      <c r="B26" s="424">
        <v>0.2</v>
      </c>
      <c r="C26" s="424" t="s">
        <v>344</v>
      </c>
      <c r="D26" s="419"/>
      <c r="E26" s="428">
        <f>$B$14/$B$26/4*0</f>
        <v>0</v>
      </c>
      <c r="F26" s="428">
        <f t="shared" ref="F26:I26" si="0">$B$14/$B$26/4*0</f>
        <v>0</v>
      </c>
      <c r="G26" s="428">
        <f t="shared" si="0"/>
        <v>0</v>
      </c>
      <c r="H26" s="428">
        <f t="shared" si="0"/>
        <v>0</v>
      </c>
      <c r="I26" s="428">
        <f t="shared" si="0"/>
        <v>0</v>
      </c>
      <c r="J26" s="429">
        <f>SUM(E26:I26)</f>
        <v>0</v>
      </c>
      <c r="K26" s="406">
        <v>8.4</v>
      </c>
      <c r="L26" s="430">
        <f>J26*K26</f>
        <v>0</v>
      </c>
      <c r="M26" s="410"/>
    </row>
    <row r="27" spans="1:13" ht="14.4" x14ac:dyDescent="0.3">
      <c r="A27" s="423" t="s">
        <v>345</v>
      </c>
      <c r="B27" s="424">
        <v>0.2</v>
      </c>
      <c r="C27" s="424" t="s">
        <v>344</v>
      </c>
      <c r="D27" s="419"/>
      <c r="E27" s="428">
        <f>$B$15/$B$27/4*0</f>
        <v>0</v>
      </c>
      <c r="F27" s="428">
        <f t="shared" ref="F27:I27" si="1">$B$15/$B$27/4*0</f>
        <v>0</v>
      </c>
      <c r="G27" s="428">
        <f t="shared" si="1"/>
        <v>0</v>
      </c>
      <c r="H27" s="428">
        <f t="shared" si="1"/>
        <v>0</v>
      </c>
      <c r="I27" s="428">
        <f t="shared" si="1"/>
        <v>0</v>
      </c>
      <c r="J27" s="429">
        <f>SUM(E27:I27)</f>
        <v>0</v>
      </c>
      <c r="K27" s="406">
        <v>8.07</v>
      </c>
      <c r="L27" s="430">
        <f>J27*K27</f>
        <v>0</v>
      </c>
      <c r="M27" s="410"/>
    </row>
    <row r="28" spans="1:13" ht="14.4" x14ac:dyDescent="0.3">
      <c r="A28" s="423" t="s">
        <v>346</v>
      </c>
      <c r="B28" s="424">
        <v>0.08</v>
      </c>
      <c r="C28" s="424" t="s">
        <v>344</v>
      </c>
      <c r="D28" s="419"/>
      <c r="E28" s="428">
        <f>$B$16/$B$28/4*0</f>
        <v>0</v>
      </c>
      <c r="F28" s="428">
        <f>$B$16/$B$28/4*0</f>
        <v>0</v>
      </c>
      <c r="G28" s="428">
        <f>$B$16/$B$28/4*0</f>
        <v>0</v>
      </c>
      <c r="H28" s="428">
        <f>$B$16/$B$28/4*0</f>
        <v>0</v>
      </c>
      <c r="I28" s="428">
        <f>$B$16/$B$28/4*0</f>
        <v>0</v>
      </c>
      <c r="J28" s="429">
        <f>SUM(E28:I28)</f>
        <v>0</v>
      </c>
      <c r="K28" s="406">
        <v>5.6</v>
      </c>
      <c r="L28" s="430">
        <f>J28*K28</f>
        <v>0</v>
      </c>
      <c r="M28" s="410"/>
    </row>
    <row r="29" spans="1:13" ht="14.4" x14ac:dyDescent="0.3">
      <c r="A29" s="423"/>
      <c r="B29" s="424"/>
      <c r="C29" s="424"/>
      <c r="D29" s="420"/>
      <c r="E29" s="420"/>
      <c r="F29" s="420"/>
      <c r="G29" s="420"/>
      <c r="H29" s="420"/>
      <c r="I29" s="420"/>
      <c r="J29" s="420"/>
      <c r="K29" s="421"/>
      <c r="L29" s="430">
        <f>SUM(L26:L28)</f>
        <v>0</v>
      </c>
      <c r="M29" s="431">
        <f>L29*12</f>
        <v>0</v>
      </c>
    </row>
    <row r="30" spans="1:13" ht="14.4" x14ac:dyDescent="0.3">
      <c r="A30" s="417">
        <f ca="1">TODAY()+34</f>
        <v>45847</v>
      </c>
      <c r="B30" s="418" t="s">
        <v>337</v>
      </c>
      <c r="D30" s="419" t="s">
        <v>338</v>
      </c>
      <c r="E30" s="419">
        <v>6</v>
      </c>
      <c r="F30" s="419">
        <v>7</v>
      </c>
      <c r="G30" s="419">
        <v>8</v>
      </c>
      <c r="H30" s="420">
        <v>9</v>
      </c>
      <c r="I30" s="420">
        <v>10</v>
      </c>
      <c r="J30" s="420"/>
      <c r="K30" s="421"/>
      <c r="L30" s="422"/>
      <c r="M30" s="410"/>
    </row>
    <row r="31" spans="1:13" x14ac:dyDescent="0.3">
      <c r="A31" s="423"/>
      <c r="B31" s="424"/>
      <c r="C31" s="424"/>
      <c r="D31" s="419"/>
      <c r="E31" s="419" t="s">
        <v>339</v>
      </c>
      <c r="F31" s="419" t="s">
        <v>339</v>
      </c>
      <c r="G31" s="419" t="s">
        <v>339</v>
      </c>
      <c r="H31" s="419" t="s">
        <v>339</v>
      </c>
      <c r="I31" s="419" t="s">
        <v>339</v>
      </c>
      <c r="J31" s="425" t="s">
        <v>340</v>
      </c>
      <c r="K31" s="426" t="s">
        <v>341</v>
      </c>
      <c r="L31" s="427" t="s">
        <v>342</v>
      </c>
      <c r="M31" s="410"/>
    </row>
    <row r="32" spans="1:13" ht="14.4" x14ac:dyDescent="0.3">
      <c r="A32" s="423" t="s">
        <v>343</v>
      </c>
      <c r="B32" s="424">
        <v>0.2</v>
      </c>
      <c r="C32" s="424" t="s">
        <v>321</v>
      </c>
      <c r="D32" s="419"/>
      <c r="E32" s="428">
        <f>$B$14/$B$26/4</f>
        <v>1944.4444444444441</v>
      </c>
      <c r="F32" s="428">
        <f t="shared" ref="F32:I32" si="2">$B$14/$B$26/4</f>
        <v>1944.4444444444441</v>
      </c>
      <c r="G32" s="428">
        <f t="shared" si="2"/>
        <v>1944.4444444444441</v>
      </c>
      <c r="H32" s="428">
        <f t="shared" si="2"/>
        <v>1944.4444444444441</v>
      </c>
      <c r="I32" s="428">
        <f t="shared" si="2"/>
        <v>1944.4444444444441</v>
      </c>
      <c r="J32" s="429">
        <f>SUM(E32:I32)</f>
        <v>9722.2222222222208</v>
      </c>
      <c r="K32" s="406">
        <v>8.4</v>
      </c>
      <c r="L32" s="430">
        <f>J32*K32</f>
        <v>81666.666666666657</v>
      </c>
      <c r="M32" s="410"/>
    </row>
    <row r="33" spans="1:13" ht="14.4" x14ac:dyDescent="0.3">
      <c r="A33" s="423" t="s">
        <v>345</v>
      </c>
      <c r="B33" s="424">
        <v>0.2</v>
      </c>
      <c r="C33" s="424" t="s">
        <v>321</v>
      </c>
      <c r="D33" s="419"/>
      <c r="E33" s="428">
        <f>$B$14/$B$27/4</f>
        <v>1944.4444444444441</v>
      </c>
      <c r="F33" s="428">
        <f t="shared" ref="F33:I33" si="3">$B$14/$B$27/4</f>
        <v>1944.4444444444441</v>
      </c>
      <c r="G33" s="428">
        <f t="shared" si="3"/>
        <v>1944.4444444444441</v>
      </c>
      <c r="H33" s="428">
        <f t="shared" si="3"/>
        <v>1944.4444444444441</v>
      </c>
      <c r="I33" s="428">
        <f t="shared" si="3"/>
        <v>1944.4444444444441</v>
      </c>
      <c r="J33" s="429">
        <f>SUM(E33:I33)</f>
        <v>9722.2222222222208</v>
      </c>
      <c r="K33" s="406">
        <v>8.07</v>
      </c>
      <c r="L33" s="430">
        <f>J33*K33</f>
        <v>78458.333333333328</v>
      </c>
      <c r="M33" s="410"/>
    </row>
    <row r="34" spans="1:13" ht="14.4" x14ac:dyDescent="0.3">
      <c r="A34" s="423" t="s">
        <v>346</v>
      </c>
      <c r="B34" s="424">
        <v>0.08</v>
      </c>
      <c r="C34" s="424" t="s">
        <v>321</v>
      </c>
      <c r="D34" s="419"/>
      <c r="E34" s="428">
        <f>$B$14/$B$28/4</f>
        <v>4861.1111111111104</v>
      </c>
      <c r="F34" s="428">
        <f t="shared" ref="F34:I34" si="4">$B$14/$B$28/4</f>
        <v>4861.1111111111104</v>
      </c>
      <c r="G34" s="428">
        <f t="shared" si="4"/>
        <v>4861.1111111111104</v>
      </c>
      <c r="H34" s="428">
        <f t="shared" si="4"/>
        <v>4861.1111111111104</v>
      </c>
      <c r="I34" s="428">
        <f t="shared" si="4"/>
        <v>4861.1111111111104</v>
      </c>
      <c r="J34" s="429">
        <f>SUM(E34:I34)</f>
        <v>24305.555555555551</v>
      </c>
      <c r="K34" s="406">
        <v>5.6</v>
      </c>
      <c r="L34" s="430">
        <f>J34*K34</f>
        <v>136111.11111111107</v>
      </c>
      <c r="M34" s="410"/>
    </row>
    <row r="35" spans="1:13" ht="14.4" x14ac:dyDescent="0.3">
      <c r="A35" s="423"/>
      <c r="B35" s="424"/>
      <c r="C35" s="424"/>
      <c r="D35" s="420"/>
      <c r="E35" s="420"/>
      <c r="F35" s="420"/>
      <c r="G35" s="420"/>
      <c r="H35" s="420"/>
      <c r="I35" s="420"/>
      <c r="J35" s="420"/>
      <c r="K35" s="421"/>
      <c r="L35" s="430">
        <f>SUM(L32:L34)</f>
        <v>296236.11111111107</v>
      </c>
      <c r="M35" s="431"/>
    </row>
    <row r="36" spans="1:13" ht="14.4" x14ac:dyDescent="0.3">
      <c r="A36" s="417">
        <f ca="1">TODAY()+65</f>
        <v>45878</v>
      </c>
      <c r="B36" s="418" t="s">
        <v>337</v>
      </c>
      <c r="D36" s="419" t="s">
        <v>338</v>
      </c>
      <c r="E36" s="419">
        <v>11</v>
      </c>
      <c r="F36" s="419">
        <v>12</v>
      </c>
      <c r="G36" s="419">
        <v>13</v>
      </c>
      <c r="H36" s="420">
        <v>14</v>
      </c>
      <c r="I36" s="420">
        <v>15</v>
      </c>
      <c r="J36" s="420"/>
      <c r="K36" s="421"/>
      <c r="L36" s="422"/>
      <c r="M36" s="410"/>
    </row>
    <row r="37" spans="1:13" x14ac:dyDescent="0.3">
      <c r="A37" s="423"/>
      <c r="B37" s="424"/>
      <c r="C37" s="424"/>
      <c r="D37" s="419"/>
      <c r="E37" s="419" t="s">
        <v>339</v>
      </c>
      <c r="F37" s="419" t="s">
        <v>339</v>
      </c>
      <c r="G37" s="419" t="s">
        <v>339</v>
      </c>
      <c r="H37" s="419" t="s">
        <v>339</v>
      </c>
      <c r="I37" s="419" t="s">
        <v>339</v>
      </c>
      <c r="J37" s="425" t="s">
        <v>340</v>
      </c>
      <c r="K37" s="426" t="s">
        <v>341</v>
      </c>
      <c r="L37" s="427" t="s">
        <v>342</v>
      </c>
      <c r="M37" s="410"/>
    </row>
    <row r="38" spans="1:13" ht="14.4" x14ac:dyDescent="0.3">
      <c r="A38" s="423" t="s">
        <v>343</v>
      </c>
      <c r="B38" s="424">
        <v>0.2</v>
      </c>
      <c r="C38" s="424" t="s">
        <v>321</v>
      </c>
      <c r="D38" s="419"/>
      <c r="E38" s="428">
        <f>$B$14/$B$26/4</f>
        <v>1944.4444444444441</v>
      </c>
      <c r="F38" s="428">
        <f t="shared" ref="F38:I38" si="5">$B$14/$B$26/4</f>
        <v>1944.4444444444441</v>
      </c>
      <c r="G38" s="428">
        <f t="shared" si="5"/>
        <v>1944.4444444444441</v>
      </c>
      <c r="H38" s="428">
        <f t="shared" si="5"/>
        <v>1944.4444444444441</v>
      </c>
      <c r="I38" s="428">
        <f t="shared" si="5"/>
        <v>1944.4444444444441</v>
      </c>
      <c r="J38" s="429">
        <f>SUM(E38:I38)</f>
        <v>9722.2222222222208</v>
      </c>
      <c r="K38" s="406">
        <v>8.4</v>
      </c>
      <c r="L38" s="430">
        <f>J38*K38</f>
        <v>81666.666666666657</v>
      </c>
      <c r="M38" s="410"/>
    </row>
    <row r="39" spans="1:13" ht="14.4" x14ac:dyDescent="0.3">
      <c r="A39" s="423" t="s">
        <v>345</v>
      </c>
      <c r="B39" s="424">
        <v>0.2</v>
      </c>
      <c r="C39" s="424" t="s">
        <v>321</v>
      </c>
      <c r="D39" s="419"/>
      <c r="E39" s="428">
        <f>$B$14/$B$27/4</f>
        <v>1944.4444444444441</v>
      </c>
      <c r="F39" s="428">
        <f t="shared" ref="F39:I39" si="6">$B$14/$B$27/4</f>
        <v>1944.4444444444441</v>
      </c>
      <c r="G39" s="428">
        <f t="shared" si="6"/>
        <v>1944.4444444444441</v>
      </c>
      <c r="H39" s="428">
        <f t="shared" si="6"/>
        <v>1944.4444444444441</v>
      </c>
      <c r="I39" s="428">
        <f t="shared" si="6"/>
        <v>1944.4444444444441</v>
      </c>
      <c r="J39" s="429">
        <f>SUM(E39:I39)</f>
        <v>9722.2222222222208</v>
      </c>
      <c r="K39" s="406">
        <v>8.07</v>
      </c>
      <c r="L39" s="430">
        <f>J39*K39</f>
        <v>78458.333333333328</v>
      </c>
      <c r="M39" s="410"/>
    </row>
    <row r="40" spans="1:13" ht="14.4" x14ac:dyDescent="0.3">
      <c r="A40" s="423" t="s">
        <v>346</v>
      </c>
      <c r="B40" s="424">
        <v>0.08</v>
      </c>
      <c r="C40" s="424" t="s">
        <v>321</v>
      </c>
      <c r="D40" s="419"/>
      <c r="E40" s="428">
        <f>$B$14/$B$28/4</f>
        <v>4861.1111111111104</v>
      </c>
      <c r="F40" s="428">
        <f t="shared" ref="F40:I40" si="7">$B$14/$B$28/4</f>
        <v>4861.1111111111104</v>
      </c>
      <c r="G40" s="428">
        <f t="shared" si="7"/>
        <v>4861.1111111111104</v>
      </c>
      <c r="H40" s="428">
        <f t="shared" si="7"/>
        <v>4861.1111111111104</v>
      </c>
      <c r="I40" s="428">
        <f t="shared" si="7"/>
        <v>4861.1111111111104</v>
      </c>
      <c r="J40" s="429">
        <f>SUM(E40:I40)</f>
        <v>24305.555555555551</v>
      </c>
      <c r="K40" s="406">
        <v>5.6</v>
      </c>
      <c r="L40" s="430">
        <f>J40*K40</f>
        <v>136111.11111111107</v>
      </c>
      <c r="M40" s="410"/>
    </row>
    <row r="41" spans="1:13" ht="14.4" x14ac:dyDescent="0.3">
      <c r="A41" s="423"/>
      <c r="B41" s="424"/>
      <c r="C41" s="424"/>
      <c r="D41" s="420"/>
      <c r="E41" s="420"/>
      <c r="F41" s="420"/>
      <c r="G41" s="420"/>
      <c r="H41" s="420"/>
      <c r="I41" s="420"/>
      <c r="J41" s="420"/>
      <c r="K41" s="421"/>
      <c r="L41" s="430">
        <f>SUM(L38:L40)</f>
        <v>296236.11111111107</v>
      </c>
      <c r="M41" s="431"/>
    </row>
    <row r="42" spans="1:13" ht="14.4" x14ac:dyDescent="0.3">
      <c r="A42" s="417">
        <f ca="1">TODAY()+65+30</f>
        <v>45908</v>
      </c>
      <c r="B42" s="418" t="s">
        <v>337</v>
      </c>
      <c r="D42" s="419" t="s">
        <v>338</v>
      </c>
      <c r="E42" s="419">
        <v>16</v>
      </c>
      <c r="F42" s="419">
        <v>17</v>
      </c>
      <c r="G42" s="419">
        <v>18</v>
      </c>
      <c r="H42" s="420">
        <v>19</v>
      </c>
      <c r="I42" s="420">
        <v>20</v>
      </c>
      <c r="J42" s="420"/>
      <c r="K42" s="421"/>
      <c r="L42" s="422"/>
      <c r="M42" s="410"/>
    </row>
    <row r="43" spans="1:13" x14ac:dyDescent="0.3">
      <c r="A43" s="423"/>
      <c r="B43" s="424"/>
      <c r="C43" s="424"/>
      <c r="D43" s="419"/>
      <c r="E43" s="419" t="s">
        <v>339</v>
      </c>
      <c r="F43" s="419" t="s">
        <v>339</v>
      </c>
      <c r="G43" s="419" t="s">
        <v>339</v>
      </c>
      <c r="H43" s="419" t="s">
        <v>339</v>
      </c>
      <c r="I43" s="419" t="s">
        <v>339</v>
      </c>
      <c r="J43" s="425" t="s">
        <v>340</v>
      </c>
      <c r="K43" s="426" t="s">
        <v>341</v>
      </c>
      <c r="L43" s="427" t="s">
        <v>342</v>
      </c>
      <c r="M43" s="410"/>
    </row>
    <row r="44" spans="1:13" ht="14.4" x14ac:dyDescent="0.3">
      <c r="A44" s="423" t="s">
        <v>343</v>
      </c>
      <c r="B44" s="424">
        <v>0.2</v>
      </c>
      <c r="C44" s="424" t="s">
        <v>321</v>
      </c>
      <c r="D44" s="419"/>
      <c r="E44" s="428">
        <f>$B$14/$B$26/4</f>
        <v>1944.4444444444441</v>
      </c>
      <c r="F44" s="428">
        <f t="shared" ref="F44:I44" si="8">$B$14/$B$26/4</f>
        <v>1944.4444444444441</v>
      </c>
      <c r="G44" s="428">
        <f t="shared" si="8"/>
        <v>1944.4444444444441</v>
      </c>
      <c r="H44" s="428">
        <f t="shared" si="8"/>
        <v>1944.4444444444441</v>
      </c>
      <c r="I44" s="428">
        <f t="shared" si="8"/>
        <v>1944.4444444444441</v>
      </c>
      <c r="J44" s="429">
        <f>SUM(E44:I44)</f>
        <v>9722.2222222222208</v>
      </c>
      <c r="K44" s="406">
        <v>8.4</v>
      </c>
      <c r="L44" s="430">
        <f>J44*K44</f>
        <v>81666.666666666657</v>
      </c>
      <c r="M44" s="410"/>
    </row>
    <row r="45" spans="1:13" ht="14.4" x14ac:dyDescent="0.3">
      <c r="A45" s="423" t="s">
        <v>345</v>
      </c>
      <c r="B45" s="424">
        <v>0.2</v>
      </c>
      <c r="C45" s="424" t="s">
        <v>321</v>
      </c>
      <c r="D45" s="419"/>
      <c r="E45" s="428">
        <f>$B$14/$B$27/4</f>
        <v>1944.4444444444441</v>
      </c>
      <c r="F45" s="428">
        <f t="shared" ref="F45:I45" si="9">$B$14/$B$27/4</f>
        <v>1944.4444444444441</v>
      </c>
      <c r="G45" s="428">
        <f t="shared" si="9"/>
        <v>1944.4444444444441</v>
      </c>
      <c r="H45" s="428">
        <f t="shared" si="9"/>
        <v>1944.4444444444441</v>
      </c>
      <c r="I45" s="428">
        <f t="shared" si="9"/>
        <v>1944.4444444444441</v>
      </c>
      <c r="J45" s="429">
        <f>SUM(E45:I45)</f>
        <v>9722.2222222222208</v>
      </c>
      <c r="K45" s="406">
        <v>8.07</v>
      </c>
      <c r="L45" s="430">
        <f>J45*K45</f>
        <v>78458.333333333328</v>
      </c>
      <c r="M45" s="410"/>
    </row>
    <row r="46" spans="1:13" ht="14.4" x14ac:dyDescent="0.3">
      <c r="A46" s="423" t="s">
        <v>346</v>
      </c>
      <c r="B46" s="424">
        <v>0.08</v>
      </c>
      <c r="C46" s="424" t="s">
        <v>321</v>
      </c>
      <c r="D46" s="419"/>
      <c r="E46" s="428">
        <f>$B$14/$B$28/4</f>
        <v>4861.1111111111104</v>
      </c>
      <c r="F46" s="428">
        <f t="shared" ref="F46:I46" si="10">$B$14/$B$28/4</f>
        <v>4861.1111111111104</v>
      </c>
      <c r="G46" s="428">
        <f t="shared" si="10"/>
        <v>4861.1111111111104</v>
      </c>
      <c r="H46" s="428">
        <f t="shared" si="10"/>
        <v>4861.1111111111104</v>
      </c>
      <c r="I46" s="428">
        <f t="shared" si="10"/>
        <v>4861.1111111111104</v>
      </c>
      <c r="J46" s="429">
        <f>SUM(E46:I46)</f>
        <v>24305.555555555551</v>
      </c>
      <c r="K46" s="406">
        <v>5.6</v>
      </c>
      <c r="L46" s="430">
        <f>J46*K46</f>
        <v>136111.11111111107</v>
      </c>
      <c r="M46" s="410"/>
    </row>
    <row r="47" spans="1:13" ht="14.4" x14ac:dyDescent="0.3">
      <c r="A47" s="423"/>
      <c r="B47" s="424"/>
      <c r="C47" s="424"/>
      <c r="D47" s="420"/>
      <c r="E47" s="420"/>
      <c r="F47" s="420"/>
      <c r="G47" s="420"/>
      <c r="H47" s="420"/>
      <c r="I47" s="420"/>
      <c r="J47" s="420"/>
      <c r="K47" s="421"/>
      <c r="L47" s="430">
        <f>SUM(L44:L46)</f>
        <v>296236.11111111107</v>
      </c>
      <c r="M47" s="431"/>
    </row>
    <row r="48" spans="1:13" ht="14.4" x14ac:dyDescent="0.3">
      <c r="A48" s="417">
        <f ca="1">TODAY()+65+30+31</f>
        <v>45939</v>
      </c>
      <c r="B48" s="418" t="s">
        <v>337</v>
      </c>
      <c r="D48" s="419" t="s">
        <v>338</v>
      </c>
      <c r="E48" s="419">
        <v>21</v>
      </c>
      <c r="F48" s="419">
        <v>22</v>
      </c>
      <c r="G48" s="419">
        <v>23</v>
      </c>
      <c r="H48" s="420">
        <v>24</v>
      </c>
      <c r="I48" s="420">
        <v>25</v>
      </c>
      <c r="J48" s="420"/>
      <c r="K48" s="421"/>
      <c r="L48" s="422"/>
      <c r="M48" s="410"/>
    </row>
    <row r="49" spans="1:13" x14ac:dyDescent="0.3">
      <c r="A49" s="423"/>
      <c r="B49" s="424"/>
      <c r="C49" s="424"/>
      <c r="D49" s="419"/>
      <c r="E49" s="419" t="s">
        <v>339</v>
      </c>
      <c r="F49" s="419" t="s">
        <v>339</v>
      </c>
      <c r="G49" s="419" t="s">
        <v>339</v>
      </c>
      <c r="H49" s="419" t="s">
        <v>339</v>
      </c>
      <c r="I49" s="419" t="s">
        <v>339</v>
      </c>
      <c r="J49" s="425" t="s">
        <v>340</v>
      </c>
      <c r="K49" s="426" t="s">
        <v>341</v>
      </c>
      <c r="L49" s="427" t="s">
        <v>342</v>
      </c>
      <c r="M49" s="410"/>
    </row>
    <row r="50" spans="1:13" ht="14.4" x14ac:dyDescent="0.3">
      <c r="A50" s="423" t="s">
        <v>343</v>
      </c>
      <c r="B50" s="424">
        <v>0.2</v>
      </c>
      <c r="C50" s="424" t="s">
        <v>321</v>
      </c>
      <c r="D50" s="419"/>
      <c r="E50" s="428">
        <f>$B$14/$B$26/4</f>
        <v>1944.4444444444441</v>
      </c>
      <c r="F50" s="428">
        <f t="shared" ref="F50:I50" si="11">$B$14/$B$26/4</f>
        <v>1944.4444444444441</v>
      </c>
      <c r="G50" s="428">
        <f t="shared" si="11"/>
        <v>1944.4444444444441</v>
      </c>
      <c r="H50" s="428">
        <f t="shared" si="11"/>
        <v>1944.4444444444441</v>
      </c>
      <c r="I50" s="428">
        <f t="shared" si="11"/>
        <v>1944.4444444444441</v>
      </c>
      <c r="J50" s="429">
        <f>SUM(E50:I50)</f>
        <v>9722.2222222222208</v>
      </c>
      <c r="K50" s="406">
        <v>8.4</v>
      </c>
      <c r="L50" s="430">
        <f>J50*K50</f>
        <v>81666.666666666657</v>
      </c>
      <c r="M50" s="410"/>
    </row>
    <row r="51" spans="1:13" ht="14.4" x14ac:dyDescent="0.3">
      <c r="A51" s="423" t="s">
        <v>345</v>
      </c>
      <c r="B51" s="424">
        <v>0.2</v>
      </c>
      <c r="C51" s="424" t="s">
        <v>321</v>
      </c>
      <c r="D51" s="419"/>
      <c r="E51" s="428">
        <f>$B$14/$B$27/4</f>
        <v>1944.4444444444441</v>
      </c>
      <c r="F51" s="428">
        <f t="shared" ref="F51:I51" si="12">$B$14/$B$27/4</f>
        <v>1944.4444444444441</v>
      </c>
      <c r="G51" s="428">
        <f t="shared" si="12"/>
        <v>1944.4444444444441</v>
      </c>
      <c r="H51" s="428">
        <f t="shared" si="12"/>
        <v>1944.4444444444441</v>
      </c>
      <c r="I51" s="428">
        <f t="shared" si="12"/>
        <v>1944.4444444444441</v>
      </c>
      <c r="J51" s="429">
        <f>SUM(E51:I51)</f>
        <v>9722.2222222222208</v>
      </c>
      <c r="K51" s="406">
        <v>8.07</v>
      </c>
      <c r="L51" s="430">
        <f>J51*K51</f>
        <v>78458.333333333328</v>
      </c>
      <c r="M51" s="410"/>
    </row>
    <row r="52" spans="1:13" ht="14.4" x14ac:dyDescent="0.3">
      <c r="A52" s="423" t="s">
        <v>346</v>
      </c>
      <c r="B52" s="424">
        <v>0.08</v>
      </c>
      <c r="C52" s="424" t="s">
        <v>321</v>
      </c>
      <c r="D52" s="419"/>
      <c r="E52" s="428">
        <f>$B$14/$B$28/4</f>
        <v>4861.1111111111104</v>
      </c>
      <c r="F52" s="428">
        <f t="shared" ref="F52:I52" si="13">$B$14/$B$28/4</f>
        <v>4861.1111111111104</v>
      </c>
      <c r="G52" s="428">
        <f t="shared" si="13"/>
        <v>4861.1111111111104</v>
      </c>
      <c r="H52" s="428">
        <f t="shared" si="13"/>
        <v>4861.1111111111104</v>
      </c>
      <c r="I52" s="428">
        <f t="shared" si="13"/>
        <v>4861.1111111111104</v>
      </c>
      <c r="J52" s="429">
        <f>SUM(E52:I52)</f>
        <v>24305.555555555551</v>
      </c>
      <c r="K52" s="406">
        <v>5.6</v>
      </c>
      <c r="L52" s="430">
        <f>J52*K52</f>
        <v>136111.11111111107</v>
      </c>
      <c r="M52" s="410"/>
    </row>
    <row r="53" spans="1:13" ht="14.4" x14ac:dyDescent="0.3">
      <c r="A53" s="423"/>
      <c r="B53" s="424"/>
      <c r="C53" s="424"/>
      <c r="D53" s="420"/>
      <c r="E53" s="420"/>
      <c r="F53" s="420"/>
      <c r="G53" s="420"/>
      <c r="H53" s="420"/>
      <c r="I53" s="420"/>
      <c r="J53" s="420"/>
      <c r="K53" s="421"/>
      <c r="L53" s="430">
        <f>SUM(L50:L52)</f>
        <v>296236.11111111107</v>
      </c>
      <c r="M53" s="431"/>
    </row>
    <row r="54" spans="1:13" ht="14.4" x14ac:dyDescent="0.3">
      <c r="A54" s="417">
        <f ca="1">TODAY()+65+30+31+31</f>
        <v>45970</v>
      </c>
      <c r="B54" s="418" t="s">
        <v>337</v>
      </c>
      <c r="D54" s="419" t="s">
        <v>338</v>
      </c>
      <c r="E54" s="419">
        <v>26</v>
      </c>
      <c r="F54" s="419">
        <v>27</v>
      </c>
      <c r="G54" s="419">
        <v>28</v>
      </c>
      <c r="H54" s="420">
        <v>29</v>
      </c>
      <c r="I54" s="420">
        <v>30</v>
      </c>
      <c r="J54" s="420"/>
      <c r="K54" s="421"/>
      <c r="L54" s="422"/>
      <c r="M54" s="410"/>
    </row>
    <row r="55" spans="1:13" x14ac:dyDescent="0.3">
      <c r="A55" s="423"/>
      <c r="B55" s="424"/>
      <c r="C55" s="424"/>
      <c r="D55" s="419"/>
      <c r="E55" s="419" t="s">
        <v>339</v>
      </c>
      <c r="F55" s="419" t="s">
        <v>339</v>
      </c>
      <c r="G55" s="419" t="s">
        <v>339</v>
      </c>
      <c r="H55" s="419" t="s">
        <v>339</v>
      </c>
      <c r="I55" s="419" t="s">
        <v>339</v>
      </c>
      <c r="J55" s="425" t="s">
        <v>340</v>
      </c>
      <c r="K55" s="426" t="s">
        <v>341</v>
      </c>
      <c r="L55" s="427" t="s">
        <v>342</v>
      </c>
      <c r="M55" s="410"/>
    </row>
    <row r="56" spans="1:13" ht="14.4" x14ac:dyDescent="0.3">
      <c r="A56" s="423" t="s">
        <v>343</v>
      </c>
      <c r="B56" s="424">
        <v>0.2</v>
      </c>
      <c r="C56" s="424" t="s">
        <v>321</v>
      </c>
      <c r="D56" s="419"/>
      <c r="E56" s="428">
        <f>$B$14/$B$26/4</f>
        <v>1944.4444444444441</v>
      </c>
      <c r="F56" s="428">
        <f t="shared" ref="F56:I56" si="14">$B$14/$B$26/4</f>
        <v>1944.4444444444441</v>
      </c>
      <c r="G56" s="428">
        <f t="shared" si="14"/>
        <v>1944.4444444444441</v>
      </c>
      <c r="H56" s="428">
        <f t="shared" si="14"/>
        <v>1944.4444444444441</v>
      </c>
      <c r="I56" s="428">
        <f t="shared" si="14"/>
        <v>1944.4444444444441</v>
      </c>
      <c r="J56" s="429">
        <f>SUM(E56:I56)</f>
        <v>9722.2222222222208</v>
      </c>
      <c r="K56" s="406">
        <v>8.4</v>
      </c>
      <c r="L56" s="430">
        <f>J56*K56</f>
        <v>81666.666666666657</v>
      </c>
      <c r="M56" s="410"/>
    </row>
    <row r="57" spans="1:13" ht="14.4" x14ac:dyDescent="0.3">
      <c r="A57" s="423" t="s">
        <v>345</v>
      </c>
      <c r="B57" s="424">
        <v>0.2</v>
      </c>
      <c r="C57" s="424" t="s">
        <v>321</v>
      </c>
      <c r="D57" s="419"/>
      <c r="E57" s="428">
        <f>$B$14/$B$27/4</f>
        <v>1944.4444444444441</v>
      </c>
      <c r="F57" s="428">
        <f t="shared" ref="F57:I57" si="15">$B$14/$B$27/4</f>
        <v>1944.4444444444441</v>
      </c>
      <c r="G57" s="428">
        <f t="shared" si="15"/>
        <v>1944.4444444444441</v>
      </c>
      <c r="H57" s="428">
        <f t="shared" si="15"/>
        <v>1944.4444444444441</v>
      </c>
      <c r="I57" s="428">
        <f t="shared" si="15"/>
        <v>1944.4444444444441</v>
      </c>
      <c r="J57" s="429">
        <f>SUM(E57:I57)</f>
        <v>9722.2222222222208</v>
      </c>
      <c r="K57" s="406">
        <v>8.07</v>
      </c>
      <c r="L57" s="430">
        <f>J57*K57</f>
        <v>78458.333333333328</v>
      </c>
      <c r="M57" s="410"/>
    </row>
    <row r="58" spans="1:13" ht="14.4" x14ac:dyDescent="0.3">
      <c r="A58" s="423" t="s">
        <v>346</v>
      </c>
      <c r="B58" s="424">
        <v>0.08</v>
      </c>
      <c r="C58" s="424" t="s">
        <v>321</v>
      </c>
      <c r="D58" s="419"/>
      <c r="E58" s="428">
        <f>$B$14/$B$28/4</f>
        <v>4861.1111111111104</v>
      </c>
      <c r="F58" s="428">
        <f t="shared" ref="F58:I58" si="16">$B$14/$B$28/4</f>
        <v>4861.1111111111104</v>
      </c>
      <c r="G58" s="428">
        <f t="shared" si="16"/>
        <v>4861.1111111111104</v>
      </c>
      <c r="H58" s="428">
        <f t="shared" si="16"/>
        <v>4861.1111111111104</v>
      </c>
      <c r="I58" s="428">
        <f t="shared" si="16"/>
        <v>4861.1111111111104</v>
      </c>
      <c r="J58" s="429">
        <f>SUM(E58:I58)</f>
        <v>24305.555555555551</v>
      </c>
      <c r="K58" s="406">
        <v>5.6</v>
      </c>
      <c r="L58" s="430">
        <f>J58*K58</f>
        <v>136111.11111111107</v>
      </c>
      <c r="M58" s="410"/>
    </row>
    <row r="59" spans="1:13" ht="14.4" x14ac:dyDescent="0.3">
      <c r="A59" s="423"/>
      <c r="B59" s="424"/>
      <c r="C59" s="424"/>
      <c r="D59" s="420"/>
      <c r="E59" s="420"/>
      <c r="F59" s="420"/>
      <c r="G59" s="420"/>
      <c r="H59" s="420"/>
      <c r="I59" s="420"/>
      <c r="J59" s="420"/>
      <c r="K59" s="421"/>
      <c r="L59" s="430">
        <f>SUM(L56:L58)</f>
        <v>296236.11111111107</v>
      </c>
      <c r="M59" s="431"/>
    </row>
    <row r="60" spans="1:13" ht="14.4" x14ac:dyDescent="0.3">
      <c r="A60" s="417">
        <f ca="1">TODAY()+65+30+31+31+29</f>
        <v>45999</v>
      </c>
      <c r="B60" s="418" t="s">
        <v>337</v>
      </c>
      <c r="D60" s="419" t="s">
        <v>338</v>
      </c>
      <c r="E60" s="419">
        <v>31</v>
      </c>
      <c r="F60" s="419">
        <v>32</v>
      </c>
      <c r="G60" s="419">
        <v>33</v>
      </c>
      <c r="H60" s="420">
        <v>34</v>
      </c>
      <c r="I60" s="420">
        <v>35</v>
      </c>
      <c r="J60" s="420"/>
      <c r="K60" s="421"/>
      <c r="L60" s="422"/>
      <c r="M60" s="410"/>
    </row>
    <row r="61" spans="1:13" x14ac:dyDescent="0.3">
      <c r="A61" s="423"/>
      <c r="B61" s="424"/>
      <c r="C61" s="424"/>
      <c r="D61" s="419"/>
      <c r="E61" s="419" t="s">
        <v>339</v>
      </c>
      <c r="F61" s="419" t="s">
        <v>339</v>
      </c>
      <c r="G61" s="419" t="s">
        <v>339</v>
      </c>
      <c r="H61" s="419" t="s">
        <v>339</v>
      </c>
      <c r="I61" s="419" t="s">
        <v>339</v>
      </c>
      <c r="J61" s="425" t="s">
        <v>340</v>
      </c>
      <c r="K61" s="426" t="s">
        <v>341</v>
      </c>
      <c r="L61" s="427" t="s">
        <v>342</v>
      </c>
      <c r="M61" s="410"/>
    </row>
    <row r="62" spans="1:13" ht="14.4" x14ac:dyDescent="0.3">
      <c r="A62" s="423" t="s">
        <v>343</v>
      </c>
      <c r="B62" s="424">
        <v>0.2</v>
      </c>
      <c r="C62" s="424" t="s">
        <v>321</v>
      </c>
      <c r="D62" s="419"/>
      <c r="E62" s="428">
        <f>$B$14/$B$26/4</f>
        <v>1944.4444444444441</v>
      </c>
      <c r="F62" s="428">
        <f t="shared" ref="F62:I62" si="17">$B$14/$B$26/4</f>
        <v>1944.4444444444441</v>
      </c>
      <c r="G62" s="428">
        <f t="shared" si="17"/>
        <v>1944.4444444444441</v>
      </c>
      <c r="H62" s="428">
        <f t="shared" si="17"/>
        <v>1944.4444444444441</v>
      </c>
      <c r="I62" s="428">
        <f t="shared" si="17"/>
        <v>1944.4444444444441</v>
      </c>
      <c r="J62" s="429">
        <f>SUM(E62:I62)</f>
        <v>9722.2222222222208</v>
      </c>
      <c r="K62" s="406">
        <v>8.4</v>
      </c>
      <c r="L62" s="430">
        <f>J62*K62</f>
        <v>81666.666666666657</v>
      </c>
      <c r="M62" s="410"/>
    </row>
    <row r="63" spans="1:13" ht="14.4" x14ac:dyDescent="0.3">
      <c r="A63" s="423" t="s">
        <v>345</v>
      </c>
      <c r="B63" s="424">
        <v>0.2</v>
      </c>
      <c r="C63" s="424" t="s">
        <v>321</v>
      </c>
      <c r="D63" s="419"/>
      <c r="E63" s="428">
        <f>$B$14/$B$27/4</f>
        <v>1944.4444444444441</v>
      </c>
      <c r="F63" s="428">
        <f t="shared" ref="F63:I63" si="18">$B$14/$B$27/4</f>
        <v>1944.4444444444441</v>
      </c>
      <c r="G63" s="428">
        <f t="shared" si="18"/>
        <v>1944.4444444444441</v>
      </c>
      <c r="H63" s="428">
        <f t="shared" si="18"/>
        <v>1944.4444444444441</v>
      </c>
      <c r="I63" s="428">
        <f t="shared" si="18"/>
        <v>1944.4444444444441</v>
      </c>
      <c r="J63" s="429">
        <f>SUM(E63:I63)</f>
        <v>9722.2222222222208</v>
      </c>
      <c r="K63" s="406">
        <v>8.07</v>
      </c>
      <c r="L63" s="430">
        <f>J63*K63</f>
        <v>78458.333333333328</v>
      </c>
      <c r="M63" s="410"/>
    </row>
    <row r="64" spans="1:13" ht="14.4" x14ac:dyDescent="0.3">
      <c r="A64" s="423" t="s">
        <v>346</v>
      </c>
      <c r="B64" s="424">
        <v>0.08</v>
      </c>
      <c r="C64" s="424" t="s">
        <v>321</v>
      </c>
      <c r="D64" s="419"/>
      <c r="E64" s="428">
        <f>$B$14/$B$28/4</f>
        <v>4861.1111111111104</v>
      </c>
      <c r="F64" s="428">
        <f t="shared" ref="F64:I64" si="19">$B$14/$B$28/4</f>
        <v>4861.1111111111104</v>
      </c>
      <c r="G64" s="428">
        <f t="shared" si="19"/>
        <v>4861.1111111111104</v>
      </c>
      <c r="H64" s="428">
        <f t="shared" si="19"/>
        <v>4861.1111111111104</v>
      </c>
      <c r="I64" s="428">
        <f t="shared" si="19"/>
        <v>4861.1111111111104</v>
      </c>
      <c r="J64" s="429">
        <f>SUM(E64:I64)</f>
        <v>24305.555555555551</v>
      </c>
      <c r="K64" s="406">
        <v>5.6</v>
      </c>
      <c r="L64" s="430">
        <f>J64*K64</f>
        <v>136111.11111111107</v>
      </c>
      <c r="M64" s="410"/>
    </row>
    <row r="65" spans="1:13" ht="14.4" x14ac:dyDescent="0.3">
      <c r="A65" s="423"/>
      <c r="B65" s="424"/>
      <c r="C65" s="424"/>
      <c r="D65" s="420"/>
      <c r="E65" s="420"/>
      <c r="F65" s="420"/>
      <c r="G65" s="420"/>
      <c r="H65" s="420"/>
      <c r="I65" s="420"/>
      <c r="J65" s="420"/>
      <c r="K65" s="421"/>
      <c r="L65" s="430">
        <f>SUM(L62:L64)</f>
        <v>296236.11111111107</v>
      </c>
      <c r="M65" s="431"/>
    </row>
    <row r="66" spans="1:13" x14ac:dyDescent="0.3">
      <c r="A66" s="417">
        <f ca="1">TODAY()+65+30+31+31+29+31</f>
        <v>46030</v>
      </c>
      <c r="B66" s="418" t="s">
        <v>337</v>
      </c>
      <c r="D66" s="419" t="s">
        <v>338</v>
      </c>
      <c r="E66" s="419">
        <v>36</v>
      </c>
      <c r="F66" s="419">
        <v>37</v>
      </c>
      <c r="G66" s="419">
        <v>38</v>
      </c>
      <c r="H66" s="420">
        <v>39</v>
      </c>
      <c r="I66" s="416">
        <v>40</v>
      </c>
      <c r="J66" s="416"/>
      <c r="M66" s="410"/>
    </row>
    <row r="67" spans="1:13" x14ac:dyDescent="0.3">
      <c r="A67" s="423"/>
      <c r="B67" s="424"/>
      <c r="C67" s="424"/>
      <c r="D67" s="419"/>
      <c r="E67" s="419" t="s">
        <v>339</v>
      </c>
      <c r="F67" s="419" t="s">
        <v>339</v>
      </c>
      <c r="G67" s="419" t="s">
        <v>339</v>
      </c>
      <c r="H67" s="419" t="s">
        <v>339</v>
      </c>
      <c r="I67" s="419" t="s">
        <v>339</v>
      </c>
      <c r="J67" s="425" t="s">
        <v>340</v>
      </c>
      <c r="K67" s="426" t="s">
        <v>341</v>
      </c>
      <c r="L67" s="427" t="s">
        <v>342</v>
      </c>
      <c r="M67" s="410"/>
    </row>
    <row r="68" spans="1:13" ht="14.4" x14ac:dyDescent="0.3">
      <c r="A68" s="423" t="s">
        <v>343</v>
      </c>
      <c r="B68" s="424">
        <v>0.2</v>
      </c>
      <c r="C68" s="424" t="s">
        <v>321</v>
      </c>
      <c r="D68" s="419"/>
      <c r="E68" s="428">
        <f>$B$14/$B$26/4</f>
        <v>1944.4444444444441</v>
      </c>
      <c r="F68" s="428">
        <f t="shared" ref="F68:I68" si="20">$B$14/$B$26/4</f>
        <v>1944.4444444444441</v>
      </c>
      <c r="G68" s="428">
        <f t="shared" si="20"/>
        <v>1944.4444444444441</v>
      </c>
      <c r="H68" s="428">
        <f t="shared" si="20"/>
        <v>1944.4444444444441</v>
      </c>
      <c r="I68" s="428">
        <f t="shared" si="20"/>
        <v>1944.4444444444441</v>
      </c>
      <c r="J68" s="429">
        <f>SUM(E68:I68)</f>
        <v>9722.2222222222208</v>
      </c>
      <c r="K68" s="406">
        <v>8.4</v>
      </c>
      <c r="L68" s="430">
        <f>J68*K68</f>
        <v>81666.666666666657</v>
      </c>
      <c r="M68" s="410"/>
    </row>
    <row r="69" spans="1:13" ht="14.4" x14ac:dyDescent="0.3">
      <c r="A69" s="423" t="s">
        <v>345</v>
      </c>
      <c r="B69" s="424">
        <v>0.2</v>
      </c>
      <c r="C69" s="424" t="s">
        <v>321</v>
      </c>
      <c r="D69" s="419"/>
      <c r="E69" s="428">
        <f>$B$14/$B$27/4</f>
        <v>1944.4444444444441</v>
      </c>
      <c r="F69" s="428">
        <f t="shared" ref="F69:I69" si="21">$B$14/$B$27/4</f>
        <v>1944.4444444444441</v>
      </c>
      <c r="G69" s="428">
        <f t="shared" si="21"/>
        <v>1944.4444444444441</v>
      </c>
      <c r="H69" s="428">
        <f t="shared" si="21"/>
        <v>1944.4444444444441</v>
      </c>
      <c r="I69" s="428">
        <f t="shared" si="21"/>
        <v>1944.4444444444441</v>
      </c>
      <c r="J69" s="429">
        <f>SUM(E69:I69)</f>
        <v>9722.2222222222208</v>
      </c>
      <c r="K69" s="406">
        <v>8.07</v>
      </c>
      <c r="L69" s="430">
        <f>J69*K69</f>
        <v>78458.333333333328</v>
      </c>
      <c r="M69" s="410"/>
    </row>
    <row r="70" spans="1:13" ht="14.4" x14ac:dyDescent="0.3">
      <c r="A70" s="423" t="s">
        <v>346</v>
      </c>
      <c r="B70" s="424">
        <v>0.08</v>
      </c>
      <c r="C70" s="424" t="s">
        <v>321</v>
      </c>
      <c r="D70" s="419"/>
      <c r="E70" s="428">
        <f>$B$14/$B$28/4</f>
        <v>4861.1111111111104</v>
      </c>
      <c r="F70" s="428">
        <f t="shared" ref="F70:I70" si="22">$B$14/$B$28/4</f>
        <v>4861.1111111111104</v>
      </c>
      <c r="G70" s="428">
        <f t="shared" si="22"/>
        <v>4861.1111111111104</v>
      </c>
      <c r="H70" s="428">
        <f t="shared" si="22"/>
        <v>4861.1111111111104</v>
      </c>
      <c r="I70" s="428">
        <f t="shared" si="22"/>
        <v>4861.1111111111104</v>
      </c>
      <c r="J70" s="429">
        <f>SUM(E70:I70)</f>
        <v>24305.555555555551</v>
      </c>
      <c r="K70" s="406">
        <v>5.6</v>
      </c>
      <c r="L70" s="430">
        <f>J70*K70</f>
        <v>136111.11111111107</v>
      </c>
      <c r="M70" s="410"/>
    </row>
    <row r="71" spans="1:13" ht="14.4" x14ac:dyDescent="0.3">
      <c r="A71" s="423"/>
      <c r="B71" s="424"/>
      <c r="C71" s="424"/>
      <c r="D71" s="420"/>
      <c r="E71" s="420"/>
      <c r="F71" s="420"/>
      <c r="G71" s="420"/>
      <c r="H71" s="420"/>
      <c r="I71" s="420"/>
      <c r="J71" s="420"/>
      <c r="K71" s="421"/>
      <c r="L71" s="430">
        <f>SUM(L68:L70)</f>
        <v>296236.11111111107</v>
      </c>
      <c r="M71" s="431"/>
    </row>
    <row r="72" spans="1:13" x14ac:dyDescent="0.3">
      <c r="A72" s="417">
        <f ca="1">TODAY()+65+30+31+31+29+31+30</f>
        <v>46060</v>
      </c>
      <c r="B72" s="418" t="s">
        <v>337</v>
      </c>
      <c r="C72" s="432"/>
      <c r="D72" s="419" t="s">
        <v>338</v>
      </c>
      <c r="E72" s="419">
        <v>41</v>
      </c>
      <c r="F72" s="419">
        <v>42</v>
      </c>
      <c r="G72" s="419">
        <v>43</v>
      </c>
      <c r="H72" s="420">
        <v>44</v>
      </c>
      <c r="I72" s="416">
        <v>45</v>
      </c>
      <c r="J72" s="416"/>
      <c r="M72" s="410"/>
    </row>
    <row r="73" spans="1:13" x14ac:dyDescent="0.3">
      <c r="A73" s="423"/>
      <c r="B73" s="424"/>
      <c r="C73" s="424"/>
      <c r="D73" s="419"/>
      <c r="E73" s="419" t="s">
        <v>339</v>
      </c>
      <c r="F73" s="419" t="s">
        <v>339</v>
      </c>
      <c r="G73" s="419" t="s">
        <v>339</v>
      </c>
      <c r="H73" s="419" t="s">
        <v>339</v>
      </c>
      <c r="I73" s="419" t="s">
        <v>339</v>
      </c>
      <c r="J73" s="425" t="s">
        <v>340</v>
      </c>
      <c r="K73" s="426" t="s">
        <v>341</v>
      </c>
      <c r="L73" s="427" t="s">
        <v>342</v>
      </c>
      <c r="M73" s="410"/>
    </row>
    <row r="74" spans="1:13" ht="14.4" x14ac:dyDescent="0.3">
      <c r="A74" s="423" t="s">
        <v>343</v>
      </c>
      <c r="B74" s="424">
        <v>0.2</v>
      </c>
      <c r="C74" s="424" t="s">
        <v>321</v>
      </c>
      <c r="D74" s="419"/>
      <c r="E74" s="428">
        <f>$B$14/$B$26/4</f>
        <v>1944.4444444444441</v>
      </c>
      <c r="F74" s="428">
        <f t="shared" ref="F74:I74" si="23">$B$14/$B$26/4</f>
        <v>1944.4444444444441</v>
      </c>
      <c r="G74" s="428">
        <f t="shared" si="23"/>
        <v>1944.4444444444441</v>
      </c>
      <c r="H74" s="428">
        <f t="shared" si="23"/>
        <v>1944.4444444444441</v>
      </c>
      <c r="I74" s="428">
        <f t="shared" si="23"/>
        <v>1944.4444444444441</v>
      </c>
      <c r="J74" s="429">
        <f>SUM(E74:I74)</f>
        <v>9722.2222222222208</v>
      </c>
      <c r="K74" s="406">
        <v>8.4</v>
      </c>
      <c r="L74" s="430">
        <f>J74*K74</f>
        <v>81666.666666666657</v>
      </c>
      <c r="M74" s="410"/>
    </row>
    <row r="75" spans="1:13" ht="14.4" x14ac:dyDescent="0.3">
      <c r="A75" s="423" t="s">
        <v>345</v>
      </c>
      <c r="B75" s="424">
        <v>0.2</v>
      </c>
      <c r="C75" s="424" t="s">
        <v>321</v>
      </c>
      <c r="D75" s="419"/>
      <c r="E75" s="428">
        <f>$B$14/$B$27/4</f>
        <v>1944.4444444444441</v>
      </c>
      <c r="F75" s="428">
        <f t="shared" ref="F75:I75" si="24">$B$14/$B$27/4</f>
        <v>1944.4444444444441</v>
      </c>
      <c r="G75" s="428">
        <f t="shared" si="24"/>
        <v>1944.4444444444441</v>
      </c>
      <c r="H75" s="428">
        <f t="shared" si="24"/>
        <v>1944.4444444444441</v>
      </c>
      <c r="I75" s="428">
        <f t="shared" si="24"/>
        <v>1944.4444444444441</v>
      </c>
      <c r="J75" s="429">
        <f>SUM(E75:I75)</f>
        <v>9722.2222222222208</v>
      </c>
      <c r="K75" s="406">
        <v>8.07</v>
      </c>
      <c r="L75" s="430">
        <f>J75*K75</f>
        <v>78458.333333333328</v>
      </c>
      <c r="M75" s="410"/>
    </row>
    <row r="76" spans="1:13" ht="14.4" x14ac:dyDescent="0.3">
      <c r="A76" s="423" t="s">
        <v>346</v>
      </c>
      <c r="B76" s="424">
        <v>0.08</v>
      </c>
      <c r="C76" s="424" t="s">
        <v>321</v>
      </c>
      <c r="D76" s="419"/>
      <c r="E76" s="428">
        <f>$B$14/$B$28/4</f>
        <v>4861.1111111111104</v>
      </c>
      <c r="F76" s="428">
        <f t="shared" ref="F76:I76" si="25">$B$14/$B$28/4</f>
        <v>4861.1111111111104</v>
      </c>
      <c r="G76" s="428">
        <f t="shared" si="25"/>
        <v>4861.1111111111104</v>
      </c>
      <c r="H76" s="428">
        <f t="shared" si="25"/>
        <v>4861.1111111111104</v>
      </c>
      <c r="I76" s="428">
        <f t="shared" si="25"/>
        <v>4861.1111111111104</v>
      </c>
      <c r="J76" s="429">
        <f>SUM(E76:I76)</f>
        <v>24305.555555555551</v>
      </c>
      <c r="K76" s="406">
        <v>5.6</v>
      </c>
      <c r="L76" s="430">
        <f>J76*K76</f>
        <v>136111.11111111107</v>
      </c>
      <c r="M76" s="410"/>
    </row>
    <row r="77" spans="1:13" ht="14.4" x14ac:dyDescent="0.3">
      <c r="A77" s="423"/>
      <c r="B77" s="424"/>
      <c r="C77" s="424"/>
      <c r="D77" s="420"/>
      <c r="E77" s="420"/>
      <c r="F77" s="420"/>
      <c r="G77" s="420"/>
      <c r="H77" s="420"/>
      <c r="I77" s="420"/>
      <c r="J77" s="420"/>
      <c r="K77" s="421"/>
      <c r="L77" s="430">
        <f>SUM(L74:L76)</f>
        <v>296236.11111111107</v>
      </c>
      <c r="M77" s="431"/>
    </row>
    <row r="78" spans="1:13" x14ac:dyDescent="0.3">
      <c r="A78" s="417">
        <f ca="1">TODAY()+65+30+31+31+29+31+30+31</f>
        <v>46091</v>
      </c>
      <c r="B78" s="418" t="s">
        <v>337</v>
      </c>
      <c r="C78" s="432"/>
      <c r="D78" s="419" t="s">
        <v>338</v>
      </c>
      <c r="E78" s="419">
        <v>46</v>
      </c>
      <c r="F78" s="419">
        <v>47</v>
      </c>
      <c r="G78" s="419">
        <v>48</v>
      </c>
      <c r="H78" s="420">
        <v>49</v>
      </c>
      <c r="I78" s="416">
        <v>50</v>
      </c>
      <c r="J78" s="416"/>
      <c r="M78" s="410"/>
    </row>
    <row r="79" spans="1:13" x14ac:dyDescent="0.3">
      <c r="A79" s="423"/>
      <c r="B79" s="424"/>
      <c r="C79" s="424"/>
      <c r="D79" s="419"/>
      <c r="E79" s="419" t="s">
        <v>339</v>
      </c>
      <c r="F79" s="419" t="s">
        <v>339</v>
      </c>
      <c r="G79" s="419" t="s">
        <v>339</v>
      </c>
      <c r="H79" s="419" t="s">
        <v>339</v>
      </c>
      <c r="I79" s="419" t="s">
        <v>339</v>
      </c>
      <c r="J79" s="425" t="s">
        <v>340</v>
      </c>
      <c r="K79" s="426" t="s">
        <v>341</v>
      </c>
      <c r="L79" s="427" t="s">
        <v>342</v>
      </c>
      <c r="M79" s="410"/>
    </row>
    <row r="80" spans="1:13" ht="14.4" x14ac:dyDescent="0.3">
      <c r="A80" s="423" t="s">
        <v>343</v>
      </c>
      <c r="B80" s="424">
        <v>0.2</v>
      </c>
      <c r="C80" s="424" t="s">
        <v>321</v>
      </c>
      <c r="D80" s="419"/>
      <c r="E80" s="428">
        <f>$B$14/$B$26/4</f>
        <v>1944.4444444444441</v>
      </c>
      <c r="F80" s="428">
        <f t="shared" ref="F80:I80" si="26">$B$14/$B$26/4</f>
        <v>1944.4444444444441</v>
      </c>
      <c r="G80" s="428">
        <f t="shared" si="26"/>
        <v>1944.4444444444441</v>
      </c>
      <c r="H80" s="428">
        <f t="shared" si="26"/>
        <v>1944.4444444444441</v>
      </c>
      <c r="I80" s="428">
        <f t="shared" si="26"/>
        <v>1944.4444444444441</v>
      </c>
      <c r="J80" s="429">
        <f>SUM(E80:I80)</f>
        <v>9722.2222222222208</v>
      </c>
      <c r="K80" s="406">
        <v>8.4</v>
      </c>
      <c r="L80" s="430">
        <f>J80*K80</f>
        <v>81666.666666666657</v>
      </c>
      <c r="M80" s="410"/>
    </row>
    <row r="81" spans="1:13" ht="14.4" x14ac:dyDescent="0.3">
      <c r="A81" s="423" t="s">
        <v>345</v>
      </c>
      <c r="B81" s="424">
        <v>0.2</v>
      </c>
      <c r="C81" s="424" t="s">
        <v>321</v>
      </c>
      <c r="D81" s="419"/>
      <c r="E81" s="428">
        <f>$B$14/$B$27/4</f>
        <v>1944.4444444444441</v>
      </c>
      <c r="F81" s="428">
        <f t="shared" ref="F81:I81" si="27">$B$14/$B$27/4</f>
        <v>1944.4444444444441</v>
      </c>
      <c r="G81" s="428">
        <f t="shared" si="27"/>
        <v>1944.4444444444441</v>
      </c>
      <c r="H81" s="428">
        <f t="shared" si="27"/>
        <v>1944.4444444444441</v>
      </c>
      <c r="I81" s="428">
        <f t="shared" si="27"/>
        <v>1944.4444444444441</v>
      </c>
      <c r="J81" s="429">
        <f>SUM(E81:I81)</f>
        <v>9722.2222222222208</v>
      </c>
      <c r="K81" s="406">
        <v>8.07</v>
      </c>
      <c r="L81" s="430">
        <f>J81*K81</f>
        <v>78458.333333333328</v>
      </c>
      <c r="M81" s="410"/>
    </row>
    <row r="82" spans="1:13" ht="14.4" x14ac:dyDescent="0.3">
      <c r="A82" s="423" t="s">
        <v>346</v>
      </c>
      <c r="B82" s="424">
        <v>0.08</v>
      </c>
      <c r="C82" s="424" t="s">
        <v>321</v>
      </c>
      <c r="D82" s="419"/>
      <c r="E82" s="428">
        <f>$B$14/$B$28/4</f>
        <v>4861.1111111111104</v>
      </c>
      <c r="F82" s="428">
        <f t="shared" ref="F82:I82" si="28">$B$14/$B$28/4</f>
        <v>4861.1111111111104</v>
      </c>
      <c r="G82" s="428">
        <f t="shared" si="28"/>
        <v>4861.1111111111104</v>
      </c>
      <c r="H82" s="428">
        <f t="shared" si="28"/>
        <v>4861.1111111111104</v>
      </c>
      <c r="I82" s="428">
        <f t="shared" si="28"/>
        <v>4861.1111111111104</v>
      </c>
      <c r="J82" s="429">
        <f>SUM(E82:I82)</f>
        <v>24305.555555555551</v>
      </c>
      <c r="K82" s="406">
        <v>5.6</v>
      </c>
      <c r="L82" s="430">
        <f>J82*K82</f>
        <v>136111.11111111107</v>
      </c>
      <c r="M82" s="410"/>
    </row>
    <row r="83" spans="1:13" ht="14.4" x14ac:dyDescent="0.3">
      <c r="A83" s="423"/>
      <c r="B83" s="424"/>
      <c r="C83" s="424"/>
      <c r="D83" s="420"/>
      <c r="E83" s="420"/>
      <c r="F83" s="420"/>
      <c r="G83" s="420"/>
      <c r="H83" s="420"/>
      <c r="I83" s="420"/>
      <c r="J83" s="420"/>
      <c r="K83" s="421"/>
      <c r="L83" s="430">
        <f>SUM(L80:L82)</f>
        <v>296236.11111111107</v>
      </c>
      <c r="M83" s="431"/>
    </row>
    <row r="84" spans="1:13" x14ac:dyDescent="0.3">
      <c r="A84" s="417">
        <f ca="1">TODAY()+65+30+31+31+29+31+30+31+30</f>
        <v>46121</v>
      </c>
      <c r="B84" s="418" t="s">
        <v>337</v>
      </c>
      <c r="C84" s="432"/>
      <c r="D84" s="419" t="s">
        <v>338</v>
      </c>
      <c r="E84" s="419">
        <v>51</v>
      </c>
      <c r="F84" s="419">
        <v>52</v>
      </c>
      <c r="H84" s="416"/>
      <c r="M84" s="410"/>
    </row>
    <row r="85" spans="1:13" x14ac:dyDescent="0.3">
      <c r="A85" s="423"/>
      <c r="B85" s="424"/>
      <c r="C85" s="424"/>
      <c r="D85" s="419"/>
      <c r="E85" s="419" t="s">
        <v>339</v>
      </c>
      <c r="F85" s="419" t="s">
        <v>339</v>
      </c>
      <c r="G85" s="419" t="s">
        <v>339</v>
      </c>
      <c r="H85" s="419" t="s">
        <v>339</v>
      </c>
      <c r="I85" s="419" t="s">
        <v>339</v>
      </c>
      <c r="J85" s="425" t="s">
        <v>340</v>
      </c>
      <c r="K85" s="426" t="s">
        <v>341</v>
      </c>
      <c r="L85" s="427" t="s">
        <v>342</v>
      </c>
      <c r="M85" s="410"/>
    </row>
    <row r="86" spans="1:13" ht="14.4" x14ac:dyDescent="0.3">
      <c r="A86" s="423" t="s">
        <v>343</v>
      </c>
      <c r="B86" s="424">
        <v>0.2</v>
      </c>
      <c r="C86" s="424" t="s">
        <v>321</v>
      </c>
      <c r="D86" s="419"/>
      <c r="E86" s="428">
        <f>$B$14/$B$26/4</f>
        <v>1944.4444444444441</v>
      </c>
      <c r="F86" s="428">
        <f t="shared" ref="F86:I86" si="29">$B$14/$B$26/4</f>
        <v>1944.4444444444441</v>
      </c>
      <c r="G86" s="428">
        <f t="shared" si="29"/>
        <v>1944.4444444444441</v>
      </c>
      <c r="H86" s="428">
        <f t="shared" si="29"/>
        <v>1944.4444444444441</v>
      </c>
      <c r="I86" s="428">
        <f t="shared" si="29"/>
        <v>1944.4444444444441</v>
      </c>
      <c r="J86" s="429">
        <f>SUM(E86:I86)</f>
        <v>9722.2222222222208</v>
      </c>
      <c r="K86" s="406">
        <v>8.4</v>
      </c>
      <c r="L86" s="430">
        <f>J86*K86</f>
        <v>81666.666666666657</v>
      </c>
      <c r="M86" s="410"/>
    </row>
    <row r="87" spans="1:13" ht="14.4" x14ac:dyDescent="0.3">
      <c r="A87" s="423" t="s">
        <v>345</v>
      </c>
      <c r="B87" s="424">
        <v>0.2</v>
      </c>
      <c r="C87" s="424" t="s">
        <v>321</v>
      </c>
      <c r="D87" s="419"/>
      <c r="E87" s="428">
        <f>$B$14/$B$27/4</f>
        <v>1944.4444444444441</v>
      </c>
      <c r="F87" s="428">
        <f t="shared" ref="F87:I87" si="30">$B$14/$B$27/4</f>
        <v>1944.4444444444441</v>
      </c>
      <c r="G87" s="428">
        <f t="shared" si="30"/>
        <v>1944.4444444444441</v>
      </c>
      <c r="H87" s="428">
        <f t="shared" si="30"/>
        <v>1944.4444444444441</v>
      </c>
      <c r="I87" s="428">
        <f t="shared" si="30"/>
        <v>1944.4444444444441</v>
      </c>
      <c r="J87" s="429">
        <f>SUM(E87:I87)</f>
        <v>9722.2222222222208</v>
      </c>
      <c r="K87" s="406">
        <v>8.07</v>
      </c>
      <c r="L87" s="430">
        <f>J87*K87</f>
        <v>78458.333333333328</v>
      </c>
      <c r="M87" s="410"/>
    </row>
    <row r="88" spans="1:13" ht="14.4" x14ac:dyDescent="0.3">
      <c r="A88" s="423" t="s">
        <v>346</v>
      </c>
      <c r="B88" s="424">
        <v>0.08</v>
      </c>
      <c r="C88" s="424" t="s">
        <v>321</v>
      </c>
      <c r="D88" s="419"/>
      <c r="E88" s="428">
        <f>$B$14/$B$28/4</f>
        <v>4861.1111111111104</v>
      </c>
      <c r="F88" s="428">
        <f t="shared" ref="F88:I88" si="31">$B$14/$B$28/4</f>
        <v>4861.1111111111104</v>
      </c>
      <c r="G88" s="428">
        <f t="shared" si="31"/>
        <v>4861.1111111111104</v>
      </c>
      <c r="H88" s="428">
        <f t="shared" si="31"/>
        <v>4861.1111111111104</v>
      </c>
      <c r="I88" s="428">
        <f t="shared" si="31"/>
        <v>4861.1111111111104</v>
      </c>
      <c r="J88" s="429">
        <f>SUM(E88:I88)</f>
        <v>24305.555555555551</v>
      </c>
      <c r="K88" s="406">
        <v>5.6</v>
      </c>
      <c r="L88" s="430">
        <f>J88*K88</f>
        <v>136111.11111111107</v>
      </c>
      <c r="M88" s="410"/>
    </row>
    <row r="89" spans="1:13" ht="14.4" x14ac:dyDescent="0.3">
      <c r="A89" s="423"/>
      <c r="B89" s="424"/>
      <c r="C89" s="424"/>
      <c r="D89" s="420"/>
      <c r="E89" s="420"/>
      <c r="F89" s="420"/>
      <c r="G89" s="420"/>
      <c r="H89" s="420"/>
      <c r="I89" s="420"/>
      <c r="J89" s="420"/>
      <c r="K89" s="421"/>
      <c r="L89" s="430">
        <f>SUM(L86:L88)</f>
        <v>296236.11111111107</v>
      </c>
      <c r="M89" s="431"/>
    </row>
    <row r="90" spans="1:13" x14ac:dyDescent="0.3">
      <c r="A90" s="417">
        <f ca="1">TODAY()+65+30+31+31+29+31+30+31+30+31</f>
        <v>46152</v>
      </c>
      <c r="B90" s="418" t="s">
        <v>337</v>
      </c>
      <c r="C90" s="432"/>
      <c r="D90" s="419" t="s">
        <v>338</v>
      </c>
      <c r="E90" s="419">
        <v>51</v>
      </c>
      <c r="F90" s="419">
        <v>52</v>
      </c>
      <c r="H90" s="416"/>
      <c r="M90" s="410"/>
    </row>
    <row r="91" spans="1:13" x14ac:dyDescent="0.3">
      <c r="A91" s="423"/>
      <c r="B91" s="424"/>
      <c r="C91" s="424"/>
      <c r="D91" s="419"/>
      <c r="E91" s="419" t="s">
        <v>339</v>
      </c>
      <c r="F91" s="419" t="s">
        <v>339</v>
      </c>
      <c r="G91" s="419" t="s">
        <v>339</v>
      </c>
      <c r="H91" s="419" t="s">
        <v>339</v>
      </c>
      <c r="I91" s="419" t="s">
        <v>339</v>
      </c>
      <c r="J91" s="425" t="s">
        <v>340</v>
      </c>
      <c r="K91" s="426" t="s">
        <v>341</v>
      </c>
      <c r="L91" s="427" t="s">
        <v>342</v>
      </c>
      <c r="M91" s="410"/>
    </row>
    <row r="92" spans="1:13" ht="14.4" x14ac:dyDescent="0.3">
      <c r="A92" s="423" t="s">
        <v>343</v>
      </c>
      <c r="B92" s="424">
        <v>0.2</v>
      </c>
      <c r="C92" s="424" t="s">
        <v>321</v>
      </c>
      <c r="D92" s="419"/>
      <c r="E92" s="428">
        <f>$B$14/$B$26/4</f>
        <v>1944.4444444444441</v>
      </c>
      <c r="F92" s="428">
        <f>$B$14/$B$26/4</f>
        <v>1944.4444444444441</v>
      </c>
      <c r="G92" s="428"/>
      <c r="H92" s="428"/>
      <c r="I92" s="428"/>
      <c r="J92" s="429">
        <f>SUM(E92:I92)</f>
        <v>3888.8888888888882</v>
      </c>
      <c r="K92" s="406">
        <v>8.4</v>
      </c>
      <c r="L92" s="430">
        <f>J92*K92</f>
        <v>32666.666666666664</v>
      </c>
      <c r="M92" s="410"/>
    </row>
    <row r="93" spans="1:13" ht="14.4" x14ac:dyDescent="0.3">
      <c r="A93" s="423" t="s">
        <v>345</v>
      </c>
      <c r="B93" s="424">
        <v>0.2</v>
      </c>
      <c r="C93" s="424" t="s">
        <v>321</v>
      </c>
      <c r="D93" s="419"/>
      <c r="E93" s="428">
        <f>$B$14/$B$27/4</f>
        <v>1944.4444444444441</v>
      </c>
      <c r="F93" s="428">
        <f>$B$14/$B$27/4</f>
        <v>1944.4444444444441</v>
      </c>
      <c r="G93" s="428"/>
      <c r="H93" s="428"/>
      <c r="I93" s="428"/>
      <c r="J93" s="429">
        <f>SUM(E93:I93)</f>
        <v>3888.8888888888882</v>
      </c>
      <c r="K93" s="406">
        <v>8.07</v>
      </c>
      <c r="L93" s="430">
        <f>J93*K93</f>
        <v>31383.333333333328</v>
      </c>
      <c r="M93" s="410"/>
    </row>
    <row r="94" spans="1:13" ht="14.4" x14ac:dyDescent="0.3">
      <c r="A94" s="423" t="s">
        <v>346</v>
      </c>
      <c r="B94" s="424">
        <v>0.08</v>
      </c>
      <c r="C94" s="424" t="s">
        <v>321</v>
      </c>
      <c r="D94" s="419"/>
      <c r="E94" s="428">
        <f>$B$14/$B$28/4</f>
        <v>4861.1111111111104</v>
      </c>
      <c r="F94" s="428">
        <f>$B$14/$B$28/4</f>
        <v>4861.1111111111104</v>
      </c>
      <c r="G94" s="428"/>
      <c r="H94" s="428"/>
      <c r="I94" s="428"/>
      <c r="J94" s="429">
        <f>SUM(E94:I94)</f>
        <v>9722.2222222222208</v>
      </c>
      <c r="K94" s="406">
        <v>5.6</v>
      </c>
      <c r="L94" s="430">
        <f>J94*K94</f>
        <v>54444.444444444431</v>
      </c>
      <c r="M94" s="410"/>
    </row>
    <row r="95" spans="1:13" ht="14.4" x14ac:dyDescent="0.3">
      <c r="A95" s="423"/>
      <c r="B95" s="424"/>
      <c r="C95" s="424"/>
      <c r="D95" s="420"/>
      <c r="E95" s="420"/>
      <c r="F95" s="420"/>
      <c r="G95" s="420"/>
      <c r="H95" s="420"/>
      <c r="I95" s="420"/>
      <c r="J95" s="420"/>
      <c r="K95" s="421"/>
      <c r="L95" s="430">
        <f>SUM(L92:L94)</f>
        <v>118494.44444444442</v>
      </c>
      <c r="M95" s="431"/>
    </row>
    <row r="96" spans="1:13" ht="14.4" thickBot="1" x14ac:dyDescent="0.35">
      <c r="A96" s="407"/>
      <c r="M96" s="410"/>
    </row>
    <row r="97" spans="1:13" ht="15" thickBot="1" x14ac:dyDescent="0.35">
      <c r="A97" s="433" t="s">
        <v>347</v>
      </c>
      <c r="B97" s="434"/>
      <c r="C97" s="434"/>
      <c r="D97" s="434"/>
      <c r="E97" s="434"/>
      <c r="F97" s="434"/>
      <c r="G97" s="434"/>
      <c r="H97" s="434"/>
      <c r="I97" s="434"/>
      <c r="J97" s="434"/>
      <c r="K97" s="435"/>
      <c r="L97" s="434"/>
      <c r="M97" s="436"/>
    </row>
    <row r="100" spans="1:13" x14ac:dyDescent="0.3">
      <c r="A100" s="518" t="s">
        <v>454</v>
      </c>
      <c r="B100" s="517"/>
    </row>
    <row r="101" spans="1:13" x14ac:dyDescent="0.3">
      <c r="A101" s="516" t="s">
        <v>343</v>
      </c>
      <c r="B101" s="519">
        <f>J92</f>
        <v>3888.8888888888882</v>
      </c>
    </row>
    <row r="102" spans="1:13" x14ac:dyDescent="0.3">
      <c r="A102" s="515" t="s">
        <v>345</v>
      </c>
      <c r="B102" s="519">
        <f t="shared" ref="B102:B103" si="32">J93</f>
        <v>3888.8888888888882</v>
      </c>
      <c r="M102" s="406"/>
    </row>
    <row r="103" spans="1:13" x14ac:dyDescent="0.3">
      <c r="A103" s="515" t="s">
        <v>346</v>
      </c>
      <c r="B103" s="519">
        <f t="shared" si="32"/>
        <v>9722.2222222222208</v>
      </c>
    </row>
    <row r="106" spans="1:13" x14ac:dyDescent="0.3">
      <c r="A106" s="518" t="s">
        <v>455</v>
      </c>
      <c r="B106" s="517"/>
    </row>
    <row r="107" spans="1:13" x14ac:dyDescent="0.3">
      <c r="A107" s="515" t="s">
        <v>343</v>
      </c>
      <c r="B107" s="490">
        <f>K92</f>
        <v>8.4</v>
      </c>
    </row>
    <row r="108" spans="1:13" x14ac:dyDescent="0.3">
      <c r="A108" s="515" t="s">
        <v>345</v>
      </c>
      <c r="B108" s="490">
        <f t="shared" ref="B108:B109" si="33">K93</f>
        <v>8.07</v>
      </c>
    </row>
    <row r="109" spans="1:13" x14ac:dyDescent="0.3">
      <c r="A109" s="515" t="s">
        <v>346</v>
      </c>
      <c r="B109" s="490">
        <f t="shared" si="33"/>
        <v>5.6</v>
      </c>
    </row>
  </sheetData>
  <mergeCells count="3">
    <mergeCell ref="A2:J2"/>
    <mergeCell ref="A22:M22"/>
    <mergeCell ref="E23:I23"/>
  </mergeCell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A482-B17B-4864-B392-E67ED1204165}">
  <dimension ref="A2:T59"/>
  <sheetViews>
    <sheetView workbookViewId="0">
      <selection activeCell="B50" sqref="B50:F50"/>
    </sheetView>
  </sheetViews>
  <sheetFormatPr defaultColWidth="10.125" defaultRowHeight="13.8" x14ac:dyDescent="0.3"/>
  <cols>
    <col min="1" max="1" width="21.875" style="409" customWidth="1"/>
    <col min="2" max="4" width="11.25" style="409" customWidth="1"/>
    <col min="5" max="5" width="13.5" style="409" customWidth="1"/>
    <col min="6" max="6" width="11.25" style="409" customWidth="1"/>
    <col min="7" max="7" width="10.125" style="409"/>
    <col min="8" max="8" width="21.875" style="409" customWidth="1"/>
    <col min="9" max="9" width="10.125" style="409"/>
    <col min="10" max="10" width="11.25" style="409" customWidth="1"/>
    <col min="11" max="11" width="12.125" style="409" customWidth="1"/>
    <col min="12" max="12" width="13" style="409" customWidth="1"/>
    <col min="13" max="13" width="15.375" style="409" customWidth="1"/>
    <col min="14" max="14" width="10.125" style="409"/>
    <col min="15" max="15" width="21.875" style="409" customWidth="1"/>
    <col min="16" max="18" width="11.25" style="409" customWidth="1"/>
    <col min="19" max="19" width="13.125" style="409" customWidth="1"/>
    <col min="20" max="20" width="11.25" style="409" customWidth="1"/>
    <col min="21" max="16384" width="10.125" style="409"/>
  </cols>
  <sheetData>
    <row r="2" spans="1:19" ht="14.4" x14ac:dyDescent="0.3">
      <c r="A2" s="437" t="s">
        <v>348</v>
      </c>
      <c r="H2" s="438" t="s">
        <v>349</v>
      </c>
      <c r="I2" s="439"/>
      <c r="J2" s="439"/>
      <c r="O2" s="437" t="s">
        <v>350</v>
      </c>
    </row>
    <row r="3" spans="1:19" x14ac:dyDescent="0.3">
      <c r="A3" s="440" t="s">
        <v>351</v>
      </c>
      <c r="B3" s="440"/>
      <c r="C3" s="440"/>
      <c r="D3" s="440"/>
      <c r="E3" s="440"/>
      <c r="H3" s="440" t="s">
        <v>351</v>
      </c>
      <c r="I3" s="440"/>
      <c r="J3" s="440"/>
      <c r="K3" s="440"/>
      <c r="L3" s="440"/>
      <c r="O3" s="440" t="s">
        <v>351</v>
      </c>
      <c r="P3" s="440"/>
      <c r="Q3" s="440"/>
      <c r="R3" s="440"/>
      <c r="S3" s="440"/>
    </row>
    <row r="4" spans="1:19" x14ac:dyDescent="0.3">
      <c r="A4" s="441" t="s">
        <v>352</v>
      </c>
      <c r="B4" s="440"/>
      <c r="C4" s="440"/>
      <c r="D4" s="440"/>
      <c r="E4" s="440"/>
      <c r="H4" s="441" t="s">
        <v>352</v>
      </c>
      <c r="I4" s="440"/>
      <c r="J4" s="440"/>
      <c r="K4" s="440"/>
      <c r="L4" s="440"/>
      <c r="O4" s="441" t="s">
        <v>352</v>
      </c>
      <c r="P4" s="440"/>
      <c r="Q4" s="440"/>
      <c r="R4" s="440"/>
      <c r="S4" s="440"/>
    </row>
    <row r="5" spans="1:19" x14ac:dyDescent="0.3">
      <c r="A5" s="440" t="s">
        <v>353</v>
      </c>
      <c r="B5" s="440" t="s">
        <v>354</v>
      </c>
      <c r="C5" s="440" t="s">
        <v>355</v>
      </c>
      <c r="D5" s="440" t="s">
        <v>356</v>
      </c>
      <c r="E5" s="440" t="s">
        <v>357</v>
      </c>
      <c r="H5" s="440" t="s">
        <v>353</v>
      </c>
      <c r="I5" s="440" t="s">
        <v>354</v>
      </c>
      <c r="J5" s="440" t="s">
        <v>355</v>
      </c>
      <c r="K5" s="440" t="s">
        <v>356</v>
      </c>
      <c r="L5" s="440" t="s">
        <v>357</v>
      </c>
      <c r="O5" s="440" t="s">
        <v>353</v>
      </c>
      <c r="P5" s="440" t="s">
        <v>354</v>
      </c>
      <c r="Q5" s="440" t="s">
        <v>355</v>
      </c>
      <c r="R5" s="440" t="s">
        <v>356</v>
      </c>
      <c r="S5" s="440" t="s">
        <v>357</v>
      </c>
    </row>
    <row r="6" spans="1:19" x14ac:dyDescent="0.3">
      <c r="A6" s="442">
        <v>1000000</v>
      </c>
      <c r="B6" s="443"/>
      <c r="C6" s="444">
        <f>(A6/32)*45%</f>
        <v>14062.5</v>
      </c>
      <c r="D6" s="445">
        <v>22</v>
      </c>
      <c r="E6" s="445">
        <f>D6*C6</f>
        <v>309375</v>
      </c>
      <c r="H6" s="442">
        <v>350000</v>
      </c>
      <c r="I6" s="443">
        <v>45000</v>
      </c>
      <c r="J6" s="444">
        <v>45000</v>
      </c>
      <c r="K6" s="445">
        <v>5</v>
      </c>
      <c r="L6" s="445">
        <f>J6*K6</f>
        <v>225000</v>
      </c>
      <c r="O6" s="442">
        <v>1000000</v>
      </c>
      <c r="P6" s="443"/>
      <c r="Q6" s="444">
        <f>(O6/32)*45%</f>
        <v>14062.5</v>
      </c>
      <c r="R6" s="445">
        <v>22</v>
      </c>
      <c r="S6" s="445">
        <f>R6*Q6</f>
        <v>309375</v>
      </c>
    </row>
    <row r="7" spans="1:19" x14ac:dyDescent="0.3">
      <c r="A7" s="440"/>
      <c r="B7" s="440"/>
      <c r="C7" s="440"/>
      <c r="D7" s="440"/>
      <c r="E7" s="445"/>
      <c r="H7" s="440"/>
      <c r="I7" s="440"/>
      <c r="J7" s="440"/>
      <c r="K7" s="440"/>
      <c r="L7" s="446"/>
      <c r="O7" s="440"/>
      <c r="P7" s="440"/>
      <c r="Q7" s="440"/>
      <c r="R7" s="440"/>
      <c r="S7" s="445"/>
    </row>
    <row r="8" spans="1:19" x14ac:dyDescent="0.3">
      <c r="A8" s="447" t="s">
        <v>358</v>
      </c>
      <c r="B8" s="440"/>
      <c r="C8" s="448"/>
      <c r="D8" s="440"/>
      <c r="E8" s="449">
        <f>E6</f>
        <v>309375</v>
      </c>
      <c r="H8" s="447" t="s">
        <v>358</v>
      </c>
      <c r="I8" s="440"/>
      <c r="J8" s="448"/>
      <c r="K8" s="440"/>
      <c r="L8" s="450">
        <f>SUM(L6:L7)</f>
        <v>225000</v>
      </c>
      <c r="O8" s="447" t="s">
        <v>358</v>
      </c>
      <c r="P8" s="440"/>
      <c r="Q8" s="448"/>
      <c r="R8" s="440"/>
      <c r="S8" s="449">
        <f>S6</f>
        <v>309375</v>
      </c>
    </row>
    <row r="9" spans="1:19" x14ac:dyDescent="0.3">
      <c r="A9" s="440"/>
      <c r="B9" s="440"/>
      <c r="C9" s="440"/>
      <c r="D9" s="451"/>
      <c r="E9" s="451"/>
      <c r="H9" s="440"/>
      <c r="I9" s="440"/>
      <c r="J9" s="440"/>
      <c r="K9" s="451"/>
      <c r="L9" s="451"/>
      <c r="O9" s="440"/>
      <c r="P9" s="440"/>
      <c r="Q9" s="440"/>
      <c r="R9" s="451"/>
      <c r="S9" s="451"/>
    </row>
    <row r="10" spans="1:19" x14ac:dyDescent="0.3">
      <c r="A10" s="452" t="s">
        <v>359</v>
      </c>
      <c r="B10" s="440"/>
      <c r="C10" s="440"/>
      <c r="D10" s="451"/>
      <c r="E10" s="451"/>
      <c r="H10" s="452" t="s">
        <v>359</v>
      </c>
      <c r="I10" s="440"/>
      <c r="J10" s="440"/>
      <c r="K10" s="451"/>
      <c r="L10" s="451"/>
      <c r="O10" s="452" t="s">
        <v>359</v>
      </c>
      <c r="P10" s="440"/>
      <c r="Q10" s="440"/>
      <c r="R10" s="451"/>
      <c r="S10" s="451"/>
    </row>
    <row r="11" spans="1:19" x14ac:dyDescent="0.3">
      <c r="A11" s="440"/>
      <c r="B11" s="440" t="s">
        <v>287</v>
      </c>
      <c r="C11" s="440" t="s">
        <v>360</v>
      </c>
      <c r="D11" s="451" t="s">
        <v>356</v>
      </c>
      <c r="E11" s="451" t="s">
        <v>291</v>
      </c>
      <c r="H11" s="440"/>
      <c r="I11" s="440" t="s">
        <v>287</v>
      </c>
      <c r="J11" s="440" t="s">
        <v>360</v>
      </c>
      <c r="K11" s="451" t="s">
        <v>356</v>
      </c>
      <c r="L11" s="451" t="s">
        <v>291</v>
      </c>
      <c r="O11" s="440"/>
      <c r="P11" s="440" t="s">
        <v>287</v>
      </c>
      <c r="Q11" s="440" t="s">
        <v>360</v>
      </c>
      <c r="R11" s="451" t="s">
        <v>356</v>
      </c>
      <c r="S11" s="451" t="s">
        <v>291</v>
      </c>
    </row>
    <row r="12" spans="1:19" x14ac:dyDescent="0.3">
      <c r="A12" s="440" t="s">
        <v>361</v>
      </c>
      <c r="B12" s="440"/>
      <c r="C12" s="440"/>
      <c r="D12" s="451"/>
      <c r="E12" s="451"/>
      <c r="H12" s="440" t="s">
        <v>361</v>
      </c>
      <c r="I12" s="440"/>
      <c r="J12" s="440"/>
      <c r="K12" s="451"/>
      <c r="L12" s="451"/>
      <c r="O12" s="440" t="s">
        <v>361</v>
      </c>
      <c r="P12" s="440"/>
      <c r="Q12" s="440"/>
      <c r="R12" s="451"/>
      <c r="S12" s="451"/>
    </row>
    <row r="13" spans="1:19" x14ac:dyDescent="0.3">
      <c r="A13" s="453" t="s">
        <v>362</v>
      </c>
      <c r="B13" s="440">
        <v>2</v>
      </c>
      <c r="C13" s="440" t="s">
        <v>363</v>
      </c>
      <c r="D13" s="451">
        <v>2000</v>
      </c>
      <c r="E13" s="451">
        <f>B13*D13</f>
        <v>4000</v>
      </c>
      <c r="H13" s="453" t="s">
        <v>362</v>
      </c>
      <c r="I13" s="440">
        <v>2</v>
      </c>
      <c r="J13" s="440" t="s">
        <v>363</v>
      </c>
      <c r="K13" s="451">
        <v>2000</v>
      </c>
      <c r="L13" s="451">
        <f>I13*K13</f>
        <v>4000</v>
      </c>
      <c r="O13" s="453" t="s">
        <v>362</v>
      </c>
      <c r="P13" s="440">
        <v>2</v>
      </c>
      <c r="Q13" s="440" t="s">
        <v>363</v>
      </c>
      <c r="R13" s="451">
        <v>2000</v>
      </c>
      <c r="S13" s="451">
        <f>P13*R13</f>
        <v>4000</v>
      </c>
    </row>
    <row r="14" spans="1:19" x14ac:dyDescent="0.3">
      <c r="A14" s="453" t="s">
        <v>364</v>
      </c>
      <c r="B14" s="440">
        <v>1</v>
      </c>
      <c r="C14" s="440" t="s">
        <v>363</v>
      </c>
      <c r="D14" s="451">
        <v>1000</v>
      </c>
      <c r="E14" s="451">
        <f>B14*D14</f>
        <v>1000</v>
      </c>
      <c r="H14" s="453" t="s">
        <v>364</v>
      </c>
      <c r="I14" s="440">
        <v>1</v>
      </c>
      <c r="J14" s="440" t="s">
        <v>363</v>
      </c>
      <c r="K14" s="451">
        <v>1000</v>
      </c>
      <c r="L14" s="451">
        <f>I14*K14</f>
        <v>1000</v>
      </c>
      <c r="O14" s="453" t="s">
        <v>364</v>
      </c>
      <c r="P14" s="440">
        <v>1</v>
      </c>
      <c r="Q14" s="440" t="s">
        <v>363</v>
      </c>
      <c r="R14" s="451">
        <v>1000</v>
      </c>
      <c r="S14" s="451">
        <f>P14*R14</f>
        <v>1000</v>
      </c>
    </row>
    <row r="15" spans="1:19" x14ac:dyDescent="0.3">
      <c r="A15" s="453" t="s">
        <v>365</v>
      </c>
      <c r="B15" s="440">
        <v>1</v>
      </c>
      <c r="C15" s="440" t="s">
        <v>363</v>
      </c>
      <c r="D15" s="451">
        <v>500</v>
      </c>
      <c r="E15" s="451">
        <f>B15*D15</f>
        <v>500</v>
      </c>
      <c r="H15" s="453" t="s">
        <v>365</v>
      </c>
      <c r="I15" s="440">
        <v>1</v>
      </c>
      <c r="J15" s="440" t="s">
        <v>363</v>
      </c>
      <c r="K15" s="451">
        <v>500</v>
      </c>
      <c r="L15" s="451">
        <f>I15*K15</f>
        <v>500</v>
      </c>
      <c r="O15" s="453" t="s">
        <v>365</v>
      </c>
      <c r="P15" s="440">
        <v>1</v>
      </c>
      <c r="Q15" s="440" t="s">
        <v>363</v>
      </c>
      <c r="R15" s="451">
        <v>500</v>
      </c>
      <c r="S15" s="451">
        <f>P15*R15</f>
        <v>500</v>
      </c>
    </row>
    <row r="16" spans="1:19" x14ac:dyDescent="0.3">
      <c r="A16" s="454" t="s">
        <v>366</v>
      </c>
      <c r="B16" s="440"/>
      <c r="C16" s="440"/>
      <c r="D16" s="451"/>
      <c r="E16" s="455">
        <f>E15+E14+E13</f>
        <v>5500</v>
      </c>
      <c r="H16" s="454" t="s">
        <v>366</v>
      </c>
      <c r="I16" s="440"/>
      <c r="J16" s="440"/>
      <c r="K16" s="451"/>
      <c r="L16" s="455">
        <f>SUM(L13:L15)</f>
        <v>5500</v>
      </c>
      <c r="O16" s="454" t="s">
        <v>366</v>
      </c>
      <c r="P16" s="440"/>
      <c r="Q16" s="440"/>
      <c r="R16" s="451"/>
      <c r="S16" s="455">
        <f>S15+S14+S13</f>
        <v>5500</v>
      </c>
    </row>
    <row r="17" spans="1:19" x14ac:dyDescent="0.3">
      <c r="A17" s="440" t="s">
        <v>367</v>
      </c>
      <c r="B17" s="444">
        <v>3.5</v>
      </c>
      <c r="C17" s="440" t="s">
        <v>368</v>
      </c>
      <c r="D17" s="451">
        <v>4000</v>
      </c>
      <c r="E17" s="456">
        <f>B17*D17</f>
        <v>14000</v>
      </c>
      <c r="H17" s="454"/>
      <c r="I17" s="440"/>
      <c r="J17" s="440"/>
      <c r="K17" s="451"/>
      <c r="L17" s="455"/>
      <c r="O17" s="440" t="s">
        <v>367</v>
      </c>
      <c r="P17" s="444">
        <v>3.5</v>
      </c>
      <c r="Q17" s="440" t="s">
        <v>368</v>
      </c>
      <c r="R17" s="451">
        <v>6000</v>
      </c>
      <c r="S17" s="456">
        <f>P17*R17</f>
        <v>21000</v>
      </c>
    </row>
    <row r="18" spans="1:19" x14ac:dyDescent="0.3">
      <c r="A18" s="454" t="s">
        <v>369</v>
      </c>
      <c r="B18" s="440"/>
      <c r="C18" s="440"/>
      <c r="D18" s="440"/>
      <c r="E18" s="440"/>
      <c r="H18" s="440" t="s">
        <v>367</v>
      </c>
      <c r="I18" s="444">
        <v>3.5</v>
      </c>
      <c r="J18" s="440" t="s">
        <v>368</v>
      </c>
      <c r="K18" s="451">
        <v>5000</v>
      </c>
      <c r="L18" s="455">
        <f>+I18*K18</f>
        <v>17500</v>
      </c>
      <c r="O18" s="454" t="s">
        <v>369</v>
      </c>
      <c r="P18" s="440"/>
      <c r="Q18" s="440"/>
      <c r="R18" s="440"/>
      <c r="S18" s="440"/>
    </row>
    <row r="19" spans="1:19" x14ac:dyDescent="0.3">
      <c r="A19" s="453" t="s">
        <v>370</v>
      </c>
      <c r="B19" s="440">
        <v>24</v>
      </c>
      <c r="C19" s="440" t="s">
        <v>371</v>
      </c>
      <c r="D19" s="451">
        <v>220</v>
      </c>
      <c r="E19" s="451">
        <f t="shared" ref="E19:E26" si="0">B19*D19</f>
        <v>5280</v>
      </c>
      <c r="H19" s="454" t="s">
        <v>369</v>
      </c>
      <c r="I19" s="440"/>
      <c r="J19" s="440"/>
      <c r="K19" s="440"/>
      <c r="L19" s="440"/>
      <c r="O19" s="453" t="s">
        <v>370</v>
      </c>
      <c r="P19" s="440">
        <v>24</v>
      </c>
      <c r="Q19" s="440" t="s">
        <v>371</v>
      </c>
      <c r="R19" s="451">
        <v>220</v>
      </c>
      <c r="S19" s="451">
        <f t="shared" ref="S19:S26" si="1">P19*R19</f>
        <v>5280</v>
      </c>
    </row>
    <row r="20" spans="1:19" x14ac:dyDescent="0.3">
      <c r="A20" s="453" t="s">
        <v>372</v>
      </c>
      <c r="B20" s="440">
        <v>42</v>
      </c>
      <c r="C20" s="440" t="s">
        <v>371</v>
      </c>
      <c r="D20" s="451">
        <v>221</v>
      </c>
      <c r="E20" s="451">
        <f t="shared" si="0"/>
        <v>9282</v>
      </c>
      <c r="H20" s="453" t="s">
        <v>370</v>
      </c>
      <c r="I20" s="440">
        <v>24</v>
      </c>
      <c r="J20" s="440" t="s">
        <v>371</v>
      </c>
      <c r="K20" s="451">
        <v>220</v>
      </c>
      <c r="L20" s="451">
        <f t="shared" ref="L20:L27" si="2">I20*K20</f>
        <v>5280</v>
      </c>
      <c r="O20" s="453" t="s">
        <v>372</v>
      </c>
      <c r="P20" s="440">
        <v>42</v>
      </c>
      <c r="Q20" s="440" t="s">
        <v>371</v>
      </c>
      <c r="R20" s="451">
        <v>221</v>
      </c>
      <c r="S20" s="451">
        <f t="shared" si="1"/>
        <v>9282</v>
      </c>
    </row>
    <row r="21" spans="1:19" x14ac:dyDescent="0.3">
      <c r="A21" s="453" t="s">
        <v>373</v>
      </c>
      <c r="B21" s="440">
        <v>8</v>
      </c>
      <c r="C21" s="440" t="s">
        <v>371</v>
      </c>
      <c r="D21" s="451">
        <v>222</v>
      </c>
      <c r="E21" s="451">
        <f t="shared" si="0"/>
        <v>1776</v>
      </c>
      <c r="H21" s="453" t="s">
        <v>372</v>
      </c>
      <c r="I21" s="440">
        <v>84</v>
      </c>
      <c r="J21" s="440" t="s">
        <v>371</v>
      </c>
      <c r="K21" s="451">
        <v>221</v>
      </c>
      <c r="L21" s="451">
        <f t="shared" si="2"/>
        <v>18564</v>
      </c>
      <c r="O21" s="453" t="s">
        <v>373</v>
      </c>
      <c r="P21" s="440">
        <v>8</v>
      </c>
      <c r="Q21" s="440" t="s">
        <v>371</v>
      </c>
      <c r="R21" s="451">
        <v>222</v>
      </c>
      <c r="S21" s="451">
        <f t="shared" si="1"/>
        <v>1776</v>
      </c>
    </row>
    <row r="22" spans="1:19" x14ac:dyDescent="0.3">
      <c r="A22" s="453" t="s">
        <v>374</v>
      </c>
      <c r="B22" s="440">
        <v>8</v>
      </c>
      <c r="C22" s="440" t="s">
        <v>371</v>
      </c>
      <c r="D22" s="451">
        <v>223</v>
      </c>
      <c r="E22" s="451">
        <f t="shared" si="0"/>
        <v>1784</v>
      </c>
      <c r="H22" s="453" t="s">
        <v>373</v>
      </c>
      <c r="I22" s="440">
        <v>8</v>
      </c>
      <c r="J22" s="440" t="s">
        <v>371</v>
      </c>
      <c r="K22" s="451">
        <v>222</v>
      </c>
      <c r="L22" s="451">
        <f t="shared" si="2"/>
        <v>1776</v>
      </c>
      <c r="O22" s="453" t="s">
        <v>374</v>
      </c>
      <c r="P22" s="440">
        <v>8</v>
      </c>
      <c r="Q22" s="440" t="s">
        <v>371</v>
      </c>
      <c r="R22" s="451">
        <v>223</v>
      </c>
      <c r="S22" s="451">
        <f t="shared" si="1"/>
        <v>1784</v>
      </c>
    </row>
    <row r="23" spans="1:19" x14ac:dyDescent="0.3">
      <c r="A23" s="453" t="s">
        <v>375</v>
      </c>
      <c r="B23" s="440">
        <v>90</v>
      </c>
      <c r="C23" s="440" t="s">
        <v>371</v>
      </c>
      <c r="D23" s="451">
        <v>224</v>
      </c>
      <c r="E23" s="451">
        <f t="shared" si="0"/>
        <v>20160</v>
      </c>
      <c r="H23" s="453" t="s">
        <v>374</v>
      </c>
      <c r="I23" s="440">
        <v>8</v>
      </c>
      <c r="J23" s="440" t="s">
        <v>371</v>
      </c>
      <c r="K23" s="451">
        <v>223</v>
      </c>
      <c r="L23" s="451">
        <f t="shared" si="2"/>
        <v>1784</v>
      </c>
      <c r="O23" s="453" t="s">
        <v>375</v>
      </c>
      <c r="P23" s="440">
        <v>90</v>
      </c>
      <c r="Q23" s="440" t="s">
        <v>371</v>
      </c>
      <c r="R23" s="451">
        <v>224</v>
      </c>
      <c r="S23" s="451">
        <f t="shared" si="1"/>
        <v>20160</v>
      </c>
    </row>
    <row r="24" spans="1:19" x14ac:dyDescent="0.3">
      <c r="A24" s="453" t="s">
        <v>376</v>
      </c>
      <c r="B24" s="440">
        <v>5</v>
      </c>
      <c r="C24" s="440" t="s">
        <v>377</v>
      </c>
      <c r="D24" s="451">
        <v>225</v>
      </c>
      <c r="E24" s="451">
        <f t="shared" si="0"/>
        <v>1125</v>
      </c>
      <c r="H24" s="453" t="s">
        <v>375</v>
      </c>
      <c r="I24" s="440">
        <v>80</v>
      </c>
      <c r="J24" s="440" t="s">
        <v>371</v>
      </c>
      <c r="K24" s="451">
        <v>224</v>
      </c>
      <c r="L24" s="451">
        <f t="shared" si="2"/>
        <v>17920</v>
      </c>
      <c r="O24" s="453" t="s">
        <v>376</v>
      </c>
      <c r="P24" s="440">
        <v>5</v>
      </c>
      <c r="Q24" s="440" t="s">
        <v>377</v>
      </c>
      <c r="R24" s="451">
        <v>225</v>
      </c>
      <c r="S24" s="451">
        <f t="shared" si="1"/>
        <v>1125</v>
      </c>
    </row>
    <row r="25" spans="1:19" x14ac:dyDescent="0.3">
      <c r="A25" s="453" t="s">
        <v>378</v>
      </c>
      <c r="B25" s="440">
        <v>5</v>
      </c>
      <c r="C25" s="440" t="s">
        <v>377</v>
      </c>
      <c r="D25" s="451">
        <v>226</v>
      </c>
      <c r="E25" s="451">
        <f t="shared" si="0"/>
        <v>1130</v>
      </c>
      <c r="H25" s="453" t="s">
        <v>376</v>
      </c>
      <c r="I25" s="440">
        <v>5</v>
      </c>
      <c r="J25" s="440" t="s">
        <v>377</v>
      </c>
      <c r="K25" s="451">
        <v>225</v>
      </c>
      <c r="L25" s="451">
        <f t="shared" si="2"/>
        <v>1125</v>
      </c>
      <c r="O25" s="453" t="s">
        <v>378</v>
      </c>
      <c r="P25" s="440">
        <v>5</v>
      </c>
      <c r="Q25" s="440" t="s">
        <v>377</v>
      </c>
      <c r="R25" s="451">
        <v>226</v>
      </c>
      <c r="S25" s="451">
        <f t="shared" si="1"/>
        <v>1130</v>
      </c>
    </row>
    <row r="26" spans="1:19" x14ac:dyDescent="0.3">
      <c r="A26" s="453" t="s">
        <v>379</v>
      </c>
      <c r="B26" s="440">
        <v>24</v>
      </c>
      <c r="C26" s="440" t="s">
        <v>377</v>
      </c>
      <c r="D26" s="451">
        <v>227</v>
      </c>
      <c r="E26" s="451">
        <f t="shared" si="0"/>
        <v>5448</v>
      </c>
      <c r="H26" s="453" t="s">
        <v>378</v>
      </c>
      <c r="I26" s="440">
        <v>5</v>
      </c>
      <c r="J26" s="440" t="s">
        <v>377</v>
      </c>
      <c r="K26" s="451">
        <v>226</v>
      </c>
      <c r="L26" s="451">
        <f t="shared" si="2"/>
        <v>1130</v>
      </c>
      <c r="O26" s="453" t="s">
        <v>379</v>
      </c>
      <c r="P26" s="440">
        <v>24</v>
      </c>
      <c r="Q26" s="440" t="s">
        <v>377</v>
      </c>
      <c r="R26" s="451">
        <v>227</v>
      </c>
      <c r="S26" s="451">
        <f t="shared" si="1"/>
        <v>5448</v>
      </c>
    </row>
    <row r="27" spans="1:19" x14ac:dyDescent="0.3">
      <c r="A27" s="454" t="s">
        <v>380</v>
      </c>
      <c r="B27" s="454"/>
      <c r="C27" s="454"/>
      <c r="D27" s="455"/>
      <c r="E27" s="455">
        <f>E26+E25+E24+E23+E22+E21+E20+E19</f>
        <v>45985</v>
      </c>
      <c r="H27" s="453" t="s">
        <v>379</v>
      </c>
      <c r="I27" s="440">
        <v>37</v>
      </c>
      <c r="J27" s="440" t="s">
        <v>377</v>
      </c>
      <c r="K27" s="451">
        <v>227</v>
      </c>
      <c r="L27" s="451">
        <f t="shared" si="2"/>
        <v>8399</v>
      </c>
      <c r="O27" s="454" t="s">
        <v>380</v>
      </c>
      <c r="P27" s="454"/>
      <c r="Q27" s="454"/>
      <c r="R27" s="455"/>
      <c r="S27" s="455">
        <f>S26+S25+S24+S23+S22+S21+S20+S19</f>
        <v>45985</v>
      </c>
    </row>
    <row r="28" spans="1:19" x14ac:dyDescent="0.3">
      <c r="A28" s="454"/>
      <c r="B28" s="454"/>
      <c r="C28" s="454"/>
      <c r="D28" s="455"/>
      <c r="E28" s="455"/>
      <c r="H28" s="454" t="s">
        <v>380</v>
      </c>
      <c r="I28" s="454"/>
      <c r="J28" s="454"/>
      <c r="K28" s="455"/>
      <c r="L28" s="455">
        <f>SUM(L20:L27)</f>
        <v>55978</v>
      </c>
      <c r="O28" s="454"/>
      <c r="P28" s="454"/>
      <c r="Q28" s="454"/>
      <c r="R28" s="455"/>
      <c r="S28" s="455"/>
    </row>
    <row r="29" spans="1:19" x14ac:dyDescent="0.3">
      <c r="A29" s="440" t="s">
        <v>374</v>
      </c>
      <c r="B29" s="440">
        <v>4</v>
      </c>
      <c r="C29" s="440" t="s">
        <v>381</v>
      </c>
      <c r="D29" s="451">
        <v>828</v>
      </c>
      <c r="E29" s="455">
        <f>B29*D29</f>
        <v>3312</v>
      </c>
      <c r="H29" s="454"/>
      <c r="I29" s="454"/>
      <c r="J29" s="454"/>
      <c r="K29" s="455"/>
      <c r="L29" s="455"/>
      <c r="O29" s="440" t="s">
        <v>374</v>
      </c>
      <c r="P29" s="440">
        <v>4</v>
      </c>
      <c r="Q29" s="440" t="s">
        <v>381</v>
      </c>
      <c r="R29" s="451">
        <v>828</v>
      </c>
      <c r="S29" s="455">
        <f>P29*R29</f>
        <v>3312</v>
      </c>
    </row>
    <row r="30" spans="1:19" x14ac:dyDescent="0.3">
      <c r="A30" s="454" t="s">
        <v>379</v>
      </c>
      <c r="B30" s="440"/>
      <c r="C30" s="440"/>
      <c r="D30" s="451"/>
      <c r="E30" s="455"/>
      <c r="H30" s="440" t="s">
        <v>374</v>
      </c>
      <c r="I30" s="440">
        <v>4</v>
      </c>
      <c r="J30" s="440" t="s">
        <v>381</v>
      </c>
      <c r="K30" s="451">
        <v>828</v>
      </c>
      <c r="L30" s="455">
        <f>I30*K30</f>
        <v>3312</v>
      </c>
      <c r="O30" s="454" t="s">
        <v>379</v>
      </c>
      <c r="P30" s="440"/>
      <c r="Q30" s="440"/>
      <c r="R30" s="451"/>
      <c r="S30" s="455"/>
    </row>
    <row r="31" spans="1:19" x14ac:dyDescent="0.3">
      <c r="A31" s="440" t="s">
        <v>382</v>
      </c>
      <c r="B31" s="440">
        <f>(50*2.7)/3</f>
        <v>45</v>
      </c>
      <c r="C31" s="440" t="s">
        <v>383</v>
      </c>
      <c r="D31" s="451">
        <v>200</v>
      </c>
      <c r="E31" s="455">
        <f>B31*D31</f>
        <v>9000</v>
      </c>
      <c r="H31" s="440" t="s">
        <v>382</v>
      </c>
      <c r="I31" s="440">
        <f>(50*2.7)/3</f>
        <v>45</v>
      </c>
      <c r="J31" s="440" t="s">
        <v>383</v>
      </c>
      <c r="K31" s="451">
        <v>200</v>
      </c>
      <c r="L31" s="455">
        <f>I31*K31</f>
        <v>9000</v>
      </c>
      <c r="O31" s="440" t="s">
        <v>382</v>
      </c>
      <c r="P31" s="440">
        <f>(50*2.7)/3</f>
        <v>45</v>
      </c>
      <c r="Q31" s="440" t="s">
        <v>383</v>
      </c>
      <c r="R31" s="451">
        <v>200</v>
      </c>
      <c r="S31" s="455">
        <f>P31*R31</f>
        <v>9000</v>
      </c>
    </row>
    <row r="32" spans="1:19" x14ac:dyDescent="0.3">
      <c r="A32" s="440" t="s">
        <v>384</v>
      </c>
      <c r="B32" s="440">
        <v>600</v>
      </c>
      <c r="C32" s="440" t="s">
        <v>385</v>
      </c>
      <c r="D32" s="457">
        <v>7.54</v>
      </c>
      <c r="E32" s="455">
        <f>B32*D32</f>
        <v>4524</v>
      </c>
      <c r="H32" s="454" t="s">
        <v>379</v>
      </c>
      <c r="I32" s="440"/>
      <c r="J32" s="440"/>
      <c r="K32" s="451"/>
      <c r="L32" s="455"/>
      <c r="O32" s="440" t="s">
        <v>384</v>
      </c>
      <c r="P32" s="440">
        <v>600</v>
      </c>
      <c r="Q32" s="440" t="s">
        <v>385</v>
      </c>
      <c r="R32" s="457">
        <v>7.54</v>
      </c>
      <c r="S32" s="455">
        <f>P32*R32</f>
        <v>4524</v>
      </c>
    </row>
    <row r="33" spans="1:20" x14ac:dyDescent="0.3">
      <c r="A33" s="453" t="s">
        <v>386</v>
      </c>
      <c r="B33" s="440">
        <v>350</v>
      </c>
      <c r="C33" s="440" t="s">
        <v>385</v>
      </c>
      <c r="D33" s="451">
        <v>5.69</v>
      </c>
      <c r="E33" s="458">
        <f>B33*D33</f>
        <v>1991.5000000000002</v>
      </c>
      <c r="H33" s="440" t="s">
        <v>384</v>
      </c>
      <c r="I33" s="440">
        <v>1200</v>
      </c>
      <c r="J33" s="440" t="s">
        <v>385</v>
      </c>
      <c r="K33" s="440">
        <v>7.54</v>
      </c>
      <c r="L33" s="455">
        <f t="shared" ref="L33:L35" si="3">I33*K33</f>
        <v>9048</v>
      </c>
      <c r="O33" s="453" t="s">
        <v>386</v>
      </c>
      <c r="P33" s="440">
        <v>350</v>
      </c>
      <c r="Q33" s="440" t="s">
        <v>385</v>
      </c>
      <c r="R33" s="451">
        <v>5.69</v>
      </c>
      <c r="S33" s="458">
        <f>P33*R33</f>
        <v>1991.5000000000002</v>
      </c>
    </row>
    <row r="34" spans="1:20" x14ac:dyDescent="0.3">
      <c r="A34" s="453" t="s">
        <v>387</v>
      </c>
      <c r="B34" s="440">
        <v>1</v>
      </c>
      <c r="C34" s="440" t="s">
        <v>388</v>
      </c>
      <c r="D34" s="451">
        <v>52.47</v>
      </c>
      <c r="E34" s="457">
        <f>B34*D34</f>
        <v>52.47</v>
      </c>
      <c r="H34" s="453" t="s">
        <v>386</v>
      </c>
      <c r="I34" s="440">
        <v>350</v>
      </c>
      <c r="J34" s="440" t="s">
        <v>385</v>
      </c>
      <c r="K34" s="451">
        <v>5.69</v>
      </c>
      <c r="L34" s="455">
        <f t="shared" si="3"/>
        <v>1991.5000000000002</v>
      </c>
      <c r="O34" s="453" t="s">
        <v>387</v>
      </c>
      <c r="P34" s="440">
        <v>1</v>
      </c>
      <c r="Q34" s="440" t="s">
        <v>388</v>
      </c>
      <c r="R34" s="451">
        <v>52.47</v>
      </c>
      <c r="S34" s="457">
        <f>P34*R34</f>
        <v>52.47</v>
      </c>
    </row>
    <row r="35" spans="1:20" x14ac:dyDescent="0.3">
      <c r="A35" s="459" t="s">
        <v>389</v>
      </c>
      <c r="B35" s="440"/>
      <c r="C35" s="440"/>
      <c r="D35" s="451"/>
      <c r="E35" s="455">
        <f>SUM(E32:E34)</f>
        <v>6567.97</v>
      </c>
      <c r="H35" s="453" t="s">
        <v>387</v>
      </c>
      <c r="I35" s="440">
        <v>1</v>
      </c>
      <c r="J35" s="440" t="s">
        <v>388</v>
      </c>
      <c r="K35" s="451">
        <v>52.47</v>
      </c>
      <c r="L35" s="455">
        <f t="shared" si="3"/>
        <v>52.47</v>
      </c>
      <c r="O35" s="459" t="s">
        <v>389</v>
      </c>
      <c r="P35" s="440"/>
      <c r="Q35" s="440"/>
      <c r="R35" s="451"/>
      <c r="S35" s="455">
        <f>SUM(S32:S34)</f>
        <v>6567.97</v>
      </c>
    </row>
    <row r="36" spans="1:20" x14ac:dyDescent="0.3">
      <c r="A36" s="454" t="s">
        <v>390</v>
      </c>
      <c r="B36" s="440"/>
      <c r="C36" s="440"/>
      <c r="D36" s="440"/>
      <c r="E36" s="440"/>
      <c r="H36" s="459" t="s">
        <v>389</v>
      </c>
      <c r="I36" s="440"/>
      <c r="J36" s="440"/>
      <c r="K36" s="451"/>
      <c r="L36" s="455">
        <f>SUM(L33:L35)</f>
        <v>11091.97</v>
      </c>
      <c r="O36" s="454" t="s">
        <v>390</v>
      </c>
      <c r="P36" s="440"/>
      <c r="Q36" s="440"/>
      <c r="R36" s="440"/>
      <c r="S36" s="440"/>
    </row>
    <row r="37" spans="1:20" x14ac:dyDescent="0.3">
      <c r="A37" s="453" t="s">
        <v>391</v>
      </c>
      <c r="B37" s="440">
        <v>1</v>
      </c>
      <c r="C37" s="440" t="s">
        <v>392</v>
      </c>
      <c r="D37" s="451">
        <f>1350/1</f>
        <v>1350</v>
      </c>
      <c r="E37" s="451">
        <f>B37*D37</f>
        <v>1350</v>
      </c>
      <c r="H37" s="459"/>
      <c r="I37" s="440"/>
      <c r="J37" s="440"/>
      <c r="K37" s="451"/>
      <c r="L37" s="455"/>
      <c r="O37" s="453" t="s">
        <v>391</v>
      </c>
      <c r="P37" s="440">
        <v>1</v>
      </c>
      <c r="Q37" s="440" t="s">
        <v>392</v>
      </c>
      <c r="R37" s="451">
        <f>1350/1</f>
        <v>1350</v>
      </c>
      <c r="S37" s="451">
        <f>P37*R37</f>
        <v>1350</v>
      </c>
    </row>
    <row r="38" spans="1:20" x14ac:dyDescent="0.3">
      <c r="A38" s="453" t="s">
        <v>393</v>
      </c>
      <c r="B38" s="440">
        <v>0.2</v>
      </c>
      <c r="C38" s="440" t="s">
        <v>392</v>
      </c>
      <c r="D38" s="451">
        <f>300/1</f>
        <v>300</v>
      </c>
      <c r="E38" s="451">
        <f>B38*D38</f>
        <v>60</v>
      </c>
      <c r="H38" s="454" t="s">
        <v>390</v>
      </c>
      <c r="I38" s="440"/>
      <c r="J38" s="440"/>
      <c r="K38" s="440"/>
      <c r="L38" s="440"/>
      <c r="O38" s="453" t="s">
        <v>393</v>
      </c>
      <c r="P38" s="440">
        <v>0.2</v>
      </c>
      <c r="Q38" s="440" t="s">
        <v>392</v>
      </c>
      <c r="R38" s="451">
        <f>300/1</f>
        <v>300</v>
      </c>
      <c r="S38" s="451">
        <f>P38*R38</f>
        <v>60</v>
      </c>
    </row>
    <row r="39" spans="1:20" x14ac:dyDescent="0.3">
      <c r="A39" s="453" t="s">
        <v>394</v>
      </c>
      <c r="B39" s="440">
        <v>0.5</v>
      </c>
      <c r="C39" s="440" t="s">
        <v>395</v>
      </c>
      <c r="D39" s="451">
        <v>192</v>
      </c>
      <c r="E39" s="457">
        <f>B39*D39</f>
        <v>96</v>
      </c>
      <c r="H39" s="453" t="s">
        <v>391</v>
      </c>
      <c r="I39" s="440">
        <v>1</v>
      </c>
      <c r="J39" s="440" t="s">
        <v>392</v>
      </c>
      <c r="K39" s="451">
        <f>1350/1</f>
        <v>1350</v>
      </c>
      <c r="L39" s="460">
        <f>+I39*K39</f>
        <v>1350</v>
      </c>
      <c r="O39" s="453" t="s">
        <v>394</v>
      </c>
      <c r="P39" s="440">
        <v>0.5</v>
      </c>
      <c r="Q39" s="440" t="s">
        <v>395</v>
      </c>
      <c r="R39" s="451">
        <v>192</v>
      </c>
      <c r="S39" s="457">
        <f>P39*R39</f>
        <v>96</v>
      </c>
    </row>
    <row r="40" spans="1:20" x14ac:dyDescent="0.3">
      <c r="A40" s="453" t="s">
        <v>396</v>
      </c>
      <c r="B40" s="440">
        <v>1</v>
      </c>
      <c r="C40" s="440" t="s">
        <v>395</v>
      </c>
      <c r="D40" s="451">
        <v>400</v>
      </c>
      <c r="E40" s="457">
        <f>B40*D40</f>
        <v>400</v>
      </c>
      <c r="H40" s="453" t="s">
        <v>393</v>
      </c>
      <c r="I40" s="440">
        <v>0.2</v>
      </c>
      <c r="J40" s="440" t="s">
        <v>392</v>
      </c>
      <c r="K40" s="451">
        <f>300/1</f>
        <v>300</v>
      </c>
      <c r="L40" s="460">
        <f t="shared" ref="L40:L46" si="4">+I40*K40</f>
        <v>60</v>
      </c>
      <c r="O40" s="453" t="s">
        <v>396</v>
      </c>
      <c r="P40" s="440">
        <v>1</v>
      </c>
      <c r="Q40" s="440" t="s">
        <v>395</v>
      </c>
      <c r="R40" s="451">
        <v>400</v>
      </c>
      <c r="S40" s="457">
        <f>P40*R40</f>
        <v>400</v>
      </c>
    </row>
    <row r="41" spans="1:20" x14ac:dyDescent="0.3">
      <c r="A41" s="454" t="s">
        <v>397</v>
      </c>
      <c r="B41" s="454"/>
      <c r="C41" s="454"/>
      <c r="D41" s="455"/>
      <c r="E41" s="455">
        <f>SUM(E37:E40)</f>
        <v>1906</v>
      </c>
      <c r="H41" s="453" t="s">
        <v>394</v>
      </c>
      <c r="I41" s="440">
        <v>0.5</v>
      </c>
      <c r="J41" s="440" t="s">
        <v>395</v>
      </c>
      <c r="K41" s="451">
        <v>0.92</v>
      </c>
      <c r="L41" s="460">
        <f t="shared" si="4"/>
        <v>0.46</v>
      </c>
      <c r="O41" s="454" t="s">
        <v>397</v>
      </c>
      <c r="P41" s="454"/>
      <c r="Q41" s="454"/>
      <c r="R41" s="455"/>
      <c r="S41" s="455">
        <f>SUM(S37:S40)</f>
        <v>1906</v>
      </c>
    </row>
    <row r="42" spans="1:20" x14ac:dyDescent="0.3">
      <c r="A42" s="440" t="s">
        <v>398</v>
      </c>
      <c r="B42" s="440">
        <v>1</v>
      </c>
      <c r="C42" s="440"/>
      <c r="D42" s="451">
        <f>C6*0.6</f>
        <v>8437.5</v>
      </c>
      <c r="E42" s="451">
        <f>B42*D42</f>
        <v>8437.5</v>
      </c>
      <c r="H42" s="453" t="s">
        <v>396</v>
      </c>
      <c r="I42" s="440">
        <v>1</v>
      </c>
      <c r="J42" s="440" t="s">
        <v>395</v>
      </c>
      <c r="K42" s="451">
        <v>0.4</v>
      </c>
      <c r="L42" s="460">
        <f t="shared" si="4"/>
        <v>0.4</v>
      </c>
      <c r="O42" s="440" t="s">
        <v>398</v>
      </c>
      <c r="P42" s="440">
        <v>1</v>
      </c>
      <c r="Q42" s="440"/>
      <c r="R42" s="451">
        <f>Q6*0.6</f>
        <v>8437.5</v>
      </c>
      <c r="S42" s="451">
        <f t="shared" ref="S42:S43" si="5">+P42*R42</f>
        <v>8437.5</v>
      </c>
    </row>
    <row r="43" spans="1:20" x14ac:dyDescent="0.3">
      <c r="A43" s="440" t="s">
        <v>399</v>
      </c>
      <c r="B43" s="440">
        <v>1</v>
      </c>
      <c r="C43" s="440"/>
      <c r="D43" s="451">
        <f>7%*(E16+E17+E27+E29+E31+E35+E41+E42)</f>
        <v>6629.5929000000006</v>
      </c>
      <c r="E43" s="451">
        <f>B43*D43</f>
        <v>6629.5929000000006</v>
      </c>
      <c r="H43" s="453" t="s">
        <v>400</v>
      </c>
      <c r="I43" s="440">
        <v>1</v>
      </c>
      <c r="J43" s="440" t="s">
        <v>395</v>
      </c>
      <c r="K43" s="451">
        <v>0.55000000000000004</v>
      </c>
      <c r="L43" s="460">
        <f t="shared" si="4"/>
        <v>0.55000000000000004</v>
      </c>
      <c r="O43" s="440" t="s">
        <v>399</v>
      </c>
      <c r="P43" s="440">
        <v>1</v>
      </c>
      <c r="Q43" s="440"/>
      <c r="R43" s="451">
        <f>7%*(S16+S17+S27+S29+S31+S33+S41+S42)</f>
        <v>6799.2400000000007</v>
      </c>
      <c r="S43" s="451">
        <f t="shared" si="5"/>
        <v>6799.2400000000007</v>
      </c>
    </row>
    <row r="44" spans="1:20" x14ac:dyDescent="0.3">
      <c r="A44" s="454" t="s">
        <v>401</v>
      </c>
      <c r="B44" s="454"/>
      <c r="C44" s="454"/>
      <c r="D44" s="455"/>
      <c r="E44" s="461">
        <f>E41+E35+E29+E27+E17+E16+E42+E43</f>
        <v>92338.062900000004</v>
      </c>
      <c r="H44" s="454" t="s">
        <v>397</v>
      </c>
      <c r="I44" s="454"/>
      <c r="J44" s="454"/>
      <c r="K44" s="455"/>
      <c r="L44" s="455">
        <f>SUM(L39:L43)</f>
        <v>1411.41</v>
      </c>
      <c r="O44" s="454" t="s">
        <v>401</v>
      </c>
      <c r="P44" s="454"/>
      <c r="Q44" s="454"/>
      <c r="R44" s="455"/>
      <c r="S44" s="461">
        <f>S41+S35+S29+S27+S17+S16+S42+S43</f>
        <v>99507.71</v>
      </c>
    </row>
    <row r="45" spans="1:20" x14ac:dyDescent="0.3">
      <c r="A45" s="440"/>
      <c r="B45" s="462"/>
      <c r="C45" s="440"/>
      <c r="D45" s="451"/>
      <c r="E45" s="451"/>
      <c r="H45" s="440" t="s">
        <v>398</v>
      </c>
      <c r="I45" s="440">
        <v>1</v>
      </c>
      <c r="J45" s="440"/>
      <c r="K45" s="451">
        <f>J6*0.6</f>
        <v>27000</v>
      </c>
      <c r="L45" s="451">
        <f t="shared" si="4"/>
        <v>27000</v>
      </c>
      <c r="O45" s="440"/>
      <c r="P45" s="462"/>
      <c r="Q45" s="440"/>
      <c r="R45" s="451"/>
      <c r="S45" s="451"/>
    </row>
    <row r="46" spans="1:20" x14ac:dyDescent="0.3">
      <c r="A46" s="454" t="s">
        <v>402</v>
      </c>
      <c r="B46" s="454"/>
      <c r="C46" s="454"/>
      <c r="D46" s="455"/>
      <c r="E46" s="455">
        <f>E8-E44</f>
        <v>217036.93709999998</v>
      </c>
      <c r="H46" s="440" t="s">
        <v>399</v>
      </c>
      <c r="I46" s="440">
        <v>1</v>
      </c>
      <c r="J46" s="440"/>
      <c r="K46" s="451">
        <f>7%*(L16+L18+L28+L30+L31+L36+L44+L45)</f>
        <v>9155.5366000000013</v>
      </c>
      <c r="L46" s="451">
        <f t="shared" si="4"/>
        <v>9155.5366000000013</v>
      </c>
      <c r="O46" s="454" t="s">
        <v>402</v>
      </c>
      <c r="P46" s="454"/>
      <c r="Q46" s="454"/>
      <c r="R46" s="455"/>
      <c r="S46" s="455">
        <f>S8-S44</f>
        <v>209867.28999999998</v>
      </c>
    </row>
    <row r="47" spans="1:20" ht="14.4" thickBot="1" x14ac:dyDescent="0.35">
      <c r="H47" s="454" t="s">
        <v>401</v>
      </c>
      <c r="I47" s="454"/>
      <c r="J47" s="454"/>
      <c r="K47" s="455"/>
      <c r="L47" s="455">
        <f>+L16+L18+L28+L30+L31+L36+L44+L45+L46</f>
        <v>139948.9166</v>
      </c>
    </row>
    <row r="48" spans="1:20" ht="15" thickBot="1" x14ac:dyDescent="0.35">
      <c r="A48" s="614" t="s">
        <v>403</v>
      </c>
      <c r="B48" s="614"/>
      <c r="C48" s="614"/>
      <c r="D48" s="614"/>
      <c r="E48" s="614"/>
      <c r="F48" s="614"/>
      <c r="H48" s="454"/>
      <c r="I48" s="454"/>
      <c r="J48" s="454"/>
      <c r="K48" s="455"/>
      <c r="L48" s="455"/>
      <c r="O48" s="614" t="s">
        <v>403</v>
      </c>
      <c r="P48" s="614"/>
      <c r="Q48" s="614"/>
      <c r="R48" s="614"/>
      <c r="S48" s="614"/>
      <c r="T48" s="614"/>
    </row>
    <row r="49" spans="1:20" ht="14.4" thickBot="1" x14ac:dyDescent="0.35">
      <c r="A49" s="463" t="s">
        <v>404</v>
      </c>
      <c r="B49" s="464">
        <f>A6</f>
        <v>1000000</v>
      </c>
      <c r="C49" s="465"/>
      <c r="D49" s="465"/>
      <c r="E49" s="465" t="s">
        <v>405</v>
      </c>
      <c r="F49" s="466">
        <f>E44</f>
        <v>92338.062900000004</v>
      </c>
      <c r="H49" s="454" t="s">
        <v>402</v>
      </c>
      <c r="I49" s="454"/>
      <c r="J49" s="454"/>
      <c r="K49" s="455"/>
      <c r="L49" s="455">
        <f>+L8-L47</f>
        <v>85051.083400000003</v>
      </c>
      <c r="O49" s="463" t="s">
        <v>404</v>
      </c>
      <c r="P49" s="464">
        <f>O6</f>
        <v>1000000</v>
      </c>
      <c r="Q49" s="465"/>
      <c r="R49" s="465"/>
      <c r="S49" s="465" t="s">
        <v>405</v>
      </c>
      <c r="T49" s="466">
        <f>S44</f>
        <v>99507.71</v>
      </c>
    </row>
    <row r="50" spans="1:20" ht="14.4" thickBot="1" x14ac:dyDescent="0.35">
      <c r="A50" s="467"/>
      <c r="B50" s="615" t="s">
        <v>406</v>
      </c>
      <c r="C50" s="615"/>
      <c r="D50" s="615"/>
      <c r="E50" s="615"/>
      <c r="F50" s="615"/>
      <c r="O50" s="467"/>
      <c r="P50" s="615" t="s">
        <v>406</v>
      </c>
      <c r="Q50" s="615"/>
      <c r="R50" s="615"/>
      <c r="S50" s="615"/>
      <c r="T50" s="615"/>
    </row>
    <row r="51" spans="1:20" ht="15" thickBot="1" x14ac:dyDescent="0.35">
      <c r="A51" s="469" t="s">
        <v>407</v>
      </c>
      <c r="B51" s="470">
        <v>7.5</v>
      </c>
      <c r="C51" s="471">
        <f>+B51*1.25</f>
        <v>9.375</v>
      </c>
      <c r="D51" s="471">
        <f>+B51*1.5</f>
        <v>11.25</v>
      </c>
      <c r="E51" s="471">
        <f>+B51*1.75</f>
        <v>13.125</v>
      </c>
      <c r="F51" s="472">
        <f>+B51*2</f>
        <v>15</v>
      </c>
      <c r="H51" s="616" t="s">
        <v>403</v>
      </c>
      <c r="I51" s="617"/>
      <c r="J51" s="617"/>
      <c r="K51" s="617"/>
      <c r="L51" s="617"/>
      <c r="M51" s="618"/>
      <c r="O51" s="469" t="s">
        <v>407</v>
      </c>
      <c r="P51" s="470">
        <v>7.5</v>
      </c>
      <c r="Q51" s="471">
        <f>+P51*1.25</f>
        <v>9.375</v>
      </c>
      <c r="R51" s="471">
        <f>+P51*1.5</f>
        <v>11.25</v>
      </c>
      <c r="S51" s="471">
        <f>+P51*1.75</f>
        <v>13.125</v>
      </c>
      <c r="T51" s="472">
        <f>+P51*2</f>
        <v>15</v>
      </c>
    </row>
    <row r="52" spans="1:20" ht="14.4" thickBot="1" x14ac:dyDescent="0.35">
      <c r="A52" s="473">
        <v>10000</v>
      </c>
      <c r="B52" s="474">
        <f ca="1">+$B$52*B51-$G$49</f>
        <v>32207.53</v>
      </c>
      <c r="C52" s="474">
        <f ca="1">+$B$52*C51-$G$49</f>
        <v>50957.53</v>
      </c>
      <c r="D52" s="474">
        <f ca="1">+$B$52*D51-$G$49</f>
        <v>69707.53</v>
      </c>
      <c r="E52" s="474">
        <f ca="1">+$B$52*E51-$G$49</f>
        <v>88457.53</v>
      </c>
      <c r="F52" s="474">
        <f ca="1">+$B$52*F51-$G$49</f>
        <v>107207.53</v>
      </c>
      <c r="H52" s="463" t="s">
        <v>404</v>
      </c>
      <c r="I52" s="464">
        <f>H6</f>
        <v>350000</v>
      </c>
      <c r="J52" s="465"/>
      <c r="K52" s="465"/>
      <c r="L52" s="465" t="s">
        <v>405</v>
      </c>
      <c r="M52" s="475">
        <f>L47</f>
        <v>139948.9166</v>
      </c>
      <c r="O52" s="473">
        <v>10000</v>
      </c>
      <c r="P52" s="474">
        <f>$O$52*P51-$P$49</f>
        <v>-925000</v>
      </c>
      <c r="Q52" s="474">
        <f ca="1">+$B$52*Q51-$G$49</f>
        <v>50957.53</v>
      </c>
      <c r="R52" s="474">
        <f ca="1">+$B$52*R51-$G$49</f>
        <v>69707.53</v>
      </c>
      <c r="S52" s="474">
        <f ca="1">+$B$52*S51-$G$49</f>
        <v>88457.53</v>
      </c>
      <c r="T52" s="474">
        <f ca="1">+$B$52*T51-$G$49</f>
        <v>107207.53</v>
      </c>
    </row>
    <row r="53" spans="1:20" ht="14.4" thickBot="1" x14ac:dyDescent="0.35">
      <c r="A53" s="473">
        <v>15000</v>
      </c>
      <c r="B53" s="474">
        <f ca="1">+$B$53*B51-$G$49</f>
        <v>69707.53</v>
      </c>
      <c r="C53" s="474">
        <f t="shared" ref="C53:F53" ca="1" si="6">+$B$53*C51-$G$49</f>
        <v>97832.53</v>
      </c>
      <c r="D53" s="474">
        <f t="shared" ca="1" si="6"/>
        <v>125957.53</v>
      </c>
      <c r="E53" s="474">
        <f t="shared" ca="1" si="6"/>
        <v>154082.53</v>
      </c>
      <c r="F53" s="474">
        <f t="shared" ca="1" si="6"/>
        <v>182207.53</v>
      </c>
      <c r="H53" s="467"/>
      <c r="I53" s="468" t="s">
        <v>406</v>
      </c>
      <c r="J53" s="468"/>
      <c r="K53" s="468"/>
      <c r="L53" s="468"/>
      <c r="M53" s="468"/>
      <c r="O53" s="473">
        <v>15000</v>
      </c>
      <c r="P53" s="474">
        <f ca="1">+$B$53*P51-$G$49</f>
        <v>69707.53</v>
      </c>
      <c r="Q53" s="474">
        <f t="shared" ref="Q53:T53" ca="1" si="7">+$B$53*Q51-$G$49</f>
        <v>97832.53</v>
      </c>
      <c r="R53" s="474">
        <f t="shared" ca="1" si="7"/>
        <v>125957.53</v>
      </c>
      <c r="S53" s="474">
        <f t="shared" ca="1" si="7"/>
        <v>154082.53</v>
      </c>
      <c r="T53" s="474">
        <f t="shared" ca="1" si="7"/>
        <v>182207.53</v>
      </c>
    </row>
    <row r="54" spans="1:20" ht="14.4" thickBot="1" x14ac:dyDescent="0.35">
      <c r="A54" s="473">
        <v>20000</v>
      </c>
      <c r="B54" s="474">
        <f ca="1">+$B$54*B51-$G$49</f>
        <v>107207.53</v>
      </c>
      <c r="C54" s="474">
        <f t="shared" ref="C54:F54" ca="1" si="8">+$B$54*C51-$G$49</f>
        <v>144707.53</v>
      </c>
      <c r="D54" s="474">
        <f t="shared" ca="1" si="8"/>
        <v>182207.53</v>
      </c>
      <c r="E54" s="474">
        <f t="shared" ca="1" si="8"/>
        <v>219707.53</v>
      </c>
      <c r="F54" s="474">
        <f t="shared" ca="1" si="8"/>
        <v>257207.53</v>
      </c>
      <c r="H54" s="469" t="s">
        <v>407</v>
      </c>
      <c r="I54" s="470">
        <v>17.5</v>
      </c>
      <c r="J54" s="471">
        <f>1.25*I54</f>
        <v>21.875</v>
      </c>
      <c r="K54" s="471">
        <f>1.5*I54</f>
        <v>26.25</v>
      </c>
      <c r="L54" s="471">
        <f>1.75*I54</f>
        <v>30.625</v>
      </c>
      <c r="M54" s="472">
        <v>35</v>
      </c>
      <c r="O54" s="473">
        <v>20000</v>
      </c>
      <c r="P54" s="474">
        <f ca="1">+$B$54*P51-$G$49</f>
        <v>107207.53</v>
      </c>
      <c r="Q54" s="474">
        <f t="shared" ref="Q54:T54" ca="1" si="9">+$B$54*Q51-$G$49</f>
        <v>144707.53</v>
      </c>
      <c r="R54" s="474">
        <f t="shared" ca="1" si="9"/>
        <v>182207.53</v>
      </c>
      <c r="S54" s="474">
        <f t="shared" ca="1" si="9"/>
        <v>219707.53</v>
      </c>
      <c r="T54" s="474">
        <f t="shared" ca="1" si="9"/>
        <v>257207.53</v>
      </c>
    </row>
    <row r="55" spans="1:20" ht="14.4" thickBot="1" x14ac:dyDescent="0.35">
      <c r="A55" s="473">
        <v>25000</v>
      </c>
      <c r="B55" s="474">
        <f ca="1">+$B$55*B51-$G$49</f>
        <v>144707.53</v>
      </c>
      <c r="C55" s="474">
        <f t="shared" ref="C55:F55" ca="1" si="10">+$B$55*C51-$G$49</f>
        <v>191582.53</v>
      </c>
      <c r="D55" s="474">
        <f t="shared" ca="1" si="10"/>
        <v>238457.53</v>
      </c>
      <c r="E55" s="474">
        <f t="shared" ca="1" si="10"/>
        <v>285332.53000000003</v>
      </c>
      <c r="F55" s="474">
        <f t="shared" ca="1" si="10"/>
        <v>332207.53000000003</v>
      </c>
      <c r="H55" s="473">
        <v>5000</v>
      </c>
      <c r="I55" s="476">
        <f>$H$55*I54-$I$52+I81</f>
        <v>-262500</v>
      </c>
      <c r="J55" s="476">
        <f t="shared" ref="J55:M55" si="11">$H$55*J54-$I$52+J81</f>
        <v>-240625</v>
      </c>
      <c r="K55" s="476">
        <f t="shared" si="11"/>
        <v>-218750</v>
      </c>
      <c r="L55" s="476">
        <f t="shared" si="11"/>
        <v>-196875</v>
      </c>
      <c r="M55" s="476">
        <f t="shared" si="11"/>
        <v>-175000</v>
      </c>
      <c r="O55" s="473">
        <v>25000</v>
      </c>
      <c r="P55" s="474">
        <f ca="1">+$B$55*P51-$G$49</f>
        <v>144707.53</v>
      </c>
      <c r="Q55" s="474">
        <f t="shared" ref="Q55:T55" ca="1" si="12">+$B$55*Q51-$G$49</f>
        <v>191582.53</v>
      </c>
      <c r="R55" s="474">
        <f t="shared" ca="1" si="12"/>
        <v>238457.53</v>
      </c>
      <c r="S55" s="474">
        <f t="shared" ca="1" si="12"/>
        <v>285332.53000000003</v>
      </c>
      <c r="T55" s="474">
        <f t="shared" ca="1" si="12"/>
        <v>332207.53000000003</v>
      </c>
    </row>
    <row r="56" spans="1:20" ht="14.4" thickBot="1" x14ac:dyDescent="0.35">
      <c r="A56" s="477">
        <v>30000</v>
      </c>
      <c r="B56" s="478">
        <f ca="1">+$B$56*B51-$G$49</f>
        <v>182207.53</v>
      </c>
      <c r="C56" s="478">
        <f t="shared" ref="C56:F56" ca="1" si="13">+$B$56*C51-$G$49</f>
        <v>238457.53</v>
      </c>
      <c r="D56" s="478">
        <f t="shared" ca="1" si="13"/>
        <v>294707.53000000003</v>
      </c>
      <c r="E56" s="478">
        <f t="shared" ca="1" si="13"/>
        <v>350957.53</v>
      </c>
      <c r="F56" s="478">
        <f t="shared" ca="1" si="13"/>
        <v>407207.53</v>
      </c>
      <c r="H56" s="473">
        <v>10000</v>
      </c>
      <c r="I56" s="476">
        <f>$H$56*I54-$I$52+I82</f>
        <v>-175000</v>
      </c>
      <c r="J56" s="476">
        <f t="shared" ref="J56:M56" si="14">$H$56*J54-$I$52+J82</f>
        <v>-131250</v>
      </c>
      <c r="K56" s="476">
        <f t="shared" si="14"/>
        <v>-87500</v>
      </c>
      <c r="L56" s="476">
        <f t="shared" si="14"/>
        <v>-43750</v>
      </c>
      <c r="M56" s="476">
        <f t="shared" si="14"/>
        <v>0</v>
      </c>
      <c r="O56" s="477">
        <v>30000</v>
      </c>
      <c r="P56" s="478">
        <f ca="1">+$B$56*P51-$G$49</f>
        <v>182207.53</v>
      </c>
      <c r="Q56" s="478">
        <f t="shared" ref="Q56:T56" ca="1" si="15">+$B$56*Q51-$G$49</f>
        <v>238457.53</v>
      </c>
      <c r="R56" s="478">
        <f t="shared" ca="1" si="15"/>
        <v>294707.53000000003</v>
      </c>
      <c r="S56" s="478">
        <f t="shared" ca="1" si="15"/>
        <v>350957.53</v>
      </c>
      <c r="T56" s="478">
        <f t="shared" ca="1" si="15"/>
        <v>407207.53</v>
      </c>
    </row>
    <row r="57" spans="1:20" ht="14.4" thickBot="1" x14ac:dyDescent="0.35">
      <c r="H57" s="473">
        <v>15000</v>
      </c>
      <c r="I57" s="476">
        <f>$H$57*I54-$I$52+I83</f>
        <v>-87500</v>
      </c>
      <c r="J57" s="476">
        <f t="shared" ref="J57:M57" si="16">$H$57*J54-$I$52+J83</f>
        <v>-21875</v>
      </c>
      <c r="K57" s="476">
        <f t="shared" si="16"/>
        <v>43750</v>
      </c>
      <c r="L57" s="476">
        <f t="shared" si="16"/>
        <v>109375</v>
      </c>
      <c r="M57" s="476">
        <f t="shared" si="16"/>
        <v>175000</v>
      </c>
    </row>
    <row r="58" spans="1:20" ht="14.4" thickBot="1" x14ac:dyDescent="0.35">
      <c r="H58" s="473">
        <v>20000</v>
      </c>
      <c r="I58" s="476">
        <f>$H$58*I54-$I$52+I84</f>
        <v>0</v>
      </c>
      <c r="J58" s="476">
        <f t="shared" ref="J58:M58" si="17">$H$58*J54-$I$52+J84</f>
        <v>87500</v>
      </c>
      <c r="K58" s="476">
        <f t="shared" si="17"/>
        <v>175000</v>
      </c>
      <c r="L58" s="476">
        <f t="shared" si="17"/>
        <v>262500</v>
      </c>
      <c r="M58" s="476">
        <f t="shared" si="17"/>
        <v>350000</v>
      </c>
    </row>
    <row r="59" spans="1:20" ht="14.4" thickBot="1" x14ac:dyDescent="0.35">
      <c r="H59" s="477">
        <v>25000</v>
      </c>
      <c r="I59" s="476">
        <f>$H$59*I54-$I$52+I85</f>
        <v>87500</v>
      </c>
      <c r="J59" s="476">
        <f t="shared" ref="J59:M59" si="18">$H$59*J54-$I$52+J85</f>
        <v>196875</v>
      </c>
      <c r="K59" s="476">
        <f t="shared" si="18"/>
        <v>306250</v>
      </c>
      <c r="L59" s="476">
        <f t="shared" si="18"/>
        <v>415625</v>
      </c>
      <c r="M59" s="476">
        <f t="shared" si="18"/>
        <v>525000</v>
      </c>
    </row>
  </sheetData>
  <mergeCells count="5">
    <mergeCell ref="A48:F48"/>
    <mergeCell ref="O48:T48"/>
    <mergeCell ref="B50:F50"/>
    <mergeCell ref="P50:T50"/>
    <mergeCell ref="H51:M51"/>
  </mergeCells>
  <pageMargins left="0.7" right="0.7" top="0.75" bottom="0.75" header="0.3" footer="0.3"/>
  <ignoredErrors>
    <ignoredError sqref="E16 E41 L44" formula="1"/>
    <ignoredError xmlns:x16r3="http://schemas.microsoft.com/office/spreadsheetml/2018/08/main" sqref="F49 M52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M246"/>
  <sheetViews>
    <sheetView topLeftCell="A6" zoomScale="80" zoomScaleNormal="80" workbookViewId="0">
      <pane ySplit="20" topLeftCell="A26" activePane="bottomLeft" state="frozen"/>
      <selection activeCell="A6" sqref="A6"/>
      <selection pane="bottomLeft"/>
    </sheetView>
  </sheetViews>
  <sheetFormatPr defaultRowHeight="12" x14ac:dyDescent="0.25"/>
  <cols>
    <col min="1" max="1" width="51.875" customWidth="1"/>
    <col min="2" max="4" width="13.625" customWidth="1"/>
    <col min="5" max="5" width="13.625" style="366" customWidth="1"/>
    <col min="6" max="6" width="71.375" customWidth="1"/>
    <col min="7" max="7" width="7.125" style="357" customWidth="1"/>
    <col min="8" max="8" width="19.875" style="1" customWidth="1"/>
    <col min="9" max="9" width="10" customWidth="1"/>
    <col min="10" max="13" width="15.625" customWidth="1"/>
  </cols>
  <sheetData>
    <row r="1" spans="1:13" s="76" customFormat="1" x14ac:dyDescent="0.25">
      <c r="E1" s="360"/>
      <c r="G1" s="357"/>
      <c r="H1" s="64"/>
    </row>
    <row r="2" spans="1:13" s="76" customFormat="1" ht="12" customHeight="1" x14ac:dyDescent="0.2">
      <c r="A2" s="590" t="s">
        <v>235</v>
      </c>
      <c r="B2" s="590"/>
      <c r="C2" s="590"/>
      <c r="D2" s="590"/>
      <c r="E2" s="590"/>
      <c r="F2" s="590"/>
      <c r="G2" s="590"/>
      <c r="H2" s="590"/>
      <c r="I2" s="590"/>
      <c r="J2" s="590"/>
      <c r="K2" s="125"/>
      <c r="L2" s="125"/>
      <c r="M2" s="125"/>
    </row>
    <row r="3" spans="1:13" s="76" customFormat="1" ht="12" customHeight="1" x14ac:dyDescent="0.2">
      <c r="A3" s="590"/>
      <c r="B3" s="590"/>
      <c r="C3" s="590"/>
      <c r="D3" s="590"/>
      <c r="E3" s="590"/>
      <c r="F3" s="590"/>
      <c r="G3" s="590"/>
      <c r="H3" s="590"/>
      <c r="I3" s="590"/>
      <c r="J3" s="590"/>
      <c r="K3" s="125"/>
      <c r="L3" s="125"/>
      <c r="M3" s="125"/>
    </row>
    <row r="4" spans="1:13" s="77" customFormat="1" ht="15.75" customHeight="1" x14ac:dyDescent="0.3">
      <c r="A4" s="590"/>
      <c r="B4" s="590"/>
      <c r="C4" s="590"/>
      <c r="D4" s="590"/>
      <c r="E4" s="590"/>
      <c r="F4" s="590"/>
      <c r="G4" s="590"/>
      <c r="H4" s="590"/>
      <c r="I4" s="590"/>
      <c r="J4" s="590"/>
      <c r="K4" s="125"/>
      <c r="L4" s="125"/>
      <c r="M4" s="125"/>
    </row>
    <row r="5" spans="1:13" s="77" customFormat="1" ht="15.75" customHeight="1" x14ac:dyDescent="0.3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</row>
    <row r="6" spans="1:13" s="77" customFormat="1" ht="15.75" customHeight="1" x14ac:dyDescent="0.3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</row>
    <row r="7" spans="1:13" s="77" customFormat="1" ht="15.75" customHeight="1" x14ac:dyDescent="0.3">
      <c r="A7" s="76"/>
      <c r="B7" s="76"/>
      <c r="C7" s="76"/>
      <c r="D7" s="125"/>
      <c r="E7" s="125"/>
      <c r="F7" s="125"/>
      <c r="G7" s="125"/>
      <c r="H7" s="125"/>
      <c r="I7" s="125"/>
      <c r="J7" s="125"/>
      <c r="K7" s="125"/>
      <c r="L7" s="125"/>
      <c r="M7" s="125"/>
    </row>
    <row r="8" spans="1:13" s="77" customFormat="1" ht="15.75" customHeight="1" x14ac:dyDescent="0.3">
      <c r="A8" s="367" t="s">
        <v>285</v>
      </c>
      <c r="B8" s="354"/>
      <c r="C8" s="355" t="s">
        <v>282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</row>
    <row r="9" spans="1:13" s="77" customFormat="1" ht="15.75" customHeight="1" x14ac:dyDescent="0.3">
      <c r="A9" s="76"/>
      <c r="B9" s="76"/>
      <c r="C9" s="76"/>
      <c r="D9" s="125"/>
      <c r="E9" s="125"/>
      <c r="F9" s="125"/>
      <c r="G9" s="125"/>
      <c r="H9" s="125"/>
      <c r="I9" s="125"/>
      <c r="J9" s="125"/>
      <c r="K9" s="125"/>
      <c r="L9" s="125"/>
      <c r="M9" s="125"/>
    </row>
    <row r="10" spans="1:13" s="77" customFormat="1" ht="15.75" customHeight="1" x14ac:dyDescent="0.3">
      <c r="A10" s="587" t="s">
        <v>286</v>
      </c>
      <c r="B10" s="368"/>
      <c r="C10" s="370" t="s">
        <v>280</v>
      </c>
      <c r="D10" s="125"/>
      <c r="E10" s="125"/>
      <c r="F10" s="125"/>
      <c r="G10" s="125"/>
      <c r="H10" s="125"/>
      <c r="I10" s="125"/>
      <c r="J10" s="125"/>
      <c r="K10" s="125"/>
      <c r="L10" s="125"/>
      <c r="M10" s="125"/>
    </row>
    <row r="11" spans="1:13" s="77" customFormat="1" ht="15.75" customHeight="1" x14ac:dyDescent="0.3">
      <c r="A11" s="588"/>
      <c r="B11" s="76"/>
      <c r="C11" s="78" t="s">
        <v>282</v>
      </c>
      <c r="D11" s="125"/>
      <c r="E11" s="125"/>
      <c r="F11" s="125"/>
      <c r="G11" s="125"/>
      <c r="H11" s="125"/>
      <c r="I11" s="125"/>
      <c r="J11" s="125"/>
      <c r="K11" s="125"/>
      <c r="L11" s="125"/>
      <c r="M11" s="125"/>
    </row>
    <row r="12" spans="1:13" s="77" customFormat="1" ht="12.75" customHeight="1" x14ac:dyDescent="0.3">
      <c r="A12" s="589"/>
      <c r="B12" s="369"/>
      <c r="C12" s="371" t="s">
        <v>281</v>
      </c>
      <c r="D12" s="125"/>
      <c r="E12" s="361"/>
      <c r="F12" s="125"/>
      <c r="G12" s="156"/>
      <c r="K12" s="76"/>
      <c r="L12" s="76"/>
      <c r="M12" s="76"/>
    </row>
    <row r="13" spans="1:13" s="77" customFormat="1" ht="12.75" customHeight="1" x14ac:dyDescent="0.3">
      <c r="A13" s="125"/>
      <c r="B13" s="125"/>
      <c r="C13" s="125"/>
      <c r="D13" s="125"/>
      <c r="E13" s="361"/>
      <c r="F13" s="125"/>
      <c r="G13" s="156"/>
      <c r="K13" s="76"/>
      <c r="L13" s="76"/>
      <c r="M13" s="76"/>
    </row>
    <row r="14" spans="1:13" s="77" customFormat="1" ht="12.75" customHeight="1" x14ac:dyDescent="0.3">
      <c r="A14" s="125"/>
      <c r="B14" s="125"/>
      <c r="C14" s="125"/>
      <c r="D14" s="125"/>
      <c r="E14" s="361"/>
      <c r="F14" s="125"/>
      <c r="G14" s="156"/>
      <c r="K14" s="76"/>
      <c r="L14" s="76"/>
      <c r="M14" s="76"/>
    </row>
    <row r="15" spans="1:13" s="77" customFormat="1" ht="15.6" x14ac:dyDescent="0.3">
      <c r="A15" s="348" t="s">
        <v>279</v>
      </c>
      <c r="B15" s="351" t="s">
        <v>280</v>
      </c>
      <c r="C15" s="351" t="s">
        <v>282</v>
      </c>
      <c r="D15" s="351" t="s">
        <v>281</v>
      </c>
      <c r="E15" s="362" t="s">
        <v>283</v>
      </c>
      <c r="F15" s="352" t="s">
        <v>3</v>
      </c>
      <c r="G15" s="352"/>
      <c r="H15" s="352"/>
      <c r="I15" s="352"/>
      <c r="J15" s="352"/>
      <c r="K15" s="76"/>
      <c r="L15" s="76"/>
    </row>
    <row r="16" spans="1:13" s="77" customFormat="1" ht="13.8" x14ac:dyDescent="0.3">
      <c r="D16" s="315"/>
      <c r="E16" s="361"/>
      <c r="G16" s="356"/>
      <c r="K16" s="76"/>
      <c r="L16" s="76"/>
      <c r="M16" s="76"/>
    </row>
    <row r="17" spans="1:13" s="77" customFormat="1" ht="13.8" x14ac:dyDescent="0.3">
      <c r="A17" s="75" t="s">
        <v>161</v>
      </c>
      <c r="B17" s="349">
        <v>0.06</v>
      </c>
      <c r="C17" s="349">
        <f t="shared" ref="C17:C23" si="0">AVERAGE(B17,D17)</f>
        <v>0.05</v>
      </c>
      <c r="D17" s="349">
        <v>0.04</v>
      </c>
      <c r="E17" s="363">
        <f t="shared" ref="E17:E23" si="1">IF($C$8=$C$10,B17,IF($C$8=$C$11,C17,IF($C$8=$C$12,D17,0)))</f>
        <v>0.05</v>
      </c>
      <c r="F17" s="75" t="s">
        <v>276</v>
      </c>
      <c r="G17" s="356"/>
      <c r="K17" s="76"/>
      <c r="L17" s="76"/>
      <c r="M17" s="76"/>
    </row>
    <row r="18" spans="1:13" s="77" customFormat="1" ht="13.8" x14ac:dyDescent="0.3">
      <c r="A18" s="75" t="s">
        <v>300</v>
      </c>
      <c r="B18" s="350">
        <v>0.27</v>
      </c>
      <c r="C18" s="349">
        <f t="shared" si="0"/>
        <v>0.27</v>
      </c>
      <c r="D18" s="350">
        <v>0.27</v>
      </c>
      <c r="E18" s="363">
        <f t="shared" si="1"/>
        <v>0.27</v>
      </c>
      <c r="F18" s="75" t="s">
        <v>244</v>
      </c>
      <c r="G18" s="356"/>
      <c r="K18" s="76"/>
      <c r="L18" s="76"/>
      <c r="M18" s="353"/>
    </row>
    <row r="19" spans="1:13" s="77" customFormat="1" ht="13.8" x14ac:dyDescent="0.3">
      <c r="A19" s="75" t="s">
        <v>263</v>
      </c>
      <c r="B19" s="350">
        <v>0.15</v>
      </c>
      <c r="C19" s="349">
        <f t="shared" si="0"/>
        <v>0.13500000000000001</v>
      </c>
      <c r="D19" s="350">
        <v>0.12</v>
      </c>
      <c r="E19" s="363">
        <f t="shared" si="1"/>
        <v>0.13500000000000001</v>
      </c>
      <c r="F19" s="75" t="s">
        <v>277</v>
      </c>
      <c r="G19" s="356"/>
      <c r="K19" s="76"/>
      <c r="L19" s="76"/>
      <c r="M19" s="353"/>
    </row>
    <row r="20" spans="1:13" s="77" customFormat="1" ht="13.8" x14ac:dyDescent="0.3">
      <c r="A20" s="75" t="s">
        <v>165</v>
      </c>
      <c r="B20" s="349">
        <f>B18</f>
        <v>0.27</v>
      </c>
      <c r="C20" s="349">
        <f>AVERAGE(B20,D20)</f>
        <v>0.27</v>
      </c>
      <c r="D20" s="349">
        <f>D18</f>
        <v>0.27</v>
      </c>
      <c r="E20" s="363">
        <f t="shared" si="1"/>
        <v>0.27</v>
      </c>
      <c r="F20" s="75" t="s">
        <v>284</v>
      </c>
      <c r="G20" s="356"/>
    </row>
    <row r="21" spans="1:13" s="77" customFormat="1" ht="13.8" x14ac:dyDescent="0.3">
      <c r="A21" s="75" t="s">
        <v>301</v>
      </c>
      <c r="B21" s="349">
        <v>0.03</v>
      </c>
      <c r="C21" s="349">
        <f t="shared" si="0"/>
        <v>0.09</v>
      </c>
      <c r="D21" s="349">
        <v>0.15</v>
      </c>
      <c r="E21" s="363">
        <f t="shared" si="1"/>
        <v>0.09</v>
      </c>
      <c r="F21" s="75" t="s">
        <v>466</v>
      </c>
      <c r="G21" s="356"/>
    </row>
    <row r="22" spans="1:13" s="77" customFormat="1" ht="13.8" x14ac:dyDescent="0.3">
      <c r="A22" s="75" t="s">
        <v>302</v>
      </c>
      <c r="B22" s="349">
        <f>B17</f>
        <v>0.06</v>
      </c>
      <c r="C22" s="349">
        <f t="shared" si="0"/>
        <v>0.05</v>
      </c>
      <c r="D22" s="349">
        <f>D17</f>
        <v>0.04</v>
      </c>
      <c r="E22" s="363">
        <f t="shared" si="1"/>
        <v>0.05</v>
      </c>
      <c r="F22" s="75" t="s">
        <v>276</v>
      </c>
      <c r="G22" s="356"/>
    </row>
    <row r="23" spans="1:13" s="77" customFormat="1" ht="13.8" x14ac:dyDescent="0.3">
      <c r="A23" s="77" t="s">
        <v>310</v>
      </c>
      <c r="B23" s="349">
        <v>0.3</v>
      </c>
      <c r="C23" s="349">
        <f t="shared" si="0"/>
        <v>0.22499999999999998</v>
      </c>
      <c r="D23" s="349">
        <v>0.15</v>
      </c>
      <c r="E23" s="363">
        <f t="shared" si="1"/>
        <v>0.22499999999999998</v>
      </c>
      <c r="F23" s="77" t="s">
        <v>311</v>
      </c>
      <c r="K23" s="241"/>
    </row>
    <row r="24" spans="1:13" s="77" customFormat="1" ht="13.8" x14ac:dyDescent="0.3">
      <c r="D24" s="315"/>
      <c r="E24" s="361"/>
      <c r="F24" s="75"/>
      <c r="G24" s="356"/>
    </row>
    <row r="25" spans="1:13" s="77" customFormat="1" ht="13.95" customHeight="1" x14ac:dyDescent="0.3">
      <c r="A25" s="348" t="s">
        <v>451</v>
      </c>
      <c r="B25" s="351" t="s">
        <v>280</v>
      </c>
      <c r="C25" s="351" t="s">
        <v>282</v>
      </c>
      <c r="D25" s="351" t="s">
        <v>281</v>
      </c>
      <c r="E25" s="362" t="s">
        <v>283</v>
      </c>
      <c r="F25" s="347" t="s">
        <v>3</v>
      </c>
      <c r="G25" s="347"/>
      <c r="H25" s="347"/>
      <c r="I25" s="347"/>
      <c r="J25" s="347"/>
      <c r="K25" s="241"/>
    </row>
    <row r="26" spans="1:13" s="77" customFormat="1" ht="13.8" x14ac:dyDescent="0.3">
      <c r="A26" s="329"/>
      <c r="B26" s="329"/>
      <c r="C26" s="329"/>
      <c r="D26" s="332"/>
      <c r="E26" s="361"/>
      <c r="F26" s="331"/>
      <c r="G26" s="358"/>
      <c r="H26" s="330"/>
    </row>
    <row r="27" spans="1:13" s="77" customFormat="1" ht="13.8" x14ac:dyDescent="0.3">
      <c r="A27" s="512" t="s">
        <v>453</v>
      </c>
      <c r="B27" s="512"/>
      <c r="C27" s="512"/>
      <c r="D27" s="513"/>
      <c r="E27" s="514"/>
      <c r="F27" s="514"/>
      <c r="G27" s="358"/>
      <c r="H27" s="330"/>
    </row>
    <row r="28" spans="1:13" s="77" customFormat="1" ht="13.8" x14ac:dyDescent="0.3">
      <c r="A28" s="511" t="s">
        <v>452</v>
      </c>
      <c r="B28" s="394">
        <f>Production!J26</f>
        <v>0</v>
      </c>
      <c r="C28" s="333">
        <f>Production!B101</f>
        <v>3888.8888888888882</v>
      </c>
      <c r="D28" s="395">
        <f>C28</f>
        <v>3888.8888888888882</v>
      </c>
      <c r="E28" s="364">
        <f t="shared" ref="E28:E35" si="2">IF($C$8=$C$10,B28,IF($C$8=$C$11,C28,IF($C$8=$C$12,D28,0)))</f>
        <v>3888.8888888888882</v>
      </c>
      <c r="F28" s="75" t="s">
        <v>471</v>
      </c>
      <c r="G28" s="356"/>
    </row>
    <row r="29" spans="1:13" s="77" customFormat="1" ht="13.8" x14ac:dyDescent="0.3">
      <c r="A29" s="511" t="s">
        <v>345</v>
      </c>
      <c r="B29" s="394">
        <f>Production!J27</f>
        <v>0</v>
      </c>
      <c r="C29" s="333">
        <f>Production!B102</f>
        <v>3888.8888888888882</v>
      </c>
      <c r="D29" s="395">
        <f t="shared" ref="D29:D30" si="3">C29</f>
        <v>3888.8888888888882</v>
      </c>
      <c r="E29" s="364">
        <f>IF($C$8=$C$10,B29,IF($C$8=$C$11,C29,IF($C$8=$C$12,D29,0)))</f>
        <v>3888.8888888888882</v>
      </c>
      <c r="F29" s="75" t="s">
        <v>471</v>
      </c>
      <c r="G29" s="356"/>
    </row>
    <row r="30" spans="1:13" s="77" customFormat="1" ht="13.8" x14ac:dyDescent="0.3">
      <c r="A30" s="511" t="s">
        <v>346</v>
      </c>
      <c r="B30" s="394">
        <f>Production!J28</f>
        <v>0</v>
      </c>
      <c r="C30" s="333">
        <f>Production!B103</f>
        <v>9722.2222222222208</v>
      </c>
      <c r="D30" s="395">
        <f t="shared" si="3"/>
        <v>9722.2222222222208</v>
      </c>
      <c r="E30" s="364">
        <f t="shared" si="2"/>
        <v>9722.2222222222208</v>
      </c>
      <c r="F30" s="75" t="s">
        <v>471</v>
      </c>
      <c r="G30" s="356"/>
    </row>
    <row r="31" spans="1:13" s="77" customFormat="1" ht="13.8" x14ac:dyDescent="0.3">
      <c r="A31" s="511"/>
      <c r="B31" s="333"/>
      <c r="C31" s="333"/>
      <c r="D31" s="395"/>
      <c r="E31" s="364"/>
      <c r="F31" s="75"/>
      <c r="G31" s="356"/>
    </row>
    <row r="32" spans="1:13" s="77" customFormat="1" ht="13.8" x14ac:dyDescent="0.3">
      <c r="A32" s="512" t="s">
        <v>341</v>
      </c>
      <c r="B32" s="512"/>
      <c r="C32" s="512"/>
      <c r="D32" s="513"/>
      <c r="E32" s="514"/>
      <c r="F32" s="514"/>
      <c r="G32" s="356"/>
    </row>
    <row r="33" spans="1:12" s="77" customFormat="1" ht="13.8" x14ac:dyDescent="0.3">
      <c r="A33" s="511" t="s">
        <v>452</v>
      </c>
      <c r="B33" s="521">
        <f>C33</f>
        <v>8.4</v>
      </c>
      <c r="C33" s="522">
        <f>Production!B107</f>
        <v>8.4</v>
      </c>
      <c r="D33" s="523">
        <f>C33</f>
        <v>8.4</v>
      </c>
      <c r="E33" s="520">
        <f t="shared" si="2"/>
        <v>8.4</v>
      </c>
      <c r="F33" s="75" t="s">
        <v>472</v>
      </c>
      <c r="G33" s="359"/>
    </row>
    <row r="34" spans="1:12" s="77" customFormat="1" ht="13.8" x14ac:dyDescent="0.3">
      <c r="A34" s="511" t="s">
        <v>345</v>
      </c>
      <c r="B34" s="521">
        <f t="shared" ref="B34:B35" si="4">C34</f>
        <v>8.07</v>
      </c>
      <c r="C34" s="522">
        <f>Production!B108</f>
        <v>8.07</v>
      </c>
      <c r="D34" s="523">
        <f t="shared" ref="D34:D35" si="5">C34</f>
        <v>8.07</v>
      </c>
      <c r="E34" s="520">
        <f t="shared" si="2"/>
        <v>8.07</v>
      </c>
      <c r="F34" s="75" t="s">
        <v>472</v>
      </c>
      <c r="G34" s="359"/>
      <c r="L34" s="241"/>
    </row>
    <row r="35" spans="1:12" s="77" customFormat="1" ht="13.8" x14ac:dyDescent="0.3">
      <c r="A35" s="511" t="s">
        <v>346</v>
      </c>
      <c r="B35" s="521">
        <f t="shared" si="4"/>
        <v>5.6</v>
      </c>
      <c r="C35" s="522">
        <f>Production!B109</f>
        <v>5.6</v>
      </c>
      <c r="D35" s="523">
        <f t="shared" si="5"/>
        <v>5.6</v>
      </c>
      <c r="E35" s="520">
        <f t="shared" si="2"/>
        <v>5.6</v>
      </c>
      <c r="F35" s="75" t="s">
        <v>472</v>
      </c>
      <c r="G35" s="356"/>
    </row>
    <row r="36" spans="1:12" s="77" customFormat="1" ht="13.8" x14ac:dyDescent="0.3">
      <c r="A36" s="393"/>
      <c r="B36" s="394"/>
      <c r="C36" s="333"/>
      <c r="D36" s="395"/>
      <c r="E36" s="364"/>
      <c r="F36" s="75"/>
      <c r="G36" s="356"/>
      <c r="H36" s="105"/>
    </row>
    <row r="37" spans="1:12" s="396" customFormat="1" ht="14.4" thickBot="1" x14ac:dyDescent="0.35">
      <c r="A37" s="397"/>
      <c r="B37" s="398"/>
      <c r="C37" s="399"/>
      <c r="D37" s="400"/>
      <c r="E37" s="401"/>
      <c r="F37" s="402"/>
      <c r="G37" s="403"/>
    </row>
    <row r="38" spans="1:12" s="77" customFormat="1" ht="13.8" x14ac:dyDescent="0.3">
      <c r="E38" s="364"/>
      <c r="G38" s="356"/>
      <c r="H38" s="105"/>
    </row>
    <row r="39" spans="1:12" s="77" customFormat="1" ht="13.8" x14ac:dyDescent="0.3">
      <c r="E39" s="364"/>
      <c r="G39" s="356"/>
      <c r="H39" s="105"/>
    </row>
    <row r="40" spans="1:12" s="77" customFormat="1" ht="13.8" x14ac:dyDescent="0.3">
      <c r="E40" s="365"/>
      <c r="G40" s="356"/>
      <c r="H40" s="105"/>
    </row>
    <row r="41" spans="1:12" s="77" customFormat="1" ht="13.8" x14ac:dyDescent="0.3">
      <c r="E41" s="365"/>
      <c r="G41" s="356"/>
      <c r="H41" s="105"/>
    </row>
    <row r="42" spans="1:12" s="77" customFormat="1" ht="13.8" x14ac:dyDescent="0.3">
      <c r="E42" s="365"/>
      <c r="G42" s="356"/>
      <c r="H42" s="105"/>
    </row>
    <row r="43" spans="1:12" s="77" customFormat="1" ht="13.8" x14ac:dyDescent="0.3">
      <c r="E43" s="365"/>
      <c r="G43" s="356"/>
      <c r="H43" s="105"/>
    </row>
    <row r="44" spans="1:12" s="77" customFormat="1" ht="13.8" x14ac:dyDescent="0.3">
      <c r="E44" s="365"/>
      <c r="G44" s="356"/>
      <c r="H44" s="105"/>
    </row>
    <row r="45" spans="1:12" s="77" customFormat="1" ht="13.8" x14ac:dyDescent="0.3">
      <c r="E45" s="365"/>
      <c r="G45" s="356"/>
      <c r="H45" s="105"/>
    </row>
    <row r="46" spans="1:12" s="77" customFormat="1" ht="13.8" x14ac:dyDescent="0.3">
      <c r="E46" s="365"/>
      <c r="G46" s="356"/>
      <c r="H46" s="105"/>
    </row>
    <row r="47" spans="1:12" s="77" customFormat="1" ht="13.8" x14ac:dyDescent="0.3">
      <c r="E47" s="365"/>
      <c r="G47" s="356"/>
      <c r="H47" s="105"/>
    </row>
    <row r="48" spans="1:12" s="77" customFormat="1" ht="13.8" x14ac:dyDescent="0.3">
      <c r="E48" s="365"/>
      <c r="G48" s="356"/>
      <c r="H48" s="105"/>
    </row>
    <row r="49" spans="5:8" s="77" customFormat="1" ht="13.8" x14ac:dyDescent="0.3">
      <c r="E49" s="365"/>
      <c r="G49" s="356"/>
      <c r="H49" s="105"/>
    </row>
    <row r="50" spans="5:8" s="77" customFormat="1" ht="13.8" x14ac:dyDescent="0.3">
      <c r="E50" s="365"/>
      <c r="G50" s="356"/>
      <c r="H50" s="105"/>
    </row>
    <row r="51" spans="5:8" s="77" customFormat="1" ht="13.8" x14ac:dyDescent="0.3">
      <c r="E51" s="365"/>
      <c r="G51" s="356"/>
      <c r="H51" s="105"/>
    </row>
    <row r="52" spans="5:8" s="77" customFormat="1" ht="13.8" x14ac:dyDescent="0.3">
      <c r="E52" s="365"/>
      <c r="G52" s="356"/>
      <c r="H52" s="105"/>
    </row>
    <row r="53" spans="5:8" s="77" customFormat="1" ht="13.8" x14ac:dyDescent="0.3">
      <c r="E53" s="365"/>
      <c r="G53" s="356"/>
      <c r="H53" s="105"/>
    </row>
    <row r="54" spans="5:8" s="77" customFormat="1" ht="13.8" x14ac:dyDescent="0.3">
      <c r="E54" s="365"/>
      <c r="G54" s="356"/>
      <c r="H54" s="105"/>
    </row>
    <row r="55" spans="5:8" s="77" customFormat="1" ht="13.8" x14ac:dyDescent="0.3">
      <c r="E55" s="365"/>
      <c r="G55" s="356"/>
      <c r="H55" s="105"/>
    </row>
    <row r="56" spans="5:8" s="77" customFormat="1" ht="13.8" x14ac:dyDescent="0.3">
      <c r="E56" s="365"/>
      <c r="G56" s="356"/>
      <c r="H56" s="105"/>
    </row>
    <row r="57" spans="5:8" s="77" customFormat="1" ht="13.8" x14ac:dyDescent="0.3">
      <c r="E57" s="365"/>
      <c r="G57" s="356"/>
      <c r="H57" s="105"/>
    </row>
    <row r="58" spans="5:8" s="77" customFormat="1" ht="13.8" x14ac:dyDescent="0.3">
      <c r="E58" s="365"/>
      <c r="G58" s="356"/>
      <c r="H58" s="105"/>
    </row>
    <row r="59" spans="5:8" s="77" customFormat="1" ht="13.8" x14ac:dyDescent="0.3">
      <c r="E59" s="365"/>
      <c r="G59" s="356"/>
      <c r="H59" s="105"/>
    </row>
    <row r="60" spans="5:8" s="77" customFormat="1" ht="13.8" x14ac:dyDescent="0.3">
      <c r="E60" s="365"/>
      <c r="G60" s="356"/>
      <c r="H60" s="105"/>
    </row>
    <row r="61" spans="5:8" s="77" customFormat="1" ht="13.8" x14ac:dyDescent="0.3">
      <c r="E61" s="365"/>
      <c r="G61" s="356"/>
      <c r="H61" s="105"/>
    </row>
    <row r="62" spans="5:8" s="77" customFormat="1" ht="13.8" x14ac:dyDescent="0.3">
      <c r="E62" s="365"/>
      <c r="G62" s="356"/>
      <c r="H62" s="105"/>
    </row>
    <row r="63" spans="5:8" s="77" customFormat="1" ht="13.8" x14ac:dyDescent="0.3">
      <c r="E63" s="365"/>
      <c r="G63" s="356"/>
      <c r="H63" s="105"/>
    </row>
    <row r="64" spans="5:8" s="77" customFormat="1" ht="13.8" x14ac:dyDescent="0.3">
      <c r="E64" s="365"/>
      <c r="G64" s="356"/>
      <c r="H64" s="105"/>
    </row>
    <row r="65" spans="5:8" s="77" customFormat="1" ht="13.8" x14ac:dyDescent="0.3">
      <c r="E65" s="365"/>
      <c r="G65" s="356"/>
      <c r="H65" s="105"/>
    </row>
    <row r="66" spans="5:8" s="77" customFormat="1" ht="13.8" x14ac:dyDescent="0.3">
      <c r="E66" s="365"/>
      <c r="G66" s="356"/>
      <c r="H66" s="105"/>
    </row>
    <row r="67" spans="5:8" s="77" customFormat="1" ht="13.8" x14ac:dyDescent="0.3">
      <c r="E67" s="365"/>
      <c r="G67" s="356"/>
      <c r="H67" s="105"/>
    </row>
    <row r="68" spans="5:8" s="77" customFormat="1" ht="13.8" x14ac:dyDescent="0.3">
      <c r="E68" s="365"/>
      <c r="G68" s="356"/>
      <c r="H68" s="105"/>
    </row>
    <row r="69" spans="5:8" s="77" customFormat="1" ht="13.8" x14ac:dyDescent="0.3">
      <c r="E69" s="365"/>
      <c r="G69" s="356"/>
      <c r="H69" s="105"/>
    </row>
    <row r="70" spans="5:8" s="77" customFormat="1" ht="13.8" x14ac:dyDescent="0.3">
      <c r="E70" s="365"/>
      <c r="G70" s="356"/>
      <c r="H70" s="105"/>
    </row>
    <row r="71" spans="5:8" s="77" customFormat="1" ht="13.8" x14ac:dyDescent="0.3">
      <c r="E71" s="365"/>
      <c r="G71" s="356"/>
      <c r="H71" s="105"/>
    </row>
    <row r="72" spans="5:8" s="77" customFormat="1" ht="13.8" x14ac:dyDescent="0.3">
      <c r="E72" s="365"/>
      <c r="G72" s="356"/>
      <c r="H72" s="105"/>
    </row>
    <row r="73" spans="5:8" s="77" customFormat="1" ht="13.8" x14ac:dyDescent="0.3">
      <c r="E73" s="365"/>
      <c r="G73" s="356"/>
      <c r="H73" s="105"/>
    </row>
    <row r="74" spans="5:8" s="77" customFormat="1" ht="13.8" x14ac:dyDescent="0.3">
      <c r="E74" s="365"/>
      <c r="G74" s="356"/>
      <c r="H74" s="105"/>
    </row>
    <row r="75" spans="5:8" s="77" customFormat="1" ht="13.8" x14ac:dyDescent="0.3">
      <c r="E75" s="365"/>
      <c r="G75" s="356"/>
      <c r="H75" s="105"/>
    </row>
    <row r="76" spans="5:8" s="77" customFormat="1" ht="13.8" x14ac:dyDescent="0.3">
      <c r="E76" s="365"/>
      <c r="G76" s="356"/>
      <c r="H76" s="105"/>
    </row>
    <row r="77" spans="5:8" s="77" customFormat="1" ht="13.8" x14ac:dyDescent="0.3">
      <c r="E77" s="365"/>
      <c r="G77" s="356"/>
      <c r="H77" s="105"/>
    </row>
    <row r="78" spans="5:8" s="77" customFormat="1" ht="13.8" x14ac:dyDescent="0.3">
      <c r="E78" s="365"/>
      <c r="G78" s="356"/>
      <c r="H78" s="105"/>
    </row>
    <row r="79" spans="5:8" s="77" customFormat="1" ht="13.8" x14ac:dyDescent="0.3">
      <c r="E79" s="365"/>
      <c r="G79" s="356"/>
      <c r="H79" s="105"/>
    </row>
    <row r="80" spans="5:8" s="77" customFormat="1" ht="13.8" x14ac:dyDescent="0.3">
      <c r="E80" s="365"/>
      <c r="G80" s="356"/>
      <c r="H80" s="105"/>
    </row>
    <row r="81" spans="5:8" s="77" customFormat="1" ht="13.8" x14ac:dyDescent="0.3">
      <c r="E81" s="365"/>
      <c r="G81" s="356"/>
      <c r="H81" s="105"/>
    </row>
    <row r="82" spans="5:8" s="77" customFormat="1" ht="13.8" x14ac:dyDescent="0.3">
      <c r="E82" s="365"/>
      <c r="G82" s="356"/>
      <c r="H82" s="105"/>
    </row>
    <row r="83" spans="5:8" s="77" customFormat="1" ht="13.8" x14ac:dyDescent="0.3">
      <c r="E83" s="365"/>
      <c r="G83" s="356"/>
      <c r="H83" s="105"/>
    </row>
    <row r="84" spans="5:8" s="77" customFormat="1" ht="13.8" x14ac:dyDescent="0.3">
      <c r="E84" s="365"/>
      <c r="G84" s="356"/>
      <c r="H84" s="105"/>
    </row>
    <row r="85" spans="5:8" s="77" customFormat="1" ht="13.8" x14ac:dyDescent="0.3">
      <c r="E85" s="365"/>
      <c r="G85" s="356"/>
      <c r="H85" s="105"/>
    </row>
    <row r="86" spans="5:8" s="77" customFormat="1" ht="13.8" x14ac:dyDescent="0.3">
      <c r="E86" s="365"/>
      <c r="G86" s="356"/>
      <c r="H86" s="105"/>
    </row>
    <row r="87" spans="5:8" s="77" customFormat="1" ht="13.8" x14ac:dyDescent="0.3">
      <c r="E87" s="365"/>
      <c r="G87" s="356"/>
      <c r="H87" s="105"/>
    </row>
    <row r="88" spans="5:8" s="77" customFormat="1" ht="13.8" x14ac:dyDescent="0.3">
      <c r="E88" s="365"/>
      <c r="G88" s="356"/>
      <c r="H88" s="105"/>
    </row>
    <row r="89" spans="5:8" s="77" customFormat="1" ht="13.8" x14ac:dyDescent="0.3">
      <c r="E89" s="365"/>
      <c r="G89" s="356"/>
      <c r="H89" s="105"/>
    </row>
    <row r="90" spans="5:8" s="77" customFormat="1" ht="13.8" x14ac:dyDescent="0.3">
      <c r="E90" s="365"/>
      <c r="G90" s="356"/>
      <c r="H90" s="105"/>
    </row>
    <row r="91" spans="5:8" s="77" customFormat="1" ht="13.8" x14ac:dyDescent="0.3">
      <c r="E91" s="365"/>
      <c r="G91" s="356"/>
      <c r="H91" s="105"/>
    </row>
    <row r="92" spans="5:8" s="77" customFormat="1" ht="13.8" x14ac:dyDescent="0.3">
      <c r="E92" s="365"/>
      <c r="G92" s="356"/>
      <c r="H92" s="105"/>
    </row>
    <row r="93" spans="5:8" s="77" customFormat="1" ht="13.8" x14ac:dyDescent="0.3">
      <c r="E93" s="365"/>
      <c r="G93" s="356"/>
      <c r="H93" s="105"/>
    </row>
    <row r="94" spans="5:8" s="77" customFormat="1" ht="13.8" x14ac:dyDescent="0.3">
      <c r="E94" s="365"/>
      <c r="G94" s="356"/>
      <c r="H94" s="105"/>
    </row>
    <row r="95" spans="5:8" s="77" customFormat="1" ht="13.8" x14ac:dyDescent="0.3">
      <c r="E95" s="365"/>
      <c r="G95" s="356"/>
      <c r="H95" s="105"/>
    </row>
    <row r="96" spans="5:8" s="77" customFormat="1" ht="13.8" x14ac:dyDescent="0.3">
      <c r="E96" s="365"/>
      <c r="G96" s="356"/>
      <c r="H96" s="105"/>
    </row>
    <row r="97" spans="5:8" s="77" customFormat="1" ht="13.8" x14ac:dyDescent="0.3">
      <c r="E97" s="365"/>
      <c r="G97" s="356"/>
      <c r="H97" s="105"/>
    </row>
    <row r="98" spans="5:8" s="77" customFormat="1" ht="13.8" x14ac:dyDescent="0.3">
      <c r="E98" s="365"/>
      <c r="G98" s="356"/>
      <c r="H98" s="105"/>
    </row>
    <row r="99" spans="5:8" s="77" customFormat="1" ht="13.8" x14ac:dyDescent="0.3">
      <c r="E99" s="365"/>
      <c r="G99" s="356"/>
      <c r="H99" s="105"/>
    </row>
    <row r="100" spans="5:8" s="77" customFormat="1" ht="13.8" x14ac:dyDescent="0.3">
      <c r="E100" s="365"/>
      <c r="G100" s="356"/>
      <c r="H100" s="105"/>
    </row>
    <row r="101" spans="5:8" s="77" customFormat="1" ht="13.8" x14ac:dyDescent="0.3">
      <c r="E101" s="365"/>
      <c r="G101" s="356"/>
      <c r="H101" s="105"/>
    </row>
    <row r="102" spans="5:8" s="77" customFormat="1" ht="13.8" x14ac:dyDescent="0.3">
      <c r="E102" s="365"/>
      <c r="G102" s="356"/>
      <c r="H102" s="105"/>
    </row>
    <row r="103" spans="5:8" s="77" customFormat="1" ht="13.8" x14ac:dyDescent="0.3">
      <c r="E103" s="365"/>
      <c r="G103" s="356"/>
      <c r="H103" s="105"/>
    </row>
    <row r="104" spans="5:8" s="77" customFormat="1" ht="13.8" x14ac:dyDescent="0.3">
      <c r="E104" s="365"/>
      <c r="G104" s="356"/>
      <c r="H104" s="105"/>
    </row>
    <row r="105" spans="5:8" s="77" customFormat="1" ht="13.8" x14ac:dyDescent="0.3">
      <c r="E105" s="365"/>
      <c r="G105" s="356"/>
      <c r="H105" s="105"/>
    </row>
    <row r="106" spans="5:8" s="77" customFormat="1" ht="13.8" x14ac:dyDescent="0.3">
      <c r="E106" s="365"/>
      <c r="G106" s="356"/>
      <c r="H106" s="105"/>
    </row>
    <row r="107" spans="5:8" s="77" customFormat="1" ht="13.8" x14ac:dyDescent="0.3">
      <c r="E107" s="365"/>
      <c r="G107" s="356"/>
      <c r="H107" s="105"/>
    </row>
    <row r="108" spans="5:8" s="77" customFormat="1" ht="13.8" x14ac:dyDescent="0.3">
      <c r="E108" s="365"/>
      <c r="G108" s="356"/>
      <c r="H108" s="105"/>
    </row>
    <row r="109" spans="5:8" s="77" customFormat="1" ht="13.8" x14ac:dyDescent="0.3">
      <c r="E109" s="365"/>
      <c r="G109" s="356"/>
      <c r="H109" s="105"/>
    </row>
    <row r="110" spans="5:8" s="77" customFormat="1" ht="13.8" x14ac:dyDescent="0.3">
      <c r="E110" s="365"/>
      <c r="G110" s="356"/>
      <c r="H110" s="105"/>
    </row>
    <row r="111" spans="5:8" s="77" customFormat="1" ht="13.8" x14ac:dyDescent="0.3">
      <c r="E111" s="365"/>
      <c r="G111" s="356"/>
      <c r="H111" s="105"/>
    </row>
    <row r="112" spans="5:8" s="77" customFormat="1" ht="13.8" x14ac:dyDescent="0.3">
      <c r="E112" s="365"/>
      <c r="G112" s="356"/>
      <c r="H112" s="105"/>
    </row>
    <row r="113" spans="5:8" s="77" customFormat="1" ht="13.8" x14ac:dyDescent="0.3">
      <c r="E113" s="365"/>
      <c r="G113" s="356"/>
      <c r="H113" s="105"/>
    </row>
    <row r="114" spans="5:8" s="77" customFormat="1" ht="13.8" x14ac:dyDescent="0.3">
      <c r="E114" s="365"/>
      <c r="G114" s="356"/>
      <c r="H114" s="105"/>
    </row>
    <row r="115" spans="5:8" s="77" customFormat="1" ht="13.8" x14ac:dyDescent="0.3">
      <c r="E115" s="365"/>
      <c r="G115" s="356"/>
      <c r="H115" s="105"/>
    </row>
    <row r="116" spans="5:8" s="77" customFormat="1" ht="13.8" x14ac:dyDescent="0.3">
      <c r="E116" s="365"/>
      <c r="G116" s="356"/>
      <c r="H116" s="105"/>
    </row>
    <row r="117" spans="5:8" s="77" customFormat="1" ht="13.8" x14ac:dyDescent="0.3">
      <c r="E117" s="365"/>
      <c r="G117" s="356"/>
      <c r="H117" s="105"/>
    </row>
    <row r="118" spans="5:8" s="77" customFormat="1" ht="13.8" x14ac:dyDescent="0.3">
      <c r="E118" s="365"/>
      <c r="G118" s="356"/>
      <c r="H118" s="105"/>
    </row>
    <row r="119" spans="5:8" s="77" customFormat="1" ht="13.8" x14ac:dyDescent="0.3">
      <c r="E119" s="365"/>
      <c r="G119" s="356"/>
      <c r="H119" s="105"/>
    </row>
    <row r="120" spans="5:8" s="77" customFormat="1" ht="13.8" x14ac:dyDescent="0.3">
      <c r="E120" s="365"/>
      <c r="G120" s="356"/>
      <c r="H120" s="105"/>
    </row>
    <row r="121" spans="5:8" s="77" customFormat="1" ht="13.8" x14ac:dyDescent="0.3">
      <c r="E121" s="365"/>
      <c r="G121" s="356"/>
      <c r="H121" s="105"/>
    </row>
    <row r="122" spans="5:8" s="77" customFormat="1" ht="13.8" x14ac:dyDescent="0.3">
      <c r="E122" s="365"/>
      <c r="G122" s="356"/>
      <c r="H122" s="105"/>
    </row>
    <row r="123" spans="5:8" s="77" customFormat="1" ht="13.8" x14ac:dyDescent="0.3">
      <c r="E123" s="365"/>
      <c r="G123" s="356"/>
      <c r="H123" s="105"/>
    </row>
    <row r="124" spans="5:8" s="77" customFormat="1" ht="13.8" x14ac:dyDescent="0.3">
      <c r="E124" s="365"/>
      <c r="G124" s="356"/>
      <c r="H124" s="105"/>
    </row>
    <row r="125" spans="5:8" s="77" customFormat="1" ht="13.8" x14ac:dyDescent="0.3">
      <c r="E125" s="365"/>
      <c r="G125" s="356"/>
      <c r="H125" s="105"/>
    </row>
    <row r="126" spans="5:8" s="77" customFormat="1" ht="13.8" x14ac:dyDescent="0.3">
      <c r="E126" s="365"/>
      <c r="G126" s="356"/>
      <c r="H126" s="105"/>
    </row>
    <row r="127" spans="5:8" s="77" customFormat="1" ht="13.8" x14ac:dyDescent="0.3">
      <c r="E127" s="365"/>
      <c r="G127" s="356"/>
      <c r="H127" s="105"/>
    </row>
    <row r="128" spans="5:8" s="77" customFormat="1" ht="13.8" x14ac:dyDescent="0.3">
      <c r="E128" s="365"/>
      <c r="G128" s="356"/>
      <c r="H128" s="105"/>
    </row>
    <row r="129" spans="5:8" s="77" customFormat="1" ht="13.8" x14ac:dyDescent="0.3">
      <c r="E129" s="365"/>
      <c r="G129" s="356"/>
      <c r="H129" s="105"/>
    </row>
    <row r="130" spans="5:8" s="77" customFormat="1" ht="13.8" x14ac:dyDescent="0.3">
      <c r="E130" s="365"/>
      <c r="G130" s="356"/>
      <c r="H130" s="105"/>
    </row>
    <row r="131" spans="5:8" s="77" customFormat="1" ht="13.8" x14ac:dyDescent="0.3">
      <c r="E131" s="365"/>
      <c r="G131" s="356"/>
      <c r="H131" s="105"/>
    </row>
    <row r="132" spans="5:8" s="77" customFormat="1" ht="13.8" x14ac:dyDescent="0.3">
      <c r="E132" s="365"/>
      <c r="G132" s="356"/>
      <c r="H132" s="105"/>
    </row>
    <row r="133" spans="5:8" s="77" customFormat="1" ht="13.8" x14ac:dyDescent="0.3">
      <c r="E133" s="365"/>
      <c r="G133" s="356"/>
      <c r="H133" s="105"/>
    </row>
    <row r="134" spans="5:8" s="77" customFormat="1" ht="13.8" x14ac:dyDescent="0.3">
      <c r="E134" s="365"/>
      <c r="G134" s="356"/>
      <c r="H134" s="105"/>
    </row>
    <row r="135" spans="5:8" s="77" customFormat="1" ht="13.8" x14ac:dyDescent="0.3">
      <c r="E135" s="365"/>
      <c r="G135" s="356"/>
      <c r="H135" s="105"/>
    </row>
    <row r="136" spans="5:8" s="77" customFormat="1" ht="13.8" x14ac:dyDescent="0.3">
      <c r="E136" s="365"/>
      <c r="G136" s="356"/>
      <c r="H136" s="105"/>
    </row>
    <row r="137" spans="5:8" s="77" customFormat="1" ht="13.8" x14ac:dyDescent="0.3">
      <c r="E137" s="365"/>
      <c r="G137" s="356"/>
      <c r="H137" s="105"/>
    </row>
    <row r="138" spans="5:8" s="77" customFormat="1" ht="13.8" x14ac:dyDescent="0.3">
      <c r="E138" s="365"/>
      <c r="G138" s="356"/>
      <c r="H138" s="105"/>
    </row>
    <row r="139" spans="5:8" s="77" customFormat="1" ht="13.8" x14ac:dyDescent="0.3">
      <c r="E139" s="365"/>
      <c r="G139" s="356"/>
      <c r="H139" s="105"/>
    </row>
    <row r="140" spans="5:8" s="77" customFormat="1" ht="13.8" x14ac:dyDescent="0.3">
      <c r="E140" s="365"/>
      <c r="G140" s="356"/>
      <c r="H140" s="105"/>
    </row>
    <row r="141" spans="5:8" s="77" customFormat="1" ht="13.8" x14ac:dyDescent="0.3">
      <c r="E141" s="365"/>
      <c r="G141" s="356"/>
      <c r="H141" s="105"/>
    </row>
    <row r="142" spans="5:8" s="77" customFormat="1" ht="13.8" x14ac:dyDescent="0.3">
      <c r="E142" s="365"/>
      <c r="G142" s="356"/>
      <c r="H142" s="105"/>
    </row>
    <row r="143" spans="5:8" s="77" customFormat="1" ht="13.8" x14ac:dyDescent="0.3">
      <c r="E143" s="365"/>
      <c r="G143" s="356"/>
      <c r="H143" s="105"/>
    </row>
    <row r="144" spans="5:8" s="77" customFormat="1" ht="13.8" x14ac:dyDescent="0.3">
      <c r="E144" s="365"/>
      <c r="G144" s="356"/>
      <c r="H144" s="105"/>
    </row>
    <row r="145" spans="5:8" s="77" customFormat="1" ht="13.8" x14ac:dyDescent="0.3">
      <c r="E145" s="365"/>
      <c r="G145" s="356"/>
      <c r="H145" s="105"/>
    </row>
    <row r="146" spans="5:8" s="77" customFormat="1" ht="13.8" x14ac:dyDescent="0.3">
      <c r="E146" s="365"/>
      <c r="G146" s="356"/>
      <c r="H146" s="105"/>
    </row>
    <row r="147" spans="5:8" s="77" customFormat="1" ht="13.8" x14ac:dyDescent="0.3">
      <c r="E147" s="365"/>
      <c r="G147" s="356"/>
      <c r="H147" s="105"/>
    </row>
    <row r="148" spans="5:8" s="77" customFormat="1" ht="13.8" x14ac:dyDescent="0.3">
      <c r="E148" s="365"/>
      <c r="G148" s="356"/>
      <c r="H148" s="105"/>
    </row>
    <row r="149" spans="5:8" s="77" customFormat="1" ht="13.8" x14ac:dyDescent="0.3">
      <c r="E149" s="365"/>
      <c r="G149" s="356"/>
      <c r="H149" s="105"/>
    </row>
    <row r="150" spans="5:8" s="77" customFormat="1" ht="13.8" x14ac:dyDescent="0.3">
      <c r="E150" s="365"/>
      <c r="G150" s="356"/>
      <c r="H150" s="105"/>
    </row>
    <row r="151" spans="5:8" s="77" customFormat="1" ht="13.8" x14ac:dyDescent="0.3">
      <c r="E151" s="365"/>
      <c r="G151" s="356"/>
      <c r="H151" s="105"/>
    </row>
    <row r="152" spans="5:8" s="77" customFormat="1" ht="13.8" x14ac:dyDescent="0.3">
      <c r="E152" s="365"/>
      <c r="G152" s="356"/>
      <c r="H152" s="105"/>
    </row>
    <row r="153" spans="5:8" s="77" customFormat="1" ht="13.8" x14ac:dyDescent="0.3">
      <c r="E153" s="365"/>
      <c r="G153" s="356"/>
      <c r="H153" s="105"/>
    </row>
    <row r="154" spans="5:8" s="77" customFormat="1" ht="13.8" x14ac:dyDescent="0.3">
      <c r="E154" s="365"/>
      <c r="G154" s="356"/>
      <c r="H154" s="105"/>
    </row>
    <row r="155" spans="5:8" s="77" customFormat="1" ht="13.8" x14ac:dyDescent="0.3">
      <c r="E155" s="365"/>
      <c r="G155" s="356"/>
      <c r="H155" s="105"/>
    </row>
    <row r="156" spans="5:8" s="77" customFormat="1" ht="13.8" x14ac:dyDescent="0.3">
      <c r="E156" s="365"/>
      <c r="G156" s="356"/>
      <c r="H156" s="105"/>
    </row>
    <row r="157" spans="5:8" s="77" customFormat="1" ht="13.8" x14ac:dyDescent="0.3">
      <c r="E157" s="365"/>
      <c r="G157" s="356"/>
      <c r="H157" s="105"/>
    </row>
    <row r="158" spans="5:8" s="77" customFormat="1" ht="13.8" x14ac:dyDescent="0.3">
      <c r="E158" s="365"/>
      <c r="G158" s="356"/>
      <c r="H158" s="105"/>
    </row>
    <row r="159" spans="5:8" s="77" customFormat="1" ht="13.8" x14ac:dyDescent="0.3">
      <c r="E159" s="365"/>
      <c r="G159" s="356"/>
      <c r="H159" s="105"/>
    </row>
    <row r="160" spans="5:8" s="77" customFormat="1" ht="13.8" x14ac:dyDescent="0.3">
      <c r="E160" s="365"/>
      <c r="G160" s="356"/>
      <c r="H160" s="105"/>
    </row>
    <row r="161" spans="5:8" s="77" customFormat="1" ht="13.8" x14ac:dyDescent="0.3">
      <c r="E161" s="365"/>
      <c r="G161" s="356"/>
      <c r="H161" s="105"/>
    </row>
    <row r="162" spans="5:8" s="77" customFormat="1" ht="13.8" x14ac:dyDescent="0.3">
      <c r="E162" s="365"/>
      <c r="G162" s="356"/>
      <c r="H162" s="105"/>
    </row>
    <row r="163" spans="5:8" s="77" customFormat="1" ht="13.8" x14ac:dyDescent="0.3">
      <c r="E163" s="365"/>
      <c r="G163" s="356"/>
      <c r="H163" s="105"/>
    </row>
    <row r="164" spans="5:8" s="77" customFormat="1" ht="13.8" x14ac:dyDescent="0.3">
      <c r="E164" s="365"/>
      <c r="G164" s="356"/>
      <c r="H164" s="105"/>
    </row>
    <row r="165" spans="5:8" s="77" customFormat="1" ht="13.8" x14ac:dyDescent="0.3">
      <c r="E165" s="365"/>
      <c r="G165" s="356"/>
      <c r="H165" s="105"/>
    </row>
    <row r="166" spans="5:8" s="77" customFormat="1" ht="13.8" x14ac:dyDescent="0.3">
      <c r="E166" s="365"/>
      <c r="G166" s="356"/>
      <c r="H166" s="105"/>
    </row>
    <row r="167" spans="5:8" s="77" customFormat="1" ht="13.8" x14ac:dyDescent="0.3">
      <c r="E167" s="365"/>
      <c r="G167" s="356"/>
      <c r="H167" s="105"/>
    </row>
    <row r="168" spans="5:8" s="77" customFormat="1" ht="13.8" x14ac:dyDescent="0.3">
      <c r="E168" s="365"/>
      <c r="G168" s="356"/>
      <c r="H168" s="105"/>
    </row>
    <row r="169" spans="5:8" s="77" customFormat="1" ht="13.8" x14ac:dyDescent="0.3">
      <c r="E169" s="365"/>
      <c r="G169" s="356"/>
      <c r="H169" s="105"/>
    </row>
    <row r="170" spans="5:8" s="77" customFormat="1" ht="13.8" x14ac:dyDescent="0.3">
      <c r="E170" s="365"/>
      <c r="G170" s="356"/>
      <c r="H170" s="105"/>
    </row>
    <row r="171" spans="5:8" s="77" customFormat="1" ht="13.8" x14ac:dyDescent="0.3">
      <c r="E171" s="365"/>
      <c r="G171" s="356"/>
      <c r="H171" s="105"/>
    </row>
    <row r="172" spans="5:8" s="77" customFormat="1" ht="13.8" x14ac:dyDescent="0.3">
      <c r="E172" s="365"/>
      <c r="G172" s="356"/>
      <c r="H172" s="105"/>
    </row>
    <row r="173" spans="5:8" s="77" customFormat="1" ht="13.8" x14ac:dyDescent="0.3">
      <c r="E173" s="365"/>
      <c r="G173" s="356"/>
      <c r="H173" s="105"/>
    </row>
    <row r="174" spans="5:8" s="77" customFormat="1" ht="13.8" x14ac:dyDescent="0.3">
      <c r="E174" s="365"/>
      <c r="G174" s="356"/>
      <c r="H174" s="105"/>
    </row>
    <row r="175" spans="5:8" s="77" customFormat="1" ht="13.8" x14ac:dyDescent="0.3">
      <c r="E175" s="365"/>
      <c r="G175" s="356"/>
      <c r="H175" s="105"/>
    </row>
    <row r="176" spans="5:8" s="77" customFormat="1" ht="13.8" x14ac:dyDescent="0.3">
      <c r="E176" s="365"/>
      <c r="G176" s="356"/>
      <c r="H176" s="105"/>
    </row>
    <row r="177" spans="5:8" s="77" customFormat="1" ht="13.8" x14ac:dyDescent="0.3">
      <c r="E177" s="365"/>
      <c r="G177" s="356"/>
      <c r="H177" s="105"/>
    </row>
    <row r="178" spans="5:8" s="77" customFormat="1" ht="13.8" x14ac:dyDescent="0.3">
      <c r="E178" s="365"/>
      <c r="G178" s="356"/>
      <c r="H178" s="105"/>
    </row>
    <row r="179" spans="5:8" s="77" customFormat="1" ht="13.8" x14ac:dyDescent="0.3">
      <c r="E179" s="365"/>
      <c r="G179" s="356"/>
      <c r="H179" s="105"/>
    </row>
    <row r="180" spans="5:8" s="77" customFormat="1" ht="13.8" x14ac:dyDescent="0.3">
      <c r="E180" s="365"/>
      <c r="G180" s="356"/>
      <c r="H180" s="105"/>
    </row>
    <row r="181" spans="5:8" s="77" customFormat="1" ht="13.8" x14ac:dyDescent="0.3">
      <c r="E181" s="365"/>
      <c r="G181" s="356"/>
      <c r="H181" s="105"/>
    </row>
    <row r="182" spans="5:8" s="77" customFormat="1" ht="13.8" x14ac:dyDescent="0.3">
      <c r="E182" s="365"/>
      <c r="G182" s="356"/>
      <c r="H182" s="105"/>
    </row>
    <row r="183" spans="5:8" s="77" customFormat="1" ht="13.8" x14ac:dyDescent="0.3">
      <c r="E183" s="365"/>
      <c r="G183" s="356"/>
      <c r="H183" s="105"/>
    </row>
    <row r="184" spans="5:8" s="77" customFormat="1" ht="13.8" x14ac:dyDescent="0.3">
      <c r="E184" s="365"/>
      <c r="G184" s="356"/>
      <c r="H184" s="105"/>
    </row>
    <row r="185" spans="5:8" s="77" customFormat="1" ht="13.8" x14ac:dyDescent="0.3">
      <c r="E185" s="365"/>
      <c r="G185" s="356"/>
      <c r="H185" s="105"/>
    </row>
    <row r="186" spans="5:8" s="77" customFormat="1" ht="13.8" x14ac:dyDescent="0.3">
      <c r="E186" s="365"/>
      <c r="G186" s="356"/>
      <c r="H186" s="105"/>
    </row>
    <row r="187" spans="5:8" s="77" customFormat="1" ht="13.8" x14ac:dyDescent="0.3">
      <c r="E187" s="365"/>
      <c r="G187" s="356"/>
      <c r="H187" s="105"/>
    </row>
    <row r="188" spans="5:8" s="77" customFormat="1" ht="13.8" x14ac:dyDescent="0.3">
      <c r="E188" s="365"/>
      <c r="G188" s="356"/>
      <c r="H188" s="105"/>
    </row>
    <row r="189" spans="5:8" s="77" customFormat="1" ht="13.8" x14ac:dyDescent="0.3">
      <c r="E189" s="365"/>
      <c r="G189" s="356"/>
      <c r="H189" s="105"/>
    </row>
    <row r="190" spans="5:8" s="77" customFormat="1" ht="13.8" x14ac:dyDescent="0.3">
      <c r="E190" s="365"/>
      <c r="G190" s="356"/>
      <c r="H190" s="105"/>
    </row>
    <row r="191" spans="5:8" s="77" customFormat="1" ht="13.8" x14ac:dyDescent="0.3">
      <c r="E191" s="365"/>
      <c r="G191" s="356"/>
      <c r="H191" s="105"/>
    </row>
    <row r="192" spans="5:8" s="77" customFormat="1" ht="13.8" x14ac:dyDescent="0.3">
      <c r="E192" s="365"/>
      <c r="G192" s="356"/>
      <c r="H192" s="105"/>
    </row>
    <row r="193" spans="5:8" s="77" customFormat="1" ht="13.8" x14ac:dyDescent="0.3">
      <c r="E193" s="365"/>
      <c r="G193" s="356"/>
      <c r="H193" s="105"/>
    </row>
    <row r="194" spans="5:8" s="77" customFormat="1" ht="13.8" x14ac:dyDescent="0.3">
      <c r="E194" s="365"/>
      <c r="G194" s="356"/>
      <c r="H194" s="105"/>
    </row>
    <row r="195" spans="5:8" s="77" customFormat="1" ht="13.8" x14ac:dyDescent="0.3">
      <c r="E195" s="365"/>
      <c r="G195" s="356"/>
      <c r="H195" s="105"/>
    </row>
    <row r="196" spans="5:8" s="77" customFormat="1" ht="13.8" x14ac:dyDescent="0.3">
      <c r="E196" s="365"/>
      <c r="G196" s="356"/>
      <c r="H196" s="105"/>
    </row>
    <row r="197" spans="5:8" s="77" customFormat="1" ht="13.8" x14ac:dyDescent="0.3">
      <c r="E197" s="365"/>
      <c r="G197" s="356"/>
      <c r="H197" s="105"/>
    </row>
    <row r="198" spans="5:8" s="77" customFormat="1" ht="13.8" x14ac:dyDescent="0.3">
      <c r="E198" s="365"/>
      <c r="G198" s="356"/>
      <c r="H198" s="105"/>
    </row>
    <row r="199" spans="5:8" s="77" customFormat="1" ht="13.8" x14ac:dyDescent="0.3">
      <c r="E199" s="365"/>
      <c r="G199" s="356"/>
      <c r="H199" s="105"/>
    </row>
    <row r="200" spans="5:8" s="77" customFormat="1" ht="13.8" x14ac:dyDescent="0.3">
      <c r="E200" s="365"/>
      <c r="G200" s="356"/>
      <c r="H200" s="105"/>
    </row>
    <row r="201" spans="5:8" s="77" customFormat="1" ht="13.8" x14ac:dyDescent="0.3">
      <c r="E201" s="365"/>
      <c r="G201" s="356"/>
      <c r="H201" s="105"/>
    </row>
    <row r="202" spans="5:8" s="77" customFormat="1" ht="13.8" x14ac:dyDescent="0.3">
      <c r="E202" s="365"/>
      <c r="G202" s="356"/>
      <c r="H202" s="105"/>
    </row>
    <row r="203" spans="5:8" s="77" customFormat="1" ht="13.8" x14ac:dyDescent="0.3">
      <c r="E203" s="365"/>
      <c r="G203" s="356"/>
      <c r="H203" s="105"/>
    </row>
    <row r="204" spans="5:8" s="77" customFormat="1" ht="13.8" x14ac:dyDescent="0.3">
      <c r="E204" s="365"/>
      <c r="G204" s="356"/>
      <c r="H204" s="105"/>
    </row>
    <row r="205" spans="5:8" s="77" customFormat="1" ht="13.8" x14ac:dyDescent="0.3">
      <c r="E205" s="365"/>
      <c r="G205" s="356"/>
      <c r="H205" s="105"/>
    </row>
    <row r="206" spans="5:8" s="77" customFormat="1" ht="13.8" x14ac:dyDescent="0.3">
      <c r="E206" s="365"/>
      <c r="G206" s="356"/>
      <c r="H206" s="105"/>
    </row>
    <row r="207" spans="5:8" s="77" customFormat="1" ht="13.8" x14ac:dyDescent="0.3">
      <c r="E207" s="365"/>
      <c r="G207" s="356"/>
      <c r="H207" s="105"/>
    </row>
    <row r="208" spans="5:8" s="77" customFormat="1" ht="13.8" x14ac:dyDescent="0.3">
      <c r="E208" s="365"/>
      <c r="G208" s="356"/>
      <c r="H208" s="105"/>
    </row>
    <row r="209" spans="5:8" s="77" customFormat="1" ht="13.8" x14ac:dyDescent="0.3">
      <c r="E209" s="365"/>
      <c r="G209" s="356"/>
      <c r="H209" s="105"/>
    </row>
    <row r="210" spans="5:8" s="77" customFormat="1" ht="13.8" x14ac:dyDescent="0.3">
      <c r="E210" s="365"/>
      <c r="G210" s="356"/>
      <c r="H210" s="105"/>
    </row>
    <row r="211" spans="5:8" s="77" customFormat="1" ht="13.8" x14ac:dyDescent="0.3">
      <c r="E211" s="365"/>
      <c r="G211" s="356"/>
      <c r="H211" s="105"/>
    </row>
    <row r="212" spans="5:8" s="77" customFormat="1" ht="13.8" x14ac:dyDescent="0.3">
      <c r="E212" s="365"/>
      <c r="G212" s="356"/>
      <c r="H212" s="105"/>
    </row>
    <row r="213" spans="5:8" s="77" customFormat="1" ht="13.8" x14ac:dyDescent="0.3">
      <c r="E213" s="365"/>
      <c r="G213" s="356"/>
      <c r="H213" s="105"/>
    </row>
    <row r="214" spans="5:8" s="77" customFormat="1" ht="13.8" x14ac:dyDescent="0.3">
      <c r="E214" s="365"/>
      <c r="G214" s="356"/>
      <c r="H214" s="105"/>
    </row>
    <row r="215" spans="5:8" s="77" customFormat="1" ht="13.8" x14ac:dyDescent="0.3">
      <c r="E215" s="365"/>
      <c r="G215" s="356"/>
      <c r="H215" s="105"/>
    </row>
    <row r="216" spans="5:8" s="77" customFormat="1" ht="13.8" x14ac:dyDescent="0.3">
      <c r="E216" s="365"/>
      <c r="G216" s="356"/>
      <c r="H216" s="105"/>
    </row>
    <row r="217" spans="5:8" s="77" customFormat="1" ht="13.8" x14ac:dyDescent="0.3">
      <c r="E217" s="365"/>
      <c r="G217" s="356"/>
      <c r="H217" s="105"/>
    </row>
    <row r="218" spans="5:8" s="77" customFormat="1" ht="13.8" x14ac:dyDescent="0.3">
      <c r="E218" s="365"/>
      <c r="G218" s="356"/>
      <c r="H218" s="105"/>
    </row>
    <row r="219" spans="5:8" s="77" customFormat="1" ht="13.8" x14ac:dyDescent="0.3">
      <c r="E219" s="365"/>
      <c r="G219" s="356"/>
      <c r="H219" s="105"/>
    </row>
    <row r="220" spans="5:8" s="77" customFormat="1" ht="13.8" x14ac:dyDescent="0.3">
      <c r="E220" s="365"/>
      <c r="G220" s="356"/>
      <c r="H220" s="105"/>
    </row>
    <row r="221" spans="5:8" s="77" customFormat="1" ht="13.8" x14ac:dyDescent="0.3">
      <c r="E221" s="365"/>
      <c r="G221" s="356"/>
      <c r="H221" s="105"/>
    </row>
    <row r="222" spans="5:8" s="77" customFormat="1" ht="13.8" x14ac:dyDescent="0.3">
      <c r="E222" s="365"/>
      <c r="G222" s="356"/>
      <c r="H222" s="105"/>
    </row>
    <row r="223" spans="5:8" s="77" customFormat="1" ht="13.8" x14ac:dyDescent="0.3">
      <c r="E223" s="365"/>
      <c r="G223" s="356"/>
      <c r="H223" s="105"/>
    </row>
    <row r="224" spans="5:8" s="77" customFormat="1" ht="13.8" x14ac:dyDescent="0.3">
      <c r="E224" s="365"/>
      <c r="G224" s="356"/>
      <c r="H224" s="105"/>
    </row>
    <row r="225" spans="5:8" s="77" customFormat="1" ht="13.8" x14ac:dyDescent="0.3">
      <c r="E225" s="365"/>
      <c r="G225" s="356"/>
      <c r="H225" s="105"/>
    </row>
    <row r="226" spans="5:8" s="77" customFormat="1" ht="13.8" x14ac:dyDescent="0.3">
      <c r="E226" s="365"/>
      <c r="G226" s="356"/>
      <c r="H226" s="105"/>
    </row>
    <row r="227" spans="5:8" s="77" customFormat="1" ht="13.8" x14ac:dyDescent="0.3">
      <c r="E227" s="365"/>
      <c r="G227" s="356"/>
      <c r="H227" s="105"/>
    </row>
    <row r="228" spans="5:8" s="77" customFormat="1" ht="13.8" x14ac:dyDescent="0.3">
      <c r="E228" s="365"/>
      <c r="G228" s="356"/>
      <c r="H228" s="105"/>
    </row>
    <row r="229" spans="5:8" s="77" customFormat="1" ht="13.8" x14ac:dyDescent="0.3">
      <c r="E229" s="365"/>
      <c r="G229" s="356"/>
      <c r="H229" s="105"/>
    </row>
    <row r="230" spans="5:8" s="77" customFormat="1" ht="13.8" x14ac:dyDescent="0.3">
      <c r="E230" s="365"/>
      <c r="G230" s="356"/>
      <c r="H230" s="105"/>
    </row>
    <row r="231" spans="5:8" s="77" customFormat="1" ht="13.8" x14ac:dyDescent="0.3">
      <c r="E231" s="365"/>
      <c r="G231" s="356"/>
      <c r="H231" s="105"/>
    </row>
    <row r="232" spans="5:8" s="77" customFormat="1" ht="13.8" x14ac:dyDescent="0.3">
      <c r="E232" s="365"/>
      <c r="G232" s="356"/>
      <c r="H232" s="105"/>
    </row>
    <row r="233" spans="5:8" s="77" customFormat="1" ht="13.8" x14ac:dyDescent="0.3">
      <c r="E233" s="365"/>
      <c r="G233" s="356"/>
      <c r="H233" s="105"/>
    </row>
    <row r="234" spans="5:8" s="77" customFormat="1" ht="13.8" x14ac:dyDescent="0.3">
      <c r="E234" s="365"/>
      <c r="G234" s="356"/>
      <c r="H234" s="105"/>
    </row>
    <row r="235" spans="5:8" s="77" customFormat="1" ht="13.8" x14ac:dyDescent="0.3">
      <c r="E235" s="365"/>
      <c r="G235" s="356"/>
      <c r="H235" s="105"/>
    </row>
    <row r="236" spans="5:8" s="77" customFormat="1" ht="13.8" x14ac:dyDescent="0.3">
      <c r="E236" s="365"/>
      <c r="G236" s="356"/>
      <c r="H236" s="105"/>
    </row>
    <row r="237" spans="5:8" s="77" customFormat="1" ht="13.8" x14ac:dyDescent="0.3">
      <c r="E237" s="365"/>
      <c r="G237" s="356"/>
      <c r="H237" s="105"/>
    </row>
    <row r="238" spans="5:8" s="77" customFormat="1" ht="13.8" x14ac:dyDescent="0.3">
      <c r="E238" s="365"/>
      <c r="G238" s="356"/>
      <c r="H238" s="105"/>
    </row>
    <row r="239" spans="5:8" s="77" customFormat="1" ht="13.8" x14ac:dyDescent="0.3">
      <c r="E239" s="365"/>
      <c r="G239" s="356"/>
      <c r="H239" s="105"/>
    </row>
    <row r="240" spans="5:8" s="77" customFormat="1" ht="13.8" x14ac:dyDescent="0.3">
      <c r="E240" s="365"/>
      <c r="G240" s="356"/>
      <c r="H240" s="105"/>
    </row>
    <row r="241" spans="1:13" s="77" customFormat="1" ht="13.8" x14ac:dyDescent="0.3">
      <c r="E241" s="365"/>
      <c r="G241" s="356"/>
      <c r="H241" s="105"/>
    </row>
    <row r="242" spans="1:13" s="77" customFormat="1" ht="13.8" x14ac:dyDescent="0.3">
      <c r="E242" s="365"/>
      <c r="G242" s="356"/>
      <c r="H242" s="105"/>
    </row>
    <row r="243" spans="1:13" s="77" customFormat="1" ht="13.8" x14ac:dyDescent="0.3">
      <c r="E243" s="365"/>
      <c r="G243" s="356"/>
      <c r="H243" s="105"/>
    </row>
    <row r="244" spans="1:13" ht="13.8" x14ac:dyDescent="0.3">
      <c r="A244" s="77"/>
      <c r="B244" s="77"/>
      <c r="C244" s="77"/>
      <c r="D244" s="77"/>
      <c r="E244" s="365"/>
      <c r="F244" s="77"/>
      <c r="H244" s="105"/>
      <c r="I244" s="77"/>
      <c r="J244" s="77"/>
      <c r="K244" s="77"/>
      <c r="L244" s="77"/>
      <c r="M244" s="77"/>
    </row>
    <row r="245" spans="1:13" ht="13.8" x14ac:dyDescent="0.3">
      <c r="A245" s="77"/>
      <c r="B245" s="77"/>
      <c r="C245" s="77"/>
      <c r="D245" s="77"/>
      <c r="E245" s="365"/>
      <c r="F245" s="77"/>
    </row>
    <row r="246" spans="1:13" ht="13.8" x14ac:dyDescent="0.3">
      <c r="A246" s="77"/>
      <c r="B246" s="77"/>
      <c r="C246" s="77"/>
      <c r="D246" s="77"/>
      <c r="E246" s="365"/>
      <c r="F246" s="77"/>
    </row>
  </sheetData>
  <mergeCells count="2">
    <mergeCell ref="A10:A12"/>
    <mergeCell ref="A2:J4"/>
  </mergeCells>
  <dataValidations count="1">
    <dataValidation type="list" allowBlank="1" showInputMessage="1" showErrorMessage="1" sqref="C8" xr:uid="{19B007FC-F79F-47B8-A819-AF5FC847170D}">
      <formula1>$C$10:$C$12</formula1>
    </dataValidation>
  </dataValidations>
  <pageMargins left="0.7" right="0.7" top="0.75" bottom="0.75" header="0.3" footer="0.3"/>
  <pageSetup orientation="portrait" r:id="rId1"/>
  <ignoredErrors>
    <ignoredError sqref="C20 C22" 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F572-D193-4222-A177-3667C633BDD0}">
  <dimension ref="A1:N99"/>
  <sheetViews>
    <sheetView topLeftCell="A39" zoomScaleNormal="100" workbookViewId="0">
      <selection activeCell="H59" sqref="H59"/>
    </sheetView>
  </sheetViews>
  <sheetFormatPr defaultColWidth="10" defaultRowHeight="13.8" x14ac:dyDescent="0.3"/>
  <cols>
    <col min="1" max="1" width="44" style="409" customWidth="1"/>
    <col min="2" max="2" width="17.25" style="406" customWidth="1"/>
    <col min="3" max="3" width="16" style="406" bestFit="1" customWidth="1"/>
    <col min="4" max="6" width="16" style="409" bestFit="1" customWidth="1"/>
    <col min="7" max="13" width="15.25" style="409" customWidth="1"/>
    <col min="14" max="14" width="17.25" style="409" customWidth="1"/>
    <col min="15" max="16384" width="10" style="409"/>
  </cols>
  <sheetData>
    <row r="1" spans="1:14" ht="14.4" thickBot="1" x14ac:dyDescent="0.35"/>
    <row r="2" spans="1:14" ht="16.2" thickBot="1" x14ac:dyDescent="0.35">
      <c r="A2" s="619" t="s">
        <v>408</v>
      </c>
      <c r="B2" s="620"/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1"/>
    </row>
    <row r="3" spans="1:14" s="437" customFormat="1" ht="14.4" x14ac:dyDescent="0.3">
      <c r="A3" s="479" t="s">
        <v>409</v>
      </c>
      <c r="B3" s="480">
        <f ca="1">Production!A24</f>
        <v>45813</v>
      </c>
      <c r="C3" s="480">
        <f ca="1">Production!A30</f>
        <v>45847</v>
      </c>
      <c r="D3" s="480">
        <f ca="1">Production!A36</f>
        <v>45878</v>
      </c>
      <c r="E3" s="480">
        <f ca="1">Production!A42</f>
        <v>45908</v>
      </c>
      <c r="F3" s="480">
        <f ca="1">Production!A48</f>
        <v>45939</v>
      </c>
      <c r="G3" s="480">
        <f ca="1">Production!A54</f>
        <v>45970</v>
      </c>
      <c r="H3" s="480">
        <f ca="1">Production!A60</f>
        <v>45999</v>
      </c>
      <c r="I3" s="480">
        <f ca="1">Production!A66</f>
        <v>46030</v>
      </c>
      <c r="J3" s="480">
        <f ca="1">Production!A72</f>
        <v>46060</v>
      </c>
      <c r="K3" s="480">
        <f ca="1">Production!A78</f>
        <v>46091</v>
      </c>
      <c r="L3" s="480">
        <f ca="1">Production!A84</f>
        <v>46121</v>
      </c>
      <c r="M3" s="480">
        <f ca="1">Production!A90</f>
        <v>46152</v>
      </c>
      <c r="N3" s="481" t="s">
        <v>291</v>
      </c>
    </row>
    <row r="4" spans="1:14" s="437" customFormat="1" ht="14.4" x14ac:dyDescent="0.3">
      <c r="A4" s="482"/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4"/>
    </row>
    <row r="5" spans="1:14" s="437" customFormat="1" ht="14.4" x14ac:dyDescent="0.3">
      <c r="A5" s="482" t="s">
        <v>357</v>
      </c>
      <c r="B5" s="485">
        <f>SUM(B6:B10)</f>
        <v>5016138.3998333337</v>
      </c>
      <c r="C5" s="485">
        <f>SUM(C8:C11)</f>
        <v>196147.23</v>
      </c>
      <c r="D5" s="485">
        <f>SUM(D8:D11)</f>
        <v>296236.11111111107</v>
      </c>
      <c r="E5" s="485">
        <f t="shared" ref="E5:M5" si="0">SUM(E8:E11)</f>
        <v>296236.11111111107</v>
      </c>
      <c r="F5" s="485">
        <f t="shared" si="0"/>
        <v>296236.11111111107</v>
      </c>
      <c r="G5" s="485">
        <f t="shared" si="0"/>
        <v>296236.11111111107</v>
      </c>
      <c r="H5" s="485">
        <f t="shared" si="0"/>
        <v>296236.11111111107</v>
      </c>
      <c r="I5" s="485">
        <f t="shared" si="0"/>
        <v>296236.11111111107</v>
      </c>
      <c r="J5" s="485">
        <f t="shared" si="0"/>
        <v>296236.11111111107</v>
      </c>
      <c r="K5" s="485">
        <f t="shared" si="0"/>
        <v>296236.11111111107</v>
      </c>
      <c r="L5" s="485">
        <f t="shared" si="0"/>
        <v>296236.11111111107</v>
      </c>
      <c r="M5" s="485">
        <f t="shared" si="0"/>
        <v>118494.44444444442</v>
      </c>
      <c r="N5" s="486">
        <f>SUM(B5:M5)</f>
        <v>7996905.0742777772</v>
      </c>
    </row>
    <row r="6" spans="1:14" s="437" customFormat="1" ht="14.4" x14ac:dyDescent="0.3">
      <c r="A6" s="487" t="s">
        <v>410</v>
      </c>
      <c r="B6" s="488">
        <f>-($B$12+$B$22+$B$32)/2</f>
        <v>2508069.1999166668</v>
      </c>
      <c r="C6" s="485"/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86"/>
    </row>
    <row r="7" spans="1:14" s="437" customFormat="1" ht="14.4" x14ac:dyDescent="0.3">
      <c r="A7" s="487" t="s">
        <v>411</v>
      </c>
      <c r="B7" s="488">
        <f>-($B$12+$B$22+$B$32)/2</f>
        <v>2508069.1999166668</v>
      </c>
      <c r="C7" s="485"/>
      <c r="D7" s="485"/>
      <c r="E7" s="485"/>
      <c r="F7" s="485"/>
      <c r="G7" s="485"/>
      <c r="H7" s="485"/>
      <c r="I7" s="485"/>
      <c r="J7" s="485"/>
      <c r="K7" s="485"/>
      <c r="L7" s="485"/>
      <c r="M7" s="485"/>
      <c r="N7" s="486"/>
    </row>
    <row r="8" spans="1:14" x14ac:dyDescent="0.3">
      <c r="A8" s="489" t="s">
        <v>350</v>
      </c>
      <c r="B8" s="490">
        <f>Production!L26</f>
        <v>0</v>
      </c>
      <c r="C8" s="490"/>
      <c r="D8" s="490">
        <f>Production!L38</f>
        <v>81666.666666666657</v>
      </c>
      <c r="E8" s="490">
        <f>Production!L44</f>
        <v>81666.666666666657</v>
      </c>
      <c r="F8" s="490">
        <f>Production!L50</f>
        <v>81666.666666666657</v>
      </c>
      <c r="G8" s="490">
        <f>Production!L56</f>
        <v>81666.666666666657</v>
      </c>
      <c r="H8" s="490">
        <f>Production!L62</f>
        <v>81666.666666666657</v>
      </c>
      <c r="I8" s="490">
        <f>Production!L68</f>
        <v>81666.666666666657</v>
      </c>
      <c r="J8" s="490">
        <f>Production!L74</f>
        <v>81666.666666666657</v>
      </c>
      <c r="K8" s="490">
        <f>Production!L80</f>
        <v>81666.666666666657</v>
      </c>
      <c r="L8" s="490">
        <f>Production!L86</f>
        <v>81666.666666666657</v>
      </c>
      <c r="M8" s="490">
        <f>Production!L92</f>
        <v>32666.666666666664</v>
      </c>
      <c r="N8" s="491">
        <f t="shared" ref="N8:N28" si="1">SUM(B8:M8)</f>
        <v>767666.6666666664</v>
      </c>
    </row>
    <row r="9" spans="1:14" x14ac:dyDescent="0.3">
      <c r="A9" s="489" t="s">
        <v>412</v>
      </c>
      <c r="B9" s="490">
        <f>Production!L27</f>
        <v>0</v>
      </c>
      <c r="C9" s="490"/>
      <c r="D9" s="490">
        <f>Production!L39</f>
        <v>78458.333333333328</v>
      </c>
      <c r="E9" s="490">
        <f>Production!L45</f>
        <v>78458.333333333328</v>
      </c>
      <c r="F9" s="490">
        <f>Production!L51</f>
        <v>78458.333333333328</v>
      </c>
      <c r="G9" s="490">
        <f>Production!L57</f>
        <v>78458.333333333328</v>
      </c>
      <c r="H9" s="490">
        <f>Production!L63</f>
        <v>78458.333333333328</v>
      </c>
      <c r="I9" s="490">
        <f>Production!L69</f>
        <v>78458.333333333328</v>
      </c>
      <c r="J9" s="490">
        <f>Production!L75</f>
        <v>78458.333333333328</v>
      </c>
      <c r="K9" s="490">
        <f>Production!L81</f>
        <v>78458.333333333328</v>
      </c>
      <c r="L9" s="490">
        <f>Production!L87</f>
        <v>78458.333333333328</v>
      </c>
      <c r="M9" s="490">
        <f>Production!L93</f>
        <v>31383.333333333328</v>
      </c>
      <c r="N9" s="491">
        <f t="shared" si="1"/>
        <v>737508.33333333337</v>
      </c>
    </row>
    <row r="10" spans="1:14" x14ac:dyDescent="0.3">
      <c r="A10" s="489" t="s">
        <v>349</v>
      </c>
      <c r="B10" s="490">
        <f>Production!L28</f>
        <v>0</v>
      </c>
      <c r="C10" s="490"/>
      <c r="D10" s="490">
        <f>Production!L40</f>
        <v>136111.11111111107</v>
      </c>
      <c r="E10" s="490">
        <f>Production!L46</f>
        <v>136111.11111111107</v>
      </c>
      <c r="F10" s="490">
        <f>Production!L52</f>
        <v>136111.11111111107</v>
      </c>
      <c r="G10" s="490">
        <f>Production!L58</f>
        <v>136111.11111111107</v>
      </c>
      <c r="H10" s="490">
        <f>Production!L64</f>
        <v>136111.11111111107</v>
      </c>
      <c r="I10" s="490">
        <f>Production!L70</f>
        <v>136111.11111111107</v>
      </c>
      <c r="J10" s="490">
        <f>Production!L76</f>
        <v>136111.11111111107</v>
      </c>
      <c r="K10" s="490">
        <f>Production!L82</f>
        <v>136111.11111111107</v>
      </c>
      <c r="L10" s="490">
        <f>Production!L88</f>
        <v>136111.11111111107</v>
      </c>
      <c r="M10" s="490">
        <f>Production!L94</f>
        <v>54444.444444444431</v>
      </c>
      <c r="N10" s="491">
        <f t="shared" si="1"/>
        <v>1279444.4444444438</v>
      </c>
    </row>
    <row r="11" spans="1:14" x14ac:dyDescent="0.3">
      <c r="A11" s="489" t="s">
        <v>413</v>
      </c>
      <c r="B11" s="490"/>
      <c r="C11" s="490">
        <v>196147.23</v>
      </c>
      <c r="D11" s="492"/>
      <c r="E11" s="492"/>
      <c r="F11" s="492"/>
      <c r="G11" s="492"/>
      <c r="H11" s="492"/>
      <c r="I11" s="492"/>
      <c r="J11" s="492"/>
      <c r="K11" s="492"/>
      <c r="L11" s="492"/>
      <c r="M11" s="492"/>
      <c r="N11" s="493"/>
    </row>
    <row r="12" spans="1:14" s="437" customFormat="1" ht="14.4" x14ac:dyDescent="0.3">
      <c r="A12" s="482" t="s">
        <v>414</v>
      </c>
      <c r="B12" s="485">
        <f>SUM(B13:B20)</f>
        <v>-102648.22983333335</v>
      </c>
      <c r="C12" s="485">
        <f>SUM(C13:C20)</f>
        <v>-102648.22983333335</v>
      </c>
      <c r="D12" s="485">
        <f t="shared" ref="D12:M12" si="2">SUM(D13:D20)</f>
        <v>-102648.22983333335</v>
      </c>
      <c r="E12" s="485">
        <f t="shared" si="2"/>
        <v>-102648.22983333335</v>
      </c>
      <c r="F12" s="485">
        <f t="shared" si="2"/>
        <v>-102648.22983333335</v>
      </c>
      <c r="G12" s="485">
        <f t="shared" si="2"/>
        <v>-102648.22983333335</v>
      </c>
      <c r="H12" s="485">
        <f t="shared" si="2"/>
        <v>-102648.22983333335</v>
      </c>
      <c r="I12" s="485">
        <f t="shared" si="2"/>
        <v>-102648.22983333335</v>
      </c>
      <c r="J12" s="485">
        <f t="shared" si="2"/>
        <v>-102648.22983333335</v>
      </c>
      <c r="K12" s="485">
        <f t="shared" si="2"/>
        <v>-102648.22983333335</v>
      </c>
      <c r="L12" s="485">
        <f t="shared" si="2"/>
        <v>-102648.22983333335</v>
      </c>
      <c r="M12" s="485">
        <f t="shared" si="2"/>
        <v>-102648.22983333335</v>
      </c>
      <c r="N12" s="486">
        <f t="shared" si="1"/>
        <v>-1231778.7579999999</v>
      </c>
    </row>
    <row r="13" spans="1:14" x14ac:dyDescent="0.3">
      <c r="A13" s="489" t="str">
        <f>'Enterprise budgets'!A12</f>
        <v>Land preparation</v>
      </c>
      <c r="B13" s="490">
        <f>-('Enterprise budgets'!$E$16+'Enterprise budgets'!$L$16+'Enterprise budgets'!$S$16)*Production!$B$5/100000</f>
        <v>-550</v>
      </c>
      <c r="C13" s="490">
        <f>-('Enterprise budgets'!$E$16+'Enterprise budgets'!$L$16+'Enterprise budgets'!$S$16)*Production!$B$5/100000</f>
        <v>-550</v>
      </c>
      <c r="D13" s="490">
        <f>-('Enterprise budgets'!$E$16+'Enterprise budgets'!$L$16+'Enterprise budgets'!$S$16)*Production!$B$5/100000</f>
        <v>-550</v>
      </c>
      <c r="E13" s="490">
        <f>-('Enterprise budgets'!$E$16+'Enterprise budgets'!$L$16+'Enterprise budgets'!$S$16)*Production!$B$5/100000</f>
        <v>-550</v>
      </c>
      <c r="F13" s="490">
        <f>-('Enterprise budgets'!$E$16+'Enterprise budgets'!$L$16+'Enterprise budgets'!$S$16)*Production!$B$5/100000</f>
        <v>-550</v>
      </c>
      <c r="G13" s="490">
        <f>-('Enterprise budgets'!$E$16+'Enterprise budgets'!$L$16+'Enterprise budgets'!$S$16)*Production!$B$5/100000</f>
        <v>-550</v>
      </c>
      <c r="H13" s="490">
        <f>-('Enterprise budgets'!$E$16+'Enterprise budgets'!$L$16+'Enterprise budgets'!$S$16)*Production!$B$5/100000</f>
        <v>-550</v>
      </c>
      <c r="I13" s="490">
        <f>-('Enterprise budgets'!$E$16+'Enterprise budgets'!$L$16+'Enterprise budgets'!$S$16)*Production!$B$5/100000</f>
        <v>-550</v>
      </c>
      <c r="J13" s="490">
        <f>-('Enterprise budgets'!$E$16+'Enterprise budgets'!$L$16+'Enterprise budgets'!$S$16)*Production!$B$5/100000</f>
        <v>-550</v>
      </c>
      <c r="K13" s="490">
        <f>-('Enterprise budgets'!$E$16+'Enterprise budgets'!$L$16+'Enterprise budgets'!$S$16)*Production!$B$5/100000</f>
        <v>-550</v>
      </c>
      <c r="L13" s="490">
        <f>-('Enterprise budgets'!$E$16+'Enterprise budgets'!$L$16+'Enterprise budgets'!$S$16)*Production!$B$5/100000</f>
        <v>-550</v>
      </c>
      <c r="M13" s="490">
        <f>-('Enterprise budgets'!$E$16+'Enterprise budgets'!$L$16+'Enterprise budgets'!$S$16)*Production!$B$5/100000</f>
        <v>-550</v>
      </c>
      <c r="N13" s="491">
        <f t="shared" si="1"/>
        <v>-6600</v>
      </c>
    </row>
    <row r="14" spans="1:14" x14ac:dyDescent="0.3">
      <c r="A14" s="489" t="str">
        <f>'Enterprise budgets'!A17</f>
        <v>Seed &amp; Seedlings</v>
      </c>
      <c r="B14" s="490">
        <f>-('Enterprise budgets'!$E$17+'Enterprise budgets'!$L$18+'Enterprise budgets'!$S$17)*Production!$B$5/10000</f>
        <v>-17500</v>
      </c>
      <c r="C14" s="490">
        <f>-('Enterprise budgets'!$E$17+'Enterprise budgets'!$L$18+'Enterprise budgets'!$S$17)*Production!$B$5/10000</f>
        <v>-17500</v>
      </c>
      <c r="D14" s="490">
        <f>-('Enterprise budgets'!$E$17+'Enterprise budgets'!$L$18+'Enterprise budgets'!$S$17)*Production!$B$5/10000</f>
        <v>-17500</v>
      </c>
      <c r="E14" s="490">
        <f>-('Enterprise budgets'!$E$17+'Enterprise budgets'!$L$18+'Enterprise budgets'!$S$17)*Production!$B$5/10000</f>
        <v>-17500</v>
      </c>
      <c r="F14" s="490">
        <f>-('Enterprise budgets'!$E$17+'Enterprise budgets'!$L$18+'Enterprise budgets'!$S$17)*Production!$B$5/10000</f>
        <v>-17500</v>
      </c>
      <c r="G14" s="490">
        <f>-('Enterprise budgets'!$E$17+'Enterprise budgets'!$L$18+'Enterprise budgets'!$S$17)*Production!$B$5/10000</f>
        <v>-17500</v>
      </c>
      <c r="H14" s="490">
        <f>-('Enterprise budgets'!$E$17+'Enterprise budgets'!$L$18+'Enterprise budgets'!$S$17)*Production!$B$5/10000</f>
        <v>-17500</v>
      </c>
      <c r="I14" s="490">
        <f>-('Enterprise budgets'!$E$17+'Enterprise budgets'!$L$18+'Enterprise budgets'!$S$17)*Production!$B$5/10000</f>
        <v>-17500</v>
      </c>
      <c r="J14" s="490">
        <f>-('Enterprise budgets'!$E$17+'Enterprise budgets'!$L$18+'Enterprise budgets'!$S$17)*Production!$B$5/10000</f>
        <v>-17500</v>
      </c>
      <c r="K14" s="490">
        <f>-('Enterprise budgets'!$E$17+'Enterprise budgets'!$L$18+'Enterprise budgets'!$S$17)*Production!$B$5/10000</f>
        <v>-17500</v>
      </c>
      <c r="L14" s="490">
        <f>-('Enterprise budgets'!$E$17+'Enterprise budgets'!$L$18+'Enterprise budgets'!$S$17)*Production!$B$5/10000</f>
        <v>-17500</v>
      </c>
      <c r="M14" s="490">
        <f>-('Enterprise budgets'!$E$17+'Enterprise budgets'!$L$18+'Enterprise budgets'!$S$17)*Production!$B$5/10000</f>
        <v>-17500</v>
      </c>
      <c r="N14" s="491">
        <f t="shared" si="1"/>
        <v>-210000</v>
      </c>
    </row>
    <row r="15" spans="1:14" x14ac:dyDescent="0.3">
      <c r="A15" s="489" t="str">
        <f>'Enterprise budgets'!A18</f>
        <v>Labour</v>
      </c>
      <c r="B15" s="490">
        <f>-('Enterprise budgets'!$E$27+'Enterprise budgets'!$L$28+'Enterprise budgets'!$S$27)*Production!$B$5/10000</f>
        <v>-49316</v>
      </c>
      <c r="C15" s="490">
        <f>-('Enterprise budgets'!$E$27+'Enterprise budgets'!$L$28+'Enterprise budgets'!$S$27)*Production!$B$5/10000</f>
        <v>-49316</v>
      </c>
      <c r="D15" s="490">
        <f>-('Enterprise budgets'!$E$27+'Enterprise budgets'!$L$28+'Enterprise budgets'!$S$27)*Production!$B$5/10000</f>
        <v>-49316</v>
      </c>
      <c r="E15" s="490">
        <f>-('Enterprise budgets'!$E$27+'Enterprise budgets'!$L$28+'Enterprise budgets'!$S$27)*Production!$B$5/10000</f>
        <v>-49316</v>
      </c>
      <c r="F15" s="490">
        <f>-('Enterprise budgets'!$E$27+'Enterprise budgets'!$L$28+'Enterprise budgets'!$S$27)*Production!$B$5/10000</f>
        <v>-49316</v>
      </c>
      <c r="G15" s="490">
        <f>-('Enterprise budgets'!$E$27+'Enterprise budgets'!$L$28+'Enterprise budgets'!$S$27)*Production!$B$5/10000</f>
        <v>-49316</v>
      </c>
      <c r="H15" s="490">
        <f>-('Enterprise budgets'!$E$27+'Enterprise budgets'!$L$28+'Enterprise budgets'!$S$27)*Production!$B$5/10000</f>
        <v>-49316</v>
      </c>
      <c r="I15" s="490">
        <f>-('Enterprise budgets'!$E$27+'Enterprise budgets'!$L$28+'Enterprise budgets'!$S$27)*Production!$B$5/10000</f>
        <v>-49316</v>
      </c>
      <c r="J15" s="490">
        <f>-('Enterprise budgets'!$E$27+'Enterprise budgets'!$L$28+'Enterprise budgets'!$S$27)*Production!$B$5/10000</f>
        <v>-49316</v>
      </c>
      <c r="K15" s="490">
        <f>-('Enterprise budgets'!$E$27+'Enterprise budgets'!$L$28+'Enterprise budgets'!$S$27)*Production!$B$5/10000</f>
        <v>-49316</v>
      </c>
      <c r="L15" s="490">
        <f>-('Enterprise budgets'!$E$27+'Enterprise budgets'!$L$28+'Enterprise budgets'!$S$27)*Production!$B$5/10000</f>
        <v>-49316</v>
      </c>
      <c r="M15" s="490">
        <f>-('Enterprise budgets'!$E$27+'Enterprise budgets'!$L$28+'Enterprise budgets'!$S$27)*Production!$B$5/10000</f>
        <v>-49316</v>
      </c>
      <c r="N15" s="491">
        <f t="shared" si="1"/>
        <v>-591792</v>
      </c>
    </row>
    <row r="16" spans="1:14" x14ac:dyDescent="0.3">
      <c r="A16" s="489" t="str">
        <f>'Enterprise budgets'!A29</f>
        <v>Irrigation</v>
      </c>
      <c r="B16" s="490">
        <f>-('Enterprise budgets'!$E$29+'Enterprise budgets'!$L$30+'Enterprise budgets'!$S$29)*Production!$B$5/10000</f>
        <v>-3312</v>
      </c>
      <c r="C16" s="490">
        <f>-('Enterprise budgets'!$E$29+'Enterprise budgets'!$L$30+'Enterprise budgets'!$S$29)*Production!$B$5/10000</f>
        <v>-3312</v>
      </c>
      <c r="D16" s="490">
        <f>-('Enterprise budgets'!$E$29+'Enterprise budgets'!$L$30+'Enterprise budgets'!$S$29)*Production!$B$5/10000</f>
        <v>-3312</v>
      </c>
      <c r="E16" s="490">
        <f>-('Enterprise budgets'!$E$29+'Enterprise budgets'!$L$30+'Enterprise budgets'!$S$29)*Production!$B$5/10000</f>
        <v>-3312</v>
      </c>
      <c r="F16" s="490">
        <f>-('Enterprise budgets'!$E$29+'Enterprise budgets'!$L$30+'Enterprise budgets'!$S$29)*Production!$B$5/10000</f>
        <v>-3312</v>
      </c>
      <c r="G16" s="490">
        <f>-('Enterprise budgets'!$E$29+'Enterprise budgets'!$L$30+'Enterprise budgets'!$S$29)*Production!$B$5/10000</f>
        <v>-3312</v>
      </c>
      <c r="H16" s="490">
        <f>-('Enterprise budgets'!$E$29+'Enterprise budgets'!$L$30+'Enterprise budgets'!$S$29)*Production!$B$5/10000</f>
        <v>-3312</v>
      </c>
      <c r="I16" s="490">
        <f>-('Enterprise budgets'!$E$29+'Enterprise budgets'!$L$30+'Enterprise budgets'!$S$29)*Production!$B$5/10000</f>
        <v>-3312</v>
      </c>
      <c r="J16" s="490">
        <f>-('Enterprise budgets'!$E$29+'Enterprise budgets'!$L$30+'Enterprise budgets'!$S$29)*Production!$B$5/10000</f>
        <v>-3312</v>
      </c>
      <c r="K16" s="490">
        <f>-('Enterprise budgets'!$E$29+'Enterprise budgets'!$L$30+'Enterprise budgets'!$S$29)*Production!$B$5/10000</f>
        <v>-3312</v>
      </c>
      <c r="L16" s="490">
        <f>-('Enterprise budgets'!$E$29+'Enterprise budgets'!$L$30+'Enterprise budgets'!$S$29)*Production!$B$5/10000</f>
        <v>-3312</v>
      </c>
      <c r="M16" s="490">
        <f>-('Enterprise budgets'!$E$29+'Enterprise budgets'!$L$30+'Enterprise budgets'!$S$29)*Production!$B$5/10000</f>
        <v>-3312</v>
      </c>
      <c r="N16" s="491">
        <f t="shared" si="1"/>
        <v>-39744</v>
      </c>
    </row>
    <row r="17" spans="1:14" x14ac:dyDescent="0.3">
      <c r="A17" s="489" t="str">
        <f>'Enterprise budgets'!A30</f>
        <v>Fertilizers</v>
      </c>
      <c r="B17" s="490">
        <f>-('Enterprise budgets'!$E$35+'Enterprise budgets'!$L$36+'Enterprise budgets'!$S$35)*Production!$B$5/10000</f>
        <v>-8075.97</v>
      </c>
      <c r="C17" s="490">
        <f>-('Enterprise budgets'!$E$35+'Enterprise budgets'!$L$36+'Enterprise budgets'!$S$35)*Production!$B$5/10000</f>
        <v>-8075.97</v>
      </c>
      <c r="D17" s="490">
        <f>-('Enterprise budgets'!$E$35+'Enterprise budgets'!$L$36+'Enterprise budgets'!$S$35)*Production!$B$5/10000</f>
        <v>-8075.97</v>
      </c>
      <c r="E17" s="490">
        <f>-('Enterprise budgets'!$E$35+'Enterprise budgets'!$L$36+'Enterprise budgets'!$S$35)*Production!$B$5/10000</f>
        <v>-8075.97</v>
      </c>
      <c r="F17" s="490">
        <f>-('Enterprise budgets'!$E$35+'Enterprise budgets'!$L$36+'Enterprise budgets'!$S$35)*Production!$B$5/10000</f>
        <v>-8075.97</v>
      </c>
      <c r="G17" s="490">
        <f>-('Enterprise budgets'!$E$35+'Enterprise budgets'!$L$36+'Enterprise budgets'!$S$35)*Production!$B$5/10000</f>
        <v>-8075.97</v>
      </c>
      <c r="H17" s="490">
        <f>-('Enterprise budgets'!$E$35+'Enterprise budgets'!$L$36+'Enterprise budgets'!$S$35)*Production!$B$5/10000</f>
        <v>-8075.97</v>
      </c>
      <c r="I17" s="490">
        <f>-('Enterprise budgets'!$E$35+'Enterprise budgets'!$L$36+'Enterprise budgets'!$S$35)*Production!$B$5/10000</f>
        <v>-8075.97</v>
      </c>
      <c r="J17" s="490">
        <f>-('Enterprise budgets'!$E$35+'Enterprise budgets'!$L$36+'Enterprise budgets'!$S$35)*Production!$B$5/10000</f>
        <v>-8075.97</v>
      </c>
      <c r="K17" s="490">
        <f>-('Enterprise budgets'!$E$35+'Enterprise budgets'!$L$36+'Enterprise budgets'!$S$35)*Production!$B$5/10000</f>
        <v>-8075.97</v>
      </c>
      <c r="L17" s="490">
        <f>-('Enterprise budgets'!$E$35+'Enterprise budgets'!$L$36+'Enterprise budgets'!$S$35)*Production!$B$5/10000</f>
        <v>-8075.97</v>
      </c>
      <c r="M17" s="490">
        <f>-('Enterprise budgets'!$E$35+'Enterprise budgets'!$L$36+'Enterprise budgets'!$S$35)*Production!$B$5/10000</f>
        <v>-8075.97</v>
      </c>
      <c r="N17" s="491">
        <f t="shared" si="1"/>
        <v>-96911.64</v>
      </c>
    </row>
    <row r="18" spans="1:14" x14ac:dyDescent="0.3">
      <c r="A18" s="489" t="str">
        <f>'Enterprise budgets'!A36</f>
        <v>Chemicals</v>
      </c>
      <c r="B18" s="490">
        <f>-('Enterprise budgets'!$E$41+'Enterprise budgets'!$L$44+'Enterprise budgets'!$S$41)*Production!$B$5/10000</f>
        <v>-1741.1366666666668</v>
      </c>
      <c r="C18" s="490">
        <f>-('Enterprise budgets'!$E$41+'Enterprise budgets'!$L$44+'Enterprise budgets'!$S$41)*Production!$B$5/10000</f>
        <v>-1741.1366666666668</v>
      </c>
      <c r="D18" s="490">
        <f>-('Enterprise budgets'!$E$41+'Enterprise budgets'!$L$44+'Enterprise budgets'!$S$41)*Production!$B$5/10000</f>
        <v>-1741.1366666666668</v>
      </c>
      <c r="E18" s="490">
        <f>-('Enterprise budgets'!$E$41+'Enterprise budgets'!$L$44+'Enterprise budgets'!$S$41)*Production!$B$5/10000</f>
        <v>-1741.1366666666668</v>
      </c>
      <c r="F18" s="490">
        <f>-('Enterprise budgets'!$E$41+'Enterprise budgets'!$L$44+'Enterprise budgets'!$S$41)*Production!$B$5/10000</f>
        <v>-1741.1366666666668</v>
      </c>
      <c r="G18" s="490">
        <f>-('Enterprise budgets'!$E$41+'Enterprise budgets'!$L$44+'Enterprise budgets'!$S$41)*Production!$B$5/10000</f>
        <v>-1741.1366666666668</v>
      </c>
      <c r="H18" s="490">
        <f>-('Enterprise budgets'!$E$41+'Enterprise budgets'!$L$44+'Enterprise budgets'!$S$41)*Production!$B$5/10000</f>
        <v>-1741.1366666666668</v>
      </c>
      <c r="I18" s="490">
        <f>-('Enterprise budgets'!$E$41+'Enterprise budgets'!$L$44+'Enterprise budgets'!$S$41)*Production!$B$5/10000</f>
        <v>-1741.1366666666668</v>
      </c>
      <c r="J18" s="490">
        <f>-('Enterprise budgets'!$E$41+'Enterprise budgets'!$L$44+'Enterprise budgets'!$S$41)*Production!$B$5/10000</f>
        <v>-1741.1366666666668</v>
      </c>
      <c r="K18" s="490">
        <f>-('Enterprise budgets'!$E$41+'Enterprise budgets'!$L$44+'Enterprise budgets'!$S$41)*Production!$B$5/10000</f>
        <v>-1741.1366666666668</v>
      </c>
      <c r="L18" s="490">
        <f>-('Enterprise budgets'!$E$41+'Enterprise budgets'!$L$44+'Enterprise budgets'!$S$41)*Production!$B$5/10000</f>
        <v>-1741.1366666666668</v>
      </c>
      <c r="M18" s="490">
        <f>-('Enterprise budgets'!$E$41+'Enterprise budgets'!$L$44+'Enterprise budgets'!$S$41)*Production!$B$5/10000</f>
        <v>-1741.1366666666668</v>
      </c>
      <c r="N18" s="491">
        <f t="shared" si="1"/>
        <v>-20893.64</v>
      </c>
    </row>
    <row r="19" spans="1:14" x14ac:dyDescent="0.3">
      <c r="A19" s="489" t="s">
        <v>398</v>
      </c>
      <c r="B19" s="490">
        <f>-('Enterprise budgets'!$E$42+'Enterprise budgets'!$L$45+'Enterprise budgets'!$S$42)*Production!$B$5/10000</f>
        <v>-14625</v>
      </c>
      <c r="C19" s="490">
        <f>-('Enterprise budgets'!$E$42+'Enterprise budgets'!$L$45+'Enterprise budgets'!$S$42)*Production!$B$5/10000</f>
        <v>-14625</v>
      </c>
      <c r="D19" s="490">
        <f>-('Enterprise budgets'!$E$42+'Enterprise budgets'!$L$45+'Enterprise budgets'!$S$42)*Production!$B$5/10000</f>
        <v>-14625</v>
      </c>
      <c r="E19" s="490">
        <f>-('Enterprise budgets'!$E$42+'Enterprise budgets'!$L$45+'Enterprise budgets'!$S$42)*Production!$B$5/10000</f>
        <v>-14625</v>
      </c>
      <c r="F19" s="490">
        <f>-('Enterprise budgets'!$E$42+'Enterprise budgets'!$L$45+'Enterprise budgets'!$S$42)*Production!$B$5/10000</f>
        <v>-14625</v>
      </c>
      <c r="G19" s="490">
        <f>-('Enterprise budgets'!$E$42+'Enterprise budgets'!$L$45+'Enterprise budgets'!$S$42)*Production!$B$5/10000</f>
        <v>-14625</v>
      </c>
      <c r="H19" s="490">
        <f>-('Enterprise budgets'!$E$42+'Enterprise budgets'!$L$45+'Enterprise budgets'!$S$42)*Production!$B$5/10000</f>
        <v>-14625</v>
      </c>
      <c r="I19" s="490">
        <f>-('Enterprise budgets'!$E$42+'Enterprise budgets'!$L$45+'Enterprise budgets'!$S$42)*Production!$B$5/10000</f>
        <v>-14625</v>
      </c>
      <c r="J19" s="490">
        <f>-('Enterprise budgets'!$E$42+'Enterprise budgets'!$L$45+'Enterprise budgets'!$S$42)*Production!$B$5/10000</f>
        <v>-14625</v>
      </c>
      <c r="K19" s="490">
        <f>-('Enterprise budgets'!$E$42+'Enterprise budgets'!$L$45+'Enterprise budgets'!$S$42)*Production!$B$5/10000</f>
        <v>-14625</v>
      </c>
      <c r="L19" s="490">
        <f>-('Enterprise budgets'!$E$42+'Enterprise budgets'!$L$45+'Enterprise budgets'!$S$42)*Production!$B$5/10000</f>
        <v>-14625</v>
      </c>
      <c r="M19" s="490">
        <f>-('Enterprise budgets'!$E$42+'Enterprise budgets'!$L$45+'Enterprise budgets'!$S$42)*Production!$B$5/10000</f>
        <v>-14625</v>
      </c>
      <c r="N19" s="491">
        <f t="shared" si="1"/>
        <v>-175500</v>
      </c>
    </row>
    <row r="20" spans="1:14" x14ac:dyDescent="0.3">
      <c r="A20" s="489" t="s">
        <v>399</v>
      </c>
      <c r="B20" s="490">
        <f>-('Enterprise budgets'!$E$43+'Enterprise budgets'!$L$46+'Enterprise budgets'!$S$43)*Production!$B$5/10000</f>
        <v>-7528.123166666669</v>
      </c>
      <c r="C20" s="490">
        <f>-('Enterprise budgets'!$E$43+'Enterprise budgets'!$L$46+'Enterprise budgets'!$S$43)*Production!$B$5/10000</f>
        <v>-7528.123166666669</v>
      </c>
      <c r="D20" s="490">
        <f>-('Enterprise budgets'!$E$43+'Enterprise budgets'!$L$46+'Enterprise budgets'!$S$43)*Production!$B$5/10000</f>
        <v>-7528.123166666669</v>
      </c>
      <c r="E20" s="490">
        <f>-('Enterprise budgets'!$E$43+'Enterprise budgets'!$L$46+'Enterprise budgets'!$S$43)*Production!$B$5/10000</f>
        <v>-7528.123166666669</v>
      </c>
      <c r="F20" s="490">
        <f>-('Enterprise budgets'!$E$43+'Enterprise budgets'!$L$46+'Enterprise budgets'!$S$43)*Production!$B$5/10000</f>
        <v>-7528.123166666669</v>
      </c>
      <c r="G20" s="490">
        <f>-('Enterprise budgets'!$E$43+'Enterprise budgets'!$L$46+'Enterprise budgets'!$S$43)*Production!$B$5/10000</f>
        <v>-7528.123166666669</v>
      </c>
      <c r="H20" s="490">
        <f>-('Enterprise budgets'!$E$43+'Enterprise budgets'!$L$46+'Enterprise budgets'!$S$43)*Production!$B$5/10000</f>
        <v>-7528.123166666669</v>
      </c>
      <c r="I20" s="490">
        <f>-('Enterprise budgets'!$E$43+'Enterprise budgets'!$L$46+'Enterprise budgets'!$S$43)*Production!$B$5/10000</f>
        <v>-7528.123166666669</v>
      </c>
      <c r="J20" s="490">
        <f>-('Enterprise budgets'!$E$43+'Enterprise budgets'!$L$46+'Enterprise budgets'!$S$43)*Production!$B$5/10000</f>
        <v>-7528.123166666669</v>
      </c>
      <c r="K20" s="490">
        <f>-('Enterprise budgets'!$E$43+'Enterprise budgets'!$L$46+'Enterprise budgets'!$S$43)*Production!$B$5/10000</f>
        <v>-7528.123166666669</v>
      </c>
      <c r="L20" s="490">
        <f>-('Enterprise budgets'!$E$43+'Enterprise budgets'!$L$46+'Enterprise budgets'!$S$43)*Production!$B$5/10000</f>
        <v>-7528.123166666669</v>
      </c>
      <c r="M20" s="490">
        <f>-('Enterprise budgets'!$E$43+'Enterprise budgets'!$L$46+'Enterprise budgets'!$S$43)*Production!$B$5/10000</f>
        <v>-7528.123166666669</v>
      </c>
      <c r="N20" s="491">
        <f t="shared" si="1"/>
        <v>-90337.478000000046</v>
      </c>
    </row>
    <row r="21" spans="1:14" x14ac:dyDescent="0.3">
      <c r="A21" s="489"/>
      <c r="B21" s="490"/>
      <c r="C21" s="490"/>
      <c r="D21" s="492"/>
      <c r="E21" s="492"/>
      <c r="F21" s="492"/>
      <c r="G21" s="492"/>
      <c r="H21" s="492"/>
      <c r="I21" s="492"/>
      <c r="J21" s="492"/>
      <c r="K21" s="492"/>
      <c r="L21" s="492"/>
      <c r="M21" s="492"/>
      <c r="N21" s="493"/>
    </row>
    <row r="22" spans="1:14" s="437" customFormat="1" ht="14.4" x14ac:dyDescent="0.3">
      <c r="A22" s="482" t="s">
        <v>415</v>
      </c>
      <c r="B22" s="485">
        <f>SUM(B23:B30)</f>
        <v>-93500</v>
      </c>
      <c r="C22" s="485">
        <f>SUM(C23:C30)</f>
        <v>-93499</v>
      </c>
      <c r="D22" s="485">
        <f t="shared" ref="D22:M22" si="3">SUM(D23:D30)</f>
        <v>-93498</v>
      </c>
      <c r="E22" s="485">
        <f t="shared" si="3"/>
        <v>-93497</v>
      </c>
      <c r="F22" s="485">
        <f t="shared" si="3"/>
        <v>-93496</v>
      </c>
      <c r="G22" s="485">
        <f t="shared" si="3"/>
        <v>-93495</v>
      </c>
      <c r="H22" s="485">
        <f t="shared" si="3"/>
        <v>-93494</v>
      </c>
      <c r="I22" s="485">
        <f t="shared" si="3"/>
        <v>-93493</v>
      </c>
      <c r="J22" s="485">
        <f t="shared" si="3"/>
        <v>-93492</v>
      </c>
      <c r="K22" s="485">
        <f t="shared" si="3"/>
        <v>-93491</v>
      </c>
      <c r="L22" s="485">
        <f t="shared" si="3"/>
        <v>-93490</v>
      </c>
      <c r="M22" s="485">
        <f t="shared" si="3"/>
        <v>-93489</v>
      </c>
      <c r="N22" s="486">
        <f t="shared" si="1"/>
        <v>-1121934</v>
      </c>
    </row>
    <row r="23" spans="1:14" x14ac:dyDescent="0.3">
      <c r="A23" s="489" t="s">
        <v>416</v>
      </c>
      <c r="B23" s="490">
        <v>-4000</v>
      </c>
      <c r="C23" s="490">
        <v>-4000</v>
      </c>
      <c r="D23" s="490">
        <v>-4000</v>
      </c>
      <c r="E23" s="490">
        <v>-4000</v>
      </c>
      <c r="F23" s="490">
        <v>-4000</v>
      </c>
      <c r="G23" s="490">
        <v>-4000</v>
      </c>
      <c r="H23" s="490">
        <v>-4000</v>
      </c>
      <c r="I23" s="490">
        <v>-4000</v>
      </c>
      <c r="J23" s="490">
        <v>-4000</v>
      </c>
      <c r="K23" s="490">
        <v>-4000</v>
      </c>
      <c r="L23" s="490">
        <v>-4000</v>
      </c>
      <c r="M23" s="490">
        <v>-4000</v>
      </c>
      <c r="N23" s="491">
        <f t="shared" si="1"/>
        <v>-48000</v>
      </c>
    </row>
    <row r="24" spans="1:14" x14ac:dyDescent="0.3">
      <c r="A24" s="489" t="s">
        <v>417</v>
      </c>
      <c r="B24" s="490">
        <v>-20000</v>
      </c>
      <c r="C24" s="490">
        <v>-20000</v>
      </c>
      <c r="D24" s="490">
        <v>-20000</v>
      </c>
      <c r="E24" s="490">
        <v>-20000</v>
      </c>
      <c r="F24" s="490">
        <v>-20000</v>
      </c>
      <c r="G24" s="490">
        <v>-20000</v>
      </c>
      <c r="H24" s="490">
        <v>-20000</v>
      </c>
      <c r="I24" s="490">
        <v>-20000</v>
      </c>
      <c r="J24" s="490">
        <v>-20000</v>
      </c>
      <c r="K24" s="490">
        <v>-20000</v>
      </c>
      <c r="L24" s="490">
        <v>-20000</v>
      </c>
      <c r="M24" s="490">
        <v>-20000</v>
      </c>
      <c r="N24" s="491">
        <f t="shared" si="1"/>
        <v>-240000</v>
      </c>
    </row>
    <row r="25" spans="1:14" x14ac:dyDescent="0.3">
      <c r="A25" s="489" t="s">
        <v>418</v>
      </c>
      <c r="B25" s="490">
        <f>-3*5000</f>
        <v>-15000</v>
      </c>
      <c r="C25" s="490">
        <f>-3*5000</f>
        <v>-15000</v>
      </c>
      <c r="D25" s="490">
        <f t="shared" ref="D25:M25" si="4">-3*5000</f>
        <v>-15000</v>
      </c>
      <c r="E25" s="490">
        <f t="shared" si="4"/>
        <v>-15000</v>
      </c>
      <c r="F25" s="490">
        <f t="shared" si="4"/>
        <v>-15000</v>
      </c>
      <c r="G25" s="490">
        <f t="shared" si="4"/>
        <v>-15000</v>
      </c>
      <c r="H25" s="490">
        <f t="shared" si="4"/>
        <v>-15000</v>
      </c>
      <c r="I25" s="490">
        <f t="shared" si="4"/>
        <v>-15000</v>
      </c>
      <c r="J25" s="490">
        <f t="shared" si="4"/>
        <v>-15000</v>
      </c>
      <c r="K25" s="490">
        <f t="shared" si="4"/>
        <v>-15000</v>
      </c>
      <c r="L25" s="490">
        <f t="shared" si="4"/>
        <v>-15000</v>
      </c>
      <c r="M25" s="490">
        <f t="shared" si="4"/>
        <v>-15000</v>
      </c>
      <c r="N25" s="491">
        <f t="shared" si="1"/>
        <v>-180000</v>
      </c>
    </row>
    <row r="26" spans="1:14" x14ac:dyDescent="0.3">
      <c r="A26" s="489" t="s">
        <v>419</v>
      </c>
      <c r="B26" s="490">
        <v>-30000</v>
      </c>
      <c r="C26" s="490">
        <v>-29999</v>
      </c>
      <c r="D26" s="490">
        <v>-29998</v>
      </c>
      <c r="E26" s="490">
        <v>-29997</v>
      </c>
      <c r="F26" s="490">
        <v>-29996</v>
      </c>
      <c r="G26" s="490">
        <v>-29995</v>
      </c>
      <c r="H26" s="490">
        <v>-29994</v>
      </c>
      <c r="I26" s="490">
        <v>-29993</v>
      </c>
      <c r="J26" s="490">
        <v>-29992</v>
      </c>
      <c r="K26" s="490">
        <v>-29991</v>
      </c>
      <c r="L26" s="490">
        <v>-29990</v>
      </c>
      <c r="M26" s="490">
        <v>-29989</v>
      </c>
      <c r="N26" s="491">
        <f t="shared" si="1"/>
        <v>-359934</v>
      </c>
    </row>
    <row r="27" spans="1:14" x14ac:dyDescent="0.3">
      <c r="A27" s="489" t="s">
        <v>420</v>
      </c>
      <c r="B27" s="490">
        <v>-3000</v>
      </c>
      <c r="C27" s="490">
        <v>-3000</v>
      </c>
      <c r="D27" s="490">
        <v>-3000</v>
      </c>
      <c r="E27" s="490">
        <v>-3000</v>
      </c>
      <c r="F27" s="490">
        <v>-3000</v>
      </c>
      <c r="G27" s="490">
        <v>-3000</v>
      </c>
      <c r="H27" s="490">
        <v>-3000</v>
      </c>
      <c r="I27" s="490">
        <v>-3000</v>
      </c>
      <c r="J27" s="490">
        <v>-3000</v>
      </c>
      <c r="K27" s="490">
        <v>-3000</v>
      </c>
      <c r="L27" s="490">
        <v>-3000</v>
      </c>
      <c r="M27" s="490">
        <v>-3000</v>
      </c>
      <c r="N27" s="491">
        <f t="shared" si="1"/>
        <v>-36000</v>
      </c>
    </row>
    <row r="28" spans="1:14" x14ac:dyDescent="0.3">
      <c r="A28" s="489" t="s">
        <v>399</v>
      </c>
      <c r="B28" s="490">
        <v>-1500</v>
      </c>
      <c r="C28" s="490">
        <v>-1500</v>
      </c>
      <c r="D28" s="490">
        <v>-1500</v>
      </c>
      <c r="E28" s="490">
        <v>-1500</v>
      </c>
      <c r="F28" s="490">
        <v>-1500</v>
      </c>
      <c r="G28" s="490">
        <v>-1500</v>
      </c>
      <c r="H28" s="490">
        <v>-1500</v>
      </c>
      <c r="I28" s="490">
        <v>-1500</v>
      </c>
      <c r="J28" s="490">
        <v>-1500</v>
      </c>
      <c r="K28" s="490">
        <v>-1500</v>
      </c>
      <c r="L28" s="490">
        <v>-1500</v>
      </c>
      <c r="M28" s="490">
        <v>-1500</v>
      </c>
      <c r="N28" s="491">
        <f t="shared" si="1"/>
        <v>-18000</v>
      </c>
    </row>
    <row r="29" spans="1:14" x14ac:dyDescent="0.3">
      <c r="A29" s="489" t="s">
        <v>421</v>
      </c>
      <c r="B29" s="490"/>
      <c r="C29" s="490"/>
      <c r="D29" s="490"/>
      <c r="E29" s="490"/>
      <c r="F29" s="490"/>
      <c r="G29" s="490"/>
      <c r="H29" s="490"/>
      <c r="I29" s="490"/>
      <c r="J29" s="490"/>
      <c r="K29" s="490"/>
      <c r="L29" s="490"/>
      <c r="M29" s="490"/>
      <c r="N29" s="491"/>
    </row>
    <row r="30" spans="1:14" x14ac:dyDescent="0.3">
      <c r="A30" s="489" t="s">
        <v>422</v>
      </c>
      <c r="B30" s="490">
        <v>-20000</v>
      </c>
      <c r="C30" s="490">
        <f>B30</f>
        <v>-20000</v>
      </c>
      <c r="D30" s="490">
        <f t="shared" ref="D30:M30" si="5">C30</f>
        <v>-20000</v>
      </c>
      <c r="E30" s="490">
        <f t="shared" si="5"/>
        <v>-20000</v>
      </c>
      <c r="F30" s="490">
        <f t="shared" si="5"/>
        <v>-20000</v>
      </c>
      <c r="G30" s="490">
        <f t="shared" si="5"/>
        <v>-20000</v>
      </c>
      <c r="H30" s="490">
        <f t="shared" si="5"/>
        <v>-20000</v>
      </c>
      <c r="I30" s="490">
        <f t="shared" si="5"/>
        <v>-20000</v>
      </c>
      <c r="J30" s="490">
        <f t="shared" si="5"/>
        <v>-20000</v>
      </c>
      <c r="K30" s="490">
        <f t="shared" si="5"/>
        <v>-20000</v>
      </c>
      <c r="L30" s="490">
        <f t="shared" si="5"/>
        <v>-20000</v>
      </c>
      <c r="M30" s="490">
        <f t="shared" si="5"/>
        <v>-20000</v>
      </c>
      <c r="N30" s="491">
        <f>SUM(B30:M30)</f>
        <v>-240000</v>
      </c>
    </row>
    <row r="31" spans="1:14" x14ac:dyDescent="0.3">
      <c r="A31" s="489"/>
      <c r="B31" s="490"/>
      <c r="C31" s="490"/>
      <c r="D31" s="492"/>
      <c r="E31" s="492"/>
      <c r="F31" s="492"/>
      <c r="G31" s="492"/>
      <c r="H31" s="492"/>
      <c r="I31" s="492"/>
      <c r="J31" s="492"/>
      <c r="K31" s="492"/>
      <c r="L31" s="492"/>
      <c r="M31" s="492"/>
      <c r="N31" s="493"/>
    </row>
    <row r="32" spans="1:14" s="437" customFormat="1" ht="14.4" x14ac:dyDescent="0.3">
      <c r="A32" s="482" t="s">
        <v>293</v>
      </c>
      <c r="B32" s="485">
        <f>SUM(B33:B51)</f>
        <v>-4819990.17</v>
      </c>
      <c r="C32" s="485">
        <f t="shared" ref="C32:M32" si="6">SUM(C33:C48)</f>
        <v>0</v>
      </c>
      <c r="D32" s="485">
        <f t="shared" si="6"/>
        <v>0</v>
      </c>
      <c r="E32" s="485">
        <f t="shared" si="6"/>
        <v>0</v>
      </c>
      <c r="F32" s="485">
        <f t="shared" si="6"/>
        <v>0</v>
      </c>
      <c r="G32" s="485">
        <f t="shared" si="6"/>
        <v>0</v>
      </c>
      <c r="H32" s="485">
        <f t="shared" si="6"/>
        <v>0</v>
      </c>
      <c r="I32" s="485">
        <f t="shared" si="6"/>
        <v>0</v>
      </c>
      <c r="J32" s="485">
        <f t="shared" si="6"/>
        <v>0</v>
      </c>
      <c r="K32" s="485">
        <f t="shared" si="6"/>
        <v>0</v>
      </c>
      <c r="L32" s="485">
        <f t="shared" si="6"/>
        <v>0</v>
      </c>
      <c r="M32" s="485">
        <f t="shared" si="6"/>
        <v>0</v>
      </c>
      <c r="N32" s="486">
        <f>SUM(B32:M32)</f>
        <v>-4819990.17</v>
      </c>
    </row>
    <row r="33" spans="1:14" x14ac:dyDescent="0.3">
      <c r="A33" s="489" t="str">
        <f>Capex!A1</f>
        <v>1 ha Nethouse (Galvanised structure)</v>
      </c>
      <c r="B33" s="490">
        <f>-Capex!D1</f>
        <v>-1729830</v>
      </c>
      <c r="C33" s="490"/>
      <c r="D33" s="492"/>
      <c r="E33" s="492"/>
      <c r="F33" s="492"/>
      <c r="G33" s="492"/>
      <c r="H33" s="492"/>
      <c r="I33" s="492"/>
      <c r="J33" s="492"/>
      <c r="K33" s="492"/>
      <c r="L33" s="492"/>
      <c r="M33" s="492"/>
      <c r="N33" s="493"/>
    </row>
    <row r="34" spans="1:14" x14ac:dyDescent="0.3">
      <c r="A34" s="489" t="str">
        <f>Capex!A2</f>
        <v xml:space="preserve">Tunnel repair </v>
      </c>
      <c r="B34" s="490">
        <f>-Capex!D2</f>
        <v>-277516.15999999997</v>
      </c>
      <c r="C34" s="490"/>
      <c r="D34" s="492"/>
      <c r="E34" s="492"/>
      <c r="F34" s="492"/>
      <c r="G34" s="492"/>
      <c r="H34" s="492"/>
      <c r="I34" s="492"/>
      <c r="J34" s="492"/>
      <c r="K34" s="492"/>
      <c r="L34" s="492"/>
      <c r="M34" s="492"/>
      <c r="N34" s="493"/>
    </row>
    <row r="35" spans="1:14" x14ac:dyDescent="0.3">
      <c r="A35" s="489" t="str">
        <f>Capex!A3</f>
        <v>Greenhouse repair</v>
      </c>
      <c r="B35" s="490">
        <f>-Capex!D3</f>
        <v>-390000</v>
      </c>
      <c r="C35" s="490"/>
      <c r="D35" s="492"/>
      <c r="E35" s="492"/>
      <c r="F35" s="492"/>
      <c r="G35" s="492"/>
      <c r="H35" s="492"/>
      <c r="I35" s="492"/>
      <c r="J35" s="492"/>
      <c r="K35" s="492"/>
      <c r="L35" s="492"/>
      <c r="M35" s="492"/>
      <c r="N35" s="493"/>
    </row>
    <row r="36" spans="1:14" x14ac:dyDescent="0.3">
      <c r="A36" s="489" t="str">
        <f>Capex!A4</f>
        <v>Security fence 1129m (7.2ha)</v>
      </c>
      <c r="B36" s="490">
        <f>-Capex!D4</f>
        <v>-265550</v>
      </c>
      <c r="C36" s="490"/>
      <c r="D36" s="492"/>
      <c r="E36" s="492"/>
      <c r="F36" s="492"/>
      <c r="G36" s="492"/>
      <c r="H36" s="492"/>
      <c r="I36" s="492"/>
      <c r="J36" s="492"/>
      <c r="K36" s="492"/>
      <c r="L36" s="492"/>
      <c r="M36" s="492"/>
      <c r="N36" s="493"/>
    </row>
    <row r="37" spans="1:14" x14ac:dyDescent="0.3">
      <c r="A37" s="489" t="str">
        <f>Capex!A5</f>
        <v>Packhouse repairs</v>
      </c>
      <c r="B37" s="490">
        <f>-Capex!D5</f>
        <v>-20000</v>
      </c>
      <c r="C37" s="490"/>
      <c r="D37" s="492"/>
      <c r="E37" s="492"/>
      <c r="F37" s="492"/>
      <c r="G37" s="492"/>
      <c r="H37" s="492"/>
      <c r="I37" s="492"/>
      <c r="J37" s="492"/>
      <c r="K37" s="492"/>
      <c r="L37" s="492"/>
      <c r="M37" s="492"/>
      <c r="N37" s="493"/>
    </row>
    <row r="38" spans="1:14" x14ac:dyDescent="0.3">
      <c r="A38" s="489" t="str">
        <f>Capex!A6</f>
        <v>Borehole equipment</v>
      </c>
      <c r="B38" s="490">
        <f>-Capex!D6</f>
        <v>-67000</v>
      </c>
      <c r="C38" s="490"/>
      <c r="D38" s="492"/>
      <c r="E38" s="492"/>
      <c r="F38" s="492"/>
      <c r="G38" s="492"/>
      <c r="H38" s="492"/>
      <c r="I38" s="492"/>
      <c r="J38" s="492"/>
      <c r="K38" s="492"/>
      <c r="L38" s="492"/>
      <c r="M38" s="492"/>
      <c r="N38" s="493"/>
    </row>
    <row r="39" spans="1:14" x14ac:dyDescent="0.3">
      <c r="A39" s="535" t="str">
        <f>Capex!A7</f>
        <v>Working capital</v>
      </c>
      <c r="B39" s="536">
        <f>-Capex!D7</f>
        <v>-382094.01</v>
      </c>
      <c r="C39" s="490"/>
      <c r="D39" s="492"/>
      <c r="E39" s="492"/>
      <c r="F39" s="492"/>
      <c r="G39" s="492"/>
      <c r="H39" s="492"/>
      <c r="I39" s="492"/>
      <c r="J39" s="492"/>
      <c r="K39" s="492"/>
      <c r="L39" s="492"/>
      <c r="M39" s="492"/>
      <c r="N39" s="493"/>
    </row>
    <row r="40" spans="1:14" x14ac:dyDescent="0.3">
      <c r="A40" s="489" t="str">
        <f>Capex!A8</f>
        <v>Packhouse Panneting machine</v>
      </c>
      <c r="B40" s="490">
        <f>-Capex!D8</f>
        <v>-12000</v>
      </c>
      <c r="C40" s="490"/>
      <c r="D40" s="492"/>
      <c r="E40" s="492"/>
      <c r="F40" s="492"/>
      <c r="G40" s="492"/>
      <c r="H40" s="492"/>
      <c r="I40" s="492"/>
      <c r="J40" s="492"/>
      <c r="K40" s="492"/>
      <c r="L40" s="492"/>
      <c r="M40" s="492"/>
      <c r="N40" s="493"/>
    </row>
    <row r="41" spans="1:14" x14ac:dyDescent="0.3">
      <c r="A41" s="489" t="str">
        <f>Capex!A9</f>
        <v>Packhouse 5kg table scales</v>
      </c>
      <c r="B41" s="490">
        <f>-Capex!D9</f>
        <v>-16000</v>
      </c>
      <c r="C41" s="490"/>
      <c r="D41" s="492"/>
      <c r="E41" s="492"/>
      <c r="F41" s="492"/>
      <c r="G41" s="492"/>
      <c r="H41" s="492"/>
      <c r="I41" s="492"/>
      <c r="J41" s="492"/>
      <c r="K41" s="492"/>
      <c r="L41" s="492"/>
      <c r="M41" s="492"/>
      <c r="N41" s="493"/>
    </row>
    <row r="42" spans="1:14" x14ac:dyDescent="0.3">
      <c r="A42" s="489" t="str">
        <f>Capex!A10</f>
        <v>Packhouse 100kg+ platform scale</v>
      </c>
      <c r="B42" s="490">
        <f>-Capex!D10</f>
        <v>-16000</v>
      </c>
      <c r="C42" s="490"/>
      <c r="D42" s="492"/>
      <c r="E42" s="492"/>
      <c r="F42" s="492"/>
      <c r="G42" s="492"/>
      <c r="H42" s="492"/>
      <c r="I42" s="492"/>
      <c r="J42" s="492"/>
      <c r="K42" s="492"/>
      <c r="L42" s="492"/>
      <c r="M42" s="492"/>
      <c r="N42" s="493"/>
    </row>
    <row r="43" spans="1:14" x14ac:dyDescent="0.3">
      <c r="A43" s="489" t="str">
        <f>Capex!A11</f>
        <v>Packhouse Drying Buckets</v>
      </c>
      <c r="B43" s="490">
        <f>-Capex!D11</f>
        <v>-8000</v>
      </c>
      <c r="C43" s="490"/>
      <c r="D43" s="492"/>
      <c r="E43" s="492"/>
      <c r="F43" s="492"/>
      <c r="G43" s="492"/>
      <c r="H43" s="492"/>
      <c r="I43" s="492"/>
      <c r="J43" s="492"/>
      <c r="K43" s="492"/>
      <c r="L43" s="492"/>
      <c r="M43" s="492"/>
      <c r="N43" s="493"/>
    </row>
    <row r="44" spans="1:14" x14ac:dyDescent="0.3">
      <c r="A44" s="489" t="str">
        <f>Capex!A12</f>
        <v xml:space="preserve"> Packhouse Crates</v>
      </c>
      <c r="B44" s="490">
        <f>-Capex!D12</f>
        <v>-45000</v>
      </c>
      <c r="C44" s="490"/>
      <c r="D44" s="492"/>
      <c r="E44" s="492"/>
      <c r="F44" s="492"/>
      <c r="G44" s="492"/>
      <c r="H44" s="492"/>
      <c r="I44" s="492"/>
      <c r="J44" s="492"/>
      <c r="K44" s="492"/>
      <c r="L44" s="492"/>
      <c r="M44" s="492"/>
      <c r="N44" s="493"/>
    </row>
    <row r="45" spans="1:14" x14ac:dyDescent="0.3">
      <c r="A45" s="489" t="str">
        <f>Capex!A13</f>
        <v xml:space="preserve">Packhouse Meto-gun machine </v>
      </c>
      <c r="B45" s="490">
        <f>-Capex!D13</f>
        <v>-3000</v>
      </c>
      <c r="C45" s="490"/>
      <c r="D45" s="492"/>
      <c r="E45" s="492"/>
      <c r="F45" s="492"/>
      <c r="G45" s="492"/>
      <c r="H45" s="492"/>
      <c r="I45" s="492"/>
      <c r="J45" s="492"/>
      <c r="K45" s="492"/>
      <c r="L45" s="492"/>
      <c r="M45" s="492"/>
      <c r="N45" s="493"/>
    </row>
    <row r="46" spans="1:14" x14ac:dyDescent="0.3">
      <c r="A46" s="489" t="str">
        <f>Capex!A14</f>
        <v>Irrigation</v>
      </c>
      <c r="B46" s="490">
        <f>-Capex!D14</f>
        <v>-689000</v>
      </c>
      <c r="C46" s="490"/>
      <c r="D46" s="492"/>
      <c r="E46" s="492"/>
      <c r="F46" s="492"/>
      <c r="G46" s="492"/>
      <c r="H46" s="492"/>
      <c r="I46" s="492"/>
      <c r="J46" s="492"/>
      <c r="K46" s="492"/>
      <c r="L46" s="492"/>
      <c r="M46" s="492"/>
      <c r="N46" s="493"/>
    </row>
    <row r="47" spans="1:14" x14ac:dyDescent="0.3">
      <c r="A47" s="489" t="str">
        <f>Capex!A15</f>
        <v>55Hp tractor</v>
      </c>
      <c r="B47" s="490">
        <f>-Capex!D15</f>
        <v>-270000</v>
      </c>
      <c r="C47" s="490"/>
      <c r="D47" s="492"/>
      <c r="E47" s="492"/>
      <c r="F47" s="492"/>
      <c r="G47" s="492"/>
      <c r="H47" s="492"/>
      <c r="I47" s="492"/>
      <c r="J47" s="492"/>
      <c r="K47" s="492"/>
      <c r="L47" s="492"/>
      <c r="M47" s="492"/>
      <c r="N47" s="493"/>
    </row>
    <row r="48" spans="1:14" x14ac:dyDescent="0.3">
      <c r="A48" s="489" t="str">
        <f>Capex!A16</f>
        <v>Tipper trailer</v>
      </c>
      <c r="B48" s="490">
        <f>-Capex!D16</f>
        <v>-80000</v>
      </c>
      <c r="C48" s="490"/>
      <c r="D48" s="492"/>
      <c r="E48" s="492"/>
      <c r="F48" s="492"/>
      <c r="G48" s="492"/>
      <c r="H48" s="492"/>
      <c r="I48" s="492"/>
      <c r="J48" s="492"/>
      <c r="K48" s="492"/>
      <c r="L48" s="492"/>
      <c r="M48" s="492"/>
      <c r="N48" s="493"/>
    </row>
    <row r="49" spans="1:14" x14ac:dyDescent="0.3">
      <c r="A49" s="489" t="str">
        <f>Capex!A17</f>
        <v>Computer</v>
      </c>
      <c r="B49" s="490">
        <f>-Capex!D17</f>
        <v>-12000</v>
      </c>
      <c r="C49" s="490"/>
      <c r="D49" s="492"/>
      <c r="E49" s="492"/>
      <c r="F49" s="492"/>
      <c r="G49" s="492"/>
      <c r="H49" s="492"/>
      <c r="I49" s="492"/>
      <c r="J49" s="492"/>
      <c r="K49" s="492"/>
      <c r="L49" s="492"/>
      <c r="M49" s="492"/>
      <c r="N49" s="493"/>
    </row>
    <row r="50" spans="1:14" x14ac:dyDescent="0.3">
      <c r="A50" s="489" t="str">
        <f>Capex!A18</f>
        <v xml:space="preserve">Dam 213000liters </v>
      </c>
      <c r="B50" s="490">
        <f>-Capex!D18</f>
        <v>-72000</v>
      </c>
      <c r="C50" s="490"/>
      <c r="D50" s="492"/>
      <c r="E50" s="492"/>
      <c r="F50" s="492"/>
      <c r="G50" s="492"/>
      <c r="H50" s="492"/>
      <c r="I50" s="492"/>
      <c r="J50" s="492"/>
      <c r="K50" s="492"/>
      <c r="L50" s="492"/>
      <c r="M50" s="492"/>
      <c r="N50" s="493"/>
    </row>
    <row r="51" spans="1:14" x14ac:dyDescent="0.3">
      <c r="A51" s="489" t="str">
        <f>Capex!A19</f>
        <v>Delivery bakkies</v>
      </c>
      <c r="B51" s="490">
        <f>-Capex!D19</f>
        <v>-465000</v>
      </c>
      <c r="C51" s="490"/>
      <c r="D51" s="492"/>
      <c r="E51" s="492"/>
      <c r="F51" s="492"/>
      <c r="G51" s="492"/>
      <c r="H51" s="492"/>
      <c r="I51" s="492"/>
      <c r="J51" s="492"/>
      <c r="K51" s="492"/>
      <c r="L51" s="492"/>
      <c r="M51" s="492"/>
      <c r="N51" s="493"/>
    </row>
    <row r="52" spans="1:14" x14ac:dyDescent="0.3">
      <c r="A52" s="489" t="s">
        <v>423</v>
      </c>
      <c r="B52" s="490">
        <f>B5+B12+B22+B32</f>
        <v>0</v>
      </c>
      <c r="C52" s="490">
        <f>C5+C12+C22+C32</f>
        <v>1.6666666488163173E-4</v>
      </c>
      <c r="D52" s="490">
        <f t="shared" ref="D52:M52" si="7">D5+D12+D22+D32</f>
        <v>100089.88127777772</v>
      </c>
      <c r="E52" s="490">
        <f t="shared" si="7"/>
        <v>100090.88127777772</v>
      </c>
      <c r="F52" s="490">
        <f t="shared" si="7"/>
        <v>100091.88127777772</v>
      </c>
      <c r="G52" s="490">
        <f t="shared" si="7"/>
        <v>100092.88127777772</v>
      </c>
      <c r="H52" s="490">
        <f t="shared" si="7"/>
        <v>100093.88127777772</v>
      </c>
      <c r="I52" s="490">
        <f t="shared" si="7"/>
        <v>100094.88127777772</v>
      </c>
      <c r="J52" s="490">
        <f t="shared" si="7"/>
        <v>100095.88127777772</v>
      </c>
      <c r="K52" s="490">
        <f t="shared" si="7"/>
        <v>100096.88127777772</v>
      </c>
      <c r="L52" s="490">
        <f t="shared" si="7"/>
        <v>100097.88127777772</v>
      </c>
      <c r="M52" s="490">
        <f t="shared" si="7"/>
        <v>-77642.785388888922</v>
      </c>
      <c r="N52" s="493"/>
    </row>
    <row r="53" spans="1:14" ht="14.4" thickBot="1" x14ac:dyDescent="0.35">
      <c r="A53" s="494" t="s">
        <v>424</v>
      </c>
      <c r="B53" s="495">
        <f>B52</f>
        <v>0</v>
      </c>
      <c r="C53" s="495">
        <f>B53+C52</f>
        <v>1.6666666488163173E-4</v>
      </c>
      <c r="D53" s="495">
        <f>C53+D52</f>
        <v>100089.88144444439</v>
      </c>
      <c r="E53" s="495">
        <f t="shared" ref="E53:M53" si="8">D53+E52</f>
        <v>200180.76272222211</v>
      </c>
      <c r="F53" s="495">
        <f t="shared" si="8"/>
        <v>300272.64399999985</v>
      </c>
      <c r="G53" s="495">
        <f t="shared" si="8"/>
        <v>400365.52527777757</v>
      </c>
      <c r="H53" s="495">
        <f t="shared" si="8"/>
        <v>500459.4065555553</v>
      </c>
      <c r="I53" s="495">
        <f t="shared" si="8"/>
        <v>600554.28783333302</v>
      </c>
      <c r="J53" s="495">
        <f t="shared" si="8"/>
        <v>700650.16911111074</v>
      </c>
      <c r="K53" s="495">
        <f t="shared" si="8"/>
        <v>800747.05038888846</v>
      </c>
      <c r="L53" s="495">
        <f t="shared" si="8"/>
        <v>900844.93166666618</v>
      </c>
      <c r="M53" s="495">
        <f t="shared" si="8"/>
        <v>823202.14627777727</v>
      </c>
      <c r="N53" s="496"/>
    </row>
    <row r="55" spans="1:14" ht="16.2" thickBot="1" x14ac:dyDescent="0.35">
      <c r="A55" s="619" t="s">
        <v>425</v>
      </c>
      <c r="B55" s="620"/>
      <c r="C55" s="620"/>
      <c r="D55" s="620"/>
      <c r="E55" s="620"/>
      <c r="F55" s="621"/>
    </row>
    <row r="56" spans="1:14" ht="14.4" x14ac:dyDescent="0.3">
      <c r="A56" s="497"/>
      <c r="B56" s="498" t="s">
        <v>206</v>
      </c>
      <c r="C56" s="498" t="s">
        <v>207</v>
      </c>
      <c r="D56" s="499" t="s">
        <v>208</v>
      </c>
      <c r="E56" s="499" t="s">
        <v>209</v>
      </c>
      <c r="F56" s="481" t="s">
        <v>210</v>
      </c>
      <c r="H56" s="406"/>
    </row>
    <row r="57" spans="1:14" s="418" customFormat="1" ht="14.4" x14ac:dyDescent="0.3">
      <c r="A57" s="482" t="str">
        <f t="shared" ref="A57:A62" si="9">A5</f>
        <v>Income</v>
      </c>
      <c r="B57" s="500">
        <f>SUM(B58:B62)</f>
        <v>7800757.8442777768</v>
      </c>
      <c r="C57" s="500">
        <f t="shared" ref="C57:F57" si="10">SUM(C60:C62)</f>
        <v>3063081.3888888881</v>
      </c>
      <c r="D57" s="500">
        <f t="shared" si="10"/>
        <v>3369389.5277777771</v>
      </c>
      <c r="E57" s="500">
        <f t="shared" si="10"/>
        <v>3706328.4805555553</v>
      </c>
      <c r="F57" s="501">
        <f t="shared" si="10"/>
        <v>4076961.3286111113</v>
      </c>
    </row>
    <row r="58" spans="1:14" s="418" customFormat="1" ht="14.4" x14ac:dyDescent="0.3">
      <c r="A58" s="502" t="str">
        <f t="shared" si="9"/>
        <v xml:space="preserve">Loan </v>
      </c>
      <c r="B58" s="490">
        <f>B6</f>
        <v>2508069.1999166668</v>
      </c>
      <c r="C58" s="500"/>
      <c r="D58" s="500"/>
      <c r="E58" s="500"/>
      <c r="F58" s="501"/>
    </row>
    <row r="59" spans="1:14" s="418" customFormat="1" ht="14.4" x14ac:dyDescent="0.3">
      <c r="A59" s="502" t="str">
        <f t="shared" si="9"/>
        <v>Grant</v>
      </c>
      <c r="B59" s="490">
        <f>B7</f>
        <v>2508069.1999166668</v>
      </c>
      <c r="C59" s="500"/>
      <c r="D59" s="500"/>
      <c r="E59" s="500"/>
      <c r="F59" s="501"/>
    </row>
    <row r="60" spans="1:14" ht="14.4" x14ac:dyDescent="0.3">
      <c r="A60" s="502" t="str">
        <f t="shared" si="9"/>
        <v>Baby Leeks</v>
      </c>
      <c r="B60" s="490">
        <f>N8</f>
        <v>767666.6666666664</v>
      </c>
      <c r="C60" s="490">
        <f>B60*110%</f>
        <v>844433.33333333314</v>
      </c>
      <c r="D60" s="490">
        <f>C60*110%</f>
        <v>928876.66666666651</v>
      </c>
      <c r="E60" s="490">
        <f>D60*110%</f>
        <v>1021764.3333333333</v>
      </c>
      <c r="F60" s="491">
        <f>E60*110%</f>
        <v>1123940.7666666666</v>
      </c>
    </row>
    <row r="61" spans="1:14" ht="14.4" x14ac:dyDescent="0.3">
      <c r="A61" s="502" t="str">
        <f t="shared" si="9"/>
        <v>Baby Fennel</v>
      </c>
      <c r="B61" s="490">
        <f>N9</f>
        <v>737508.33333333337</v>
      </c>
      <c r="C61" s="490">
        <f t="shared" ref="C61:F62" si="11">B61*110%</f>
        <v>811259.16666666674</v>
      </c>
      <c r="D61" s="490">
        <f t="shared" si="11"/>
        <v>892385.08333333349</v>
      </c>
      <c r="E61" s="490">
        <f t="shared" si="11"/>
        <v>981623.59166666691</v>
      </c>
      <c r="F61" s="491">
        <f t="shared" si="11"/>
        <v>1079785.9508333337</v>
      </c>
    </row>
    <row r="62" spans="1:14" ht="14.4" x14ac:dyDescent="0.3">
      <c r="A62" s="502" t="str">
        <f t="shared" si="9"/>
        <v>Wild Rocket</v>
      </c>
      <c r="B62" s="490">
        <f>N10</f>
        <v>1279444.4444444438</v>
      </c>
      <c r="C62" s="490">
        <f t="shared" si="11"/>
        <v>1407388.8888888883</v>
      </c>
      <c r="D62" s="490">
        <f t="shared" si="11"/>
        <v>1548127.7777777773</v>
      </c>
      <c r="E62" s="490">
        <f t="shared" si="11"/>
        <v>1702940.555555555</v>
      </c>
      <c r="F62" s="491">
        <f t="shared" si="11"/>
        <v>1873234.6111111108</v>
      </c>
    </row>
    <row r="63" spans="1:14" ht="14.4" x14ac:dyDescent="0.3">
      <c r="A63" s="482"/>
      <c r="B63" s="490"/>
      <c r="C63" s="490"/>
      <c r="D63" s="492"/>
      <c r="E63" s="492"/>
      <c r="F63" s="493"/>
    </row>
    <row r="64" spans="1:14" s="418" customFormat="1" ht="14.4" x14ac:dyDescent="0.3">
      <c r="A64" s="482" t="str">
        <f t="shared" ref="A64:A72" si="12">A12</f>
        <v>Variable Costs</v>
      </c>
      <c r="B64" s="500">
        <f>SUM(B65:B72)</f>
        <v>-1231778.7580000001</v>
      </c>
      <c r="C64" s="500">
        <f t="shared" ref="C64:F64" si="13">SUM(C65:C72)</f>
        <v>-1418955.3096000003</v>
      </c>
      <c r="D64" s="500">
        <f t="shared" si="13"/>
        <v>-1637649.2515200002</v>
      </c>
      <c r="E64" s="500">
        <f t="shared" si="13"/>
        <v>-1893572.2698240005</v>
      </c>
      <c r="F64" s="501">
        <f t="shared" si="13"/>
        <v>-2193519.2085888004</v>
      </c>
    </row>
    <row r="65" spans="1:6" ht="14.4" x14ac:dyDescent="0.3">
      <c r="A65" s="502" t="str">
        <f t="shared" si="12"/>
        <v>Land preparation</v>
      </c>
      <c r="B65" s="490">
        <f t="shared" ref="B65:B72" si="14">N13</f>
        <v>-6600</v>
      </c>
      <c r="C65" s="490">
        <f>B65*Production!$B$17</f>
        <v>-7920</v>
      </c>
      <c r="D65" s="490">
        <f>C65*Production!$B$17</f>
        <v>-9504</v>
      </c>
      <c r="E65" s="490">
        <f>D65*Production!$B$17</f>
        <v>-11404.8</v>
      </c>
      <c r="F65" s="491">
        <f>E65*Production!$B$17</f>
        <v>-13685.759999999998</v>
      </c>
    </row>
    <row r="66" spans="1:6" ht="14.4" x14ac:dyDescent="0.3">
      <c r="A66" s="502" t="str">
        <f t="shared" si="12"/>
        <v>Seed &amp; Seedlings</v>
      </c>
      <c r="B66" s="490">
        <f t="shared" si="14"/>
        <v>-210000</v>
      </c>
      <c r="C66" s="490">
        <f>B66*Production!$B$17</f>
        <v>-252000</v>
      </c>
      <c r="D66" s="490">
        <f>C66*Production!$B$17</f>
        <v>-302400</v>
      </c>
      <c r="E66" s="490">
        <f>D66*Production!$B$17</f>
        <v>-362880</v>
      </c>
      <c r="F66" s="491">
        <f>E66*Production!$B$17</f>
        <v>-435456</v>
      </c>
    </row>
    <row r="67" spans="1:6" ht="14.4" x14ac:dyDescent="0.3">
      <c r="A67" s="502" t="str">
        <f t="shared" si="12"/>
        <v>Labour</v>
      </c>
      <c r="B67" s="490">
        <f t="shared" si="14"/>
        <v>-591792</v>
      </c>
      <c r="C67" s="490">
        <f>B67*Production!$F$17</f>
        <v>-650971.20000000007</v>
      </c>
      <c r="D67" s="490">
        <f>C67*Production!$F$17</f>
        <v>-716068.32000000018</v>
      </c>
      <c r="E67" s="490">
        <f>D67*Production!$F$17</f>
        <v>-787675.15200000023</v>
      </c>
      <c r="F67" s="491">
        <f>E67*Production!$F$17</f>
        <v>-866442.66720000037</v>
      </c>
    </row>
    <row r="68" spans="1:6" ht="14.4" x14ac:dyDescent="0.3">
      <c r="A68" s="502" t="str">
        <f t="shared" si="12"/>
        <v>Irrigation</v>
      </c>
      <c r="B68" s="490">
        <f t="shared" si="14"/>
        <v>-39744</v>
      </c>
      <c r="C68" s="490">
        <f>B68*Production!$B$17</f>
        <v>-47692.799999999996</v>
      </c>
      <c r="D68" s="490">
        <f>C68*Production!$B$17</f>
        <v>-57231.359999999993</v>
      </c>
      <c r="E68" s="490">
        <f>D68*Production!$B$17</f>
        <v>-68677.631999999983</v>
      </c>
      <c r="F68" s="491">
        <f>E68*Production!$B$17</f>
        <v>-82413.158399999971</v>
      </c>
    </row>
    <row r="69" spans="1:6" ht="14.4" x14ac:dyDescent="0.3">
      <c r="A69" s="502" t="str">
        <f t="shared" si="12"/>
        <v>Fertilizers</v>
      </c>
      <c r="B69" s="490">
        <f t="shared" si="14"/>
        <v>-96911.64</v>
      </c>
      <c r="C69" s="490">
        <f>B69*Production!$B$17</f>
        <v>-116293.96799999999</v>
      </c>
      <c r="D69" s="490">
        <f>C69*Production!$B$17</f>
        <v>-139552.7616</v>
      </c>
      <c r="E69" s="490">
        <f>D69*Production!$B$17</f>
        <v>-167463.31391999999</v>
      </c>
      <c r="F69" s="491">
        <f>E69*Production!$B$17</f>
        <v>-200955.97670399997</v>
      </c>
    </row>
    <row r="70" spans="1:6" ht="14.4" x14ac:dyDescent="0.3">
      <c r="A70" s="502" t="str">
        <f t="shared" si="12"/>
        <v>Chemicals</v>
      </c>
      <c r="B70" s="490">
        <f t="shared" si="14"/>
        <v>-20893.64</v>
      </c>
      <c r="C70" s="490">
        <f>B70*Production!$B$17</f>
        <v>-25072.367999999999</v>
      </c>
      <c r="D70" s="490">
        <f>C70*Production!$B$17</f>
        <v>-30086.841599999996</v>
      </c>
      <c r="E70" s="490">
        <f>D70*Production!$B$17</f>
        <v>-36104.209919999994</v>
      </c>
      <c r="F70" s="491">
        <f>E70*Production!$B$17</f>
        <v>-43325.051903999993</v>
      </c>
    </row>
    <row r="71" spans="1:6" ht="14.4" x14ac:dyDescent="0.3">
      <c r="A71" s="502" t="str">
        <f t="shared" si="12"/>
        <v>Packaging</v>
      </c>
      <c r="B71" s="490">
        <f t="shared" si="14"/>
        <v>-175500</v>
      </c>
      <c r="C71" s="490">
        <f>B71*Production!$B$17</f>
        <v>-210600</v>
      </c>
      <c r="D71" s="490">
        <f>C71*Production!$B$17</f>
        <v>-252720</v>
      </c>
      <c r="E71" s="490">
        <f>D71*Production!$B$17</f>
        <v>-303264</v>
      </c>
      <c r="F71" s="491">
        <f>E71*Production!$B$17</f>
        <v>-363916.79999999999</v>
      </c>
    </row>
    <row r="72" spans="1:6" ht="14.4" x14ac:dyDescent="0.3">
      <c r="A72" s="502" t="str">
        <f t="shared" si="12"/>
        <v>Transport</v>
      </c>
      <c r="B72" s="490">
        <f t="shared" si="14"/>
        <v>-90337.478000000046</v>
      </c>
      <c r="C72" s="490">
        <f>B72*Production!$B$17</f>
        <v>-108404.97360000006</v>
      </c>
      <c r="D72" s="490">
        <f>C72*Production!$B$17</f>
        <v>-130085.96832000006</v>
      </c>
      <c r="E72" s="490">
        <f>D72*Production!$B$17</f>
        <v>-156103.16198400006</v>
      </c>
      <c r="F72" s="491">
        <f>E72*Production!$B$17</f>
        <v>-187323.79438080007</v>
      </c>
    </row>
    <row r="73" spans="1:6" ht="14.4" x14ac:dyDescent="0.3">
      <c r="A73" s="482"/>
      <c r="B73" s="490"/>
      <c r="C73" s="490"/>
      <c r="D73" s="492"/>
      <c r="E73" s="492"/>
      <c r="F73" s="493"/>
    </row>
    <row r="74" spans="1:6" s="418" customFormat="1" ht="14.4" x14ac:dyDescent="0.3">
      <c r="A74" s="482" t="str">
        <f>A22</f>
        <v>Overheads</v>
      </c>
      <c r="B74" s="500">
        <f>SUM(B75:B79)</f>
        <v>-522000</v>
      </c>
      <c r="C74" s="500">
        <f t="shared" ref="C74:F74" si="15">SUM(C75:C79)</f>
        <v>-602400</v>
      </c>
      <c r="D74" s="500">
        <f t="shared" si="15"/>
        <v>-696480</v>
      </c>
      <c r="E74" s="500">
        <f t="shared" si="15"/>
        <v>-806736</v>
      </c>
      <c r="F74" s="501">
        <f t="shared" si="15"/>
        <v>-936139.20000000007</v>
      </c>
    </row>
    <row r="75" spans="1:6" ht="14.4" x14ac:dyDescent="0.3">
      <c r="A75" s="502" t="str">
        <f>A23</f>
        <v>Electricity</v>
      </c>
      <c r="B75" s="490">
        <f>N23</f>
        <v>-48000</v>
      </c>
      <c r="C75" s="490">
        <f>B75*Production!$B$17</f>
        <v>-57600</v>
      </c>
      <c r="D75" s="490">
        <f>C75*Production!$B$17</f>
        <v>-69120</v>
      </c>
      <c r="E75" s="490">
        <f>D75*Production!$B$17</f>
        <v>-82944</v>
      </c>
      <c r="F75" s="491">
        <f>E75*Production!$B$17</f>
        <v>-99532.800000000003</v>
      </c>
    </row>
    <row r="76" spans="1:6" ht="14.4" x14ac:dyDescent="0.3">
      <c r="A76" s="502" t="str">
        <f>A24</f>
        <v>Salaries</v>
      </c>
      <c r="B76" s="490">
        <f>N24</f>
        <v>-240000</v>
      </c>
      <c r="C76" s="490">
        <f>B76*Production!$F$17</f>
        <v>-264000</v>
      </c>
      <c r="D76" s="490">
        <f>C76*Production!$F$17</f>
        <v>-290400</v>
      </c>
      <c r="E76" s="490">
        <f>D76*Production!$F$17</f>
        <v>-319440</v>
      </c>
      <c r="F76" s="491">
        <f>E76*Production!$F$17</f>
        <v>-351384</v>
      </c>
    </row>
    <row r="77" spans="1:6" ht="14.4" x14ac:dyDescent="0.3">
      <c r="A77" s="502" t="str">
        <f>A25</f>
        <v>Permanent wages</v>
      </c>
      <c r="B77" s="490">
        <f>N25</f>
        <v>-180000</v>
      </c>
      <c r="C77" s="490">
        <f>B77*Production!$B$17</f>
        <v>-216000</v>
      </c>
      <c r="D77" s="490">
        <f>C77*Production!$B$17</f>
        <v>-259200</v>
      </c>
      <c r="E77" s="490">
        <f>D77*Production!$B$17</f>
        <v>-311040</v>
      </c>
      <c r="F77" s="491">
        <f>E77*Production!$B$17</f>
        <v>-373248</v>
      </c>
    </row>
    <row r="78" spans="1:6" ht="14.4" x14ac:dyDescent="0.3">
      <c r="A78" s="502" t="str">
        <f>A27</f>
        <v>Communication</v>
      </c>
      <c r="B78" s="490">
        <f>N27</f>
        <v>-36000</v>
      </c>
      <c r="C78" s="490">
        <f>B78*Production!$B$17</f>
        <v>-43200</v>
      </c>
      <c r="D78" s="490">
        <f>C78*Production!$B$17</f>
        <v>-51840</v>
      </c>
      <c r="E78" s="490">
        <f>D78*Production!$B$17</f>
        <v>-62208</v>
      </c>
      <c r="F78" s="491">
        <f>E78*Production!$B$17</f>
        <v>-74649.599999999991</v>
      </c>
    </row>
    <row r="79" spans="1:6" ht="14.4" x14ac:dyDescent="0.3">
      <c r="A79" s="502" t="str">
        <f>A28</f>
        <v>Transport</v>
      </c>
      <c r="B79" s="490">
        <f>N28</f>
        <v>-18000</v>
      </c>
      <c r="C79" s="490">
        <f>B79*Production!$B$17</f>
        <v>-21600</v>
      </c>
      <c r="D79" s="490">
        <f>C79*Production!$B$17</f>
        <v>-25920</v>
      </c>
      <c r="E79" s="490">
        <f>D79*Production!$B$17</f>
        <v>-31104</v>
      </c>
      <c r="F79" s="491">
        <f>E79*Production!$B$17</f>
        <v>-37324.799999999996</v>
      </c>
    </row>
    <row r="80" spans="1:6" ht="14.4" x14ac:dyDescent="0.3">
      <c r="A80" s="502"/>
      <c r="B80" s="490"/>
      <c r="C80" s="490"/>
      <c r="D80" s="492"/>
      <c r="E80" s="492"/>
      <c r="F80" s="493"/>
    </row>
    <row r="81" spans="1:6" ht="14.4" x14ac:dyDescent="0.3">
      <c r="A81" s="502" t="str">
        <f t="shared" ref="A81:B96" si="16">A32</f>
        <v>Capex</v>
      </c>
      <c r="B81" s="490">
        <f>SUM(B82:B97)</f>
        <v>-4270990.17</v>
      </c>
      <c r="C81" s="490">
        <f>SUM(C82:C92)</f>
        <v>0</v>
      </c>
      <c r="D81" s="490">
        <f>SUM(D82:D92)</f>
        <v>0</v>
      </c>
      <c r="E81" s="490">
        <f>SUM(E82:E92)</f>
        <v>0</v>
      </c>
      <c r="F81" s="491">
        <f>SUM(F82:F92)</f>
        <v>0</v>
      </c>
    </row>
    <row r="82" spans="1:6" ht="14.4" x14ac:dyDescent="0.3">
      <c r="A82" s="502" t="str">
        <f t="shared" si="16"/>
        <v>1 ha Nethouse (Galvanised structure)</v>
      </c>
      <c r="B82" s="490">
        <f t="shared" si="16"/>
        <v>-1729830</v>
      </c>
      <c r="C82" s="490"/>
      <c r="D82" s="490"/>
      <c r="E82" s="490"/>
      <c r="F82" s="491"/>
    </row>
    <row r="83" spans="1:6" ht="14.4" x14ac:dyDescent="0.3">
      <c r="A83" s="502" t="str">
        <f t="shared" si="16"/>
        <v xml:space="preserve">Tunnel repair </v>
      </c>
      <c r="B83" s="490">
        <f t="shared" si="16"/>
        <v>-277516.15999999997</v>
      </c>
      <c r="C83" s="490"/>
      <c r="D83" s="490"/>
      <c r="E83" s="490"/>
      <c r="F83" s="491"/>
    </row>
    <row r="84" spans="1:6" ht="14.4" x14ac:dyDescent="0.3">
      <c r="A84" s="502" t="str">
        <f t="shared" si="16"/>
        <v>Greenhouse repair</v>
      </c>
      <c r="B84" s="490">
        <f t="shared" si="16"/>
        <v>-390000</v>
      </c>
      <c r="C84" s="490"/>
      <c r="D84" s="490"/>
      <c r="E84" s="490"/>
      <c r="F84" s="491"/>
    </row>
    <row r="85" spans="1:6" ht="14.4" x14ac:dyDescent="0.3">
      <c r="A85" s="502" t="str">
        <f t="shared" si="16"/>
        <v>Security fence 1129m (7.2ha)</v>
      </c>
      <c r="B85" s="490">
        <f t="shared" si="16"/>
        <v>-265550</v>
      </c>
      <c r="C85" s="490"/>
      <c r="D85" s="490"/>
      <c r="E85" s="490"/>
      <c r="F85" s="491"/>
    </row>
    <row r="86" spans="1:6" ht="14.4" x14ac:dyDescent="0.3">
      <c r="A86" s="502" t="str">
        <f t="shared" si="16"/>
        <v>Packhouse repairs</v>
      </c>
      <c r="B86" s="490">
        <f t="shared" si="16"/>
        <v>-20000</v>
      </c>
      <c r="C86" s="490"/>
      <c r="D86" s="490"/>
      <c r="E86" s="490"/>
      <c r="F86" s="491"/>
    </row>
    <row r="87" spans="1:6" ht="14.4" x14ac:dyDescent="0.3">
      <c r="A87" s="502" t="str">
        <f t="shared" si="16"/>
        <v>Borehole equipment</v>
      </c>
      <c r="B87" s="490">
        <f t="shared" si="16"/>
        <v>-67000</v>
      </c>
      <c r="C87" s="490"/>
      <c r="D87" s="490"/>
      <c r="E87" s="490"/>
      <c r="F87" s="491"/>
    </row>
    <row r="88" spans="1:6" ht="14.4" x14ac:dyDescent="0.3">
      <c r="A88" s="502" t="str">
        <f t="shared" si="16"/>
        <v>Working capital</v>
      </c>
      <c r="B88" s="490">
        <f t="shared" si="16"/>
        <v>-382094.01</v>
      </c>
      <c r="C88" s="490"/>
      <c r="D88" s="490"/>
      <c r="E88" s="490"/>
      <c r="F88" s="491"/>
    </row>
    <row r="89" spans="1:6" ht="14.4" x14ac:dyDescent="0.3">
      <c r="A89" s="502" t="str">
        <f t="shared" si="16"/>
        <v>Packhouse Panneting machine</v>
      </c>
      <c r="B89" s="490">
        <f t="shared" si="16"/>
        <v>-12000</v>
      </c>
      <c r="C89" s="490"/>
      <c r="D89" s="490"/>
      <c r="E89" s="490"/>
      <c r="F89" s="491"/>
    </row>
    <row r="90" spans="1:6" ht="14.4" x14ac:dyDescent="0.3">
      <c r="A90" s="502" t="str">
        <f t="shared" si="16"/>
        <v>Packhouse 5kg table scales</v>
      </c>
      <c r="B90" s="490">
        <f t="shared" si="16"/>
        <v>-16000</v>
      </c>
      <c r="C90" s="490"/>
      <c r="D90" s="490"/>
      <c r="E90" s="490"/>
      <c r="F90" s="491"/>
    </row>
    <row r="91" spans="1:6" ht="14.4" x14ac:dyDescent="0.3">
      <c r="A91" s="502" t="str">
        <f t="shared" si="16"/>
        <v>Packhouse 100kg+ platform scale</v>
      </c>
      <c r="B91" s="490">
        <f t="shared" si="16"/>
        <v>-16000</v>
      </c>
      <c r="C91" s="490"/>
      <c r="D91" s="490"/>
      <c r="E91" s="490"/>
      <c r="F91" s="491"/>
    </row>
    <row r="92" spans="1:6" ht="14.4" x14ac:dyDescent="0.3">
      <c r="A92" s="502" t="str">
        <f t="shared" si="16"/>
        <v>Packhouse Drying Buckets</v>
      </c>
      <c r="B92" s="490">
        <f t="shared" si="16"/>
        <v>-8000</v>
      </c>
      <c r="C92" s="490"/>
      <c r="D92" s="490"/>
      <c r="E92" s="490"/>
      <c r="F92" s="491"/>
    </row>
    <row r="93" spans="1:6" ht="14.4" x14ac:dyDescent="0.3">
      <c r="A93" s="502" t="str">
        <f t="shared" si="16"/>
        <v xml:space="preserve"> Packhouse Crates</v>
      </c>
      <c r="B93" s="490">
        <f t="shared" si="16"/>
        <v>-45000</v>
      </c>
      <c r="C93" s="490"/>
      <c r="D93" s="490"/>
      <c r="E93" s="490"/>
      <c r="F93" s="491"/>
    </row>
    <row r="94" spans="1:6" ht="14.4" x14ac:dyDescent="0.3">
      <c r="A94" s="502" t="str">
        <f t="shared" si="16"/>
        <v xml:space="preserve">Packhouse Meto-gun machine </v>
      </c>
      <c r="B94" s="490">
        <f t="shared" si="16"/>
        <v>-3000</v>
      </c>
      <c r="C94" s="490"/>
      <c r="D94" s="490"/>
      <c r="E94" s="490"/>
      <c r="F94" s="491"/>
    </row>
    <row r="95" spans="1:6" ht="14.4" x14ac:dyDescent="0.3">
      <c r="A95" s="502" t="str">
        <f t="shared" si="16"/>
        <v>Irrigation</v>
      </c>
      <c r="B95" s="490">
        <f t="shared" si="16"/>
        <v>-689000</v>
      </c>
      <c r="C95" s="490"/>
      <c r="D95" s="490"/>
      <c r="E95" s="490"/>
      <c r="F95" s="491"/>
    </row>
    <row r="96" spans="1:6" ht="14.4" x14ac:dyDescent="0.3">
      <c r="A96" s="502" t="str">
        <f t="shared" si="16"/>
        <v>55Hp tractor</v>
      </c>
      <c r="B96" s="490">
        <f t="shared" si="16"/>
        <v>-270000</v>
      </c>
      <c r="C96" s="490"/>
      <c r="D96" s="490"/>
      <c r="E96" s="490"/>
      <c r="F96" s="491"/>
    </row>
    <row r="97" spans="1:6" ht="14.4" x14ac:dyDescent="0.3">
      <c r="A97" s="502" t="str">
        <f>A48</f>
        <v>Tipper trailer</v>
      </c>
      <c r="B97" s="490">
        <f t="shared" ref="B97" si="17">B48</f>
        <v>-80000</v>
      </c>
      <c r="C97" s="490"/>
      <c r="D97" s="490"/>
      <c r="E97" s="490"/>
      <c r="F97" s="491"/>
    </row>
    <row r="98" spans="1:6" x14ac:dyDescent="0.3">
      <c r="A98" s="489" t="s">
        <v>423</v>
      </c>
      <c r="B98" s="490">
        <f>B57+B64+B74+B81</f>
        <v>1775988.9162777765</v>
      </c>
      <c r="C98" s="490">
        <f t="shared" ref="C98:F98" si="18">C57+C64+C74+C81</f>
        <v>1041726.0792888878</v>
      </c>
      <c r="D98" s="490">
        <f t="shared" si="18"/>
        <v>1035260.2762577769</v>
      </c>
      <c r="E98" s="490">
        <f t="shared" si="18"/>
        <v>1006020.2107315548</v>
      </c>
      <c r="F98" s="491">
        <f t="shared" si="18"/>
        <v>947302.92002231081</v>
      </c>
    </row>
    <row r="99" spans="1:6" ht="14.4" thickBot="1" x14ac:dyDescent="0.35">
      <c r="A99" s="494"/>
      <c r="B99" s="495"/>
      <c r="C99" s="495"/>
      <c r="D99" s="503"/>
      <c r="E99" s="503"/>
      <c r="F99" s="496"/>
    </row>
  </sheetData>
  <mergeCells count="2">
    <mergeCell ref="A2:N2"/>
    <mergeCell ref="A55:F55"/>
  </mergeCells>
  <conditionalFormatting sqref="A5:N9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4B7C-4EA5-49CE-B287-CAFB6DA2CDC8}">
  <dimension ref="A1:M67"/>
  <sheetViews>
    <sheetView workbookViewId="0">
      <selection activeCell="K9" sqref="K9"/>
    </sheetView>
  </sheetViews>
  <sheetFormatPr defaultColWidth="9.875" defaultRowHeight="13.8" x14ac:dyDescent="0.3"/>
  <cols>
    <col min="1" max="1" width="44" style="409" customWidth="1"/>
    <col min="2" max="2" width="18.25" style="409" customWidth="1"/>
    <col min="3" max="3" width="9.875" style="409"/>
    <col min="4" max="4" width="18.25" style="409" customWidth="1"/>
    <col min="5" max="9" width="9.875" style="409"/>
    <col min="10" max="10" width="3.5" style="409" customWidth="1"/>
    <col min="11" max="11" width="16.375" style="409" customWidth="1"/>
    <col min="12" max="12" width="20.5" style="409" customWidth="1"/>
    <col min="13" max="13" width="14.5" style="409" customWidth="1"/>
    <col min="14" max="16384" width="9.875" style="409"/>
  </cols>
  <sheetData>
    <row r="1" spans="1:13" ht="14.4" x14ac:dyDescent="0.3">
      <c r="A1" s="504" t="s">
        <v>426</v>
      </c>
      <c r="B1" s="505">
        <v>1729830</v>
      </c>
      <c r="C1" s="506">
        <v>1</v>
      </c>
      <c r="D1" s="505">
        <f t="shared" ref="D1:D19" si="0">B1*C1</f>
        <v>1729830</v>
      </c>
      <c r="E1" s="507" t="s">
        <v>427</v>
      </c>
    </row>
    <row r="2" spans="1:13" ht="15" thickBot="1" x14ac:dyDescent="0.35">
      <c r="A2" s="504" t="s">
        <v>428</v>
      </c>
      <c r="B2" s="505">
        <v>277516.15999999997</v>
      </c>
      <c r="C2" s="506">
        <v>1</v>
      </c>
      <c r="D2" s="505">
        <f t="shared" si="0"/>
        <v>277516.15999999997</v>
      </c>
      <c r="E2" s="507" t="s">
        <v>427</v>
      </c>
      <c r="J2" s="546" t="s">
        <v>187</v>
      </c>
      <c r="K2" s="552"/>
      <c r="L2" s="552"/>
      <c r="M2" s="552"/>
    </row>
    <row r="3" spans="1:13" ht="14.4" x14ac:dyDescent="0.3">
      <c r="A3" s="504" t="s">
        <v>429</v>
      </c>
      <c r="B3" s="505">
        <v>390000</v>
      </c>
      <c r="C3" s="506">
        <v>1</v>
      </c>
      <c r="D3" s="505">
        <f t="shared" si="0"/>
        <v>390000</v>
      </c>
      <c r="E3" s="507" t="s">
        <v>427</v>
      </c>
      <c r="J3" s="537" t="s">
        <v>99</v>
      </c>
      <c r="K3" s="537"/>
      <c r="L3" s="537"/>
      <c r="M3" s="538" t="s">
        <v>1</v>
      </c>
    </row>
    <row r="4" spans="1:13" ht="14.4" x14ac:dyDescent="0.3">
      <c r="A4" s="504" t="s">
        <v>430</v>
      </c>
      <c r="B4" s="505">
        <v>235</v>
      </c>
      <c r="C4" s="506">
        <v>1130</v>
      </c>
      <c r="D4" s="505">
        <f t="shared" si="0"/>
        <v>265550</v>
      </c>
      <c r="E4" s="504" t="s">
        <v>431</v>
      </c>
      <c r="J4" s="539"/>
      <c r="K4" s="540" t="s">
        <v>87</v>
      </c>
      <c r="L4" s="541"/>
      <c r="M4" s="311">
        <v>0</v>
      </c>
    </row>
    <row r="5" spans="1:13" ht="14.4" x14ac:dyDescent="0.3">
      <c r="A5" s="504" t="s">
        <v>432</v>
      </c>
      <c r="B5" s="505">
        <v>20000</v>
      </c>
      <c r="C5" s="506">
        <v>1</v>
      </c>
      <c r="D5" s="505">
        <f t="shared" si="0"/>
        <v>20000</v>
      </c>
      <c r="E5" s="504" t="s">
        <v>433</v>
      </c>
      <c r="J5" s="539"/>
      <c r="K5" s="540" t="s">
        <v>5</v>
      </c>
      <c r="L5" s="541"/>
      <c r="M5" s="311">
        <f>D1</f>
        <v>1729830</v>
      </c>
    </row>
    <row r="6" spans="1:13" ht="14.4" x14ac:dyDescent="0.3">
      <c r="A6" s="504" t="s">
        <v>434</v>
      </c>
      <c r="B6" s="505">
        <v>67000</v>
      </c>
      <c r="C6" s="506">
        <v>1</v>
      </c>
      <c r="D6" s="505">
        <f t="shared" si="0"/>
        <v>67000</v>
      </c>
      <c r="E6" s="504" t="s">
        <v>433</v>
      </c>
      <c r="J6" s="539"/>
      <c r="K6" s="540" t="s">
        <v>96</v>
      </c>
      <c r="L6" s="541"/>
      <c r="M6" s="311">
        <f>D4+D6+D14+D18</f>
        <v>1093550</v>
      </c>
    </row>
    <row r="7" spans="1:13" ht="14.4" x14ac:dyDescent="0.3">
      <c r="A7" s="506" t="s">
        <v>435</v>
      </c>
      <c r="B7" s="505">
        <v>382094.01</v>
      </c>
      <c r="C7" s="506">
        <v>1</v>
      </c>
      <c r="D7" s="505">
        <f t="shared" si="0"/>
        <v>382094.01</v>
      </c>
      <c r="E7" s="504"/>
      <c r="J7" s="539"/>
      <c r="K7" s="540" t="s">
        <v>95</v>
      </c>
      <c r="L7" s="541"/>
      <c r="M7" s="311">
        <f>D2+D3+D5</f>
        <v>687516.15999999992</v>
      </c>
    </row>
    <row r="8" spans="1:13" ht="14.4" x14ac:dyDescent="0.3">
      <c r="A8" s="504" t="s">
        <v>436</v>
      </c>
      <c r="B8" s="505">
        <v>6000</v>
      </c>
      <c r="C8" s="506">
        <v>2</v>
      </c>
      <c r="D8" s="505">
        <f t="shared" si="0"/>
        <v>12000</v>
      </c>
      <c r="E8" s="504" t="s">
        <v>433</v>
      </c>
      <c r="J8" s="539"/>
      <c r="K8" s="540" t="s">
        <v>463</v>
      </c>
      <c r="L8" s="541"/>
      <c r="M8" s="311">
        <f>D8+D9+D10+D11+D12+D13+D17</f>
        <v>112000</v>
      </c>
    </row>
    <row r="9" spans="1:13" ht="14.4" x14ac:dyDescent="0.3">
      <c r="A9" s="504" t="s">
        <v>437</v>
      </c>
      <c r="B9" s="505">
        <v>4000</v>
      </c>
      <c r="C9" s="506">
        <v>4</v>
      </c>
      <c r="D9" s="505">
        <f t="shared" si="0"/>
        <v>16000</v>
      </c>
      <c r="E9" s="504" t="s">
        <v>433</v>
      </c>
      <c r="J9" s="539"/>
      <c r="K9" s="540" t="s">
        <v>6</v>
      </c>
      <c r="L9" s="541"/>
      <c r="M9" s="311">
        <f>D15+D16+D19</f>
        <v>815000</v>
      </c>
    </row>
    <row r="10" spans="1:13" ht="15" thickBot="1" x14ac:dyDescent="0.35">
      <c r="A10" s="504" t="s">
        <v>438</v>
      </c>
      <c r="B10" s="505">
        <v>8000</v>
      </c>
      <c r="C10" s="506">
        <v>2</v>
      </c>
      <c r="D10" s="505">
        <f t="shared" si="0"/>
        <v>16000</v>
      </c>
      <c r="E10" s="504" t="s">
        <v>433</v>
      </c>
      <c r="J10" s="542" t="s">
        <v>7</v>
      </c>
      <c r="K10" s="542"/>
      <c r="L10" s="543"/>
      <c r="M10" s="544">
        <f>SUM(M4:M9)</f>
        <v>4437896.16</v>
      </c>
    </row>
    <row r="11" spans="1:13" ht="15" thickTop="1" x14ac:dyDescent="0.3">
      <c r="A11" s="504" t="s">
        <v>439</v>
      </c>
      <c r="B11" s="505">
        <v>400</v>
      </c>
      <c r="C11" s="506">
        <v>20</v>
      </c>
      <c r="D11" s="505">
        <f t="shared" si="0"/>
        <v>8000</v>
      </c>
      <c r="E11" s="504" t="s">
        <v>433</v>
      </c>
    </row>
    <row r="12" spans="1:13" ht="14.4" x14ac:dyDescent="0.3">
      <c r="A12" s="504" t="s">
        <v>440</v>
      </c>
      <c r="B12" s="505">
        <v>90</v>
      </c>
      <c r="C12" s="506">
        <v>500</v>
      </c>
      <c r="D12" s="505">
        <f t="shared" si="0"/>
        <v>45000</v>
      </c>
      <c r="E12" s="504" t="s">
        <v>433</v>
      </c>
      <c r="I12" s="504"/>
      <c r="J12" s="537" t="s">
        <v>126</v>
      </c>
      <c r="K12" s="537"/>
      <c r="L12" s="537"/>
      <c r="M12" s="538"/>
    </row>
    <row r="13" spans="1:13" ht="14.4" x14ac:dyDescent="0.3">
      <c r="A13" s="504" t="s">
        <v>441</v>
      </c>
      <c r="B13" s="505">
        <v>500</v>
      </c>
      <c r="C13" s="506">
        <v>6</v>
      </c>
      <c r="D13" s="505">
        <f t="shared" si="0"/>
        <v>3000</v>
      </c>
      <c r="E13" s="504" t="s">
        <v>433</v>
      </c>
      <c r="J13" s="539"/>
      <c r="K13" s="540" t="s">
        <v>129</v>
      </c>
      <c r="L13" s="541"/>
      <c r="M13" s="311">
        <f>D7</f>
        <v>382094.01</v>
      </c>
    </row>
    <row r="14" spans="1:13" ht="14.4" x14ac:dyDescent="0.3">
      <c r="A14" s="504" t="s">
        <v>374</v>
      </c>
      <c r="B14" s="505">
        <v>689000</v>
      </c>
      <c r="C14" s="506">
        <v>1</v>
      </c>
      <c r="D14" s="505">
        <f t="shared" si="0"/>
        <v>689000</v>
      </c>
      <c r="E14" s="504" t="s">
        <v>433</v>
      </c>
      <c r="J14" s="539"/>
      <c r="K14" s="540" t="s">
        <v>127</v>
      </c>
      <c r="L14" s="541"/>
      <c r="M14" s="311"/>
    </row>
    <row r="15" spans="1:13" ht="14.4" x14ac:dyDescent="0.3">
      <c r="A15" s="504" t="s">
        <v>442</v>
      </c>
      <c r="B15" s="505">
        <v>270000</v>
      </c>
      <c r="C15" s="506">
        <v>1</v>
      </c>
      <c r="D15" s="505">
        <f t="shared" si="0"/>
        <v>270000</v>
      </c>
      <c r="E15" s="504" t="s">
        <v>443</v>
      </c>
      <c r="J15" s="539"/>
      <c r="K15" s="540" t="s">
        <v>128</v>
      </c>
      <c r="L15" s="541"/>
      <c r="M15" s="311"/>
    </row>
    <row r="16" spans="1:13" ht="14.4" x14ac:dyDescent="0.3">
      <c r="A16" s="504" t="s">
        <v>444</v>
      </c>
      <c r="B16" s="505">
        <v>80000</v>
      </c>
      <c r="C16" s="506">
        <v>1</v>
      </c>
      <c r="D16" s="505">
        <f t="shared" si="0"/>
        <v>80000</v>
      </c>
      <c r="E16" s="504" t="s">
        <v>443</v>
      </c>
      <c r="J16" s="539"/>
      <c r="K16" s="540" t="s">
        <v>196</v>
      </c>
      <c r="L16" s="541"/>
      <c r="M16" s="311"/>
    </row>
    <row r="17" spans="1:13" ht="15" thickBot="1" x14ac:dyDescent="0.35">
      <c r="A17" s="504" t="s">
        <v>445</v>
      </c>
      <c r="B17" s="505">
        <v>12000</v>
      </c>
      <c r="C17" s="506">
        <v>1</v>
      </c>
      <c r="D17" s="505">
        <f t="shared" si="0"/>
        <v>12000</v>
      </c>
      <c r="E17" s="504" t="s">
        <v>433</v>
      </c>
      <c r="J17" s="542" t="s">
        <v>130</v>
      </c>
      <c r="K17" s="553"/>
      <c r="L17" s="543"/>
      <c r="M17" s="545">
        <f>SUM(M13:M16)</f>
        <v>382094.01</v>
      </c>
    </row>
    <row r="18" spans="1:13" ht="15" thickTop="1" x14ac:dyDescent="0.3">
      <c r="A18" s="504" t="s">
        <v>446</v>
      </c>
      <c r="B18" s="505">
        <v>72000</v>
      </c>
      <c r="C18" s="506">
        <v>1</v>
      </c>
      <c r="D18" s="505">
        <f t="shared" si="0"/>
        <v>72000</v>
      </c>
      <c r="E18" s="504" t="s">
        <v>447</v>
      </c>
    </row>
    <row r="19" spans="1:13" ht="14.4" x14ac:dyDescent="0.3">
      <c r="A19" s="504" t="s">
        <v>448</v>
      </c>
      <c r="B19" s="505">
        <v>465000</v>
      </c>
      <c r="C19" s="506">
        <v>1</v>
      </c>
      <c r="D19" s="505">
        <f t="shared" si="0"/>
        <v>465000</v>
      </c>
      <c r="E19" s="504" t="s">
        <v>449</v>
      </c>
    </row>
    <row r="20" spans="1:13" ht="14.4" x14ac:dyDescent="0.3">
      <c r="B20" s="505"/>
      <c r="C20" s="506"/>
      <c r="D20" s="505"/>
      <c r="E20" s="506"/>
    </row>
    <row r="21" spans="1:13" ht="14.4" x14ac:dyDescent="0.3">
      <c r="A21" s="506"/>
      <c r="B21" s="505"/>
      <c r="C21" s="506"/>
      <c r="D21" s="505">
        <f>SUM(D1:D20)</f>
        <v>4819990.17</v>
      </c>
      <c r="E21" s="506"/>
      <c r="J21" s="98"/>
      <c r="K21" s="98"/>
      <c r="L21" s="70"/>
    </row>
    <row r="22" spans="1:13" ht="14.4" x14ac:dyDescent="0.3">
      <c r="A22" s="506"/>
      <c r="B22" s="505"/>
      <c r="C22" s="506"/>
      <c r="D22" s="506"/>
      <c r="E22" s="506"/>
      <c r="J22" s="98"/>
      <c r="K22" s="98"/>
      <c r="L22" s="70"/>
    </row>
    <row r="23" spans="1:13" x14ac:dyDescent="0.3">
      <c r="J23" s="98"/>
      <c r="K23" s="3"/>
      <c r="L23" s="70"/>
    </row>
    <row r="24" spans="1:13" x14ac:dyDescent="0.3">
      <c r="J24" s="98"/>
      <c r="K24" s="3"/>
      <c r="L24"/>
    </row>
    <row r="25" spans="1:13" x14ac:dyDescent="0.3">
      <c r="J25" s="98"/>
      <c r="K25" s="98"/>
      <c r="L25" s="70"/>
    </row>
    <row r="26" spans="1:13" x14ac:dyDescent="0.3">
      <c r="J26" s="98"/>
      <c r="K26" s="98"/>
      <c r="L26" s="70"/>
    </row>
    <row r="27" spans="1:13" x14ac:dyDescent="0.3">
      <c r="J27" s="98" t="s">
        <v>126</v>
      </c>
      <c r="K27" s="98"/>
      <c r="L27" s="70"/>
    </row>
    <row r="28" spans="1:13" x14ac:dyDescent="0.3">
      <c r="J28" s="98"/>
      <c r="K28" s="98" t="s">
        <v>129</v>
      </c>
      <c r="L28" s="70"/>
    </row>
    <row r="29" spans="1:13" x14ac:dyDescent="0.3">
      <c r="J29" s="98"/>
      <c r="K29" s="98" t="s">
        <v>127</v>
      </c>
      <c r="L29" s="70"/>
    </row>
    <row r="30" spans="1:13" x14ac:dyDescent="0.3">
      <c r="J30" s="98"/>
      <c r="K30" s="98" t="s">
        <v>128</v>
      </c>
      <c r="L30" s="70"/>
    </row>
    <row r="31" spans="1:13" x14ac:dyDescent="0.3">
      <c r="J31" s="98"/>
      <c r="K31" s="98" t="s">
        <v>196</v>
      </c>
      <c r="L31" s="70"/>
    </row>
    <row r="32" spans="1:13" ht="14.4" thickBot="1" x14ac:dyDescent="0.35">
      <c r="J32" s="109" t="s">
        <v>130</v>
      </c>
      <c r="K32" s="109"/>
      <c r="L32" s="110"/>
    </row>
    <row r="33" spans="10:12" ht="14.4" thickTop="1" x14ac:dyDescent="0.3">
      <c r="J33" s="98"/>
      <c r="K33" s="98"/>
      <c r="L33" s="70"/>
    </row>
    <row r="34" spans="10:12" ht="14.4" thickBot="1" x14ac:dyDescent="0.35">
      <c r="J34" s="101"/>
      <c r="K34" s="101"/>
      <c r="L34" s="102"/>
    </row>
    <row r="35" spans="10:12" ht="14.4" thickBot="1" x14ac:dyDescent="0.35">
      <c r="J35" s="106"/>
      <c r="K35" s="106"/>
      <c r="L35" s="107"/>
    </row>
    <row r="36" spans="10:12" ht="14.4" thickTop="1" x14ac:dyDescent="0.3">
      <c r="J36" s="98"/>
      <c r="K36" s="98"/>
      <c r="L36" s="70"/>
    </row>
    <row r="37" spans="10:12" x14ac:dyDescent="0.3">
      <c r="J37" s="98" t="s">
        <v>145</v>
      </c>
      <c r="K37" s="98"/>
      <c r="L37" s="70"/>
    </row>
    <row r="38" spans="10:12" x14ac:dyDescent="0.3">
      <c r="J38" s="98"/>
      <c r="K38" s="98" t="s">
        <v>131</v>
      </c>
      <c r="L38" s="70"/>
    </row>
    <row r="39" spans="10:12" ht="14.4" thickBot="1" x14ac:dyDescent="0.35">
      <c r="J39" s="101"/>
      <c r="K39" s="101" t="s">
        <v>132</v>
      </c>
      <c r="L39" s="102"/>
    </row>
    <row r="40" spans="10:12" ht="14.4" thickBot="1" x14ac:dyDescent="0.35">
      <c r="J40" s="106" t="s">
        <v>133</v>
      </c>
      <c r="K40" s="106"/>
      <c r="L40" s="107"/>
    </row>
    <row r="41" spans="10:12" ht="14.4" thickTop="1" x14ac:dyDescent="0.3">
      <c r="J41" s="98"/>
      <c r="K41" s="98"/>
      <c r="L41" s="70"/>
    </row>
    <row r="42" spans="10:12" x14ac:dyDescent="0.3">
      <c r="J42" s="98"/>
      <c r="K42" s="98"/>
      <c r="L42" s="70"/>
    </row>
    <row r="43" spans="10:12" x14ac:dyDescent="0.3">
      <c r="J43" s="98" t="s">
        <v>134</v>
      </c>
      <c r="K43" s="98"/>
      <c r="L43" s="70"/>
    </row>
    <row r="44" spans="10:12" x14ac:dyDescent="0.3">
      <c r="J44" s="98"/>
      <c r="K44" s="98" t="s">
        <v>135</v>
      </c>
      <c r="L44" s="70"/>
    </row>
    <row r="45" spans="10:12" x14ac:dyDescent="0.3">
      <c r="J45" s="98"/>
      <c r="K45" s="98" t="s">
        <v>136</v>
      </c>
      <c r="L45" s="70"/>
    </row>
    <row r="46" spans="10:12" x14ac:dyDescent="0.3">
      <c r="J46" s="98"/>
      <c r="K46" s="98" t="s">
        <v>124</v>
      </c>
      <c r="L46" s="70"/>
    </row>
    <row r="47" spans="10:12" ht="14.4" thickBot="1" x14ac:dyDescent="0.35">
      <c r="J47" s="109" t="s">
        <v>137</v>
      </c>
      <c r="K47" s="109"/>
      <c r="L47" s="110"/>
    </row>
    <row r="48" spans="10:12" ht="14.4" thickTop="1" x14ac:dyDescent="0.3">
      <c r="J48" s="98"/>
      <c r="K48" s="98"/>
      <c r="L48" s="70"/>
    </row>
    <row r="49" spans="10:12" x14ac:dyDescent="0.3">
      <c r="J49" s="98" t="s">
        <v>138</v>
      </c>
      <c r="K49" s="98"/>
      <c r="L49" s="70"/>
    </row>
    <row r="50" spans="10:12" x14ac:dyDescent="0.3">
      <c r="J50" s="98"/>
      <c r="K50" s="98" t="s">
        <v>136</v>
      </c>
      <c r="L50" s="70"/>
    </row>
    <row r="51" spans="10:12" x14ac:dyDescent="0.3">
      <c r="J51" s="98"/>
      <c r="K51" s="98" t="s">
        <v>140</v>
      </c>
      <c r="L51" s="70"/>
    </row>
    <row r="52" spans="10:12" x14ac:dyDescent="0.3">
      <c r="J52" s="98"/>
      <c r="K52" s="98" t="s">
        <v>141</v>
      </c>
      <c r="L52" s="70"/>
    </row>
    <row r="53" spans="10:12" x14ac:dyDescent="0.3">
      <c r="J53" s="98"/>
      <c r="K53" s="98" t="s">
        <v>144</v>
      </c>
      <c r="L53" s="70"/>
    </row>
    <row r="54" spans="10:12" ht="14.4" thickBot="1" x14ac:dyDescent="0.35">
      <c r="J54" s="109" t="s">
        <v>142</v>
      </c>
      <c r="K54" s="109"/>
      <c r="L54" s="110"/>
    </row>
    <row r="55" spans="10:12" ht="14.4" thickTop="1" x14ac:dyDescent="0.3">
      <c r="J55" s="98"/>
      <c r="K55" s="98"/>
      <c r="L55" s="70"/>
    </row>
    <row r="56" spans="10:12" x14ac:dyDescent="0.3">
      <c r="J56" s="98"/>
      <c r="K56" s="98"/>
      <c r="L56" s="70"/>
    </row>
    <row r="57" spans="10:12" ht="14.4" thickBot="1" x14ac:dyDescent="0.35">
      <c r="J57" s="109"/>
      <c r="K57" s="109"/>
      <c r="L57" s="110"/>
    </row>
    <row r="58" spans="10:12" ht="14.4" thickTop="1" x14ac:dyDescent="0.3">
      <c r="J58" s="98"/>
      <c r="K58" s="98"/>
      <c r="L58" s="70"/>
    </row>
    <row r="59" spans="10:12" ht="14.4" thickBot="1" x14ac:dyDescent="0.35">
      <c r="J59" s="101"/>
      <c r="K59" s="101"/>
      <c r="L59" s="102"/>
    </row>
    <row r="60" spans="10:12" ht="14.4" thickBot="1" x14ac:dyDescent="0.35">
      <c r="J60" s="106"/>
      <c r="K60" s="106"/>
      <c r="L60" s="107"/>
    </row>
    <row r="61" spans="10:12" ht="14.4" thickTop="1" x14ac:dyDescent="0.3">
      <c r="J61" s="98"/>
      <c r="K61" s="98"/>
      <c r="L61" s="70"/>
    </row>
    <row r="62" spans="10:12" ht="14.4" thickBot="1" x14ac:dyDescent="0.35">
      <c r="J62" s="101"/>
      <c r="K62" s="101"/>
      <c r="L62" s="102"/>
    </row>
    <row r="63" spans="10:12" ht="14.4" thickBot="1" x14ac:dyDescent="0.35">
      <c r="J63" s="106"/>
      <c r="K63" s="106"/>
      <c r="L63" s="107"/>
    </row>
    <row r="64" spans="10:12" ht="14.4" thickTop="1" x14ac:dyDescent="0.3">
      <c r="J64" s="98"/>
      <c r="K64" s="98"/>
      <c r="L64" s="70"/>
    </row>
    <row r="65" spans="10:12" ht="14.4" thickBot="1" x14ac:dyDescent="0.35">
      <c r="J65" s="101"/>
      <c r="K65" s="101"/>
      <c r="L65" s="102"/>
    </row>
    <row r="66" spans="10:12" ht="14.4" thickBot="1" x14ac:dyDescent="0.35">
      <c r="J66" s="106"/>
      <c r="K66" s="106"/>
      <c r="L66" s="107"/>
    </row>
    <row r="67" spans="10:12" ht="14.4" thickTop="1" x14ac:dyDescent="0.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5259-0D1E-4451-8971-0B6A9F665BB6}">
  <dimension ref="B2:L38"/>
  <sheetViews>
    <sheetView showGridLines="0" zoomScale="90" zoomScaleNormal="90" workbookViewId="0"/>
  </sheetViews>
  <sheetFormatPr defaultRowHeight="11.4" x14ac:dyDescent="0.2"/>
  <cols>
    <col min="1" max="1" width="3.875" customWidth="1"/>
    <col min="2" max="2" width="20.75" customWidth="1"/>
    <col min="3" max="7" width="15.625" customWidth="1"/>
    <col min="8" max="8" width="5.75" customWidth="1"/>
    <col min="12" max="12" width="9.375" bestFit="1" customWidth="1"/>
    <col min="15" max="15" width="5.25" customWidth="1"/>
    <col min="18" max="18" width="10" bestFit="1" customWidth="1"/>
  </cols>
  <sheetData>
    <row r="2" spans="2:11" ht="11.4" customHeight="1" x14ac:dyDescent="0.2">
      <c r="B2" s="590" t="s">
        <v>235</v>
      </c>
      <c r="C2" s="590"/>
      <c r="D2" s="590"/>
      <c r="E2" s="590"/>
      <c r="F2" s="590"/>
      <c r="G2" s="590"/>
      <c r="H2" s="125"/>
      <c r="I2" s="125"/>
      <c r="J2" s="125"/>
      <c r="K2" s="125"/>
    </row>
    <row r="3" spans="2:11" ht="11.4" customHeight="1" x14ac:dyDescent="0.2">
      <c r="B3" s="590"/>
      <c r="C3" s="590"/>
      <c r="D3" s="590"/>
      <c r="E3" s="590"/>
      <c r="F3" s="590"/>
      <c r="G3" s="590"/>
      <c r="H3" s="125"/>
      <c r="I3" s="125"/>
      <c r="J3" s="125"/>
      <c r="K3" s="125"/>
    </row>
    <row r="4" spans="2:11" ht="11.4" customHeight="1" x14ac:dyDescent="0.2">
      <c r="B4" s="590"/>
      <c r="C4" s="590"/>
      <c r="D4" s="590"/>
      <c r="E4" s="590"/>
      <c r="F4" s="590"/>
      <c r="G4" s="590"/>
      <c r="H4" s="125"/>
      <c r="I4" s="125"/>
      <c r="J4" s="125"/>
      <c r="K4" s="125"/>
    </row>
    <row r="5" spans="2:11" x14ac:dyDescent="0.2">
      <c r="H5" s="76"/>
      <c r="I5" s="76"/>
      <c r="J5" s="76"/>
      <c r="K5" s="76"/>
    </row>
    <row r="7" spans="2:11" ht="11.4" customHeight="1" x14ac:dyDescent="0.2">
      <c r="B7" s="590" t="s">
        <v>260</v>
      </c>
      <c r="C7" s="590"/>
      <c r="D7" s="590"/>
      <c r="E7" s="590"/>
      <c r="F7" s="590"/>
      <c r="G7" s="590"/>
    </row>
    <row r="8" spans="2:11" ht="11.4" customHeight="1" x14ac:dyDescent="0.2">
      <c r="B8" s="590"/>
      <c r="C8" s="590"/>
      <c r="D8" s="590"/>
      <c r="E8" s="590"/>
      <c r="F8" s="590"/>
      <c r="G8" s="590"/>
    </row>
    <row r="9" spans="2:11" ht="11.4" customHeight="1" x14ac:dyDescent="0.2">
      <c r="B9" s="590"/>
      <c r="C9" s="590"/>
      <c r="D9" s="590"/>
      <c r="E9" s="590"/>
      <c r="F9" s="590"/>
      <c r="G9" s="590"/>
    </row>
    <row r="10" spans="2:11" ht="16.2" thickBot="1" x14ac:dyDescent="0.25">
      <c r="B10" s="247"/>
      <c r="C10" s="247"/>
      <c r="D10" s="247"/>
      <c r="E10" s="247"/>
      <c r="F10" s="247"/>
      <c r="G10" s="247"/>
    </row>
    <row r="11" spans="2:11" ht="13.8" x14ac:dyDescent="0.3">
      <c r="B11" s="105"/>
      <c r="C11" s="77"/>
      <c r="D11" s="77"/>
      <c r="E11" s="77"/>
      <c r="F11" s="77"/>
      <c r="G11" s="77"/>
    </row>
    <row r="12" spans="2:11" ht="13.8" x14ac:dyDescent="0.3">
      <c r="B12" s="105" t="s">
        <v>258</v>
      </c>
      <c r="C12" s="290" t="s">
        <v>206</v>
      </c>
      <c r="D12" s="290" t="s">
        <v>207</v>
      </c>
      <c r="E12" s="290" t="s">
        <v>208</v>
      </c>
      <c r="F12" s="290" t="s">
        <v>209</v>
      </c>
      <c r="G12" s="290" t="s">
        <v>210</v>
      </c>
    </row>
    <row r="13" spans="2:11" ht="14.4" thickBot="1" x14ac:dyDescent="0.35">
      <c r="B13" s="336"/>
      <c r="C13" s="246"/>
      <c r="D13" s="246"/>
      <c r="E13" s="246"/>
      <c r="F13" s="246"/>
      <c r="G13" s="246"/>
    </row>
    <row r="14" spans="2:11" ht="13.8" x14ac:dyDescent="0.3">
      <c r="B14" s="105"/>
      <c r="C14" s="77"/>
      <c r="D14" s="77"/>
      <c r="E14" s="77"/>
      <c r="F14" s="77"/>
      <c r="G14" s="77"/>
    </row>
    <row r="15" spans="2:11" ht="13.8" x14ac:dyDescent="0.3">
      <c r="B15" s="337" t="s">
        <v>262</v>
      </c>
      <c r="C15" s="311">
        <f>'6. Income Statement'!Q14</f>
        <v>3080855.555555555</v>
      </c>
      <c r="D15" s="311">
        <f>'6. Income Statement'!R14</f>
        <v>3358132.555555555</v>
      </c>
      <c r="E15" s="311">
        <f>'6. Income Statement'!S14</f>
        <v>3660364.4855555552</v>
      </c>
      <c r="F15" s="311">
        <f>'6. Income Statement'!T14</f>
        <v>3989797.2892555553</v>
      </c>
      <c r="G15" s="311">
        <f>'6. Income Statement'!U14</f>
        <v>4348879.0452885553</v>
      </c>
    </row>
    <row r="16" spans="2:11" ht="13.8" x14ac:dyDescent="0.3">
      <c r="B16" s="337" t="s">
        <v>259</v>
      </c>
      <c r="C16" s="311">
        <f>'6. Income Statement'!Q105</f>
        <v>-334584.17921134614</v>
      </c>
      <c r="D16" s="311">
        <f>'6. Income Statement'!R105</f>
        <v>-212943.38523134962</v>
      </c>
      <c r="E16" s="311">
        <f>'6. Income Statement'!S105</f>
        <v>-43783.338126855204</v>
      </c>
      <c r="F16" s="311">
        <f>'6. Income Statement'!T105</f>
        <v>146398.35587499166</v>
      </c>
      <c r="G16" s="311">
        <f>'6. Income Statement'!U105</f>
        <v>359981.04270972154</v>
      </c>
    </row>
    <row r="17" spans="2:12" ht="13.8" x14ac:dyDescent="0.3">
      <c r="B17" s="337" t="s">
        <v>261</v>
      </c>
      <c r="C17" s="311">
        <f>'8. Balance Sheet'!F35</f>
        <v>2508069.1999166668</v>
      </c>
      <c r="D17" s="311">
        <f>'8. Balance Sheet'!G35</f>
        <v>2173485.0207053209</v>
      </c>
      <c r="E17" s="311">
        <f>'8. Balance Sheet'!H35</f>
        <v>1960541.635473971</v>
      </c>
      <c r="F17" s="311">
        <f>'8. Balance Sheet'!I35</f>
        <v>1916758.2973471158</v>
      </c>
      <c r="G17" s="311">
        <f>'8. Balance Sheet'!J35</f>
        <v>2063156.6532221073</v>
      </c>
    </row>
    <row r="18" spans="2:12" ht="13.8" x14ac:dyDescent="0.3">
      <c r="B18" s="337" t="s">
        <v>35</v>
      </c>
      <c r="C18" s="311">
        <f>'7. Cash Flow Statement'!Q55</f>
        <v>284568.04137052473</v>
      </c>
      <c r="D18" s="311">
        <f>'7. Cash Flow Statement'!R55</f>
        <v>676934.12903091381</v>
      </c>
      <c r="E18" s="311">
        <f>'7. Cash Flow Statement'!S55</f>
        <v>753654.54673433246</v>
      </c>
      <c r="F18" s="311">
        <f>'7. Cash Flow Statement'!T55</f>
        <v>1372112.749356617</v>
      </c>
      <c r="G18" s="311">
        <f>'7. Cash Flow Statement'!U55</f>
        <v>1700256.6171818287</v>
      </c>
    </row>
    <row r="19" spans="2:12" ht="13.8" x14ac:dyDescent="0.3">
      <c r="B19" s="337"/>
      <c r="C19" s="312"/>
      <c r="D19" s="312"/>
      <c r="E19" s="312"/>
      <c r="F19" s="312"/>
      <c r="G19" s="312"/>
    </row>
    <row r="20" spans="2:12" ht="13.8" x14ac:dyDescent="0.3">
      <c r="B20" s="337" t="s">
        <v>296</v>
      </c>
      <c r="C20" s="311">
        <f>'10. Breakeven Analysis'!G17</f>
        <v>3511761.8911912423</v>
      </c>
      <c r="D20" s="311">
        <f>'10. Breakeven Analysis'!H17</f>
        <v>3442490.4407203933</v>
      </c>
      <c r="E20" s="311">
        <f>'10. Breakeven Analysis'!I17</f>
        <v>3302057.9399122288</v>
      </c>
      <c r="F20" s="311">
        <f>'10. Breakeven Analysis'!J17</f>
        <v>3210814.564522733</v>
      </c>
      <c r="G20" s="311">
        <f>'10. Breakeven Analysis'!K17</f>
        <v>3156313.1805690322</v>
      </c>
    </row>
    <row r="21" spans="2:12" ht="13.8" x14ac:dyDescent="0.3">
      <c r="B21" s="337" t="s">
        <v>278</v>
      </c>
      <c r="C21" s="311">
        <f>C15-C20</f>
        <v>-430906.33563568722</v>
      </c>
      <c r="D21" s="311">
        <f>D15-D20</f>
        <v>-84357.885164838284</v>
      </c>
      <c r="E21" s="311">
        <f>E15-E20</f>
        <v>358306.54564332636</v>
      </c>
      <c r="F21" s="311">
        <f>F15-F20</f>
        <v>778982.72473282227</v>
      </c>
      <c r="G21" s="311">
        <f>G15-G20</f>
        <v>1192565.8647195231</v>
      </c>
    </row>
    <row r="22" spans="2:12" ht="14.4" thickBot="1" x14ac:dyDescent="0.35">
      <c r="B22" s="336"/>
      <c r="C22" s="246"/>
      <c r="D22" s="246"/>
      <c r="E22" s="246"/>
      <c r="F22" s="246"/>
      <c r="G22" s="246"/>
    </row>
    <row r="23" spans="2:12" ht="13.8" x14ac:dyDescent="0.3">
      <c r="B23" s="105"/>
      <c r="C23" s="77"/>
      <c r="D23" s="77"/>
      <c r="E23" s="77"/>
      <c r="F23" s="77"/>
      <c r="G23" s="77"/>
    </row>
    <row r="24" spans="2:12" ht="13.8" x14ac:dyDescent="0.3">
      <c r="B24" s="338" t="s">
        <v>273</v>
      </c>
      <c r="C24" s="591" t="s">
        <v>274</v>
      </c>
      <c r="D24" s="591"/>
      <c r="E24" s="591"/>
      <c r="F24" s="591"/>
      <c r="G24" s="591"/>
    </row>
    <row r="25" spans="2:12" ht="12" x14ac:dyDescent="0.25">
      <c r="B25" s="342">
        <f>-'3. Budget'!G5</f>
        <v>-5016138.3998333337</v>
      </c>
      <c r="C25" s="343">
        <f>C16</f>
        <v>-334584.17921134614</v>
      </c>
      <c r="D25" s="343">
        <f t="shared" ref="D25:G25" si="0">D16</f>
        <v>-212943.38523134962</v>
      </c>
      <c r="E25" s="343">
        <f t="shared" si="0"/>
        <v>-43783.338126855204</v>
      </c>
      <c r="F25" s="343">
        <f t="shared" si="0"/>
        <v>146398.35587499166</v>
      </c>
      <c r="G25" s="343">
        <f t="shared" si="0"/>
        <v>359981.04270972154</v>
      </c>
    </row>
    <row r="26" spans="2:12" ht="13.8" x14ac:dyDescent="0.3">
      <c r="B26" s="338" t="s">
        <v>289</v>
      </c>
      <c r="C26" s="340">
        <f>'1. Assumptions'!E23</f>
        <v>0.22499999999999998</v>
      </c>
      <c r="D26" s="343"/>
      <c r="E26" s="343"/>
      <c r="F26" s="343"/>
      <c r="G26" s="343"/>
    </row>
    <row r="27" spans="2:12" ht="13.8" x14ac:dyDescent="0.3">
      <c r="B27" s="338" t="s">
        <v>288</v>
      </c>
      <c r="C27" s="343"/>
      <c r="D27" s="343"/>
      <c r="E27" s="343"/>
      <c r="F27" s="343"/>
      <c r="G27" s="343">
        <f>G16/(1+C26)^5</f>
        <v>130496.59714956291</v>
      </c>
    </row>
    <row r="28" spans="2:12" ht="13.8" x14ac:dyDescent="0.3">
      <c r="B28" s="338" t="s">
        <v>271</v>
      </c>
      <c r="C28" s="340">
        <f>IRR(B25:G25)</f>
        <v>-0.41346167855134985</v>
      </c>
      <c r="D28" s="339"/>
      <c r="E28" s="339"/>
      <c r="F28" s="339"/>
      <c r="G28" s="339"/>
      <c r="L28" s="524"/>
    </row>
    <row r="29" spans="2:12" ht="13.8" x14ac:dyDescent="0.3">
      <c r="B29" s="338" t="s">
        <v>272</v>
      </c>
      <c r="C29" s="339">
        <f>NPV(C26,B25:G25)+G27</f>
        <v>-4162957.174410468</v>
      </c>
      <c r="D29" s="339"/>
      <c r="E29" s="339"/>
      <c r="F29" s="339"/>
      <c r="G29" s="339"/>
    </row>
    <row r="30" spans="2:12" ht="13.8" x14ac:dyDescent="0.3">
      <c r="B30" s="341" t="s">
        <v>275</v>
      </c>
      <c r="C30" s="381">
        <f>-C18/$B$25</f>
        <v>5.6730500374547042E-2</v>
      </c>
      <c r="D30" s="381">
        <f t="shared" ref="D30:G30" si="1">-D18/$B$25</f>
        <v>0.13495124637179182</v>
      </c>
      <c r="E30" s="381">
        <f t="shared" si="1"/>
        <v>0.1502459634605324</v>
      </c>
      <c r="F30" s="381">
        <f t="shared" si="1"/>
        <v>0.2735396514183514</v>
      </c>
      <c r="G30" s="381">
        <f t="shared" si="1"/>
        <v>0.3389572778211864</v>
      </c>
    </row>
    <row r="31" spans="2:12" ht="14.4" thickBot="1" x14ac:dyDescent="0.35">
      <c r="B31" s="336"/>
      <c r="C31" s="246"/>
      <c r="D31" s="246"/>
      <c r="E31" s="246"/>
      <c r="F31" s="246"/>
      <c r="G31" s="246"/>
    </row>
    <row r="33" spans="2:7" x14ac:dyDescent="0.2">
      <c r="G33" s="382"/>
    </row>
    <row r="34" spans="2:7" ht="13.2" x14ac:dyDescent="0.25">
      <c r="B34" s="573" t="s">
        <v>456</v>
      </c>
      <c r="C34" s="574">
        <f>AVERAGE('5. Sales forecast'!C8:N8)</f>
        <v>256737.96296296292</v>
      </c>
    </row>
    <row r="35" spans="2:7" ht="13.2" x14ac:dyDescent="0.25">
      <c r="B35" s="95"/>
      <c r="C35" s="572"/>
    </row>
    <row r="36" spans="2:7" ht="13.2" x14ac:dyDescent="0.25">
      <c r="B36" s="573" t="s">
        <v>457</v>
      </c>
      <c r="C36" s="574">
        <f>'3. Budget'!B43+'3. Budget'!E27</f>
        <v>196148.22983333335</v>
      </c>
    </row>
    <row r="37" spans="2:7" ht="13.2" x14ac:dyDescent="0.25">
      <c r="B37" s="95"/>
      <c r="C37" s="572"/>
    </row>
    <row r="38" spans="2:7" ht="13.2" x14ac:dyDescent="0.25">
      <c r="B38" s="573" t="s">
        <v>458</v>
      </c>
      <c r="C38" s="574">
        <f>C34-C36</f>
        <v>60589.733129629574</v>
      </c>
    </row>
  </sheetData>
  <mergeCells count="3">
    <mergeCell ref="B7:G9"/>
    <mergeCell ref="C24:G24"/>
    <mergeCell ref="B2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128"/>
  <sheetViews>
    <sheetView workbookViewId="0"/>
  </sheetViews>
  <sheetFormatPr defaultRowHeight="11.4" x14ac:dyDescent="0.2"/>
  <cols>
    <col min="1" max="1" width="31.625" customWidth="1"/>
    <col min="2" max="2" width="16.125" customWidth="1"/>
    <col min="3" max="3" width="8.625" customWidth="1"/>
    <col min="4" max="4" width="31" customWidth="1"/>
    <col min="5" max="5" width="9.5" customWidth="1"/>
    <col min="6" max="6" width="8.5" customWidth="1"/>
    <col min="7" max="7" width="20.625" customWidth="1"/>
    <col min="8" max="8" width="10.625" customWidth="1"/>
    <col min="9" max="10" width="20.625" customWidth="1"/>
    <col min="11" max="11" width="9" customWidth="1"/>
  </cols>
  <sheetData>
    <row r="1" spans="1:11" s="76" customFormat="1" ht="16.5" customHeight="1" x14ac:dyDescent="0.2"/>
    <row r="2" spans="1:11" s="76" customFormat="1" ht="19.8" customHeight="1" x14ac:dyDescent="0.2"/>
    <row r="3" spans="1:11" s="76" customFormat="1" ht="30.75" customHeight="1" thickBot="1" x14ac:dyDescent="0.35">
      <c r="A3" s="405" t="s">
        <v>290</v>
      </c>
      <c r="B3" s="405"/>
      <c r="C3" s="301"/>
      <c r="D3" s="592" t="s">
        <v>299</v>
      </c>
      <c r="E3" s="592"/>
      <c r="F3" s="308"/>
      <c r="G3" s="313" t="s">
        <v>246</v>
      </c>
      <c r="H3" s="334"/>
      <c r="I3" s="593" t="s">
        <v>292</v>
      </c>
      <c r="J3" s="593"/>
      <c r="K3" s="593"/>
    </row>
    <row r="4" spans="1:11" s="76" customFormat="1" ht="12" x14ac:dyDescent="0.25">
      <c r="A4" s="304"/>
      <c r="B4" s="303"/>
      <c r="C4" s="303"/>
      <c r="D4" s="303"/>
      <c r="E4" s="303"/>
      <c r="F4" s="75"/>
      <c r="G4" s="302"/>
      <c r="H4" s="75"/>
      <c r="I4" s="389"/>
    </row>
    <row r="5" spans="1:11" s="76" customFormat="1" ht="15" thickBot="1" x14ac:dyDescent="0.35">
      <c r="A5" s="372" t="str">
        <f>Cashflow!A33</f>
        <v>1 ha Nethouse (Galvanised structure)</v>
      </c>
      <c r="B5" s="373">
        <f>-Cashflow!B33</f>
        <v>1729830</v>
      </c>
      <c r="C5" s="305"/>
      <c r="D5" s="372" t="str">
        <f>Cashflow!A23</f>
        <v>Electricity</v>
      </c>
      <c r="E5" s="373">
        <f>-Cashflow!B23</f>
        <v>4000</v>
      </c>
      <c r="F5" s="75"/>
      <c r="G5" s="314">
        <f>B27+E27+B43</f>
        <v>5016138.3998333337</v>
      </c>
      <c r="H5" s="335"/>
      <c r="I5" s="76" t="s">
        <v>297</v>
      </c>
      <c r="J5" s="283">
        <f>B27</f>
        <v>4819990.17</v>
      </c>
      <c r="K5" s="387">
        <f>J5/$J$9</f>
        <v>0.96089656739936624</v>
      </c>
    </row>
    <row r="6" spans="1:11" s="76" customFormat="1" ht="12.6" thickTop="1" x14ac:dyDescent="0.25">
      <c r="A6" s="372" t="str">
        <f>Cashflow!A34</f>
        <v xml:space="preserve">Tunnel repair </v>
      </c>
      <c r="B6" s="373">
        <f>-Cashflow!B34</f>
        <v>277516.15999999997</v>
      </c>
      <c r="C6" s="305"/>
      <c r="D6" s="372" t="str">
        <f>Cashflow!A24</f>
        <v>Salaries</v>
      </c>
      <c r="E6" s="373">
        <f>-Cashflow!B24</f>
        <v>20000</v>
      </c>
      <c r="F6" s="75"/>
      <c r="G6" s="75"/>
      <c r="H6" s="75"/>
      <c r="I6" s="78" t="s">
        <v>469</v>
      </c>
      <c r="J6" s="283">
        <f>B43</f>
        <v>102648.22983333335</v>
      </c>
      <c r="K6" s="387">
        <f t="shared" ref="K6:K7" si="0">J6/$J$9</f>
        <v>2.046359602772203E-2</v>
      </c>
    </row>
    <row r="7" spans="1:11" s="76" customFormat="1" ht="12" x14ac:dyDescent="0.25">
      <c r="A7" s="372" t="str">
        <f>Cashflow!A35</f>
        <v>Greenhouse repair</v>
      </c>
      <c r="B7" s="373">
        <f>-Cashflow!B35</f>
        <v>390000</v>
      </c>
      <c r="C7" s="305"/>
      <c r="D7" s="372" t="str">
        <f>Cashflow!A25</f>
        <v>Permanent wages</v>
      </c>
      <c r="E7" s="373">
        <f>-Cashflow!B25</f>
        <v>15000</v>
      </c>
      <c r="F7" s="75"/>
      <c r="G7" s="75"/>
      <c r="H7" s="75"/>
      <c r="I7" s="78" t="s">
        <v>470</v>
      </c>
      <c r="J7" s="283">
        <f>E27</f>
        <v>93500</v>
      </c>
      <c r="K7" s="387">
        <f t="shared" si="0"/>
        <v>1.8639836572911669E-2</v>
      </c>
    </row>
    <row r="8" spans="1:11" s="76" customFormat="1" ht="12" x14ac:dyDescent="0.25">
      <c r="A8" s="372" t="str">
        <f>Cashflow!A36</f>
        <v>Security fence 1129m (7.2ha)</v>
      </c>
      <c r="B8" s="373">
        <f>-Cashflow!B36</f>
        <v>265550</v>
      </c>
      <c r="C8" s="305"/>
      <c r="D8" s="372" t="str">
        <f>Cashflow!A26</f>
        <v>Consultancy</v>
      </c>
      <c r="E8" s="373">
        <f>-Cashflow!B26</f>
        <v>30000</v>
      </c>
      <c r="F8" s="75"/>
      <c r="G8" s="75"/>
      <c r="H8" s="75"/>
      <c r="K8" s="387"/>
    </row>
    <row r="9" spans="1:11" s="76" customFormat="1" ht="12.6" thickBot="1" x14ac:dyDescent="0.3">
      <c r="A9" s="372" t="str">
        <f>Cashflow!A37</f>
        <v>Packhouse repairs</v>
      </c>
      <c r="B9" s="373">
        <f>-Cashflow!B37</f>
        <v>20000</v>
      </c>
      <c r="C9" s="305"/>
      <c r="D9" s="372" t="str">
        <f>Cashflow!A27</f>
        <v>Communication</v>
      </c>
      <c r="E9" s="373">
        <f>-Cashflow!B27</f>
        <v>3000</v>
      </c>
      <c r="F9" s="75"/>
      <c r="G9" s="75"/>
      <c r="H9" s="75"/>
      <c r="I9" s="384" t="s">
        <v>298</v>
      </c>
      <c r="J9" s="390">
        <f>SUM(J5:J7)</f>
        <v>5016138.3998333337</v>
      </c>
      <c r="K9" s="391">
        <f>SUM(K5:K7)</f>
        <v>1</v>
      </c>
    </row>
    <row r="10" spans="1:11" s="76" customFormat="1" ht="12.6" thickTop="1" x14ac:dyDescent="0.25">
      <c r="A10" s="372" t="str">
        <f>Cashflow!A38</f>
        <v>Borehole equipment</v>
      </c>
      <c r="B10" s="373">
        <f>-Cashflow!B38</f>
        <v>67000</v>
      </c>
      <c r="C10" s="305"/>
      <c r="D10" s="372" t="str">
        <f>Cashflow!A28</f>
        <v>Transport</v>
      </c>
      <c r="E10" s="373">
        <f>-Cashflow!B28</f>
        <v>1500</v>
      </c>
      <c r="F10" s="75"/>
      <c r="G10" s="75"/>
      <c r="H10" s="75"/>
    </row>
    <row r="11" spans="1:11" s="76" customFormat="1" ht="12" x14ac:dyDescent="0.25">
      <c r="A11" s="372" t="str">
        <f>Cashflow!A39</f>
        <v>Working capital</v>
      </c>
      <c r="B11" s="373">
        <f>-Cashflow!B39</f>
        <v>382094.01</v>
      </c>
      <c r="C11" s="305"/>
      <c r="D11" s="372" t="str">
        <f>Cashflow!A29</f>
        <v>Working capital for second month</v>
      </c>
      <c r="E11" s="373">
        <f>-Cashflow!B29</f>
        <v>0</v>
      </c>
      <c r="F11" s="75"/>
      <c r="G11" s="75"/>
      <c r="H11" s="75"/>
    </row>
    <row r="12" spans="1:11" s="76" customFormat="1" ht="12" x14ac:dyDescent="0.25">
      <c r="A12" s="372" t="str">
        <f>Cashflow!A40</f>
        <v>Packhouse Panneting machine</v>
      </c>
      <c r="B12" s="373">
        <f>-Cashflow!B40</f>
        <v>12000</v>
      </c>
      <c r="C12" s="305"/>
      <c r="D12" s="372" t="str">
        <f>Cashflow!A30</f>
        <v>Sundries</v>
      </c>
      <c r="E12" s="373">
        <f>-Cashflow!B30</f>
        <v>20000</v>
      </c>
      <c r="F12" s="75"/>
      <c r="G12" s="75"/>
      <c r="H12" s="75"/>
    </row>
    <row r="13" spans="1:11" s="76" customFormat="1" ht="12" x14ac:dyDescent="0.25">
      <c r="A13" s="372" t="str">
        <f>Cashflow!A41</f>
        <v>Packhouse 5kg table scales</v>
      </c>
      <c r="B13" s="373">
        <f>-Cashflow!B41</f>
        <v>16000</v>
      </c>
      <c r="C13" s="305"/>
      <c r="D13" s="372"/>
      <c r="E13" s="373"/>
      <c r="F13" s="75"/>
      <c r="G13" s="75"/>
      <c r="H13" s="75"/>
    </row>
    <row r="14" spans="1:11" s="76" customFormat="1" ht="12" x14ac:dyDescent="0.25">
      <c r="A14" s="372" t="str">
        <f>Cashflow!A42</f>
        <v>Packhouse 100kg+ platform scale</v>
      </c>
      <c r="B14" s="373">
        <f>-Cashflow!B42</f>
        <v>16000</v>
      </c>
      <c r="C14" s="305"/>
      <c r="D14" s="372"/>
      <c r="E14" s="373"/>
      <c r="F14" s="75"/>
      <c r="G14" s="75"/>
      <c r="H14" s="75"/>
    </row>
    <row r="15" spans="1:11" s="76" customFormat="1" ht="12" x14ac:dyDescent="0.25">
      <c r="A15" s="372" t="str">
        <f>Cashflow!A43</f>
        <v>Packhouse Drying Buckets</v>
      </c>
      <c r="B15" s="373">
        <f>-Cashflow!B43</f>
        <v>8000</v>
      </c>
      <c r="C15" s="305"/>
      <c r="D15" s="372"/>
      <c r="E15" s="373"/>
      <c r="F15" s="75"/>
      <c r="G15" s="75"/>
      <c r="H15" s="75"/>
    </row>
    <row r="16" spans="1:11" s="76" customFormat="1" ht="12" x14ac:dyDescent="0.25">
      <c r="A16" s="372" t="str">
        <f>Cashflow!A44</f>
        <v xml:space="preserve"> Packhouse Crates</v>
      </c>
      <c r="B16" s="373">
        <f>-Cashflow!B44</f>
        <v>45000</v>
      </c>
      <c r="C16" s="305"/>
      <c r="D16" s="372"/>
      <c r="E16" s="373"/>
      <c r="F16" s="75"/>
      <c r="G16" s="75"/>
      <c r="H16" s="75"/>
    </row>
    <row r="17" spans="1:8" s="76" customFormat="1" ht="12" x14ac:dyDescent="0.25">
      <c r="A17" s="372" t="str">
        <f>Cashflow!A45</f>
        <v xml:space="preserve">Packhouse Meto-gun machine </v>
      </c>
      <c r="B17" s="373">
        <f>-Cashflow!B45</f>
        <v>3000</v>
      </c>
      <c r="C17" s="305"/>
      <c r="D17" s="372"/>
      <c r="E17" s="373"/>
      <c r="F17" s="75"/>
      <c r="G17" s="75"/>
      <c r="H17" s="75"/>
    </row>
    <row r="18" spans="1:8" s="76" customFormat="1" ht="12" x14ac:dyDescent="0.25">
      <c r="A18" s="372" t="str">
        <f>Cashflow!A46</f>
        <v>Irrigation</v>
      </c>
      <c r="B18" s="373">
        <f>-Cashflow!B46</f>
        <v>689000</v>
      </c>
      <c r="C18" s="305"/>
      <c r="D18" s="372"/>
      <c r="E18" s="373"/>
      <c r="F18" s="75"/>
      <c r="G18" s="75"/>
      <c r="H18" s="75"/>
    </row>
    <row r="19" spans="1:8" s="76" customFormat="1" ht="12" x14ac:dyDescent="0.25">
      <c r="A19" s="372" t="str">
        <f>Cashflow!A47</f>
        <v>55Hp tractor</v>
      </c>
      <c r="B19" s="373">
        <f>-Cashflow!B47</f>
        <v>270000</v>
      </c>
      <c r="C19" s="305"/>
      <c r="D19" s="372"/>
      <c r="E19" s="373"/>
      <c r="F19" s="75"/>
      <c r="G19" s="75"/>
      <c r="H19" s="75"/>
    </row>
    <row r="20" spans="1:8" s="76" customFormat="1" ht="12" x14ac:dyDescent="0.25">
      <c r="A20" s="372" t="str">
        <f>Cashflow!A48</f>
        <v>Tipper trailer</v>
      </c>
      <c r="B20" s="373">
        <f>-Cashflow!B48</f>
        <v>80000</v>
      </c>
      <c r="C20" s="305"/>
      <c r="D20" s="372"/>
      <c r="E20" s="373"/>
      <c r="F20" s="75"/>
      <c r="G20" s="75"/>
      <c r="H20" s="75"/>
    </row>
    <row r="21" spans="1:8" s="76" customFormat="1" ht="12" x14ac:dyDescent="0.25">
      <c r="A21" s="372" t="str">
        <f>Cashflow!A49</f>
        <v>Computer</v>
      </c>
      <c r="B21" s="373">
        <f>-Cashflow!B49</f>
        <v>12000</v>
      </c>
      <c r="C21" s="305"/>
      <c r="D21" s="372"/>
      <c r="E21" s="373"/>
      <c r="F21" s="75"/>
      <c r="G21" s="75"/>
      <c r="H21" s="75"/>
    </row>
    <row r="22" spans="1:8" s="76" customFormat="1" ht="12" x14ac:dyDescent="0.25">
      <c r="A22" s="372" t="str">
        <f>Cashflow!A50</f>
        <v xml:space="preserve">Dam 213000liters </v>
      </c>
      <c r="B22" s="373">
        <f>-Cashflow!B50</f>
        <v>72000</v>
      </c>
      <c r="C22" s="305"/>
      <c r="D22" s="372"/>
      <c r="E22" s="373"/>
      <c r="F22" s="75"/>
      <c r="G22" s="75"/>
      <c r="H22" s="75"/>
    </row>
    <row r="23" spans="1:8" s="76" customFormat="1" ht="12" x14ac:dyDescent="0.25">
      <c r="A23" s="372" t="str">
        <f>Cashflow!A51</f>
        <v>Delivery bakkies</v>
      </c>
      <c r="B23" s="373">
        <f>-Cashflow!B51</f>
        <v>465000</v>
      </c>
      <c r="C23" s="305"/>
      <c r="D23" s="372"/>
      <c r="E23" s="373"/>
      <c r="F23" s="75"/>
      <c r="G23" s="75"/>
      <c r="H23" s="75"/>
    </row>
    <row r="24" spans="1:8" s="76" customFormat="1" ht="12" x14ac:dyDescent="0.25">
      <c r="A24" s="372" t="str">
        <f>Cashflow!A52</f>
        <v>Surplus/Deficit</v>
      </c>
      <c r="B24" s="373">
        <f>-Cashflow!B52</f>
        <v>0</v>
      </c>
      <c r="C24" s="305"/>
      <c r="D24" s="372"/>
      <c r="E24" s="373"/>
      <c r="F24" s="75"/>
      <c r="G24" s="75"/>
      <c r="H24" s="75"/>
    </row>
    <row r="25" spans="1:8" s="76" customFormat="1" ht="12" x14ac:dyDescent="0.25">
      <c r="A25" s="372" t="str">
        <f>Cashflow!A53</f>
        <v>Cum Surplus/Deficit</v>
      </c>
      <c r="B25" s="373">
        <f>-Cashflow!B53</f>
        <v>0</v>
      </c>
      <c r="C25" s="305"/>
      <c r="D25" s="372"/>
      <c r="E25" s="373"/>
      <c r="F25" s="75"/>
      <c r="G25" s="75"/>
      <c r="H25" s="75"/>
    </row>
    <row r="26" spans="1:8" s="76" customFormat="1" ht="12" x14ac:dyDescent="0.25">
      <c r="A26" s="303"/>
      <c r="B26" s="307"/>
      <c r="C26" s="307"/>
      <c r="D26" s="307"/>
      <c r="E26" s="307"/>
      <c r="F26" s="75"/>
      <c r="G26" s="75"/>
      <c r="H26" s="75"/>
    </row>
    <row r="27" spans="1:8" s="76" customFormat="1" ht="13.5" customHeight="1" thickBot="1" x14ac:dyDescent="0.35">
      <c r="A27" s="310" t="s">
        <v>245</v>
      </c>
      <c r="B27" s="309">
        <f>SUM(B5:B25)</f>
        <v>4819990.17</v>
      </c>
      <c r="C27" s="308"/>
      <c r="D27" s="310" t="s">
        <v>459</v>
      </c>
      <c r="E27" s="309">
        <f>SUM(E5:E25)</f>
        <v>93500</v>
      </c>
      <c r="F27" s="306"/>
      <c r="G27" s="75"/>
      <c r="H27" s="75"/>
    </row>
    <row r="28" spans="1:8" s="76" customFormat="1" ht="12" thickTop="1" x14ac:dyDescent="0.2"/>
    <row r="29" spans="1:8" s="76" customFormat="1" x14ac:dyDescent="0.2">
      <c r="D29" s="369"/>
      <c r="E29" s="369"/>
    </row>
    <row r="30" spans="1:8" s="76" customFormat="1" ht="15" thickBot="1" x14ac:dyDescent="0.25">
      <c r="A30" s="405" t="s">
        <v>468</v>
      </c>
      <c r="B30" s="405"/>
      <c r="D30" s="385" t="s">
        <v>292</v>
      </c>
      <c r="E30" s="386"/>
    </row>
    <row r="31" spans="1:8" s="76" customFormat="1" ht="12" x14ac:dyDescent="0.25">
      <c r="A31" s="304"/>
      <c r="B31" s="303"/>
    </row>
    <row r="32" spans="1:8" s="76" customFormat="1" ht="12" x14ac:dyDescent="0.2">
      <c r="A32" s="372" t="str">
        <f>Cashflow!A65</f>
        <v>Land preparation</v>
      </c>
      <c r="B32" s="373">
        <f>-Cashflow!B13</f>
        <v>550</v>
      </c>
      <c r="D32" s="78" t="s">
        <v>293</v>
      </c>
      <c r="E32" s="387">
        <f>B27/G5</f>
        <v>0.96089656739936624</v>
      </c>
    </row>
    <row r="33" spans="1:5" s="76" customFormat="1" ht="12" x14ac:dyDescent="0.2">
      <c r="A33" s="372" t="str">
        <f>Cashflow!A66</f>
        <v>Seed &amp; Seedlings</v>
      </c>
      <c r="B33" s="373">
        <f>-Cashflow!B14</f>
        <v>17500</v>
      </c>
      <c r="D33" s="78" t="s">
        <v>294</v>
      </c>
      <c r="E33" s="387">
        <f>B43/G5</f>
        <v>2.046359602772203E-2</v>
      </c>
    </row>
    <row r="34" spans="1:5" s="76" customFormat="1" ht="12" x14ac:dyDescent="0.2">
      <c r="A34" s="372" t="str">
        <f>Cashflow!A67</f>
        <v>Labour</v>
      </c>
      <c r="B34" s="373">
        <f>-Cashflow!B15</f>
        <v>49316</v>
      </c>
      <c r="D34" s="78" t="s">
        <v>295</v>
      </c>
      <c r="E34" s="387">
        <f>E27/G5</f>
        <v>1.8639836572911669E-2</v>
      </c>
    </row>
    <row r="35" spans="1:5" s="76" customFormat="1" ht="12" x14ac:dyDescent="0.2">
      <c r="A35" s="372" t="str">
        <f>Cashflow!A68</f>
        <v>Irrigation</v>
      </c>
      <c r="B35" s="373">
        <f>-Cashflow!B16</f>
        <v>3312</v>
      </c>
    </row>
    <row r="36" spans="1:5" s="76" customFormat="1" ht="12.6" thickBot="1" x14ac:dyDescent="0.3">
      <c r="A36" s="372" t="str">
        <f>Cashflow!A69</f>
        <v>Fertilizers</v>
      </c>
      <c r="B36" s="373">
        <f>-Cashflow!B17</f>
        <v>8075.97</v>
      </c>
      <c r="D36" s="384" t="s">
        <v>291</v>
      </c>
      <c r="E36" s="388">
        <f>SUM(E32:E34)</f>
        <v>1</v>
      </c>
    </row>
    <row r="37" spans="1:5" s="76" customFormat="1" ht="12.6" thickTop="1" x14ac:dyDescent="0.2">
      <c r="A37" s="372" t="str">
        <f>Cashflow!A70</f>
        <v>Chemicals</v>
      </c>
      <c r="B37" s="373">
        <f>-Cashflow!B18</f>
        <v>1741.1366666666668</v>
      </c>
    </row>
    <row r="38" spans="1:5" s="76" customFormat="1" ht="12" x14ac:dyDescent="0.2">
      <c r="A38" s="372" t="str">
        <f>Cashflow!A71</f>
        <v>Packaging</v>
      </c>
      <c r="B38" s="373">
        <f>-Cashflow!B19</f>
        <v>14625</v>
      </c>
    </row>
    <row r="39" spans="1:5" s="76" customFormat="1" ht="12" x14ac:dyDescent="0.2">
      <c r="A39" s="372" t="str">
        <f>Cashflow!A72</f>
        <v>Transport</v>
      </c>
      <c r="B39" s="373">
        <f>-Cashflow!B20</f>
        <v>7528.123166666669</v>
      </c>
    </row>
    <row r="40" spans="1:5" s="76" customFormat="1" ht="12" x14ac:dyDescent="0.2">
      <c r="A40" s="372"/>
      <c r="B40" s="373"/>
      <c r="D40" s="78"/>
    </row>
    <row r="41" spans="1:5" s="76" customFormat="1" ht="12" x14ac:dyDescent="0.2">
      <c r="A41" s="372"/>
      <c r="B41" s="373"/>
    </row>
    <row r="42" spans="1:5" s="76" customFormat="1" ht="12" x14ac:dyDescent="0.25">
      <c r="A42" s="303"/>
      <c r="B42" s="307"/>
    </row>
    <row r="43" spans="1:5" s="76" customFormat="1" ht="15" thickBot="1" x14ac:dyDescent="0.25">
      <c r="A43" s="310" t="s">
        <v>460</v>
      </c>
      <c r="B43" s="309">
        <f>SUM(B32:B41)</f>
        <v>102648.22983333335</v>
      </c>
    </row>
    <row r="44" spans="1:5" s="76" customFormat="1" ht="12" thickTop="1" x14ac:dyDescent="0.2"/>
    <row r="45" spans="1:5" s="76" customFormat="1" x14ac:dyDescent="0.2">
      <c r="D45" s="283"/>
    </row>
    <row r="46" spans="1:5" s="76" customFormat="1" x14ac:dyDescent="0.2"/>
    <row r="47" spans="1:5" s="76" customFormat="1" x14ac:dyDescent="0.2"/>
    <row r="48" spans="1:5" s="76" customFormat="1" x14ac:dyDescent="0.2"/>
    <row r="49" s="76" customFormat="1" x14ac:dyDescent="0.2"/>
    <row r="50" s="76" customFormat="1" x14ac:dyDescent="0.2"/>
    <row r="51" s="76" customFormat="1" x14ac:dyDescent="0.2"/>
    <row r="52" s="76" customFormat="1" x14ac:dyDescent="0.2"/>
    <row r="53" s="76" customFormat="1" x14ac:dyDescent="0.2"/>
    <row r="54" s="76" customFormat="1" x14ac:dyDescent="0.2"/>
    <row r="55" s="76" customFormat="1" x14ac:dyDescent="0.2"/>
    <row r="56" s="76" customFormat="1" x14ac:dyDescent="0.2"/>
    <row r="57" s="76" customFormat="1" x14ac:dyDescent="0.2"/>
    <row r="58" s="76" customFormat="1" x14ac:dyDescent="0.2"/>
    <row r="59" s="76" customFormat="1" x14ac:dyDescent="0.2"/>
    <row r="60" s="76" customFormat="1" x14ac:dyDescent="0.2"/>
    <row r="61" s="76" customFormat="1" x14ac:dyDescent="0.2"/>
    <row r="62" s="76" customFormat="1" x14ac:dyDescent="0.2"/>
    <row r="63" s="76" customFormat="1" x14ac:dyDescent="0.2"/>
    <row r="64" s="76" customFormat="1" x14ac:dyDescent="0.2"/>
    <row r="65" s="76" customFormat="1" x14ac:dyDescent="0.2"/>
    <row r="66" s="76" customFormat="1" x14ac:dyDescent="0.2"/>
    <row r="67" s="76" customFormat="1" x14ac:dyDescent="0.2"/>
    <row r="68" s="76" customFormat="1" x14ac:dyDescent="0.2"/>
    <row r="69" s="76" customFormat="1" x14ac:dyDescent="0.2"/>
    <row r="70" s="76" customFormat="1" x14ac:dyDescent="0.2"/>
    <row r="71" s="76" customFormat="1" x14ac:dyDescent="0.2"/>
    <row r="72" s="76" customFormat="1" x14ac:dyDescent="0.2"/>
    <row r="73" s="76" customFormat="1" x14ac:dyDescent="0.2"/>
    <row r="74" s="76" customFormat="1" x14ac:dyDescent="0.2"/>
    <row r="75" s="76" customFormat="1" x14ac:dyDescent="0.2"/>
    <row r="76" s="76" customFormat="1" x14ac:dyDescent="0.2"/>
    <row r="77" s="76" customFormat="1" x14ac:dyDescent="0.2"/>
    <row r="78" s="76" customFormat="1" x14ac:dyDescent="0.2"/>
    <row r="79" s="76" customFormat="1" x14ac:dyDescent="0.2"/>
    <row r="80" s="76" customFormat="1" x14ac:dyDescent="0.2"/>
    <row r="81" s="76" customFormat="1" x14ac:dyDescent="0.2"/>
    <row r="82" s="76" customFormat="1" x14ac:dyDescent="0.2"/>
    <row r="83" s="76" customFormat="1" x14ac:dyDescent="0.2"/>
    <row r="84" s="76" customFormat="1" x14ac:dyDescent="0.2"/>
    <row r="85" s="76" customFormat="1" x14ac:dyDescent="0.2"/>
    <row r="86" s="76" customFormat="1" x14ac:dyDescent="0.2"/>
    <row r="87" s="76" customFormat="1" x14ac:dyDescent="0.2"/>
    <row r="88" s="76" customFormat="1" x14ac:dyDescent="0.2"/>
    <row r="89" s="76" customFormat="1" x14ac:dyDescent="0.2"/>
    <row r="90" s="76" customFormat="1" x14ac:dyDescent="0.2"/>
    <row r="91" s="76" customFormat="1" x14ac:dyDescent="0.2"/>
    <row r="92" s="76" customFormat="1" x14ac:dyDescent="0.2"/>
    <row r="93" s="76" customFormat="1" x14ac:dyDescent="0.2"/>
    <row r="94" s="76" customFormat="1" x14ac:dyDescent="0.2"/>
    <row r="95" s="76" customFormat="1" x14ac:dyDescent="0.2"/>
    <row r="96" s="76" customFormat="1" x14ac:dyDescent="0.2"/>
    <row r="97" s="76" customFormat="1" x14ac:dyDescent="0.2"/>
    <row r="98" s="76" customFormat="1" x14ac:dyDescent="0.2"/>
    <row r="99" s="76" customFormat="1" x14ac:dyDescent="0.2"/>
    <row r="100" s="76" customFormat="1" x14ac:dyDescent="0.2"/>
    <row r="101" s="76" customFormat="1" x14ac:dyDescent="0.2"/>
    <row r="102" s="76" customFormat="1" x14ac:dyDescent="0.2"/>
    <row r="103" s="76" customFormat="1" x14ac:dyDescent="0.2"/>
    <row r="104" s="76" customFormat="1" x14ac:dyDescent="0.2"/>
    <row r="105" s="76" customFormat="1" x14ac:dyDescent="0.2"/>
    <row r="106" s="76" customFormat="1" x14ac:dyDescent="0.2"/>
    <row r="107" s="76" customFormat="1" x14ac:dyDescent="0.2"/>
    <row r="108" s="76" customFormat="1" x14ac:dyDescent="0.2"/>
    <row r="109" s="76" customFormat="1" x14ac:dyDescent="0.2"/>
    <row r="110" s="76" customFormat="1" x14ac:dyDescent="0.2"/>
    <row r="111" s="76" customFormat="1" x14ac:dyDescent="0.2"/>
    <row r="112" s="76" customFormat="1" x14ac:dyDescent="0.2"/>
    <row r="113" s="76" customFormat="1" x14ac:dyDescent="0.2"/>
    <row r="114" s="76" customFormat="1" x14ac:dyDescent="0.2"/>
    <row r="115" s="76" customFormat="1" x14ac:dyDescent="0.2"/>
    <row r="116" s="76" customFormat="1" x14ac:dyDescent="0.2"/>
    <row r="117" s="76" customFormat="1" x14ac:dyDescent="0.2"/>
    <row r="118" s="76" customFormat="1" x14ac:dyDescent="0.2"/>
    <row r="119" s="76" customFormat="1" x14ac:dyDescent="0.2"/>
    <row r="120" s="76" customFormat="1" x14ac:dyDescent="0.2"/>
    <row r="121" s="76" customFormat="1" x14ac:dyDescent="0.2"/>
    <row r="122" s="76" customFormat="1" x14ac:dyDescent="0.2"/>
    <row r="123" s="76" customFormat="1" x14ac:dyDescent="0.2"/>
    <row r="124" s="76" customFormat="1" x14ac:dyDescent="0.2"/>
    <row r="125" s="76" customFormat="1" x14ac:dyDescent="0.2"/>
    <row r="126" s="76" customFormat="1" x14ac:dyDescent="0.2"/>
    <row r="127" s="76" customFormat="1" x14ac:dyDescent="0.2"/>
    <row r="128" s="76" customFormat="1" x14ac:dyDescent="0.2"/>
  </sheetData>
  <mergeCells count="2">
    <mergeCell ref="D3:E3"/>
    <mergeCell ref="I3:K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O44"/>
  <sheetViews>
    <sheetView showGridLines="0" showRowColHeaders="0" zoomScaleNormal="100" zoomScaleSheetLayoutView="100" workbookViewId="0">
      <selection sqref="A1:J2"/>
    </sheetView>
  </sheetViews>
  <sheetFormatPr defaultColWidth="8.875" defaultRowHeight="12" x14ac:dyDescent="0.25"/>
  <cols>
    <col min="1" max="1" width="3" customWidth="1"/>
    <col min="2" max="3" width="3" style="1" customWidth="1"/>
    <col min="4" max="4" width="25.75" customWidth="1"/>
    <col min="5" max="5" width="16.75" customWidth="1"/>
    <col min="6" max="6" width="3" customWidth="1"/>
    <col min="7" max="7" width="15.75" customWidth="1"/>
    <col min="8" max="8" width="20.75" customWidth="1"/>
    <col min="9" max="9" width="16.75" customWidth="1"/>
    <col min="10" max="10" width="18.875" customWidth="1"/>
    <col min="11" max="11" width="16.75" customWidth="1"/>
    <col min="12" max="14" width="14.75" customWidth="1"/>
  </cols>
  <sheetData>
    <row r="1" spans="1:15" ht="15.6" x14ac:dyDescent="0.3">
      <c r="A1" s="594" t="s">
        <v>249</v>
      </c>
      <c r="B1" s="595"/>
      <c r="C1" s="595"/>
      <c r="D1" s="595"/>
      <c r="E1" s="595"/>
      <c r="F1" s="595"/>
      <c r="G1" s="595"/>
      <c r="H1" s="595"/>
      <c r="I1" s="595"/>
      <c r="J1" s="595"/>
      <c r="K1" s="43"/>
      <c r="L1" s="43"/>
      <c r="M1" s="45"/>
      <c r="N1" s="43"/>
      <c r="O1" s="2"/>
    </row>
    <row r="2" spans="1:15" ht="15.6" x14ac:dyDescent="0.3">
      <c r="A2" s="595"/>
      <c r="B2" s="595"/>
      <c r="C2" s="595"/>
      <c r="D2" s="595"/>
      <c r="E2" s="595"/>
      <c r="F2" s="595"/>
      <c r="G2" s="595"/>
      <c r="H2" s="595"/>
      <c r="I2" s="595"/>
      <c r="J2" s="595"/>
      <c r="K2" s="43"/>
      <c r="L2" s="43"/>
      <c r="M2" s="45"/>
      <c r="N2" s="43"/>
      <c r="O2" s="2"/>
    </row>
    <row r="3" spans="1:15" s="1" customFormat="1" ht="12.75" customHeight="1" x14ac:dyDescent="0.25">
      <c r="A3" s="46"/>
      <c r="B3" s="177" t="s">
        <v>99</v>
      </c>
      <c r="C3" s="177"/>
      <c r="D3" s="177"/>
      <c r="E3" s="317" t="s">
        <v>1</v>
      </c>
      <c r="F3" s="317"/>
      <c r="G3" s="346"/>
      <c r="H3" s="317" t="s">
        <v>194</v>
      </c>
      <c r="I3" s="317" t="s">
        <v>195</v>
      </c>
      <c r="J3" s="317" t="s">
        <v>212</v>
      </c>
      <c r="K3" s="328" t="s">
        <v>3</v>
      </c>
      <c r="L3" s="46"/>
      <c r="M3" s="46"/>
      <c r="N3" s="46"/>
    </row>
    <row r="4" spans="1:15" ht="12.75" customHeight="1" x14ac:dyDescent="0.25">
      <c r="A4" s="44"/>
      <c r="B4" s="46"/>
      <c r="C4" s="404" t="str">
        <f>Capex!K4</f>
        <v>Real Estate-Land</v>
      </c>
      <c r="D4" s="75"/>
      <c r="E4" s="323">
        <f>Capex!M4</f>
        <v>0</v>
      </c>
      <c r="F4" s="319"/>
      <c r="G4" s="320"/>
      <c r="H4" s="318">
        <v>0</v>
      </c>
      <c r="I4" s="318">
        <v>0</v>
      </c>
      <c r="J4" s="321">
        <v>0</v>
      </c>
      <c r="K4" s="178" t="s">
        <v>304</v>
      </c>
      <c r="L4" s="44"/>
      <c r="M4" s="44"/>
      <c r="N4" s="44"/>
    </row>
    <row r="5" spans="1:15" ht="12.75" customHeight="1" x14ac:dyDescent="0.25">
      <c r="A5" s="44"/>
      <c r="B5" s="46"/>
      <c r="C5" s="404" t="str">
        <f>Capex!K5</f>
        <v>Buildings</v>
      </c>
      <c r="D5" s="75"/>
      <c r="E5" s="323">
        <f>Capex!M5</f>
        <v>1729830</v>
      </c>
      <c r="F5" s="322"/>
      <c r="G5" s="320"/>
      <c r="H5" s="318">
        <v>20</v>
      </c>
      <c r="I5" s="321">
        <f>IF(H5=0,0,E5/H5)</f>
        <v>86491.5</v>
      </c>
      <c r="J5" s="321">
        <f>I5/12</f>
        <v>7207.625</v>
      </c>
      <c r="K5" s="179" t="s">
        <v>305</v>
      </c>
      <c r="L5" s="44"/>
      <c r="M5" s="44"/>
      <c r="N5" s="44"/>
    </row>
    <row r="6" spans="1:15" ht="12.75" customHeight="1" x14ac:dyDescent="0.25">
      <c r="A6" s="44"/>
      <c r="B6" s="46"/>
      <c r="C6" s="404" t="str">
        <f>Capex!K6</f>
        <v>Installations and Customazation</v>
      </c>
      <c r="D6" s="75"/>
      <c r="E6" s="323">
        <f>Capex!M6</f>
        <v>1093550</v>
      </c>
      <c r="F6" s="322"/>
      <c r="G6" s="320"/>
      <c r="H6" s="318">
        <v>5</v>
      </c>
      <c r="I6" s="321">
        <f t="shared" ref="I6:I9" si="0">E6/H6</f>
        <v>218710</v>
      </c>
      <c r="J6" s="321">
        <f t="shared" ref="J6:J9" si="1">I6/12</f>
        <v>18225.833333333332</v>
      </c>
      <c r="K6" s="180" t="s">
        <v>306</v>
      </c>
      <c r="L6" s="44"/>
      <c r="M6" s="44"/>
      <c r="N6" s="44"/>
    </row>
    <row r="7" spans="1:15" ht="12.75" customHeight="1" x14ac:dyDescent="0.25">
      <c r="A7" s="44"/>
      <c r="B7" s="46"/>
      <c r="C7" s="404" t="str">
        <f>Capex!K7</f>
        <v>Other Leasehold Improvements</v>
      </c>
      <c r="D7" s="75"/>
      <c r="E7" s="323">
        <f>Capex!M7</f>
        <v>687516.15999999992</v>
      </c>
      <c r="F7" s="322"/>
      <c r="G7" s="320"/>
      <c r="H7" s="318">
        <v>5</v>
      </c>
      <c r="I7" s="321">
        <f t="shared" si="0"/>
        <v>137503.23199999999</v>
      </c>
      <c r="J7" s="321">
        <f t="shared" si="1"/>
        <v>11458.602666666666</v>
      </c>
      <c r="K7" s="180" t="s">
        <v>307</v>
      </c>
      <c r="L7" s="44"/>
      <c r="M7" s="44"/>
      <c r="N7" s="44"/>
    </row>
    <row r="8" spans="1:15" ht="12.75" customHeight="1" x14ac:dyDescent="0.25">
      <c r="A8" s="44"/>
      <c r="B8" s="46"/>
      <c r="C8" s="404" t="str">
        <f>Capex!K8</f>
        <v>Machinery, hard ware &amp; software</v>
      </c>
      <c r="D8" s="75"/>
      <c r="E8" s="323">
        <f>Capex!M8</f>
        <v>112000</v>
      </c>
      <c r="F8" s="322"/>
      <c r="G8" s="320"/>
      <c r="H8" s="318">
        <v>5</v>
      </c>
      <c r="I8" s="321">
        <f t="shared" si="0"/>
        <v>22400</v>
      </c>
      <c r="J8" s="321">
        <f t="shared" si="1"/>
        <v>1866.6666666666667</v>
      </c>
      <c r="K8" s="250" t="s">
        <v>97</v>
      </c>
      <c r="L8" s="75"/>
      <c r="M8" s="75"/>
      <c r="N8" s="75"/>
      <c r="O8" s="76"/>
    </row>
    <row r="9" spans="1:15" ht="12.75" customHeight="1" x14ac:dyDescent="0.25">
      <c r="A9" s="44"/>
      <c r="B9" s="46"/>
      <c r="C9" s="404" t="str">
        <f>Capex!K9</f>
        <v>Vehicles</v>
      </c>
      <c r="D9" s="75"/>
      <c r="E9" s="323">
        <f>Capex!M9</f>
        <v>815000</v>
      </c>
      <c r="F9" s="322"/>
      <c r="G9" s="320"/>
      <c r="H9" s="318">
        <v>5</v>
      </c>
      <c r="I9" s="321">
        <f t="shared" si="0"/>
        <v>163000</v>
      </c>
      <c r="J9" s="321">
        <f t="shared" si="1"/>
        <v>13583.333333333334</v>
      </c>
      <c r="K9" s="180" t="s">
        <v>308</v>
      </c>
      <c r="L9" s="44"/>
      <c r="M9" s="44"/>
      <c r="N9" s="44"/>
    </row>
    <row r="10" spans="1:15" ht="12.75" customHeight="1" x14ac:dyDescent="0.25">
      <c r="A10" s="44"/>
      <c r="B10" s="46"/>
      <c r="C10" s="404" t="s">
        <v>464</v>
      </c>
      <c r="D10" s="75"/>
      <c r="E10" s="323">
        <f>Capex!M13</f>
        <v>382094.01</v>
      </c>
      <c r="F10" s="322"/>
      <c r="G10" s="320"/>
      <c r="H10" s="318">
        <v>5</v>
      </c>
      <c r="I10" s="321">
        <f>E9/H10</f>
        <v>163000</v>
      </c>
      <c r="J10" s="321">
        <f>I10/12</f>
        <v>13583.333333333334</v>
      </c>
      <c r="K10" s="180" t="s">
        <v>465</v>
      </c>
      <c r="L10" s="44"/>
      <c r="M10" s="44"/>
      <c r="N10" s="44"/>
    </row>
    <row r="11" spans="1:15" ht="12.75" customHeight="1" thickBot="1" x14ac:dyDescent="0.3">
      <c r="A11" s="44"/>
      <c r="B11" s="52" t="s">
        <v>7</v>
      </c>
      <c r="C11" s="52"/>
      <c r="D11" s="53"/>
      <c r="E11" s="325">
        <f>SUM(E4:E10)</f>
        <v>4819990.17</v>
      </c>
      <c r="F11" s="324"/>
      <c r="G11" s="269"/>
      <c r="H11" s="326"/>
      <c r="I11" s="327">
        <f>SUM(I5:I10)</f>
        <v>791104.73199999996</v>
      </c>
      <c r="J11" s="327">
        <f>SUM(J5:J10)</f>
        <v>65925.39433333333</v>
      </c>
      <c r="K11" s="180"/>
      <c r="L11" s="44"/>
      <c r="M11" s="44"/>
      <c r="N11" s="44"/>
    </row>
    <row r="12" spans="1:15" ht="12.75" customHeight="1" thickTop="1" x14ac:dyDescent="0.25">
      <c r="A12" s="44"/>
      <c r="B12" s="46"/>
      <c r="D12" s="44"/>
      <c r="E12" s="55"/>
      <c r="F12" s="49"/>
      <c r="G12" s="49"/>
      <c r="H12" s="44"/>
      <c r="I12" s="44"/>
      <c r="J12" s="56"/>
      <c r="K12" s="54"/>
      <c r="L12" s="44"/>
      <c r="M12" s="44"/>
      <c r="N12" s="44"/>
    </row>
    <row r="13" spans="1:15" ht="12.75" customHeight="1" thickBot="1" x14ac:dyDescent="0.3">
      <c r="A13" s="44"/>
      <c r="B13" s="560" t="s">
        <v>309</v>
      </c>
      <c r="C13" s="561"/>
      <c r="D13" s="554"/>
      <c r="E13" s="562"/>
      <c r="F13" s="563"/>
      <c r="G13" s="564" t="s">
        <v>196</v>
      </c>
      <c r="H13" s="561" t="s">
        <v>197</v>
      </c>
      <c r="I13" s="561" t="s">
        <v>198</v>
      </c>
      <c r="J13" s="561" t="s">
        <v>211</v>
      </c>
      <c r="K13" s="50"/>
      <c r="M13" s="44"/>
      <c r="N13" s="44"/>
    </row>
    <row r="14" spans="1:15" ht="12.75" customHeight="1" x14ac:dyDescent="0.25">
      <c r="A14" s="44"/>
      <c r="B14" s="46"/>
      <c r="C14" s="44" t="s">
        <v>129</v>
      </c>
      <c r="D14" s="44"/>
      <c r="E14" s="323">
        <v>0</v>
      </c>
      <c r="F14" s="48"/>
      <c r="G14" s="323">
        <f>E14</f>
        <v>0</v>
      </c>
      <c r="H14" s="575">
        <v>5</v>
      </c>
      <c r="I14" s="321">
        <f>IF(H14=0,0,E14/H14)</f>
        <v>0</v>
      </c>
      <c r="J14" s="321">
        <f>I14/12</f>
        <v>0</v>
      </c>
      <c r="K14" s="50"/>
      <c r="L14" s="44"/>
      <c r="M14" s="44"/>
      <c r="N14" s="44"/>
    </row>
    <row r="15" spans="1:15" ht="12.75" customHeight="1" x14ac:dyDescent="0.25">
      <c r="A15" s="44"/>
      <c r="B15" s="46"/>
      <c r="C15" s="44" t="s">
        <v>127</v>
      </c>
      <c r="D15" s="44"/>
      <c r="E15" s="571">
        <v>0</v>
      </c>
      <c r="F15" s="51"/>
      <c r="G15" s="323">
        <f t="shared" ref="G15:G17" si="2">E15</f>
        <v>0</v>
      </c>
      <c r="H15" s="575">
        <v>5</v>
      </c>
      <c r="I15" s="321">
        <f t="shared" ref="I15:I17" si="3">IF(H15=0,0,E15/H15)</f>
        <v>0</v>
      </c>
      <c r="J15" s="321">
        <f t="shared" ref="J15:J17" si="4">I15/12</f>
        <v>0</v>
      </c>
      <c r="K15" s="50"/>
      <c r="L15" s="44"/>
      <c r="M15" s="44"/>
      <c r="N15" s="44"/>
    </row>
    <row r="16" spans="1:15" ht="12.75" customHeight="1" x14ac:dyDescent="0.25">
      <c r="A16" s="44"/>
      <c r="B16" s="46"/>
      <c r="C16" s="44" t="s">
        <v>128</v>
      </c>
      <c r="D16" s="44"/>
      <c r="E16" s="571">
        <v>0</v>
      </c>
      <c r="F16" s="51"/>
      <c r="G16" s="323">
        <f t="shared" si="2"/>
        <v>0</v>
      </c>
      <c r="H16" s="575">
        <v>5</v>
      </c>
      <c r="I16" s="321">
        <f t="shared" si="3"/>
        <v>0</v>
      </c>
      <c r="J16" s="321">
        <f t="shared" si="4"/>
        <v>0</v>
      </c>
      <c r="K16" s="50"/>
      <c r="L16" s="44"/>
      <c r="M16" s="44"/>
      <c r="N16" s="44"/>
    </row>
    <row r="17" spans="1:14" ht="12.75" customHeight="1" x14ac:dyDescent="0.25">
      <c r="A17" s="44"/>
      <c r="B17" s="46"/>
      <c r="C17" s="44" t="s">
        <v>196</v>
      </c>
      <c r="D17" s="44"/>
      <c r="E17" s="571">
        <f>'3. Budget'!B43+'3. Budget'!E27</f>
        <v>196148.22983333335</v>
      </c>
      <c r="F17" s="51"/>
      <c r="G17" s="323">
        <f t="shared" si="2"/>
        <v>196148.22983333335</v>
      </c>
      <c r="H17" s="575">
        <v>5</v>
      </c>
      <c r="I17" s="321">
        <f t="shared" si="3"/>
        <v>39229.645966666671</v>
      </c>
      <c r="J17" s="321">
        <f t="shared" si="4"/>
        <v>3269.1371638888891</v>
      </c>
      <c r="K17" s="50"/>
      <c r="L17" s="37"/>
      <c r="M17" s="44"/>
      <c r="N17" s="44"/>
    </row>
    <row r="18" spans="1:14" ht="12.75" customHeight="1" thickBot="1" x14ac:dyDescent="0.3">
      <c r="A18" s="44"/>
      <c r="B18" s="52" t="s">
        <v>98</v>
      </c>
      <c r="C18" s="52"/>
      <c r="D18" s="53"/>
      <c r="E18" s="325">
        <f>SUM(E14:E17)-E14</f>
        <v>196148.22983333335</v>
      </c>
      <c r="F18" s="293"/>
      <c r="G18" s="576">
        <f>SUM(G14:G17)</f>
        <v>196148.22983333335</v>
      </c>
      <c r="H18" s="294"/>
      <c r="I18" s="292">
        <f>SUM(I14:I17)</f>
        <v>39229.645966666671</v>
      </c>
      <c r="J18" s="292">
        <f>SUM(J14:J17)</f>
        <v>3269.1371638888891</v>
      </c>
      <c r="K18" s="50"/>
      <c r="L18" s="59"/>
      <c r="M18" s="44"/>
      <c r="N18" s="44"/>
    </row>
    <row r="19" spans="1:14" ht="12.75" customHeight="1" thickTop="1" x14ac:dyDescent="0.25">
      <c r="A19" s="44"/>
      <c r="B19" s="46"/>
      <c r="C19" s="46"/>
      <c r="D19" s="44"/>
      <c r="E19" s="49"/>
      <c r="F19" s="49"/>
      <c r="G19" s="181"/>
      <c r="H19" s="566"/>
      <c r="I19" s="44"/>
      <c r="J19" s="50"/>
      <c r="K19" s="284"/>
      <c r="L19" s="44"/>
      <c r="M19" s="44"/>
      <c r="N19" s="44"/>
    </row>
    <row r="20" spans="1:14" ht="12.75" customHeight="1" x14ac:dyDescent="0.25">
      <c r="A20" s="44"/>
      <c r="B20" s="567" t="s">
        <v>268</v>
      </c>
      <c r="C20" s="567"/>
      <c r="D20" s="568"/>
      <c r="E20" s="569">
        <v>0.5</v>
      </c>
      <c r="F20" s="596">
        <f>E20*(E11+E18)</f>
        <v>2508069.1999166668</v>
      </c>
      <c r="G20" s="597"/>
      <c r="H20" s="44"/>
      <c r="I20" s="44"/>
      <c r="J20" s="50"/>
      <c r="K20" s="284"/>
      <c r="L20" s="44"/>
      <c r="M20" s="44"/>
      <c r="N20" s="44"/>
    </row>
    <row r="21" spans="1:14" ht="12.75" customHeight="1" x14ac:dyDescent="0.25">
      <c r="A21" s="46"/>
      <c r="B21" s="567" t="s">
        <v>269</v>
      </c>
      <c r="C21" s="567"/>
      <c r="D21" s="568"/>
      <c r="E21" s="570">
        <f>1-E20</f>
        <v>0.5</v>
      </c>
      <c r="F21" s="598">
        <f>(E11+E18)-F20</f>
        <v>2508069.1999166668</v>
      </c>
      <c r="G21" s="599"/>
      <c r="H21" s="59"/>
      <c r="I21" s="44"/>
      <c r="J21" s="50"/>
      <c r="K21" s="50"/>
      <c r="L21" s="59"/>
      <c r="M21" s="44"/>
      <c r="N21" s="44"/>
    </row>
    <row r="22" spans="1:14" ht="15.9" customHeight="1" x14ac:dyDescent="0.25">
      <c r="A22" s="46"/>
      <c r="B22" s="46"/>
      <c r="C22" s="46"/>
      <c r="D22" s="44"/>
      <c r="E22" s="49"/>
      <c r="F22" s="49"/>
      <c r="G22" s="49"/>
      <c r="H22" s="44"/>
      <c r="I22" s="44"/>
      <c r="J22" s="50"/>
      <c r="K22" s="50"/>
      <c r="L22" s="44"/>
      <c r="M22" s="44"/>
      <c r="N22" s="44"/>
    </row>
    <row r="23" spans="1:14" ht="12.75" customHeight="1" thickBot="1" x14ac:dyDescent="0.3">
      <c r="A23" s="44"/>
      <c r="B23" s="561" t="s">
        <v>8</v>
      </c>
      <c r="C23" s="561"/>
      <c r="D23" s="561"/>
      <c r="E23" s="565" t="s">
        <v>0</v>
      </c>
      <c r="F23" s="565"/>
      <c r="G23" s="565" t="s">
        <v>1</v>
      </c>
      <c r="H23" s="565" t="s">
        <v>462</v>
      </c>
      <c r="I23" s="565" t="s">
        <v>10</v>
      </c>
      <c r="J23" s="565" t="s">
        <v>14</v>
      </c>
      <c r="K23" s="44"/>
      <c r="L23" s="44"/>
      <c r="M23" s="44"/>
      <c r="N23" s="44"/>
    </row>
    <row r="24" spans="1:14" ht="12.75" customHeight="1" x14ac:dyDescent="0.25">
      <c r="A24" s="46"/>
      <c r="C24" s="46" t="s">
        <v>48</v>
      </c>
      <c r="D24" s="44"/>
      <c r="E24" s="60">
        <f>IF(F20=0,0,F20/G32)</f>
        <v>0.5</v>
      </c>
      <c r="F24" s="44"/>
      <c r="G24" s="282">
        <f>F20</f>
        <v>2508069.1999166668</v>
      </c>
      <c r="H24" s="298">
        <f>'1. Assumptions'!$E$19</f>
        <v>0.13500000000000001</v>
      </c>
      <c r="I24" s="47"/>
      <c r="J24" s="44"/>
      <c r="K24" s="44"/>
      <c r="L24" s="44"/>
      <c r="M24" s="44"/>
      <c r="N24" s="44"/>
    </row>
    <row r="25" spans="1:14" ht="12.75" customHeight="1" x14ac:dyDescent="0.25">
      <c r="C25" s="46" t="s">
        <v>13</v>
      </c>
      <c r="D25" s="44"/>
      <c r="E25" s="60">
        <f>IF(G25=0,0,G25/G32)</f>
        <v>0</v>
      </c>
      <c r="F25" s="44"/>
      <c r="G25" s="282">
        <v>0</v>
      </c>
      <c r="H25" s="298">
        <f>'1. Assumptions'!$E$19</f>
        <v>0.13500000000000001</v>
      </c>
      <c r="I25" s="44"/>
      <c r="J25" s="44"/>
      <c r="K25" s="44"/>
      <c r="L25" s="44"/>
      <c r="M25" s="44"/>
      <c r="N25" s="44"/>
    </row>
    <row r="26" spans="1:14" ht="12.75" customHeight="1" x14ac:dyDescent="0.25">
      <c r="C26" s="46" t="s">
        <v>15</v>
      </c>
      <c r="D26" s="44"/>
      <c r="E26" s="60">
        <f>IF(G26=0,0,G26/G33)</f>
        <v>0</v>
      </c>
      <c r="F26" s="44"/>
      <c r="G26" s="282">
        <v>0</v>
      </c>
      <c r="H26" s="298">
        <f>'1. Assumptions'!$E$19</f>
        <v>0.13500000000000001</v>
      </c>
      <c r="I26" s="44"/>
      <c r="J26" s="44"/>
      <c r="K26" s="44"/>
      <c r="L26" s="44"/>
      <c r="M26" s="44"/>
      <c r="N26" s="44"/>
    </row>
    <row r="27" spans="1:14" ht="12.75" customHeight="1" x14ac:dyDescent="0.25">
      <c r="A27" s="44"/>
      <c r="B27" s="46"/>
      <c r="C27" s="46" t="s">
        <v>94</v>
      </c>
      <c r="D27" s="44"/>
      <c r="E27" s="60">
        <f>IF(G27=0,0,G27/G32)</f>
        <v>0</v>
      </c>
      <c r="F27" s="44"/>
      <c r="G27" s="285">
        <v>0</v>
      </c>
      <c r="H27" s="298">
        <f>'1. Assumptions'!$E$19</f>
        <v>0.13500000000000001</v>
      </c>
      <c r="I27" s="251">
        <v>60</v>
      </c>
      <c r="J27" s="59">
        <f>ABS(PMT(H27/12,I27,G27))</f>
        <v>0</v>
      </c>
      <c r="K27" s="44"/>
      <c r="L27" s="44"/>
      <c r="M27" s="44"/>
      <c r="N27" s="44"/>
    </row>
    <row r="28" spans="1:14" ht="12.75" customHeight="1" x14ac:dyDescent="0.25">
      <c r="A28" s="44"/>
      <c r="B28" s="46"/>
      <c r="C28" s="46" t="s">
        <v>11</v>
      </c>
      <c r="D28" s="44"/>
      <c r="E28" s="60">
        <f>IF(G28=0,0,G28/G32)</f>
        <v>0</v>
      </c>
      <c r="F28" s="44"/>
      <c r="G28" s="286">
        <v>0</v>
      </c>
      <c r="H28" s="298">
        <f>'1. Assumptions'!$E$19</f>
        <v>0.13500000000000001</v>
      </c>
      <c r="I28" s="251">
        <f>20*12</f>
        <v>240</v>
      </c>
      <c r="J28" s="59">
        <f>ABS(PMT(H28/12,I28,G28))</f>
        <v>0</v>
      </c>
      <c r="K28" s="44"/>
      <c r="L28" s="44"/>
      <c r="M28" s="44"/>
      <c r="N28" s="44"/>
    </row>
    <row r="29" spans="1:14" ht="12.75" customHeight="1" x14ac:dyDescent="0.25">
      <c r="A29" s="44"/>
      <c r="B29" s="46" t="s">
        <v>91</v>
      </c>
      <c r="C29" s="46"/>
      <c r="D29" s="44"/>
      <c r="E29" s="60">
        <f>IF(G29=0,0,G29/G32)</f>
        <v>0</v>
      </c>
      <c r="F29" s="44"/>
      <c r="G29" s="286">
        <v>0</v>
      </c>
      <c r="H29" s="298">
        <f>'1. Assumptions'!$E$19</f>
        <v>0.13500000000000001</v>
      </c>
      <c r="I29" s="251">
        <v>60</v>
      </c>
      <c r="J29" s="59">
        <f>ABS(PMT(H29/12,I29,G29))</f>
        <v>0</v>
      </c>
      <c r="K29" s="44"/>
      <c r="L29" s="44"/>
      <c r="M29" s="44"/>
      <c r="N29" s="44"/>
    </row>
    <row r="30" spans="1:14" ht="12.75" customHeight="1" x14ac:dyDescent="0.25">
      <c r="A30" s="44"/>
      <c r="B30" s="46" t="s">
        <v>93</v>
      </c>
      <c r="C30" s="46"/>
      <c r="D30" s="44"/>
      <c r="E30" s="182">
        <f>IF(G30=0,0,G30/G32)</f>
        <v>0</v>
      </c>
      <c r="F30" s="44"/>
      <c r="G30" s="286">
        <v>0</v>
      </c>
      <c r="H30" s="298">
        <f>'1. Assumptions'!$E$19</f>
        <v>0.13500000000000001</v>
      </c>
      <c r="I30" s="252">
        <v>60</v>
      </c>
      <c r="J30" s="59">
        <f>ABS(PMT(H30/12,I30,G30))</f>
        <v>0</v>
      </c>
      <c r="K30" s="44"/>
      <c r="L30" s="44"/>
      <c r="M30" s="44"/>
      <c r="N30" s="44"/>
    </row>
    <row r="31" spans="1:14" ht="12.75" customHeight="1" x14ac:dyDescent="0.25">
      <c r="A31" s="183"/>
      <c r="B31" s="177" t="s">
        <v>92</v>
      </c>
      <c r="C31" s="177"/>
      <c r="D31" s="183"/>
      <c r="E31" s="555">
        <f>IF(G31=0,0,G31/G32)</f>
        <v>0.5</v>
      </c>
      <c r="F31" s="183"/>
      <c r="G31" s="556">
        <f>F21-G27</f>
        <v>2508069.1999166668</v>
      </c>
      <c r="H31" s="557">
        <f>'1. Assumptions'!$E$19</f>
        <v>0.13500000000000001</v>
      </c>
      <c r="I31" s="558">
        <v>60</v>
      </c>
      <c r="J31" s="559">
        <f>ABS(PMT(H31/12,I31,G31))</f>
        <v>57710.286089779562</v>
      </c>
      <c r="K31" s="44"/>
      <c r="L31" s="44"/>
      <c r="M31" s="44"/>
      <c r="N31" s="44"/>
    </row>
    <row r="32" spans="1:14" ht="12.75" customHeight="1" thickBot="1" x14ac:dyDescent="0.3">
      <c r="A32" s="86" t="s">
        <v>12</v>
      </c>
      <c r="B32" s="86"/>
      <c r="C32" s="89"/>
      <c r="D32" s="89"/>
      <c r="E32" s="296">
        <f>SUM(E24:E31)</f>
        <v>1</v>
      </c>
      <c r="F32" s="86"/>
      <c r="G32" s="297">
        <f>SUM(G24:G31)</f>
        <v>5016138.3998333337</v>
      </c>
      <c r="H32" s="86"/>
      <c r="I32" s="86"/>
      <c r="J32" s="295">
        <f>J27+J28+J29+J30+J31</f>
        <v>57710.286089779562</v>
      </c>
      <c r="K32" s="44"/>
      <c r="L32" s="44"/>
      <c r="M32" s="44"/>
      <c r="N32" s="44"/>
    </row>
    <row r="33" spans="1:14" ht="15.9" customHeight="1" thickTop="1" x14ac:dyDescent="0.25">
      <c r="B33" s="46"/>
      <c r="C33" s="46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</row>
    <row r="34" spans="1:14" s="4" customFormat="1" ht="12.75" customHeight="1" x14ac:dyDescent="0.25">
      <c r="A34" s="44"/>
      <c r="B34" s="46"/>
      <c r="C34" s="46"/>
      <c r="D34" s="316"/>
      <c r="E34" s="316"/>
      <c r="F34" s="316"/>
      <c r="G34" s="316"/>
      <c r="H34" s="316"/>
      <c r="I34" s="316"/>
      <c r="J34" s="316"/>
      <c r="K34" s="44"/>
      <c r="L34" s="44"/>
      <c r="M34" s="44"/>
      <c r="N34" s="61"/>
    </row>
    <row r="35" spans="1:14" s="3" customFormat="1" ht="12.75" customHeight="1" x14ac:dyDescent="0.25">
      <c r="A35" s="62"/>
      <c r="B35" s="46"/>
      <c r="C35" s="46"/>
      <c r="D35" s="44"/>
      <c r="E35" s="44"/>
      <c r="F35" s="44"/>
      <c r="G35" s="44"/>
      <c r="H35" s="44"/>
      <c r="I35" s="44"/>
      <c r="J35" s="44"/>
      <c r="K35" s="316"/>
      <c r="L35" s="316"/>
      <c r="M35" s="316"/>
      <c r="N35" s="63"/>
    </row>
    <row r="36" spans="1:14" ht="12.75" customHeight="1" x14ac:dyDescent="0.25">
      <c r="A36" s="44"/>
      <c r="B36" s="46"/>
      <c r="C36" s="46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</row>
    <row r="37" spans="1:14" ht="12.75" customHeight="1" x14ac:dyDescent="0.25">
      <c r="A37" s="44"/>
      <c r="B37" s="46"/>
      <c r="C37" s="46"/>
      <c r="D37" s="44"/>
      <c r="E37" s="44"/>
      <c r="F37" s="44"/>
      <c r="G37" s="44"/>
      <c r="H37" s="58"/>
      <c r="I37" s="44"/>
      <c r="J37" s="50"/>
      <c r="K37" s="44"/>
      <c r="L37" s="44"/>
      <c r="M37" s="44"/>
      <c r="N37" s="44"/>
    </row>
    <row r="38" spans="1:14" ht="12.75" customHeight="1" x14ac:dyDescent="0.25">
      <c r="A38" s="44"/>
      <c r="B38" s="46"/>
      <c r="C38" s="46"/>
      <c r="D38" s="44"/>
      <c r="E38" s="44"/>
      <c r="F38" s="44"/>
      <c r="G38" s="44"/>
      <c r="H38" s="58"/>
      <c r="I38" s="44"/>
      <c r="J38" s="50"/>
      <c r="K38" s="50"/>
      <c r="L38" s="44"/>
      <c r="M38" s="44"/>
      <c r="N38" s="44"/>
    </row>
    <row r="39" spans="1:14" ht="12.75" customHeight="1" x14ac:dyDescent="0.25">
      <c r="A39" s="44"/>
      <c r="B39" s="46"/>
      <c r="C39" s="46"/>
      <c r="D39" s="44"/>
      <c r="E39" s="44"/>
      <c r="F39" s="44"/>
      <c r="G39" s="44"/>
      <c r="H39" s="44"/>
      <c r="I39" s="44"/>
      <c r="J39" s="44"/>
      <c r="K39" s="50"/>
      <c r="L39" s="44"/>
      <c r="M39" s="44"/>
      <c r="N39" s="44"/>
    </row>
    <row r="40" spans="1:14" ht="12.75" customHeight="1" x14ac:dyDescent="0.25">
      <c r="A40" s="44"/>
      <c r="B40" s="46"/>
      <c r="C40" s="46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</row>
    <row r="41" spans="1:14" ht="12.75" customHeight="1" x14ac:dyDescent="0.25">
      <c r="A41" s="44"/>
      <c r="B41" s="46"/>
      <c r="C41" s="46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</row>
    <row r="42" spans="1:14" x14ac:dyDescent="0.25">
      <c r="A42" s="44"/>
      <c r="B42" s="46"/>
      <c r="C42" s="46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</row>
    <row r="43" spans="1:14" x14ac:dyDescent="0.25">
      <c r="A43" s="44"/>
      <c r="B43" s="46"/>
      <c r="C43" s="46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</row>
    <row r="44" spans="1:14" x14ac:dyDescent="0.25">
      <c r="A44" s="44"/>
      <c r="K44" s="44"/>
      <c r="L44" s="44"/>
      <c r="M44" s="44"/>
      <c r="N44" s="44"/>
    </row>
  </sheetData>
  <mergeCells count="3">
    <mergeCell ref="A1:J2"/>
    <mergeCell ref="F20:G20"/>
    <mergeCell ref="F21:G21"/>
  </mergeCells>
  <phoneticPr fontId="7" type="noConversion"/>
  <pageMargins left="0.75" right="0.75" top="1" bottom="1" header="0.5" footer="0.5"/>
  <pageSetup scale="75" orientation="landscape" blackAndWhite="1" horizontalDpi="300" verticalDpi="300" r:id="rId1"/>
  <headerFooter alignWithMargins="0"/>
  <ignoredErrors>
    <ignoredError sqref="I28 E17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T77"/>
  <sheetViews>
    <sheetView zoomScaleNormal="100" workbookViewId="0">
      <selection activeCell="B13" sqref="B13"/>
    </sheetView>
  </sheetViews>
  <sheetFormatPr defaultColWidth="9.125" defaultRowHeight="14.4" x14ac:dyDescent="0.3"/>
  <cols>
    <col min="1" max="1" width="41.375" style="38" customWidth="1"/>
    <col min="2" max="2" width="18.5" style="38" customWidth="1"/>
    <col min="3" max="14" width="10.75" style="38" customWidth="1"/>
    <col min="15" max="17" width="10.625" style="38" customWidth="1"/>
    <col min="18" max="16384" width="9.125" style="38"/>
  </cols>
  <sheetData>
    <row r="1" spans="1:20" s="39" customFormat="1" ht="16.5" customHeight="1" x14ac:dyDescent="0.3">
      <c r="A1" s="600" t="s">
        <v>303</v>
      </c>
      <c r="B1" s="600"/>
      <c r="C1" s="600"/>
      <c r="D1" s="600"/>
      <c r="E1" s="600"/>
      <c r="F1" s="600"/>
      <c r="G1" s="600"/>
      <c r="H1" s="600"/>
      <c r="I1" s="600"/>
      <c r="J1" s="600"/>
    </row>
    <row r="2" spans="1:20" s="39" customFormat="1" ht="15.75" customHeight="1" x14ac:dyDescent="0.3">
      <c r="A2" s="600"/>
      <c r="B2" s="600"/>
      <c r="C2" s="600"/>
      <c r="D2" s="600"/>
      <c r="E2" s="600"/>
      <c r="F2" s="600"/>
      <c r="G2" s="600"/>
      <c r="H2" s="600"/>
      <c r="I2" s="600"/>
      <c r="J2" s="600"/>
    </row>
    <row r="3" spans="1:20" s="39" customFormat="1" ht="15.75" customHeight="1" thickBot="1" x14ac:dyDescent="0.35">
      <c r="A3" s="601"/>
      <c r="B3" s="601"/>
      <c r="C3" s="601"/>
      <c r="D3" s="601"/>
      <c r="E3" s="601"/>
      <c r="F3" s="601"/>
      <c r="G3" s="601"/>
      <c r="H3" s="601"/>
      <c r="I3" s="601"/>
      <c r="J3" s="601"/>
    </row>
    <row r="4" spans="1:20" s="39" customFormat="1" x14ac:dyDescent="0.3"/>
    <row r="5" spans="1:20" s="39" customFormat="1" x14ac:dyDescent="0.3">
      <c r="D5" s="92"/>
    </row>
    <row r="6" spans="1:20" s="39" customFormat="1" ht="15" thickBot="1" x14ac:dyDescent="0.35">
      <c r="A6" s="509" t="s">
        <v>270</v>
      </c>
      <c r="B6" s="510" t="s">
        <v>450</v>
      </c>
      <c r="C6" s="374" t="s">
        <v>83</v>
      </c>
      <c r="D6" s="374" t="s">
        <v>84</v>
      </c>
      <c r="E6" s="374" t="s">
        <v>85</v>
      </c>
      <c r="F6" s="374" t="s">
        <v>86</v>
      </c>
      <c r="G6" s="374" t="s">
        <v>75</v>
      </c>
      <c r="H6" s="374" t="s">
        <v>76</v>
      </c>
      <c r="I6" s="374" t="s">
        <v>77</v>
      </c>
      <c r="J6" s="374" t="s">
        <v>78</v>
      </c>
      <c r="K6" s="374" t="s">
        <v>79</v>
      </c>
      <c r="L6" s="374" t="s">
        <v>80</v>
      </c>
      <c r="M6" s="374" t="s">
        <v>81</v>
      </c>
      <c r="N6" s="374" t="s">
        <v>82</v>
      </c>
      <c r="O6" s="40"/>
      <c r="P6" s="40"/>
      <c r="Q6" s="40"/>
      <c r="R6" s="40"/>
      <c r="S6" s="40"/>
      <c r="T6" s="40"/>
    </row>
    <row r="7" spans="1:20" s="39" customFormat="1" x14ac:dyDescent="0.3">
      <c r="A7" s="375"/>
      <c r="B7" s="376"/>
      <c r="C7" s="377"/>
      <c r="D7" s="378"/>
      <c r="E7" s="379"/>
      <c r="F7" s="377"/>
      <c r="G7" s="377"/>
      <c r="H7" s="377"/>
      <c r="I7" s="377"/>
      <c r="J7" s="377"/>
      <c r="K7" s="377"/>
      <c r="L7" s="377"/>
      <c r="M7" s="377"/>
      <c r="N7" s="377"/>
      <c r="O7" s="40"/>
      <c r="P7" s="40"/>
      <c r="Q7" s="40"/>
      <c r="R7" s="40"/>
      <c r="S7" s="40"/>
      <c r="T7" s="40"/>
    </row>
    <row r="8" spans="1:20" s="531" customFormat="1" ht="13.8" x14ac:dyDescent="0.3">
      <c r="A8" s="532" t="s">
        <v>461</v>
      </c>
      <c r="B8" s="533">
        <f>SUM(C8:N8)</f>
        <v>3080855.555555555</v>
      </c>
      <c r="C8" s="534">
        <f>Production!$L29</f>
        <v>0</v>
      </c>
      <c r="D8" s="534">
        <f>Production!$L35</f>
        <v>296236.11111111107</v>
      </c>
      <c r="E8" s="534">
        <f>Production!$L41</f>
        <v>296236.11111111107</v>
      </c>
      <c r="F8" s="534">
        <f>Production!$L47</f>
        <v>296236.11111111107</v>
      </c>
      <c r="G8" s="534">
        <f>Production!$L53</f>
        <v>296236.11111111107</v>
      </c>
      <c r="H8" s="534">
        <f>Production!$L59</f>
        <v>296236.11111111107</v>
      </c>
      <c r="I8" s="534">
        <f>Production!$L65</f>
        <v>296236.11111111107</v>
      </c>
      <c r="J8" s="534">
        <f>Production!$L71</f>
        <v>296236.11111111107</v>
      </c>
      <c r="K8" s="534">
        <f>Production!$L77</f>
        <v>296236.11111111107</v>
      </c>
      <c r="L8" s="534">
        <f>Production!$L83</f>
        <v>296236.11111111107</v>
      </c>
      <c r="M8" s="534">
        <f>Production!$L89</f>
        <v>296236.11111111107</v>
      </c>
      <c r="N8" s="534">
        <f>Production!$L95</f>
        <v>118494.44444444442</v>
      </c>
      <c r="O8" s="530"/>
      <c r="P8" s="530"/>
      <c r="Q8" s="530"/>
      <c r="R8" s="530"/>
      <c r="S8" s="530"/>
      <c r="T8" s="530"/>
    </row>
    <row r="9" spans="1:20" s="39" customFormat="1" x14ac:dyDescent="0.3">
      <c r="A9" s="508"/>
      <c r="B9" s="380"/>
      <c r="C9" s="377"/>
      <c r="D9" s="377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40"/>
      <c r="P9" s="40"/>
      <c r="Q9" s="40"/>
      <c r="R9" s="40"/>
      <c r="S9" s="40"/>
      <c r="T9" s="40"/>
    </row>
    <row r="10" spans="1:20" s="526" customFormat="1" ht="15" thickBot="1" x14ac:dyDescent="0.35">
      <c r="A10" s="527" t="s">
        <v>291</v>
      </c>
      <c r="B10" s="528">
        <f>B8</f>
        <v>3080855.555555555</v>
      </c>
      <c r="C10" s="529">
        <f>C8</f>
        <v>0</v>
      </c>
      <c r="D10" s="529">
        <f t="shared" ref="D10:N10" si="0">D8</f>
        <v>296236.11111111107</v>
      </c>
      <c r="E10" s="529">
        <f t="shared" si="0"/>
        <v>296236.11111111107</v>
      </c>
      <c r="F10" s="529">
        <f t="shared" si="0"/>
        <v>296236.11111111107</v>
      </c>
      <c r="G10" s="529">
        <f t="shared" si="0"/>
        <v>296236.11111111107</v>
      </c>
      <c r="H10" s="529">
        <f t="shared" si="0"/>
        <v>296236.11111111107</v>
      </c>
      <c r="I10" s="529">
        <f t="shared" si="0"/>
        <v>296236.11111111107</v>
      </c>
      <c r="J10" s="529">
        <f t="shared" si="0"/>
        <v>296236.11111111107</v>
      </c>
      <c r="K10" s="529">
        <f t="shared" si="0"/>
        <v>296236.11111111107</v>
      </c>
      <c r="L10" s="529">
        <f t="shared" si="0"/>
        <v>296236.11111111107</v>
      </c>
      <c r="M10" s="529">
        <f t="shared" si="0"/>
        <v>296236.11111111107</v>
      </c>
      <c r="N10" s="529">
        <f t="shared" si="0"/>
        <v>118494.44444444442</v>
      </c>
      <c r="O10" s="525"/>
      <c r="P10" s="525"/>
      <c r="Q10" s="525"/>
      <c r="R10" s="525"/>
      <c r="S10" s="525"/>
      <c r="T10" s="525"/>
    </row>
    <row r="11" spans="1:20" s="39" customFormat="1" x14ac:dyDescent="0.3"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</row>
    <row r="12" spans="1:20" s="39" customFormat="1" x14ac:dyDescent="0.3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</row>
    <row r="13" spans="1:20" s="39" customFormat="1" x14ac:dyDescent="0.3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 s="39" customFormat="1" x14ac:dyDescent="0.3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 s="39" customFormat="1" x14ac:dyDescent="0.3"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</row>
    <row r="16" spans="1:20" s="39" customFormat="1" x14ac:dyDescent="0.3"/>
    <row r="17" s="39" customFormat="1" x14ac:dyDescent="0.3"/>
    <row r="18" s="39" customFormat="1" x14ac:dyDescent="0.3"/>
    <row r="19" s="39" customFormat="1" x14ac:dyDescent="0.3"/>
    <row r="20" s="39" customFormat="1" x14ac:dyDescent="0.3"/>
    <row r="21" s="39" customFormat="1" x14ac:dyDescent="0.3"/>
    <row r="22" s="39" customFormat="1" x14ac:dyDescent="0.3"/>
    <row r="23" s="39" customFormat="1" x14ac:dyDescent="0.3"/>
    <row r="24" s="39" customFormat="1" x14ac:dyDescent="0.3"/>
    <row r="25" s="39" customFormat="1" x14ac:dyDescent="0.3"/>
    <row r="26" s="39" customFormat="1" x14ac:dyDescent="0.3"/>
    <row r="27" s="39" customFormat="1" x14ac:dyDescent="0.3"/>
    <row r="28" s="39" customFormat="1" x14ac:dyDescent="0.3"/>
    <row r="29" s="39" customFormat="1" x14ac:dyDescent="0.3"/>
    <row r="30" s="39" customFormat="1" x14ac:dyDescent="0.3"/>
    <row r="31" s="39" customFormat="1" x14ac:dyDescent="0.3"/>
    <row r="32" s="39" customFormat="1" x14ac:dyDescent="0.3"/>
    <row r="33" s="39" customFormat="1" x14ac:dyDescent="0.3"/>
    <row r="34" s="39" customFormat="1" x14ac:dyDescent="0.3"/>
    <row r="35" s="39" customFormat="1" x14ac:dyDescent="0.3"/>
    <row r="36" s="39" customFormat="1" x14ac:dyDescent="0.3"/>
    <row r="37" s="39" customFormat="1" x14ac:dyDescent="0.3"/>
    <row r="38" s="39" customFormat="1" x14ac:dyDescent="0.3"/>
    <row r="39" s="39" customFormat="1" x14ac:dyDescent="0.3"/>
    <row r="40" s="39" customFormat="1" x14ac:dyDescent="0.3"/>
    <row r="41" s="39" customFormat="1" x14ac:dyDescent="0.3"/>
    <row r="42" s="39" customFormat="1" x14ac:dyDescent="0.3"/>
    <row r="43" s="39" customFormat="1" x14ac:dyDescent="0.3"/>
    <row r="44" s="39" customFormat="1" x14ac:dyDescent="0.3"/>
    <row r="45" s="39" customFormat="1" x14ac:dyDescent="0.3"/>
    <row r="46" s="39" customFormat="1" x14ac:dyDescent="0.3"/>
    <row r="47" s="39" customFormat="1" x14ac:dyDescent="0.3"/>
    <row r="48" s="39" customFormat="1" x14ac:dyDescent="0.3"/>
    <row r="49" s="39" customFormat="1" x14ac:dyDescent="0.3"/>
    <row r="50" s="39" customFormat="1" x14ac:dyDescent="0.3"/>
    <row r="51" s="39" customFormat="1" x14ac:dyDescent="0.3"/>
    <row r="52" s="39" customFormat="1" x14ac:dyDescent="0.3"/>
    <row r="53" s="39" customFormat="1" x14ac:dyDescent="0.3"/>
    <row r="54" s="39" customFormat="1" x14ac:dyDescent="0.3"/>
    <row r="55" s="39" customFormat="1" x14ac:dyDescent="0.3"/>
    <row r="56" s="39" customFormat="1" x14ac:dyDescent="0.3"/>
    <row r="57" s="39" customFormat="1" x14ac:dyDescent="0.3"/>
    <row r="58" s="39" customFormat="1" x14ac:dyDescent="0.3"/>
    <row r="59" s="39" customFormat="1" x14ac:dyDescent="0.3"/>
    <row r="60" s="39" customFormat="1" x14ac:dyDescent="0.3"/>
    <row r="61" s="39" customFormat="1" x14ac:dyDescent="0.3"/>
    <row r="62" s="39" customFormat="1" x14ac:dyDescent="0.3"/>
    <row r="63" s="39" customFormat="1" x14ac:dyDescent="0.3"/>
    <row r="64" s="39" customFormat="1" x14ac:dyDescent="0.3"/>
    <row r="65" s="39" customFormat="1" x14ac:dyDescent="0.3"/>
    <row r="66" s="39" customFormat="1" x14ac:dyDescent="0.3"/>
    <row r="67" s="39" customFormat="1" x14ac:dyDescent="0.3"/>
    <row r="68" s="39" customFormat="1" x14ac:dyDescent="0.3"/>
    <row r="69" s="39" customFormat="1" x14ac:dyDescent="0.3"/>
    <row r="70" s="39" customFormat="1" x14ac:dyDescent="0.3"/>
    <row r="71" s="39" customFormat="1" x14ac:dyDescent="0.3"/>
    <row r="72" s="39" customFormat="1" x14ac:dyDescent="0.3"/>
    <row r="73" s="39" customFormat="1" x14ac:dyDescent="0.3"/>
    <row r="74" s="39" customFormat="1" x14ac:dyDescent="0.3"/>
    <row r="75" s="39" customFormat="1" x14ac:dyDescent="0.3"/>
    <row r="76" s="39" customFormat="1" x14ac:dyDescent="0.3"/>
    <row r="77" s="39" customFormat="1" x14ac:dyDescent="0.3"/>
  </sheetData>
  <mergeCells count="1">
    <mergeCell ref="A1:J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3:AB133"/>
  <sheetViews>
    <sheetView showGridLines="0" showRowColHeaders="0" zoomScale="90" zoomScaleNormal="90" workbookViewId="0">
      <pane ySplit="15" topLeftCell="A96" activePane="bottomLeft" state="frozen"/>
      <selection pane="bottomLeft" activeCell="Q10" sqref="Q10"/>
    </sheetView>
  </sheetViews>
  <sheetFormatPr defaultColWidth="8.875" defaultRowHeight="11.4" outlineLevelRow="2" outlineLevelCol="1" x14ac:dyDescent="0.2"/>
  <cols>
    <col min="1" max="3" width="3" style="3" customWidth="1"/>
    <col min="4" max="4" width="35.75" customWidth="1"/>
    <col min="5" max="16" width="11.75" customWidth="1" outlineLevel="1"/>
    <col min="17" max="21" width="13.25" customWidth="1"/>
    <col min="23" max="23" width="13.375" bestFit="1" customWidth="1"/>
    <col min="24" max="25" width="11" bestFit="1" customWidth="1"/>
    <col min="26" max="26" width="12" bestFit="1" customWidth="1"/>
    <col min="27" max="27" width="10" bestFit="1" customWidth="1"/>
    <col min="28" max="28" width="12" bestFit="1" customWidth="1"/>
  </cols>
  <sheetData>
    <row r="3" spans="1:21" ht="12" customHeight="1" x14ac:dyDescent="0.2">
      <c r="A3" s="594" t="s">
        <v>253</v>
      </c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594"/>
      <c r="M3" s="594"/>
      <c r="N3" s="594"/>
      <c r="O3" s="594"/>
      <c r="P3" s="594"/>
      <c r="Q3" s="594"/>
      <c r="R3" s="594"/>
      <c r="S3" s="594"/>
      <c r="T3" s="594"/>
      <c r="U3" s="594"/>
    </row>
    <row r="4" spans="1:21" ht="12" customHeight="1" x14ac:dyDescent="0.2">
      <c r="A4" s="594"/>
      <c r="B4" s="594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4"/>
      <c r="N4" s="594"/>
      <c r="O4" s="594"/>
      <c r="P4" s="594"/>
      <c r="Q4" s="594"/>
      <c r="R4" s="594"/>
      <c r="S4" s="594"/>
      <c r="T4" s="594"/>
      <c r="U4" s="594"/>
    </row>
    <row r="5" spans="1:21" ht="12" customHeight="1" x14ac:dyDescent="0.2">
      <c r="A5" s="594"/>
      <c r="B5" s="594"/>
      <c r="C5" s="594"/>
      <c r="D5" s="594"/>
      <c r="E5" s="594"/>
      <c r="F5" s="594"/>
      <c r="G5" s="594"/>
      <c r="H5" s="594"/>
      <c r="I5" s="594"/>
      <c r="J5" s="594"/>
      <c r="K5" s="594"/>
      <c r="L5" s="594"/>
      <c r="M5" s="594"/>
      <c r="N5" s="594"/>
      <c r="O5" s="594"/>
      <c r="P5" s="594"/>
      <c r="Q5" s="594"/>
      <c r="R5" s="594"/>
      <c r="S5" s="594"/>
      <c r="T5" s="594"/>
      <c r="U5" s="594"/>
    </row>
    <row r="6" spans="1:21" ht="12" customHeight="1" x14ac:dyDescent="0.2">
      <c r="A6" s="594"/>
      <c r="B6" s="594"/>
      <c r="C6" s="594"/>
      <c r="D6" s="594"/>
      <c r="E6" s="594"/>
      <c r="F6" s="594"/>
      <c r="G6" s="594"/>
      <c r="H6" s="594"/>
      <c r="I6" s="594"/>
      <c r="J6" s="594"/>
      <c r="K6" s="594"/>
      <c r="L6" s="594"/>
      <c r="M6" s="594"/>
      <c r="N6" s="594"/>
      <c r="O6" s="594"/>
      <c r="P6" s="594"/>
      <c r="Q6" s="594"/>
      <c r="R6" s="594"/>
      <c r="S6" s="594"/>
      <c r="T6" s="594"/>
      <c r="U6" s="594"/>
    </row>
    <row r="7" spans="1:21" ht="12" customHeight="1" x14ac:dyDescent="0.2">
      <c r="A7" s="594"/>
      <c r="B7" s="594"/>
      <c r="C7" s="594"/>
      <c r="D7" s="594"/>
      <c r="E7" s="594"/>
      <c r="F7" s="594"/>
      <c r="G7" s="594"/>
      <c r="H7" s="594"/>
      <c r="I7" s="594"/>
      <c r="J7" s="594"/>
      <c r="K7" s="594"/>
      <c r="L7" s="594"/>
      <c r="M7" s="594"/>
      <c r="N7" s="594"/>
      <c r="O7" s="594"/>
      <c r="P7" s="594"/>
      <c r="Q7" s="594"/>
      <c r="R7" s="594"/>
      <c r="S7" s="594"/>
      <c r="T7" s="594"/>
      <c r="U7" s="594"/>
    </row>
    <row r="8" spans="1:21" ht="12" customHeight="1" x14ac:dyDescent="0.2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</row>
    <row r="9" spans="1:21" ht="12" customHeight="1" x14ac:dyDescent="0.2">
      <c r="A9" s="113"/>
      <c r="B9" s="113"/>
      <c r="C9" s="113"/>
      <c r="D9" s="602" t="s">
        <v>148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</row>
    <row r="10" spans="1:21" ht="12.75" customHeight="1" x14ac:dyDescent="0.3">
      <c r="B10" s="126"/>
      <c r="C10" s="126"/>
      <c r="D10" s="602"/>
      <c r="E10" s="127" t="str">
        <f>'5. Sales forecast'!C6</f>
        <v>May</v>
      </c>
      <c r="F10" s="127" t="str">
        <f>'5. Sales forecast'!D6</f>
        <v>Jun</v>
      </c>
      <c r="G10" s="127" t="str">
        <f>'5. Sales forecast'!E6</f>
        <v>Jul</v>
      </c>
      <c r="H10" s="127" t="str">
        <f>'5. Sales forecast'!F6</f>
        <v>Aug</v>
      </c>
      <c r="I10" s="127" t="str">
        <f>'5. Sales forecast'!G6</f>
        <v>Sep</v>
      </c>
      <c r="J10" s="127" t="str">
        <f>'5. Sales forecast'!H6</f>
        <v>Oct</v>
      </c>
      <c r="K10" s="127" t="str">
        <f>'5. Sales forecast'!I6</f>
        <v>Nov</v>
      </c>
      <c r="L10" s="127" t="str">
        <f>'5. Sales forecast'!J6</f>
        <v>Dec</v>
      </c>
      <c r="M10" s="127" t="str">
        <f>'5. Sales forecast'!K6</f>
        <v>Jan</v>
      </c>
      <c r="N10" s="127" t="str">
        <f>'5. Sales forecast'!L6</f>
        <v>Feb</v>
      </c>
      <c r="O10" s="127" t="str">
        <f>'5. Sales forecast'!M6</f>
        <v>Mar</v>
      </c>
      <c r="P10" s="127" t="str">
        <f>'5. Sales forecast'!N6</f>
        <v>Apr</v>
      </c>
      <c r="Q10" s="127" t="s">
        <v>206</v>
      </c>
      <c r="R10" s="97" t="s">
        <v>207</v>
      </c>
      <c r="S10" s="97" t="s">
        <v>208</v>
      </c>
      <c r="T10" s="97" t="s">
        <v>209</v>
      </c>
      <c r="U10" s="97" t="s">
        <v>210</v>
      </c>
    </row>
    <row r="11" spans="1:21" ht="12.75" customHeight="1" x14ac:dyDescent="0.3">
      <c r="A11" s="97"/>
      <c r="B11" s="97"/>
      <c r="C11" s="97"/>
      <c r="D11" s="602"/>
      <c r="E11" s="12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27"/>
      <c r="R11" s="97"/>
      <c r="S11" s="97"/>
      <c r="T11" s="97"/>
      <c r="U11" s="97"/>
    </row>
    <row r="12" spans="1:21" ht="12.75" customHeight="1" thickBot="1" x14ac:dyDescent="0.35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</row>
    <row r="13" spans="1:21" ht="12.75" customHeight="1" x14ac:dyDescent="0.3">
      <c r="A13" s="98"/>
      <c r="B13" s="98"/>
      <c r="C13" s="98"/>
      <c r="D13" s="70"/>
      <c r="E13" s="70"/>
      <c r="F13" s="70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70"/>
      <c r="R13" s="70"/>
      <c r="S13" s="70"/>
      <c r="T13" s="70"/>
      <c r="U13" s="70"/>
    </row>
    <row r="14" spans="1:21" ht="12.75" customHeight="1" x14ac:dyDescent="0.3">
      <c r="A14" s="98" t="s">
        <v>149</v>
      </c>
      <c r="B14" s="98"/>
      <c r="C14" s="98"/>
      <c r="D14" s="70"/>
      <c r="E14" s="114">
        <f>'5. Sales forecast'!C10</f>
        <v>0</v>
      </c>
      <c r="F14" s="114">
        <f>'5. Sales forecast'!D10</f>
        <v>296236.11111111107</v>
      </c>
      <c r="G14" s="114">
        <f>'5. Sales forecast'!E10</f>
        <v>296236.11111111107</v>
      </c>
      <c r="H14" s="114">
        <f>'5. Sales forecast'!F10</f>
        <v>296236.11111111107</v>
      </c>
      <c r="I14" s="114">
        <f>'5. Sales forecast'!G10</f>
        <v>296236.11111111107</v>
      </c>
      <c r="J14" s="114">
        <f>'5. Sales forecast'!H10</f>
        <v>296236.11111111107</v>
      </c>
      <c r="K14" s="114">
        <f>'5. Sales forecast'!I10</f>
        <v>296236.11111111107</v>
      </c>
      <c r="L14" s="114">
        <f>'5. Sales forecast'!J10</f>
        <v>296236.11111111107</v>
      </c>
      <c r="M14" s="114">
        <f>'5. Sales forecast'!K10</f>
        <v>296236.11111111107</v>
      </c>
      <c r="N14" s="114">
        <f>'5. Sales forecast'!L10</f>
        <v>296236.11111111107</v>
      </c>
      <c r="O14" s="114">
        <f>'5. Sales forecast'!M10</f>
        <v>296236.11111111107</v>
      </c>
      <c r="P14" s="114">
        <f>'5. Sales forecast'!N10</f>
        <v>118494.44444444442</v>
      </c>
      <c r="Q14" s="114">
        <f>SUM(E14:P14)</f>
        <v>3080855.555555555</v>
      </c>
      <c r="R14" s="114">
        <f>Q14*(1+'1. Assumptions'!$E$21)</f>
        <v>3358132.555555555</v>
      </c>
      <c r="S14" s="114">
        <f>R14*(1+'1. Assumptions'!$E$21)</f>
        <v>3660364.4855555552</v>
      </c>
      <c r="T14" s="114">
        <f>S14*(1+'1. Assumptions'!$E$21)</f>
        <v>3989797.2892555553</v>
      </c>
      <c r="U14" s="114">
        <f>T14*(1+'1. Assumptions'!$E$21)</f>
        <v>4348879.0452885553</v>
      </c>
    </row>
    <row r="15" spans="1:21" ht="12.75" customHeight="1" thickBot="1" x14ac:dyDescent="0.3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</row>
    <row r="16" spans="1:21" ht="12.75" customHeight="1" x14ac:dyDescent="0.3">
      <c r="A16" s="98"/>
      <c r="B16" s="98"/>
      <c r="C16" s="98"/>
      <c r="D16" s="70"/>
      <c r="E16" s="136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</row>
    <row r="17" spans="1:28" ht="12.75" customHeight="1" outlineLevel="1" x14ac:dyDescent="0.3">
      <c r="A17" s="98"/>
      <c r="B17" s="98"/>
      <c r="D17" s="98" t="str">
        <f>'3. Budget'!A32</f>
        <v>Land preparation</v>
      </c>
      <c r="E17" s="114">
        <f>-'3. Budget'!B32</f>
        <v>-550</v>
      </c>
      <c r="F17" s="114">
        <f t="shared" ref="F17:P17" si="0">E17</f>
        <v>-550</v>
      </c>
      <c r="G17" s="114">
        <f t="shared" si="0"/>
        <v>-550</v>
      </c>
      <c r="H17" s="114">
        <f t="shared" si="0"/>
        <v>-550</v>
      </c>
      <c r="I17" s="114">
        <f t="shared" si="0"/>
        <v>-550</v>
      </c>
      <c r="J17" s="114">
        <f t="shared" si="0"/>
        <v>-550</v>
      </c>
      <c r="K17" s="114">
        <f t="shared" si="0"/>
        <v>-550</v>
      </c>
      <c r="L17" s="114">
        <f t="shared" si="0"/>
        <v>-550</v>
      </c>
      <c r="M17" s="114">
        <f t="shared" si="0"/>
        <v>-550</v>
      </c>
      <c r="N17" s="114">
        <f t="shared" si="0"/>
        <v>-550</v>
      </c>
      <c r="O17" s="114">
        <f t="shared" si="0"/>
        <v>-550</v>
      </c>
      <c r="P17" s="114">
        <f t="shared" si="0"/>
        <v>-550</v>
      </c>
      <c r="Q17" s="114">
        <f>SUM(E17:P17)</f>
        <v>-6600</v>
      </c>
      <c r="R17" s="114">
        <f>Q17*(1+'1. Assumptions'!$E$22)</f>
        <v>-6930</v>
      </c>
      <c r="S17" s="114">
        <f>R17*(1+'1. Assumptions'!$E$22)</f>
        <v>-7276.5</v>
      </c>
      <c r="T17" s="114">
        <f>S17*(1+'1. Assumptions'!$E$22)</f>
        <v>-7640.3250000000007</v>
      </c>
      <c r="U17" s="114">
        <f>T17*(1+'1. Assumptions'!$E$22)</f>
        <v>-8022.3412500000013</v>
      </c>
      <c r="W17" s="114"/>
    </row>
    <row r="18" spans="1:28" ht="12.75" customHeight="1" outlineLevel="1" x14ac:dyDescent="0.3">
      <c r="A18" s="98"/>
      <c r="B18" s="98"/>
      <c r="C18" s="98"/>
      <c r="D18" s="98" t="str">
        <f>'3. Budget'!A33</f>
        <v>Seed &amp; Seedlings</v>
      </c>
      <c r="E18" s="114">
        <f>-'3. Budget'!B33</f>
        <v>-17500</v>
      </c>
      <c r="F18" s="114">
        <f t="shared" ref="F18:P18" si="1">E18</f>
        <v>-17500</v>
      </c>
      <c r="G18" s="114">
        <f t="shared" si="1"/>
        <v>-17500</v>
      </c>
      <c r="H18" s="114">
        <f t="shared" si="1"/>
        <v>-17500</v>
      </c>
      <c r="I18" s="114">
        <f t="shared" si="1"/>
        <v>-17500</v>
      </c>
      <c r="J18" s="114">
        <f t="shared" si="1"/>
        <v>-17500</v>
      </c>
      <c r="K18" s="114">
        <f t="shared" si="1"/>
        <v>-17500</v>
      </c>
      <c r="L18" s="114">
        <f t="shared" si="1"/>
        <v>-17500</v>
      </c>
      <c r="M18" s="114">
        <f t="shared" si="1"/>
        <v>-17500</v>
      </c>
      <c r="N18" s="114">
        <f t="shared" si="1"/>
        <v>-17500</v>
      </c>
      <c r="O18" s="114">
        <f t="shared" si="1"/>
        <v>-17500</v>
      </c>
      <c r="P18" s="114">
        <f t="shared" si="1"/>
        <v>-17500</v>
      </c>
      <c r="Q18" s="114">
        <f t="shared" ref="Q18:Q27" si="2">SUM(E18:P18)</f>
        <v>-210000</v>
      </c>
      <c r="R18" s="114">
        <f>Q18*(1+'1. Assumptions'!$E$22)</f>
        <v>-220500</v>
      </c>
      <c r="S18" s="114">
        <f>R18*(1+'1. Assumptions'!$E$22)</f>
        <v>-231525</v>
      </c>
      <c r="T18" s="114">
        <f>S18*(1+'1. Assumptions'!$E$22)</f>
        <v>-243101.25</v>
      </c>
      <c r="U18" s="114">
        <f>T18*(1+'1. Assumptions'!$E$22)</f>
        <v>-255256.3125</v>
      </c>
    </row>
    <row r="19" spans="1:28" ht="12.75" customHeight="1" outlineLevel="1" x14ac:dyDescent="0.3">
      <c r="A19" s="98"/>
      <c r="B19" s="98"/>
      <c r="C19" s="98"/>
      <c r="D19" s="98" t="str">
        <f>'3. Budget'!A34</f>
        <v>Labour</v>
      </c>
      <c r="E19" s="114">
        <f>-'3. Budget'!B34</f>
        <v>-49316</v>
      </c>
      <c r="F19" s="114">
        <f t="shared" ref="F19:P19" si="3">E19</f>
        <v>-49316</v>
      </c>
      <c r="G19" s="114">
        <f t="shared" si="3"/>
        <v>-49316</v>
      </c>
      <c r="H19" s="114">
        <f t="shared" si="3"/>
        <v>-49316</v>
      </c>
      <c r="I19" s="114">
        <f t="shared" si="3"/>
        <v>-49316</v>
      </c>
      <c r="J19" s="114">
        <f t="shared" si="3"/>
        <v>-49316</v>
      </c>
      <c r="K19" s="114">
        <f t="shared" si="3"/>
        <v>-49316</v>
      </c>
      <c r="L19" s="114">
        <f t="shared" si="3"/>
        <v>-49316</v>
      </c>
      <c r="M19" s="114">
        <f t="shared" si="3"/>
        <v>-49316</v>
      </c>
      <c r="N19" s="114">
        <f t="shared" si="3"/>
        <v>-49316</v>
      </c>
      <c r="O19" s="114">
        <f t="shared" si="3"/>
        <v>-49316</v>
      </c>
      <c r="P19" s="114">
        <f t="shared" si="3"/>
        <v>-49316</v>
      </c>
      <c r="Q19" s="114">
        <f t="shared" si="2"/>
        <v>-591792</v>
      </c>
      <c r="R19" s="114">
        <f>Q19*(1+'1. Assumptions'!$E$22)</f>
        <v>-621381.6</v>
      </c>
      <c r="S19" s="114">
        <f>R19*(1+'1. Assumptions'!$E$22)</f>
        <v>-652450.68000000005</v>
      </c>
      <c r="T19" s="114">
        <f>S19*(1+'1. Assumptions'!$E$22)</f>
        <v>-685073.21400000004</v>
      </c>
      <c r="U19" s="114">
        <f>T19*(1+'1. Assumptions'!$E$22)</f>
        <v>-719326.87470000004</v>
      </c>
    </row>
    <row r="20" spans="1:28" ht="12.75" customHeight="1" outlineLevel="1" x14ac:dyDescent="0.3">
      <c r="A20" s="98"/>
      <c r="B20" s="98"/>
      <c r="C20" s="98"/>
      <c r="D20" s="98" t="str">
        <f>'3. Budget'!A35</f>
        <v>Irrigation</v>
      </c>
      <c r="E20" s="114">
        <f>-'3. Budget'!B35</f>
        <v>-3312</v>
      </c>
      <c r="F20" s="114">
        <f t="shared" ref="F20:P20" si="4">E20</f>
        <v>-3312</v>
      </c>
      <c r="G20" s="114">
        <f t="shared" si="4"/>
        <v>-3312</v>
      </c>
      <c r="H20" s="114">
        <f t="shared" si="4"/>
        <v>-3312</v>
      </c>
      <c r="I20" s="114">
        <f t="shared" si="4"/>
        <v>-3312</v>
      </c>
      <c r="J20" s="114">
        <f t="shared" si="4"/>
        <v>-3312</v>
      </c>
      <c r="K20" s="114">
        <f t="shared" si="4"/>
        <v>-3312</v>
      </c>
      <c r="L20" s="114">
        <f t="shared" si="4"/>
        <v>-3312</v>
      </c>
      <c r="M20" s="114">
        <f t="shared" si="4"/>
        <v>-3312</v>
      </c>
      <c r="N20" s="114">
        <f t="shared" si="4"/>
        <v>-3312</v>
      </c>
      <c r="O20" s="114">
        <f t="shared" si="4"/>
        <v>-3312</v>
      </c>
      <c r="P20" s="114">
        <f t="shared" si="4"/>
        <v>-3312</v>
      </c>
      <c r="Q20" s="114">
        <f t="shared" si="2"/>
        <v>-39744</v>
      </c>
      <c r="R20" s="114">
        <f>Q20*(1+'1. Assumptions'!$E$22)</f>
        <v>-41731.200000000004</v>
      </c>
      <c r="S20" s="114">
        <f>R20*(1+'1. Assumptions'!$E$22)</f>
        <v>-43817.760000000009</v>
      </c>
      <c r="T20" s="114">
        <f>S20*(1+'1. Assumptions'!$E$22)</f>
        <v>-46008.648000000008</v>
      </c>
      <c r="U20" s="114">
        <f>T20*(1+'1. Assumptions'!$E$22)</f>
        <v>-48309.080400000013</v>
      </c>
    </row>
    <row r="21" spans="1:28" ht="12.75" customHeight="1" outlineLevel="1" x14ac:dyDescent="0.3">
      <c r="A21" s="98"/>
      <c r="B21" s="98"/>
      <c r="C21" s="98"/>
      <c r="D21" s="98" t="str">
        <f>'3. Budget'!A36</f>
        <v>Fertilizers</v>
      </c>
      <c r="E21" s="114">
        <f>-'3. Budget'!B36</f>
        <v>-8075.97</v>
      </c>
      <c r="F21" s="114">
        <f t="shared" ref="F21:P21" si="5">E21</f>
        <v>-8075.97</v>
      </c>
      <c r="G21" s="114">
        <f t="shared" si="5"/>
        <v>-8075.97</v>
      </c>
      <c r="H21" s="114">
        <f t="shared" si="5"/>
        <v>-8075.97</v>
      </c>
      <c r="I21" s="114">
        <f t="shared" si="5"/>
        <v>-8075.97</v>
      </c>
      <c r="J21" s="114">
        <f t="shared" si="5"/>
        <v>-8075.97</v>
      </c>
      <c r="K21" s="114">
        <f t="shared" si="5"/>
        <v>-8075.97</v>
      </c>
      <c r="L21" s="114">
        <f t="shared" si="5"/>
        <v>-8075.97</v>
      </c>
      <c r="M21" s="114">
        <f t="shared" si="5"/>
        <v>-8075.97</v>
      </c>
      <c r="N21" s="114">
        <f t="shared" si="5"/>
        <v>-8075.97</v>
      </c>
      <c r="O21" s="114">
        <f t="shared" si="5"/>
        <v>-8075.97</v>
      </c>
      <c r="P21" s="114">
        <f t="shared" si="5"/>
        <v>-8075.97</v>
      </c>
      <c r="Q21" s="114">
        <f t="shared" si="2"/>
        <v>-96911.64</v>
      </c>
      <c r="R21" s="114">
        <f>Q21*(1+'1. Assumptions'!$E$22)</f>
        <v>-101757.22200000001</v>
      </c>
      <c r="S21" s="114">
        <f>R21*(1+'1. Assumptions'!$E$22)</f>
        <v>-106845.08310000002</v>
      </c>
      <c r="T21" s="114">
        <f>S21*(1+'1. Assumptions'!$E$22)</f>
        <v>-112187.33725500002</v>
      </c>
      <c r="U21" s="114">
        <f>T21*(1+'1. Assumptions'!$E$22)</f>
        <v>-117796.70411775002</v>
      </c>
    </row>
    <row r="22" spans="1:28" ht="12.75" customHeight="1" outlineLevel="1" x14ac:dyDescent="0.3">
      <c r="A22" s="98"/>
      <c r="B22" s="98"/>
      <c r="C22" s="98"/>
      <c r="D22" s="98" t="str">
        <f>'3. Budget'!A37</f>
        <v>Chemicals</v>
      </c>
      <c r="E22" s="114">
        <f>-'3. Budget'!B37</f>
        <v>-1741.1366666666668</v>
      </c>
      <c r="F22" s="114">
        <f t="shared" ref="F22:P22" si="6">E22</f>
        <v>-1741.1366666666668</v>
      </c>
      <c r="G22" s="114">
        <f t="shared" si="6"/>
        <v>-1741.1366666666668</v>
      </c>
      <c r="H22" s="114">
        <f t="shared" si="6"/>
        <v>-1741.1366666666668</v>
      </c>
      <c r="I22" s="114">
        <f t="shared" si="6"/>
        <v>-1741.1366666666668</v>
      </c>
      <c r="J22" s="114">
        <f t="shared" si="6"/>
        <v>-1741.1366666666668</v>
      </c>
      <c r="K22" s="114">
        <f t="shared" si="6"/>
        <v>-1741.1366666666668</v>
      </c>
      <c r="L22" s="114">
        <f t="shared" si="6"/>
        <v>-1741.1366666666668</v>
      </c>
      <c r="M22" s="114">
        <f t="shared" si="6"/>
        <v>-1741.1366666666668</v>
      </c>
      <c r="N22" s="114">
        <f t="shared" si="6"/>
        <v>-1741.1366666666668</v>
      </c>
      <c r="O22" s="114">
        <f t="shared" si="6"/>
        <v>-1741.1366666666668</v>
      </c>
      <c r="P22" s="114">
        <f t="shared" si="6"/>
        <v>-1741.1366666666668</v>
      </c>
      <c r="Q22" s="114">
        <f t="shared" si="2"/>
        <v>-20893.64</v>
      </c>
      <c r="R22" s="114">
        <f>Q22*(1+'1. Assumptions'!$E$22)</f>
        <v>-21938.322</v>
      </c>
      <c r="S22" s="114">
        <f>R22*(1+'1. Assumptions'!$E$22)</f>
        <v>-23035.238100000002</v>
      </c>
      <c r="T22" s="114">
        <f>S22*(1+'1. Assumptions'!$E$22)</f>
        <v>-24187.000005000002</v>
      </c>
      <c r="U22" s="114">
        <f>T22*(1+'1. Assumptions'!$E$22)</f>
        <v>-25396.350005250002</v>
      </c>
    </row>
    <row r="23" spans="1:28" ht="12.75" customHeight="1" outlineLevel="1" x14ac:dyDescent="0.3">
      <c r="A23" s="98"/>
      <c r="B23" s="98"/>
      <c r="C23" s="98"/>
      <c r="D23" s="98" t="str">
        <f>'3. Budget'!A38</f>
        <v>Packaging</v>
      </c>
      <c r="E23" s="114">
        <f>-'3. Budget'!B38</f>
        <v>-14625</v>
      </c>
      <c r="F23" s="114">
        <f t="shared" ref="F23:P23" si="7">E23</f>
        <v>-14625</v>
      </c>
      <c r="G23" s="114">
        <f t="shared" si="7"/>
        <v>-14625</v>
      </c>
      <c r="H23" s="114">
        <f t="shared" si="7"/>
        <v>-14625</v>
      </c>
      <c r="I23" s="114">
        <f t="shared" si="7"/>
        <v>-14625</v>
      </c>
      <c r="J23" s="114">
        <f t="shared" si="7"/>
        <v>-14625</v>
      </c>
      <c r="K23" s="114">
        <f t="shared" si="7"/>
        <v>-14625</v>
      </c>
      <c r="L23" s="114">
        <f t="shared" si="7"/>
        <v>-14625</v>
      </c>
      <c r="M23" s="114">
        <f t="shared" si="7"/>
        <v>-14625</v>
      </c>
      <c r="N23" s="114">
        <f t="shared" si="7"/>
        <v>-14625</v>
      </c>
      <c r="O23" s="114">
        <f t="shared" si="7"/>
        <v>-14625</v>
      </c>
      <c r="P23" s="114">
        <f t="shared" si="7"/>
        <v>-14625</v>
      </c>
      <c r="Q23" s="114">
        <f t="shared" si="2"/>
        <v>-175500</v>
      </c>
      <c r="R23" s="114">
        <f>Q23*(1+'1. Assumptions'!$E$22)</f>
        <v>-184275</v>
      </c>
      <c r="S23" s="114">
        <f>R23*(1+'1. Assumptions'!$E$22)</f>
        <v>-193488.75</v>
      </c>
      <c r="T23" s="114">
        <f>S23*(1+'1. Assumptions'!$E$22)</f>
        <v>-203163.1875</v>
      </c>
      <c r="U23" s="114">
        <f>T23*(1+'1. Assumptions'!$E$22)</f>
        <v>-213321.34687500002</v>
      </c>
      <c r="X23" s="287"/>
      <c r="Y23" s="287"/>
      <c r="Z23" s="287"/>
      <c r="AA23" s="287"/>
      <c r="AB23" s="287"/>
    </row>
    <row r="24" spans="1:28" ht="12.75" customHeight="1" outlineLevel="1" x14ac:dyDescent="0.3">
      <c r="A24" s="98"/>
      <c r="B24" s="98"/>
      <c r="C24" s="98"/>
      <c r="D24" s="98" t="str">
        <f>'3. Budget'!A39</f>
        <v>Transport</v>
      </c>
      <c r="E24" s="114">
        <f>-'3. Budget'!B39</f>
        <v>-7528.123166666669</v>
      </c>
      <c r="F24" s="114">
        <f t="shared" ref="F24:P24" si="8">E24</f>
        <v>-7528.123166666669</v>
      </c>
      <c r="G24" s="114">
        <f t="shared" si="8"/>
        <v>-7528.123166666669</v>
      </c>
      <c r="H24" s="114">
        <f t="shared" si="8"/>
        <v>-7528.123166666669</v>
      </c>
      <c r="I24" s="114">
        <f t="shared" si="8"/>
        <v>-7528.123166666669</v>
      </c>
      <c r="J24" s="114">
        <f t="shared" si="8"/>
        <v>-7528.123166666669</v>
      </c>
      <c r="K24" s="114">
        <f t="shared" si="8"/>
        <v>-7528.123166666669</v>
      </c>
      <c r="L24" s="114">
        <f t="shared" si="8"/>
        <v>-7528.123166666669</v>
      </c>
      <c r="M24" s="114">
        <f t="shared" si="8"/>
        <v>-7528.123166666669</v>
      </c>
      <c r="N24" s="114">
        <f t="shared" si="8"/>
        <v>-7528.123166666669</v>
      </c>
      <c r="O24" s="114">
        <f t="shared" si="8"/>
        <v>-7528.123166666669</v>
      </c>
      <c r="P24" s="114">
        <f t="shared" si="8"/>
        <v>-7528.123166666669</v>
      </c>
      <c r="Q24" s="114">
        <f t="shared" si="2"/>
        <v>-90337.478000000046</v>
      </c>
      <c r="R24" s="114">
        <f>Q24*(1+'1. Assumptions'!$E$22)</f>
        <v>-94854.351900000052</v>
      </c>
      <c r="S24" s="114">
        <f>R24*(1+'1. Assumptions'!$E$22)</f>
        <v>-99597.069495000062</v>
      </c>
      <c r="T24" s="114">
        <f>S24*(1+'1. Assumptions'!$E$22)</f>
        <v>-104576.92296975007</v>
      </c>
      <c r="U24" s="114">
        <f>T24*(1+'1. Assumptions'!$E$22)</f>
        <v>-109805.76911823759</v>
      </c>
    </row>
    <row r="25" spans="1:28" ht="12.75" customHeight="1" outlineLevel="1" x14ac:dyDescent="0.3">
      <c r="A25" s="98"/>
      <c r="B25" s="98"/>
      <c r="C25" s="98"/>
      <c r="D25" s="105" t="s">
        <v>222</v>
      </c>
      <c r="E25" s="114">
        <f>-('11. Depreciation &amp;Amoritization'!G95)/12</f>
        <v>-65925.39433333333</v>
      </c>
      <c r="F25" s="114">
        <f t="shared" ref="F25:P25" si="9">E25</f>
        <v>-65925.39433333333</v>
      </c>
      <c r="G25" s="114">
        <f t="shared" si="9"/>
        <v>-65925.39433333333</v>
      </c>
      <c r="H25" s="114">
        <f t="shared" si="9"/>
        <v>-65925.39433333333</v>
      </c>
      <c r="I25" s="114">
        <f t="shared" si="9"/>
        <v>-65925.39433333333</v>
      </c>
      <c r="J25" s="114">
        <f t="shared" si="9"/>
        <v>-65925.39433333333</v>
      </c>
      <c r="K25" s="114">
        <f t="shared" si="9"/>
        <v>-65925.39433333333</v>
      </c>
      <c r="L25" s="114">
        <f t="shared" si="9"/>
        <v>-65925.39433333333</v>
      </c>
      <c r="M25" s="114">
        <f t="shared" si="9"/>
        <v>-65925.39433333333</v>
      </c>
      <c r="N25" s="114">
        <f t="shared" si="9"/>
        <v>-65925.39433333333</v>
      </c>
      <c r="O25" s="114">
        <f t="shared" si="9"/>
        <v>-65925.39433333333</v>
      </c>
      <c r="P25" s="114">
        <f t="shared" si="9"/>
        <v>-65925.39433333333</v>
      </c>
      <c r="Q25" s="114">
        <f>SUM(E25:P25)</f>
        <v>-791104.73200000019</v>
      </c>
      <c r="R25" s="114">
        <f>-('11. Depreciation &amp;Amoritization'!G95+'11. Depreciation &amp;Amoritization'!G82)</f>
        <v>-830334.37796666659</v>
      </c>
      <c r="S25" s="114">
        <f>-('11. Depreciation &amp;Amoritization'!H95+'11. Depreciation &amp;Amoritization'!H82)</f>
        <v>-830334.37796666659</v>
      </c>
      <c r="T25" s="114">
        <f>-('11. Depreciation &amp;Amoritization'!I95+'11. Depreciation &amp;Amoritization'!I82)</f>
        <v>-830334.37796666659</v>
      </c>
      <c r="U25" s="114">
        <f>-('11. Depreciation &amp;Amoritization'!J95+'11. Depreciation &amp;Amoritization'!J82)</f>
        <v>-830334.37796666659</v>
      </c>
    </row>
    <row r="26" spans="1:28" ht="12.75" customHeight="1" outlineLevel="1" x14ac:dyDescent="0.3">
      <c r="A26" s="98"/>
      <c r="B26" s="98"/>
      <c r="C26" s="98"/>
      <c r="D26" s="105" t="s">
        <v>216</v>
      </c>
      <c r="E26" s="114">
        <f>-'11. Depreciation &amp;Amoritization'!G82/12</f>
        <v>-3269.1371638888891</v>
      </c>
      <c r="F26" s="114">
        <f t="shared" ref="F26:P26" si="10">E26</f>
        <v>-3269.1371638888891</v>
      </c>
      <c r="G26" s="114">
        <f t="shared" si="10"/>
        <v>-3269.1371638888891</v>
      </c>
      <c r="H26" s="114">
        <f t="shared" si="10"/>
        <v>-3269.1371638888891</v>
      </c>
      <c r="I26" s="114">
        <f t="shared" si="10"/>
        <v>-3269.1371638888891</v>
      </c>
      <c r="J26" s="114">
        <f t="shared" si="10"/>
        <v>-3269.1371638888891</v>
      </c>
      <c r="K26" s="114">
        <f t="shared" si="10"/>
        <v>-3269.1371638888891</v>
      </c>
      <c r="L26" s="114">
        <f t="shared" si="10"/>
        <v>-3269.1371638888891</v>
      </c>
      <c r="M26" s="114">
        <f t="shared" si="10"/>
        <v>-3269.1371638888891</v>
      </c>
      <c r="N26" s="114">
        <f t="shared" si="10"/>
        <v>-3269.1371638888891</v>
      </c>
      <c r="O26" s="114">
        <f t="shared" si="10"/>
        <v>-3269.1371638888891</v>
      </c>
      <c r="P26" s="114">
        <f t="shared" si="10"/>
        <v>-3269.1371638888891</v>
      </c>
      <c r="Q26" s="114">
        <f t="shared" si="2"/>
        <v>-39229.645966666671</v>
      </c>
      <c r="R26" s="114">
        <f>Q26*(1+'1. Assumptions'!$E$22)</f>
        <v>-41191.128265000007</v>
      </c>
      <c r="S26" s="114">
        <f>R26*(1+'1. Assumptions'!$E$22)</f>
        <v>-43250.684678250007</v>
      </c>
      <c r="T26" s="114">
        <f>S26*(1+'1. Assumptions'!$E$22)</f>
        <v>-45413.218912162512</v>
      </c>
      <c r="U26" s="114">
        <f>T26*(1+'1. Assumptions'!$E$22)</f>
        <v>-47683.87985777064</v>
      </c>
    </row>
    <row r="27" spans="1:28" ht="12.75" customHeight="1" outlineLevel="1" x14ac:dyDescent="0.3">
      <c r="A27" s="98"/>
      <c r="B27" s="98"/>
      <c r="C27" s="98"/>
      <c r="D27" s="98" t="s">
        <v>264</v>
      </c>
      <c r="E27" s="114">
        <f>-'3. Budget'!B41</f>
        <v>0</v>
      </c>
      <c r="F27" s="114">
        <f t="shared" ref="F27:P27" si="11">E27</f>
        <v>0</v>
      </c>
      <c r="G27" s="114">
        <f t="shared" si="11"/>
        <v>0</v>
      </c>
      <c r="H27" s="114">
        <f t="shared" si="11"/>
        <v>0</v>
      </c>
      <c r="I27" s="114">
        <f t="shared" si="11"/>
        <v>0</v>
      </c>
      <c r="J27" s="114">
        <f t="shared" si="11"/>
        <v>0</v>
      </c>
      <c r="K27" s="114">
        <f t="shared" si="11"/>
        <v>0</v>
      </c>
      <c r="L27" s="114">
        <f t="shared" si="11"/>
        <v>0</v>
      </c>
      <c r="M27" s="114">
        <f t="shared" si="11"/>
        <v>0</v>
      </c>
      <c r="N27" s="114">
        <f t="shared" si="11"/>
        <v>0</v>
      </c>
      <c r="O27" s="114">
        <f t="shared" si="11"/>
        <v>0</v>
      </c>
      <c r="P27" s="114">
        <f t="shared" si="11"/>
        <v>0</v>
      </c>
      <c r="Q27" s="114">
        <f t="shared" si="2"/>
        <v>0</v>
      </c>
      <c r="R27" s="114">
        <f>Q27*(1+'1. Assumptions'!$E$22)</f>
        <v>0</v>
      </c>
      <c r="S27" s="114">
        <f>R27*(1+'1. Assumptions'!$E$22)</f>
        <v>0</v>
      </c>
      <c r="T27" s="114">
        <f>S27*(1+'1. Assumptions'!$E$22)</f>
        <v>0</v>
      </c>
      <c r="U27" s="114">
        <f>T27*(1+'1. Assumptions'!$E$22)</f>
        <v>0</v>
      </c>
    </row>
    <row r="28" spans="1:28" ht="12.75" customHeight="1" outlineLevel="1" x14ac:dyDescent="0.3">
      <c r="A28" s="98"/>
      <c r="B28" s="98"/>
      <c r="C28" s="98"/>
      <c r="D28" s="98" t="s">
        <v>264</v>
      </c>
      <c r="E28" s="114">
        <v>0</v>
      </c>
      <c r="F28" s="114">
        <v>0</v>
      </c>
      <c r="G28" s="114">
        <v>0</v>
      </c>
      <c r="H28" s="114">
        <v>0</v>
      </c>
      <c r="I28" s="114">
        <v>0</v>
      </c>
      <c r="J28" s="114">
        <v>0</v>
      </c>
      <c r="K28" s="114">
        <v>0</v>
      </c>
      <c r="L28" s="114">
        <v>0</v>
      </c>
      <c r="M28" s="114">
        <v>0</v>
      </c>
      <c r="N28" s="114">
        <v>0</v>
      </c>
      <c r="O28" s="114">
        <v>0</v>
      </c>
      <c r="P28" s="114">
        <v>0</v>
      </c>
      <c r="Q28" s="114">
        <v>0</v>
      </c>
      <c r="R28" s="114">
        <v>0</v>
      </c>
      <c r="S28" s="114">
        <v>0</v>
      </c>
      <c r="T28" s="114">
        <v>0</v>
      </c>
      <c r="U28" s="114">
        <v>0</v>
      </c>
    </row>
    <row r="29" spans="1:28" ht="12.75" customHeight="1" outlineLevel="1" x14ac:dyDescent="0.3">
      <c r="A29" s="98"/>
      <c r="B29" s="98"/>
      <c r="C29" s="98"/>
      <c r="D29" s="98" t="s">
        <v>264</v>
      </c>
      <c r="E29" s="114">
        <v>0</v>
      </c>
      <c r="F29" s="114">
        <v>0</v>
      </c>
      <c r="G29" s="114">
        <v>0</v>
      </c>
      <c r="H29" s="114">
        <v>0</v>
      </c>
      <c r="I29" s="114">
        <v>0</v>
      </c>
      <c r="J29" s="114">
        <v>0</v>
      </c>
      <c r="K29" s="114">
        <v>0</v>
      </c>
      <c r="L29" s="114">
        <v>0</v>
      </c>
      <c r="M29" s="114">
        <v>0</v>
      </c>
      <c r="N29" s="114">
        <v>0</v>
      </c>
      <c r="O29" s="114">
        <v>0</v>
      </c>
      <c r="P29" s="114">
        <v>0</v>
      </c>
      <c r="Q29" s="114">
        <v>0</v>
      </c>
      <c r="R29" s="114">
        <v>0</v>
      </c>
      <c r="S29" s="114">
        <v>0</v>
      </c>
      <c r="T29" s="114">
        <v>0</v>
      </c>
      <c r="U29" s="114">
        <v>0</v>
      </c>
    </row>
    <row r="30" spans="1:28" ht="12.75" customHeight="1" outlineLevel="1" x14ac:dyDescent="0.3">
      <c r="A30" s="98"/>
      <c r="B30" s="98"/>
      <c r="C30" s="98"/>
      <c r="D30" s="98" t="s">
        <v>264</v>
      </c>
      <c r="E30" s="114">
        <v>0</v>
      </c>
      <c r="F30" s="114">
        <v>0</v>
      </c>
      <c r="G30" s="114">
        <v>0</v>
      </c>
      <c r="H30" s="114">
        <v>0</v>
      </c>
      <c r="I30" s="114">
        <v>0</v>
      </c>
      <c r="J30" s="114">
        <v>0</v>
      </c>
      <c r="K30" s="114">
        <v>0</v>
      </c>
      <c r="L30" s="114">
        <v>0</v>
      </c>
      <c r="M30" s="114">
        <v>0</v>
      </c>
      <c r="N30" s="114">
        <v>0</v>
      </c>
      <c r="O30" s="114">
        <v>0</v>
      </c>
      <c r="P30" s="114">
        <v>0</v>
      </c>
      <c r="Q30" s="114">
        <v>0</v>
      </c>
      <c r="R30" s="114">
        <v>0</v>
      </c>
      <c r="S30" s="114">
        <v>0</v>
      </c>
      <c r="T30" s="114">
        <v>0</v>
      </c>
      <c r="U30" s="114">
        <v>0</v>
      </c>
    </row>
    <row r="31" spans="1:28" ht="12.75" customHeight="1" outlineLevel="1" x14ac:dyDescent="0.3">
      <c r="A31" s="98"/>
      <c r="B31" s="98"/>
      <c r="C31" s="98"/>
      <c r="D31" s="98" t="s">
        <v>264</v>
      </c>
      <c r="E31" s="114">
        <v>0</v>
      </c>
      <c r="F31" s="114">
        <v>0</v>
      </c>
      <c r="G31" s="114">
        <v>0</v>
      </c>
      <c r="H31" s="114">
        <v>0</v>
      </c>
      <c r="I31" s="114">
        <v>0</v>
      </c>
      <c r="J31" s="114">
        <v>0</v>
      </c>
      <c r="K31" s="114">
        <v>0</v>
      </c>
      <c r="L31" s="114">
        <v>0</v>
      </c>
      <c r="M31" s="114">
        <v>0</v>
      </c>
      <c r="N31" s="114">
        <v>0</v>
      </c>
      <c r="O31" s="114">
        <v>0</v>
      </c>
      <c r="P31" s="114">
        <v>0</v>
      </c>
      <c r="Q31" s="114">
        <v>0</v>
      </c>
      <c r="R31" s="114">
        <v>0</v>
      </c>
      <c r="S31" s="114">
        <v>0</v>
      </c>
      <c r="T31" s="114">
        <v>0</v>
      </c>
      <c r="U31" s="114">
        <v>0</v>
      </c>
    </row>
    <row r="32" spans="1:28" ht="12.75" customHeight="1" outlineLevel="1" x14ac:dyDescent="0.3">
      <c r="A32" s="98"/>
      <c r="B32" s="98"/>
      <c r="C32" s="98"/>
      <c r="D32" s="98" t="s">
        <v>264</v>
      </c>
      <c r="E32" s="114">
        <v>0</v>
      </c>
      <c r="F32" s="114">
        <v>0</v>
      </c>
      <c r="G32" s="114">
        <v>0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4">
        <v>0</v>
      </c>
      <c r="N32" s="114">
        <v>0</v>
      </c>
      <c r="O32" s="114">
        <v>0</v>
      </c>
      <c r="P32" s="114">
        <v>0</v>
      </c>
      <c r="Q32" s="114">
        <v>0</v>
      </c>
      <c r="R32" s="114">
        <v>0</v>
      </c>
      <c r="S32" s="114">
        <v>0</v>
      </c>
      <c r="T32" s="114">
        <v>0</v>
      </c>
      <c r="U32" s="114">
        <v>0</v>
      </c>
    </row>
    <row r="33" spans="1:23" ht="12.75" customHeight="1" outlineLevel="1" x14ac:dyDescent="0.3">
      <c r="A33" s="98"/>
      <c r="B33" s="98"/>
      <c r="C33" s="98"/>
      <c r="D33" s="98" t="s">
        <v>264</v>
      </c>
      <c r="E33" s="114">
        <v>0</v>
      </c>
      <c r="F33" s="114">
        <v>0</v>
      </c>
      <c r="G33" s="114">
        <v>0</v>
      </c>
      <c r="H33" s="114">
        <v>0</v>
      </c>
      <c r="I33" s="114">
        <v>0</v>
      </c>
      <c r="J33" s="114">
        <v>0</v>
      </c>
      <c r="K33" s="114">
        <v>0</v>
      </c>
      <c r="L33" s="114">
        <v>0</v>
      </c>
      <c r="M33" s="114">
        <v>0</v>
      </c>
      <c r="N33" s="114">
        <v>0</v>
      </c>
      <c r="O33" s="114">
        <v>0</v>
      </c>
      <c r="P33" s="114">
        <v>0</v>
      </c>
      <c r="Q33" s="114">
        <v>0</v>
      </c>
      <c r="R33" s="114">
        <v>0</v>
      </c>
      <c r="S33" s="114">
        <v>0</v>
      </c>
      <c r="T33" s="114">
        <v>0</v>
      </c>
      <c r="U33" s="114">
        <v>0</v>
      </c>
    </row>
    <row r="34" spans="1:23" ht="12.75" customHeight="1" outlineLevel="1" x14ac:dyDescent="0.3">
      <c r="A34" s="98"/>
      <c r="B34" s="98"/>
      <c r="C34" s="98"/>
      <c r="D34" s="98" t="s">
        <v>264</v>
      </c>
      <c r="E34" s="114">
        <v>0</v>
      </c>
      <c r="F34" s="114">
        <v>0</v>
      </c>
      <c r="G34" s="114">
        <v>0</v>
      </c>
      <c r="H34" s="114">
        <v>0</v>
      </c>
      <c r="I34" s="114">
        <v>0</v>
      </c>
      <c r="J34" s="114">
        <v>0</v>
      </c>
      <c r="K34" s="114">
        <v>0</v>
      </c>
      <c r="L34" s="114">
        <v>0</v>
      </c>
      <c r="M34" s="114">
        <v>0</v>
      </c>
      <c r="N34" s="114">
        <v>0</v>
      </c>
      <c r="O34" s="114">
        <v>0</v>
      </c>
      <c r="P34" s="114">
        <v>0</v>
      </c>
      <c r="Q34" s="114">
        <v>0</v>
      </c>
      <c r="R34" s="114">
        <v>0</v>
      </c>
      <c r="S34" s="114">
        <v>0</v>
      </c>
      <c r="T34" s="114">
        <v>0</v>
      </c>
      <c r="U34" s="114">
        <v>0</v>
      </c>
    </row>
    <row r="35" spans="1:23" ht="12.75" customHeight="1" outlineLevel="1" x14ac:dyDescent="0.3">
      <c r="A35" s="98"/>
      <c r="B35" s="98"/>
      <c r="C35" s="98"/>
      <c r="D35" s="98" t="s">
        <v>264</v>
      </c>
      <c r="E35" s="114">
        <v>0</v>
      </c>
      <c r="F35" s="114">
        <v>0</v>
      </c>
      <c r="G35" s="114">
        <v>0</v>
      </c>
      <c r="H35" s="114">
        <v>0</v>
      </c>
      <c r="I35" s="114">
        <v>0</v>
      </c>
      <c r="J35" s="114">
        <v>0</v>
      </c>
      <c r="K35" s="114">
        <v>0</v>
      </c>
      <c r="L35" s="114">
        <v>0</v>
      </c>
      <c r="M35" s="114">
        <v>0</v>
      </c>
      <c r="N35" s="114">
        <v>0</v>
      </c>
      <c r="O35" s="114">
        <v>0</v>
      </c>
      <c r="P35" s="114">
        <v>0</v>
      </c>
      <c r="Q35" s="114">
        <v>0</v>
      </c>
      <c r="R35" s="114">
        <v>0</v>
      </c>
      <c r="S35" s="114">
        <v>0</v>
      </c>
      <c r="T35" s="114">
        <v>0</v>
      </c>
      <c r="U35" s="114">
        <v>0</v>
      </c>
    </row>
    <row r="36" spans="1:23" ht="12.75" customHeight="1" x14ac:dyDescent="0.3">
      <c r="A36" s="98"/>
      <c r="B36" s="98"/>
      <c r="C36" s="98"/>
      <c r="D36" s="70"/>
      <c r="E36" s="114"/>
      <c r="F36" s="170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</row>
    <row r="37" spans="1:23" ht="12.75" customHeight="1" thickBot="1" x14ac:dyDescent="0.35">
      <c r="A37" s="109" t="s">
        <v>150</v>
      </c>
      <c r="B37" s="109"/>
      <c r="C37" s="109"/>
      <c r="D37" s="110"/>
      <c r="E37" s="122">
        <f t="shared" ref="E37:U37" si="12">SUM(E17:E35)</f>
        <v>-171842.76133055557</v>
      </c>
      <c r="F37" s="122">
        <f t="shared" si="12"/>
        <v>-171842.76133055557</v>
      </c>
      <c r="G37" s="122">
        <f t="shared" si="12"/>
        <v>-171842.76133055557</v>
      </c>
      <c r="H37" s="122">
        <f t="shared" si="12"/>
        <v>-171842.76133055557</v>
      </c>
      <c r="I37" s="122">
        <f t="shared" si="12"/>
        <v>-171842.76133055557</v>
      </c>
      <c r="J37" s="122">
        <f t="shared" si="12"/>
        <v>-171842.76133055557</v>
      </c>
      <c r="K37" s="122">
        <f t="shared" si="12"/>
        <v>-171842.76133055557</v>
      </c>
      <c r="L37" s="122">
        <f t="shared" si="12"/>
        <v>-171842.76133055557</v>
      </c>
      <c r="M37" s="122">
        <f t="shared" si="12"/>
        <v>-171842.76133055557</v>
      </c>
      <c r="N37" s="122">
        <f t="shared" si="12"/>
        <v>-171842.76133055557</v>
      </c>
      <c r="O37" s="122">
        <f t="shared" si="12"/>
        <v>-171842.76133055557</v>
      </c>
      <c r="P37" s="122">
        <f t="shared" si="12"/>
        <v>-171842.76133055557</v>
      </c>
      <c r="Q37" s="122">
        <f>SUM(Q17:Q35)</f>
        <v>-2062113.135966667</v>
      </c>
      <c r="R37" s="122">
        <f t="shared" si="12"/>
        <v>-2164893.2021316667</v>
      </c>
      <c r="S37" s="122">
        <f t="shared" si="12"/>
        <v>-2231621.1433399166</v>
      </c>
      <c r="T37" s="122">
        <f t="shared" si="12"/>
        <v>-2301685.4816085794</v>
      </c>
      <c r="U37" s="122">
        <f t="shared" si="12"/>
        <v>-2375253.036790675</v>
      </c>
    </row>
    <row r="38" spans="1:23" ht="12.75" customHeight="1" thickTop="1" x14ac:dyDescent="0.3">
      <c r="A38" s="98"/>
      <c r="B38" s="98"/>
      <c r="C38" s="98"/>
      <c r="D38" s="70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</row>
    <row r="39" spans="1:23" ht="12.75" customHeight="1" x14ac:dyDescent="0.3">
      <c r="A39" s="98"/>
      <c r="B39" s="98"/>
      <c r="C39" s="98"/>
      <c r="D39" s="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</row>
    <row r="40" spans="1:23" ht="12.75" customHeight="1" thickBot="1" x14ac:dyDescent="0.35">
      <c r="A40" s="101"/>
      <c r="B40" s="101"/>
      <c r="C40" s="101"/>
      <c r="D40" s="102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</row>
    <row r="41" spans="1:23" ht="12.75" customHeight="1" x14ac:dyDescent="0.3">
      <c r="A41" s="98"/>
      <c r="B41" s="98"/>
      <c r="C41" s="98"/>
      <c r="D41" s="70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</row>
    <row r="42" spans="1:23" ht="12.75" customHeight="1" x14ac:dyDescent="0.3">
      <c r="A42" s="98" t="s">
        <v>151</v>
      </c>
      <c r="B42" s="98"/>
      <c r="C42" s="98"/>
      <c r="D42" s="70"/>
      <c r="E42" s="114">
        <f t="shared" ref="E42:U42" si="13">E14+E37</f>
        <v>-171842.76133055557</v>
      </c>
      <c r="F42" s="114">
        <f t="shared" si="13"/>
        <v>124393.34978055549</v>
      </c>
      <c r="G42" s="114">
        <f t="shared" si="13"/>
        <v>124393.34978055549</v>
      </c>
      <c r="H42" s="114">
        <f t="shared" si="13"/>
        <v>124393.34978055549</v>
      </c>
      <c r="I42" s="114">
        <f t="shared" si="13"/>
        <v>124393.34978055549</v>
      </c>
      <c r="J42" s="114">
        <f t="shared" si="13"/>
        <v>124393.34978055549</v>
      </c>
      <c r="K42" s="114">
        <f t="shared" si="13"/>
        <v>124393.34978055549</v>
      </c>
      <c r="L42" s="114">
        <f t="shared" si="13"/>
        <v>124393.34978055549</v>
      </c>
      <c r="M42" s="114">
        <f t="shared" si="13"/>
        <v>124393.34978055549</v>
      </c>
      <c r="N42" s="114">
        <f t="shared" si="13"/>
        <v>124393.34978055549</v>
      </c>
      <c r="O42" s="114">
        <f t="shared" si="13"/>
        <v>124393.34978055549</v>
      </c>
      <c r="P42" s="114">
        <f t="shared" si="13"/>
        <v>-53348.316886111148</v>
      </c>
      <c r="Q42" s="114">
        <f t="shared" si="13"/>
        <v>1018742.4195888881</v>
      </c>
      <c r="R42" s="114">
        <f t="shared" si="13"/>
        <v>1193239.3534238883</v>
      </c>
      <c r="S42" s="114">
        <f t="shared" si="13"/>
        <v>1428743.3422156386</v>
      </c>
      <c r="T42" s="114">
        <f t="shared" si="13"/>
        <v>1688111.8076469759</v>
      </c>
      <c r="U42" s="114">
        <f t="shared" si="13"/>
        <v>1973626.0084978803</v>
      </c>
      <c r="W42" s="114"/>
    </row>
    <row r="43" spans="1:23" ht="12.75" customHeight="1" thickBot="1" x14ac:dyDescent="0.35">
      <c r="A43" s="101"/>
      <c r="B43" s="101"/>
      <c r="C43" s="101"/>
      <c r="D43" s="102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W43" s="383"/>
    </row>
    <row r="44" spans="1:23" ht="12.75" customHeight="1" x14ac:dyDescent="0.3">
      <c r="A44" s="98"/>
      <c r="B44" s="98"/>
      <c r="C44" s="98"/>
      <c r="D44" s="70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70"/>
      <c r="R44" s="170"/>
      <c r="S44" s="170"/>
      <c r="T44" s="170"/>
      <c r="U44" s="170"/>
    </row>
    <row r="45" spans="1:23" ht="12.75" customHeight="1" x14ac:dyDescent="0.3">
      <c r="A45" s="98"/>
      <c r="B45" s="98"/>
      <c r="C45" s="98"/>
      <c r="D45" s="70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70"/>
      <c r="R45" s="170"/>
      <c r="S45" s="170"/>
      <c r="T45" s="170"/>
      <c r="U45" s="170"/>
      <c r="W45" s="287"/>
    </row>
    <row r="46" spans="1:23" ht="12.75" customHeight="1" outlineLevel="1" x14ac:dyDescent="0.3">
      <c r="A46" s="98"/>
      <c r="B46" s="98"/>
      <c r="C46" s="98"/>
      <c r="D46" s="98" t="str">
        <f>'3. Budget'!D5</f>
        <v>Electricity</v>
      </c>
      <c r="E46" s="114">
        <f>-'3. Budget'!E5</f>
        <v>-4000</v>
      </c>
      <c r="F46" s="114">
        <f>E46</f>
        <v>-4000</v>
      </c>
      <c r="G46" s="114">
        <f t="shared" ref="G46:P46" si="14">F46</f>
        <v>-4000</v>
      </c>
      <c r="H46" s="114">
        <f t="shared" si="14"/>
        <v>-4000</v>
      </c>
      <c r="I46" s="114">
        <f t="shared" si="14"/>
        <v>-4000</v>
      </c>
      <c r="J46" s="114">
        <f t="shared" si="14"/>
        <v>-4000</v>
      </c>
      <c r="K46" s="114">
        <f t="shared" si="14"/>
        <v>-4000</v>
      </c>
      <c r="L46" s="114">
        <f t="shared" si="14"/>
        <v>-4000</v>
      </c>
      <c r="M46" s="114">
        <f t="shared" si="14"/>
        <v>-4000</v>
      </c>
      <c r="N46" s="114">
        <f t="shared" si="14"/>
        <v>-4000</v>
      </c>
      <c r="O46" s="114">
        <f t="shared" si="14"/>
        <v>-4000</v>
      </c>
      <c r="P46" s="114">
        <f t="shared" si="14"/>
        <v>-4000</v>
      </c>
      <c r="Q46" s="114">
        <f>SUM(E46:P46)</f>
        <v>-48000</v>
      </c>
      <c r="R46" s="114">
        <f>Q46*(1+'1. Assumptions'!$E$22)</f>
        <v>-50400</v>
      </c>
      <c r="S46" s="114">
        <f>R46*(1+'1. Assumptions'!$E$22)</f>
        <v>-52920</v>
      </c>
      <c r="T46" s="114">
        <f>S46*(1+'1. Assumptions'!$E$22)</f>
        <v>-55566</v>
      </c>
      <c r="U46" s="114">
        <f>T46*(1+'1. Assumptions'!$E$22)</f>
        <v>-58344.3</v>
      </c>
    </row>
    <row r="47" spans="1:23" ht="12.75" customHeight="1" outlineLevel="1" x14ac:dyDescent="0.3">
      <c r="A47" s="98"/>
      <c r="B47" s="98"/>
      <c r="C47" s="98"/>
      <c r="D47" s="98" t="str">
        <f>'3. Budget'!D6</f>
        <v>Salaries</v>
      </c>
      <c r="E47" s="114">
        <f>-'3. Budget'!E6</f>
        <v>-20000</v>
      </c>
      <c r="F47" s="114">
        <f t="shared" ref="F47:P58" si="15">E47</f>
        <v>-20000</v>
      </c>
      <c r="G47" s="114">
        <f t="shared" si="15"/>
        <v>-20000</v>
      </c>
      <c r="H47" s="114">
        <f t="shared" si="15"/>
        <v>-20000</v>
      </c>
      <c r="I47" s="114">
        <f t="shared" si="15"/>
        <v>-20000</v>
      </c>
      <c r="J47" s="114">
        <f t="shared" si="15"/>
        <v>-20000</v>
      </c>
      <c r="K47" s="114">
        <f t="shared" si="15"/>
        <v>-20000</v>
      </c>
      <c r="L47" s="114">
        <f t="shared" si="15"/>
        <v>-20000</v>
      </c>
      <c r="M47" s="114">
        <f t="shared" si="15"/>
        <v>-20000</v>
      </c>
      <c r="N47" s="114">
        <f t="shared" si="15"/>
        <v>-20000</v>
      </c>
      <c r="O47" s="114">
        <f t="shared" si="15"/>
        <v>-20000</v>
      </c>
      <c r="P47" s="114">
        <f t="shared" si="15"/>
        <v>-20000</v>
      </c>
      <c r="Q47" s="114">
        <f t="shared" ref="Q47:Q58" si="16">SUM(E47:P47)</f>
        <v>-240000</v>
      </c>
      <c r="R47" s="114">
        <f>Q47*(1+'1. Assumptions'!$E$22)</f>
        <v>-252000</v>
      </c>
      <c r="S47" s="114">
        <f>R47*(1+'1. Assumptions'!$E$22)</f>
        <v>-264600</v>
      </c>
      <c r="T47" s="114">
        <f>S47*(1+'1. Assumptions'!$E$22)</f>
        <v>-277830</v>
      </c>
      <c r="U47" s="114">
        <f>T47*(1+'1. Assumptions'!$E$22)</f>
        <v>-291721.5</v>
      </c>
    </row>
    <row r="48" spans="1:23" ht="12.75" customHeight="1" outlineLevel="1" x14ac:dyDescent="0.3">
      <c r="A48" s="98"/>
      <c r="B48" s="98"/>
      <c r="C48" s="98"/>
      <c r="D48" s="98" t="str">
        <f>'3. Budget'!D7</f>
        <v>Permanent wages</v>
      </c>
      <c r="E48" s="114">
        <f>-'3. Budget'!E7</f>
        <v>-15000</v>
      </c>
      <c r="F48" s="114">
        <f t="shared" si="15"/>
        <v>-15000</v>
      </c>
      <c r="G48" s="114">
        <f t="shared" si="15"/>
        <v>-15000</v>
      </c>
      <c r="H48" s="114">
        <f t="shared" si="15"/>
        <v>-15000</v>
      </c>
      <c r="I48" s="114">
        <f t="shared" si="15"/>
        <v>-15000</v>
      </c>
      <c r="J48" s="114">
        <f t="shared" si="15"/>
        <v>-15000</v>
      </c>
      <c r="K48" s="114">
        <f t="shared" si="15"/>
        <v>-15000</v>
      </c>
      <c r="L48" s="114">
        <f t="shared" si="15"/>
        <v>-15000</v>
      </c>
      <c r="M48" s="114">
        <f t="shared" si="15"/>
        <v>-15000</v>
      </c>
      <c r="N48" s="114">
        <f t="shared" si="15"/>
        <v>-15000</v>
      </c>
      <c r="O48" s="114">
        <f t="shared" si="15"/>
        <v>-15000</v>
      </c>
      <c r="P48" s="114">
        <f t="shared" si="15"/>
        <v>-15000</v>
      </c>
      <c r="Q48" s="114">
        <f t="shared" si="16"/>
        <v>-180000</v>
      </c>
      <c r="R48" s="114">
        <f>Q48*(1+'1. Assumptions'!$E$22)</f>
        <v>-189000</v>
      </c>
      <c r="S48" s="114">
        <f>R48*(1+'1. Assumptions'!$E$22)</f>
        <v>-198450</v>
      </c>
      <c r="T48" s="114">
        <f>S48*(1+'1. Assumptions'!$E$22)</f>
        <v>-208372.5</v>
      </c>
      <c r="U48" s="114">
        <f>T48*(1+'1. Assumptions'!$E$22)</f>
        <v>-218791.125</v>
      </c>
    </row>
    <row r="49" spans="1:21" ht="12.75" customHeight="1" outlineLevel="1" x14ac:dyDescent="0.3">
      <c r="A49" s="98"/>
      <c r="B49" s="98"/>
      <c r="C49" s="98"/>
      <c r="D49" s="98" t="str">
        <f>'3. Budget'!D8</f>
        <v>Consultancy</v>
      </c>
      <c r="E49" s="114">
        <f>-'3. Budget'!E8</f>
        <v>-30000</v>
      </c>
      <c r="F49" s="114">
        <f t="shared" si="15"/>
        <v>-30000</v>
      </c>
      <c r="G49" s="114">
        <f t="shared" si="15"/>
        <v>-30000</v>
      </c>
      <c r="H49" s="114">
        <f t="shared" si="15"/>
        <v>-30000</v>
      </c>
      <c r="I49" s="114">
        <f t="shared" si="15"/>
        <v>-30000</v>
      </c>
      <c r="J49" s="114">
        <f t="shared" si="15"/>
        <v>-30000</v>
      </c>
      <c r="K49" s="114">
        <f t="shared" si="15"/>
        <v>-30000</v>
      </c>
      <c r="L49" s="114">
        <f t="shared" si="15"/>
        <v>-30000</v>
      </c>
      <c r="M49" s="114">
        <f t="shared" si="15"/>
        <v>-30000</v>
      </c>
      <c r="N49" s="114">
        <f t="shared" si="15"/>
        <v>-30000</v>
      </c>
      <c r="O49" s="114">
        <f t="shared" si="15"/>
        <v>-30000</v>
      </c>
      <c r="P49" s="114">
        <f t="shared" si="15"/>
        <v>-30000</v>
      </c>
      <c r="Q49" s="114">
        <f t="shared" si="16"/>
        <v>-360000</v>
      </c>
      <c r="R49" s="114">
        <f>Q49*(1+'1. Assumptions'!$E$22)</f>
        <v>-378000</v>
      </c>
      <c r="S49" s="114">
        <f>R49*(1+'1. Assumptions'!$E$22)</f>
        <v>-396900</v>
      </c>
      <c r="T49" s="114">
        <f>S49*(1+'1. Assumptions'!$E$22)</f>
        <v>-416745</v>
      </c>
      <c r="U49" s="114">
        <f>T49*(1+'1. Assumptions'!$E$22)</f>
        <v>-437582.25</v>
      </c>
    </row>
    <row r="50" spans="1:21" ht="12.75" customHeight="1" outlineLevel="1" x14ac:dyDescent="0.3">
      <c r="A50" s="98"/>
      <c r="B50" s="98"/>
      <c r="C50" s="98"/>
      <c r="D50" s="98" t="str">
        <f>'3. Budget'!D9</f>
        <v>Communication</v>
      </c>
      <c r="E50" s="114">
        <f>-'3. Budget'!E9</f>
        <v>-3000</v>
      </c>
      <c r="F50" s="114">
        <f t="shared" si="15"/>
        <v>-3000</v>
      </c>
      <c r="G50" s="114">
        <f t="shared" si="15"/>
        <v>-3000</v>
      </c>
      <c r="H50" s="114">
        <f t="shared" si="15"/>
        <v>-3000</v>
      </c>
      <c r="I50" s="114">
        <f t="shared" si="15"/>
        <v>-3000</v>
      </c>
      <c r="J50" s="114">
        <f t="shared" si="15"/>
        <v>-3000</v>
      </c>
      <c r="K50" s="114">
        <f t="shared" si="15"/>
        <v>-3000</v>
      </c>
      <c r="L50" s="114">
        <f t="shared" si="15"/>
        <v>-3000</v>
      </c>
      <c r="M50" s="114">
        <f t="shared" si="15"/>
        <v>-3000</v>
      </c>
      <c r="N50" s="114">
        <f t="shared" si="15"/>
        <v>-3000</v>
      </c>
      <c r="O50" s="114">
        <f t="shared" si="15"/>
        <v>-3000</v>
      </c>
      <c r="P50" s="114">
        <f t="shared" si="15"/>
        <v>-3000</v>
      </c>
      <c r="Q50" s="114">
        <f t="shared" si="16"/>
        <v>-36000</v>
      </c>
      <c r="R50" s="114">
        <f>Q50*(1+'1. Assumptions'!$E$22)</f>
        <v>-37800</v>
      </c>
      <c r="S50" s="114">
        <f>R50*(1+'1. Assumptions'!$E$22)</f>
        <v>-39690</v>
      </c>
      <c r="T50" s="114">
        <f>S50*(1+'1. Assumptions'!$E$22)</f>
        <v>-41674.5</v>
      </c>
      <c r="U50" s="114">
        <f>T50*(1+'1. Assumptions'!$E$22)</f>
        <v>-43758.224999999999</v>
      </c>
    </row>
    <row r="51" spans="1:21" ht="12.75" customHeight="1" outlineLevel="1" x14ac:dyDescent="0.3">
      <c r="A51" s="98"/>
      <c r="B51" s="98"/>
      <c r="C51" s="98"/>
      <c r="D51" s="98" t="str">
        <f>'3. Budget'!D10</f>
        <v>Transport</v>
      </c>
      <c r="E51" s="114">
        <f>-'3. Budget'!E10</f>
        <v>-1500</v>
      </c>
      <c r="F51" s="114">
        <f t="shared" si="15"/>
        <v>-1500</v>
      </c>
      <c r="G51" s="114">
        <f t="shared" si="15"/>
        <v>-1500</v>
      </c>
      <c r="H51" s="114">
        <f t="shared" si="15"/>
        <v>-1500</v>
      </c>
      <c r="I51" s="114">
        <f t="shared" si="15"/>
        <v>-1500</v>
      </c>
      <c r="J51" s="114">
        <f t="shared" si="15"/>
        <v>-1500</v>
      </c>
      <c r="K51" s="114">
        <f t="shared" si="15"/>
        <v>-1500</v>
      </c>
      <c r="L51" s="114">
        <f t="shared" si="15"/>
        <v>-1500</v>
      </c>
      <c r="M51" s="114">
        <f t="shared" si="15"/>
        <v>-1500</v>
      </c>
      <c r="N51" s="114">
        <f t="shared" si="15"/>
        <v>-1500</v>
      </c>
      <c r="O51" s="114">
        <f t="shared" si="15"/>
        <v>-1500</v>
      </c>
      <c r="P51" s="114">
        <f t="shared" si="15"/>
        <v>-1500</v>
      </c>
      <c r="Q51" s="114">
        <f t="shared" si="16"/>
        <v>-18000</v>
      </c>
      <c r="R51" s="114">
        <f>Q51*(1+'1. Assumptions'!$E$22)</f>
        <v>-18900</v>
      </c>
      <c r="S51" s="114">
        <f>R51*(1+'1. Assumptions'!$E$22)</f>
        <v>-19845</v>
      </c>
      <c r="T51" s="114">
        <f>S51*(1+'1. Assumptions'!$E$22)</f>
        <v>-20837.25</v>
      </c>
      <c r="U51" s="114">
        <f>T51*(1+'1. Assumptions'!$E$22)</f>
        <v>-21879.112499999999</v>
      </c>
    </row>
    <row r="52" spans="1:21" ht="12.75" customHeight="1" outlineLevel="1" x14ac:dyDescent="0.3">
      <c r="A52" s="98"/>
      <c r="B52" s="98"/>
      <c r="C52" s="98"/>
      <c r="D52" s="98" t="str">
        <f>'3. Budget'!D11</f>
        <v>Working capital for second month</v>
      </c>
      <c r="E52" s="114">
        <f>-'3. Budget'!E11</f>
        <v>0</v>
      </c>
      <c r="F52" s="114">
        <f t="shared" si="15"/>
        <v>0</v>
      </c>
      <c r="G52" s="114">
        <f t="shared" si="15"/>
        <v>0</v>
      </c>
      <c r="H52" s="114">
        <f t="shared" si="15"/>
        <v>0</v>
      </c>
      <c r="I52" s="114">
        <f t="shared" si="15"/>
        <v>0</v>
      </c>
      <c r="J52" s="114">
        <f t="shared" si="15"/>
        <v>0</v>
      </c>
      <c r="K52" s="114">
        <f t="shared" si="15"/>
        <v>0</v>
      </c>
      <c r="L52" s="114">
        <f t="shared" si="15"/>
        <v>0</v>
      </c>
      <c r="M52" s="114">
        <f t="shared" si="15"/>
        <v>0</v>
      </c>
      <c r="N52" s="114">
        <f t="shared" si="15"/>
        <v>0</v>
      </c>
      <c r="O52" s="114">
        <f t="shared" si="15"/>
        <v>0</v>
      </c>
      <c r="P52" s="114">
        <f t="shared" si="15"/>
        <v>0</v>
      </c>
      <c r="Q52" s="114">
        <f t="shared" si="16"/>
        <v>0</v>
      </c>
      <c r="R52" s="114">
        <f>Q52*(1+'1. Assumptions'!$E$22)</f>
        <v>0</v>
      </c>
      <c r="S52" s="114">
        <f>R52*(1+'1. Assumptions'!$E$22)</f>
        <v>0</v>
      </c>
      <c r="T52" s="114">
        <f>S52*(1+'1. Assumptions'!$E$22)</f>
        <v>0</v>
      </c>
      <c r="U52" s="114">
        <f>T52*(1+'1. Assumptions'!$E$22)</f>
        <v>0</v>
      </c>
    </row>
    <row r="53" spans="1:21" ht="12.75" customHeight="1" outlineLevel="1" x14ac:dyDescent="0.3">
      <c r="A53" s="98"/>
      <c r="B53" s="98"/>
      <c r="C53" s="98"/>
      <c r="D53" s="98" t="str">
        <f>'3. Budget'!D12</f>
        <v>Sundries</v>
      </c>
      <c r="E53" s="114">
        <f>-'3. Budget'!E12</f>
        <v>-20000</v>
      </c>
      <c r="F53" s="114">
        <f t="shared" si="15"/>
        <v>-20000</v>
      </c>
      <c r="G53" s="114">
        <f t="shared" si="15"/>
        <v>-20000</v>
      </c>
      <c r="H53" s="114">
        <f t="shared" si="15"/>
        <v>-20000</v>
      </c>
      <c r="I53" s="114">
        <f t="shared" si="15"/>
        <v>-20000</v>
      </c>
      <c r="J53" s="114">
        <f t="shared" si="15"/>
        <v>-20000</v>
      </c>
      <c r="K53" s="114">
        <f t="shared" si="15"/>
        <v>-20000</v>
      </c>
      <c r="L53" s="114">
        <f t="shared" si="15"/>
        <v>-20000</v>
      </c>
      <c r="M53" s="114">
        <f t="shared" si="15"/>
        <v>-20000</v>
      </c>
      <c r="N53" s="114">
        <f t="shared" si="15"/>
        <v>-20000</v>
      </c>
      <c r="O53" s="114">
        <f t="shared" si="15"/>
        <v>-20000</v>
      </c>
      <c r="P53" s="114">
        <f t="shared" si="15"/>
        <v>-20000</v>
      </c>
      <c r="Q53" s="114">
        <f t="shared" si="16"/>
        <v>-240000</v>
      </c>
      <c r="R53" s="114">
        <f>Q53*(1+'1. Assumptions'!$E$22)</f>
        <v>-252000</v>
      </c>
      <c r="S53" s="114">
        <f>R53*(1+'1. Assumptions'!$E$22)</f>
        <v>-264600</v>
      </c>
      <c r="T53" s="114">
        <f>S53*(1+'1. Assumptions'!$E$22)</f>
        <v>-277830</v>
      </c>
      <c r="U53" s="114">
        <f>T53*(1+'1. Assumptions'!$E$22)</f>
        <v>-291721.5</v>
      </c>
    </row>
    <row r="54" spans="1:21" ht="12.75" customHeight="1" outlineLevel="1" x14ac:dyDescent="0.3">
      <c r="A54" s="98"/>
      <c r="B54" s="98"/>
      <c r="C54" s="98"/>
      <c r="D54" s="98" t="s">
        <v>266</v>
      </c>
      <c r="E54" s="114">
        <f>-'3. Budget'!E21</f>
        <v>0</v>
      </c>
      <c r="F54" s="114">
        <f t="shared" si="15"/>
        <v>0</v>
      </c>
      <c r="G54" s="114">
        <f t="shared" si="15"/>
        <v>0</v>
      </c>
      <c r="H54" s="114">
        <f t="shared" si="15"/>
        <v>0</v>
      </c>
      <c r="I54" s="114">
        <f t="shared" si="15"/>
        <v>0</v>
      </c>
      <c r="J54" s="114">
        <f t="shared" si="15"/>
        <v>0</v>
      </c>
      <c r="K54" s="114">
        <f t="shared" si="15"/>
        <v>0</v>
      </c>
      <c r="L54" s="114">
        <f t="shared" si="15"/>
        <v>0</v>
      </c>
      <c r="M54" s="114">
        <f t="shared" si="15"/>
        <v>0</v>
      </c>
      <c r="N54" s="114">
        <f t="shared" si="15"/>
        <v>0</v>
      </c>
      <c r="O54" s="114">
        <f t="shared" si="15"/>
        <v>0</v>
      </c>
      <c r="P54" s="114">
        <f t="shared" si="15"/>
        <v>0</v>
      </c>
      <c r="Q54" s="114">
        <f t="shared" si="16"/>
        <v>0</v>
      </c>
      <c r="R54" s="114">
        <f>Q54*(1+'1. Assumptions'!$E$22)</f>
        <v>0</v>
      </c>
      <c r="S54" s="114">
        <f>R54*(1+'1. Assumptions'!$E$22)</f>
        <v>0</v>
      </c>
      <c r="T54" s="114">
        <f>S54*(1+'1. Assumptions'!$E$22)</f>
        <v>0</v>
      </c>
      <c r="U54" s="114">
        <f>T54*(1+'1. Assumptions'!$E$22)</f>
        <v>0</v>
      </c>
    </row>
    <row r="55" spans="1:21" ht="12.75" customHeight="1" outlineLevel="1" x14ac:dyDescent="0.3">
      <c r="A55" s="98"/>
      <c r="B55" s="98"/>
      <c r="C55" s="98"/>
      <c r="D55" s="98" t="s">
        <v>266</v>
      </c>
      <c r="E55" s="114">
        <f>-'11. Depreciation &amp;Amoritization'!G82/12</f>
        <v>-3269.1371638888891</v>
      </c>
      <c r="F55" s="114">
        <f>E55</f>
        <v>-3269.1371638888891</v>
      </c>
      <c r="G55" s="114">
        <f t="shared" ref="G55:P58" si="17">F55</f>
        <v>-3269.1371638888891</v>
      </c>
      <c r="H55" s="114">
        <f t="shared" si="17"/>
        <v>-3269.1371638888891</v>
      </c>
      <c r="I55" s="114">
        <f t="shared" si="17"/>
        <v>-3269.1371638888891</v>
      </c>
      <c r="J55" s="114">
        <f t="shared" si="17"/>
        <v>-3269.1371638888891</v>
      </c>
      <c r="K55" s="114">
        <f t="shared" si="17"/>
        <v>-3269.1371638888891</v>
      </c>
      <c r="L55" s="114">
        <f t="shared" si="17"/>
        <v>-3269.1371638888891</v>
      </c>
      <c r="M55" s="114">
        <f t="shared" si="17"/>
        <v>-3269.1371638888891</v>
      </c>
      <c r="N55" s="114">
        <f t="shared" si="17"/>
        <v>-3269.1371638888891</v>
      </c>
      <c r="O55" s="114">
        <f t="shared" si="17"/>
        <v>-3269.1371638888891</v>
      </c>
      <c r="P55" s="114">
        <f t="shared" si="17"/>
        <v>-3269.1371638888891</v>
      </c>
      <c r="Q55" s="114">
        <f t="shared" si="16"/>
        <v>-39229.645966666671</v>
      </c>
      <c r="R55" s="114">
        <f>Q55*(1+'1. Assumptions'!$D$21)</f>
        <v>-45114.092861666664</v>
      </c>
      <c r="S55" s="114">
        <f>R55*(1+'1. Assumptions'!$D$21)</f>
        <v>-51881.206790916658</v>
      </c>
      <c r="T55" s="114">
        <f>S55*(1+'1. Assumptions'!$D$21)</f>
        <v>-59663.387809554151</v>
      </c>
      <c r="U55" s="114">
        <f>T55*(1+'1. Assumptions'!$D$21)</f>
        <v>-68612.895980987276</v>
      </c>
    </row>
    <row r="56" spans="1:21" ht="12.75" customHeight="1" outlineLevel="1" x14ac:dyDescent="0.3">
      <c r="A56" s="98"/>
      <c r="B56" s="98"/>
      <c r="C56" s="98"/>
      <c r="D56" s="98" t="s">
        <v>266</v>
      </c>
      <c r="E56" s="114">
        <f>-'3. Budget'!E22</f>
        <v>0</v>
      </c>
      <c r="F56" s="114">
        <f t="shared" si="15"/>
        <v>0</v>
      </c>
      <c r="G56" s="114">
        <f t="shared" si="17"/>
        <v>0</v>
      </c>
      <c r="H56" s="114">
        <f t="shared" si="17"/>
        <v>0</v>
      </c>
      <c r="I56" s="114">
        <f t="shared" si="17"/>
        <v>0</v>
      </c>
      <c r="J56" s="114">
        <f t="shared" si="17"/>
        <v>0</v>
      </c>
      <c r="K56" s="114">
        <f t="shared" si="17"/>
        <v>0</v>
      </c>
      <c r="L56" s="114">
        <f t="shared" si="17"/>
        <v>0</v>
      </c>
      <c r="M56" s="114">
        <f t="shared" si="17"/>
        <v>0</v>
      </c>
      <c r="N56" s="114">
        <f t="shared" si="17"/>
        <v>0</v>
      </c>
      <c r="O56" s="114">
        <f t="shared" si="17"/>
        <v>0</v>
      </c>
      <c r="P56" s="114">
        <f t="shared" si="17"/>
        <v>0</v>
      </c>
      <c r="Q56" s="114">
        <f t="shared" si="16"/>
        <v>0</v>
      </c>
      <c r="R56" s="114">
        <f>Q56*(1+'1. Assumptions'!$E$22)</f>
        <v>0</v>
      </c>
      <c r="S56" s="114">
        <f>R56*(1+'1. Assumptions'!$E$22)</f>
        <v>0</v>
      </c>
      <c r="T56" s="114">
        <f>S56*(1+'1. Assumptions'!$E$22)</f>
        <v>0</v>
      </c>
      <c r="U56" s="114">
        <f>T56*(1+'1. Assumptions'!$E$22)</f>
        <v>0</v>
      </c>
    </row>
    <row r="57" spans="1:21" ht="12.75" customHeight="1" outlineLevel="1" x14ac:dyDescent="0.3">
      <c r="A57" s="98"/>
      <c r="B57" s="98"/>
      <c r="C57" s="98"/>
      <c r="D57" s="98" t="s">
        <v>266</v>
      </c>
      <c r="E57" s="114">
        <f>-'3. Budget'!E23</f>
        <v>0</v>
      </c>
      <c r="F57" s="114">
        <f t="shared" si="15"/>
        <v>0</v>
      </c>
      <c r="G57" s="114">
        <f t="shared" si="17"/>
        <v>0</v>
      </c>
      <c r="H57" s="114">
        <f t="shared" si="17"/>
        <v>0</v>
      </c>
      <c r="I57" s="114">
        <f t="shared" si="17"/>
        <v>0</v>
      </c>
      <c r="J57" s="114">
        <f t="shared" si="17"/>
        <v>0</v>
      </c>
      <c r="K57" s="114">
        <f t="shared" si="17"/>
        <v>0</v>
      </c>
      <c r="L57" s="114">
        <f t="shared" si="17"/>
        <v>0</v>
      </c>
      <c r="M57" s="114">
        <f t="shared" si="17"/>
        <v>0</v>
      </c>
      <c r="N57" s="114">
        <f t="shared" si="17"/>
        <v>0</v>
      </c>
      <c r="O57" s="114">
        <f t="shared" si="17"/>
        <v>0</v>
      </c>
      <c r="P57" s="114">
        <f t="shared" si="17"/>
        <v>0</v>
      </c>
      <c r="Q57" s="114">
        <f t="shared" si="16"/>
        <v>0</v>
      </c>
      <c r="R57" s="114">
        <f>Q57*(1+'1. Assumptions'!$E$22)</f>
        <v>0</v>
      </c>
      <c r="S57" s="114">
        <f>R57*(1+'1. Assumptions'!$E$22)</f>
        <v>0</v>
      </c>
      <c r="T57" s="114">
        <f>S57*(1+'1. Assumptions'!$E$22)</f>
        <v>0</v>
      </c>
      <c r="U57" s="114">
        <f>T57*(1+'1. Assumptions'!$E$22)</f>
        <v>0</v>
      </c>
    </row>
    <row r="58" spans="1:21" ht="12.75" customHeight="1" outlineLevel="1" x14ac:dyDescent="0.3">
      <c r="A58" s="98"/>
      <c r="B58" s="98"/>
      <c r="C58" s="98"/>
      <c r="D58" s="98" t="s">
        <v>266</v>
      </c>
      <c r="E58" s="114">
        <f>-'3. Budget'!E24</f>
        <v>0</v>
      </c>
      <c r="F58" s="114">
        <f t="shared" si="15"/>
        <v>0</v>
      </c>
      <c r="G58" s="114">
        <f t="shared" si="17"/>
        <v>0</v>
      </c>
      <c r="H58" s="114">
        <f t="shared" si="17"/>
        <v>0</v>
      </c>
      <c r="I58" s="114">
        <f t="shared" si="17"/>
        <v>0</v>
      </c>
      <c r="J58" s="114">
        <f t="shared" si="17"/>
        <v>0</v>
      </c>
      <c r="K58" s="114">
        <f t="shared" si="17"/>
        <v>0</v>
      </c>
      <c r="L58" s="114">
        <f t="shared" si="17"/>
        <v>0</v>
      </c>
      <c r="M58" s="114">
        <f t="shared" si="17"/>
        <v>0</v>
      </c>
      <c r="N58" s="114">
        <f t="shared" si="17"/>
        <v>0</v>
      </c>
      <c r="O58" s="114">
        <f t="shared" si="17"/>
        <v>0</v>
      </c>
      <c r="P58" s="114">
        <f t="shared" si="17"/>
        <v>0</v>
      </c>
      <c r="Q58" s="114">
        <f t="shared" si="16"/>
        <v>0</v>
      </c>
      <c r="R58" s="114">
        <f>Q58*(1+'1. Assumptions'!$E$22)</f>
        <v>0</v>
      </c>
      <c r="S58" s="114">
        <f>R58*(1+'1. Assumptions'!$E$22)</f>
        <v>0</v>
      </c>
      <c r="T58" s="114">
        <f>S58*(1+'1. Assumptions'!$E$22)</f>
        <v>0</v>
      </c>
      <c r="U58" s="114">
        <f>T58*(1+'1. Assumptions'!$E$22)</f>
        <v>0</v>
      </c>
    </row>
    <row r="59" spans="1:21" ht="12.75" customHeight="1" outlineLevel="1" x14ac:dyDescent="0.3">
      <c r="A59" s="98"/>
      <c r="B59" s="98"/>
      <c r="C59" s="98"/>
      <c r="D59" s="98" t="s">
        <v>266</v>
      </c>
      <c r="E59" s="114">
        <v>0</v>
      </c>
      <c r="F59" s="114">
        <v>0</v>
      </c>
      <c r="G59" s="114">
        <v>0</v>
      </c>
      <c r="H59" s="114">
        <v>0</v>
      </c>
      <c r="I59" s="114">
        <v>0</v>
      </c>
      <c r="J59" s="114">
        <v>0</v>
      </c>
      <c r="K59" s="114">
        <v>0</v>
      </c>
      <c r="L59" s="114">
        <v>0</v>
      </c>
      <c r="M59" s="114">
        <v>0</v>
      </c>
      <c r="N59" s="114">
        <v>0</v>
      </c>
      <c r="O59" s="114">
        <v>0</v>
      </c>
      <c r="P59" s="114">
        <v>0</v>
      </c>
      <c r="Q59" s="114">
        <v>0</v>
      </c>
      <c r="R59" s="114">
        <v>0</v>
      </c>
      <c r="S59" s="114">
        <v>0</v>
      </c>
      <c r="T59" s="114">
        <v>0</v>
      </c>
      <c r="U59" s="114">
        <v>0</v>
      </c>
    </row>
    <row r="60" spans="1:21" ht="12.75" customHeight="1" outlineLevel="2" x14ac:dyDescent="0.3">
      <c r="A60" s="98"/>
      <c r="B60" s="98"/>
      <c r="C60" s="98"/>
      <c r="D60" s="98" t="s">
        <v>266</v>
      </c>
      <c r="E60" s="114">
        <v>0</v>
      </c>
      <c r="F60" s="114">
        <v>0</v>
      </c>
      <c r="G60" s="114">
        <v>0</v>
      </c>
      <c r="H60" s="114">
        <v>0</v>
      </c>
      <c r="I60" s="114">
        <v>0</v>
      </c>
      <c r="J60" s="114">
        <v>0</v>
      </c>
      <c r="K60" s="114">
        <v>0</v>
      </c>
      <c r="L60" s="114">
        <v>0</v>
      </c>
      <c r="M60" s="114">
        <v>0</v>
      </c>
      <c r="N60" s="114">
        <v>0</v>
      </c>
      <c r="O60" s="114">
        <v>0</v>
      </c>
      <c r="P60" s="114">
        <v>0</v>
      </c>
      <c r="Q60" s="114">
        <v>0</v>
      </c>
      <c r="R60" s="114">
        <v>0</v>
      </c>
      <c r="S60" s="114">
        <v>0</v>
      </c>
      <c r="T60" s="114">
        <v>0</v>
      </c>
      <c r="U60" s="114">
        <v>0</v>
      </c>
    </row>
    <row r="61" spans="1:21" ht="12.75" customHeight="1" outlineLevel="2" x14ac:dyDescent="0.3">
      <c r="A61" s="98"/>
      <c r="B61" s="98"/>
      <c r="C61" s="98"/>
      <c r="D61" s="98" t="s">
        <v>266</v>
      </c>
      <c r="E61" s="114">
        <v>0</v>
      </c>
      <c r="F61" s="114">
        <v>0</v>
      </c>
      <c r="G61" s="114">
        <v>0</v>
      </c>
      <c r="H61" s="114">
        <v>0</v>
      </c>
      <c r="I61" s="114">
        <v>0</v>
      </c>
      <c r="J61" s="114">
        <v>0</v>
      </c>
      <c r="K61" s="114">
        <v>0</v>
      </c>
      <c r="L61" s="114">
        <v>0</v>
      </c>
      <c r="M61" s="114">
        <v>0</v>
      </c>
      <c r="N61" s="114">
        <v>0</v>
      </c>
      <c r="O61" s="114">
        <v>0</v>
      </c>
      <c r="P61" s="114">
        <v>0</v>
      </c>
      <c r="Q61" s="114">
        <v>0</v>
      </c>
      <c r="R61" s="114">
        <v>0</v>
      </c>
      <c r="S61" s="114">
        <v>0</v>
      </c>
      <c r="T61" s="114">
        <v>0</v>
      </c>
      <c r="U61" s="114">
        <v>0</v>
      </c>
    </row>
    <row r="62" spans="1:21" ht="12.75" customHeight="1" outlineLevel="2" x14ac:dyDescent="0.3">
      <c r="A62" s="98"/>
      <c r="B62" s="98"/>
      <c r="C62" s="98"/>
      <c r="D62" s="98" t="s">
        <v>266</v>
      </c>
      <c r="E62" s="114">
        <v>0</v>
      </c>
      <c r="F62" s="114">
        <v>0</v>
      </c>
      <c r="G62" s="114">
        <v>0</v>
      </c>
      <c r="H62" s="114">
        <v>0</v>
      </c>
      <c r="I62" s="114">
        <v>0</v>
      </c>
      <c r="J62" s="114">
        <v>0</v>
      </c>
      <c r="K62" s="114">
        <v>0</v>
      </c>
      <c r="L62" s="114">
        <v>0</v>
      </c>
      <c r="M62" s="114">
        <v>0</v>
      </c>
      <c r="N62" s="114">
        <v>0</v>
      </c>
      <c r="O62" s="114">
        <v>0</v>
      </c>
      <c r="P62" s="114">
        <v>0</v>
      </c>
      <c r="Q62" s="114">
        <v>0</v>
      </c>
      <c r="R62" s="114">
        <v>0</v>
      </c>
      <c r="S62" s="114">
        <v>0</v>
      </c>
      <c r="T62" s="114">
        <v>0</v>
      </c>
      <c r="U62" s="114">
        <v>0</v>
      </c>
    </row>
    <row r="63" spans="1:21" ht="12.75" customHeight="1" outlineLevel="2" x14ac:dyDescent="0.3">
      <c r="A63" s="98"/>
      <c r="B63" s="98"/>
      <c r="C63" s="98"/>
      <c r="D63" s="98" t="s">
        <v>266</v>
      </c>
      <c r="E63" s="114">
        <v>0</v>
      </c>
      <c r="F63" s="114">
        <v>0</v>
      </c>
      <c r="G63" s="114">
        <v>0</v>
      </c>
      <c r="H63" s="114">
        <v>0</v>
      </c>
      <c r="I63" s="114">
        <v>0</v>
      </c>
      <c r="J63" s="114">
        <v>0</v>
      </c>
      <c r="K63" s="114">
        <v>0</v>
      </c>
      <c r="L63" s="114">
        <v>0</v>
      </c>
      <c r="M63" s="114">
        <v>0</v>
      </c>
      <c r="N63" s="114">
        <v>0</v>
      </c>
      <c r="O63" s="114">
        <v>0</v>
      </c>
      <c r="P63" s="114">
        <v>0</v>
      </c>
      <c r="Q63" s="114">
        <v>0</v>
      </c>
      <c r="R63" s="114">
        <v>0</v>
      </c>
      <c r="S63" s="114">
        <v>0</v>
      </c>
      <c r="T63" s="114">
        <v>0</v>
      </c>
      <c r="U63" s="114">
        <v>0</v>
      </c>
    </row>
    <row r="64" spans="1:21" ht="12.75" customHeight="1" outlineLevel="2" x14ac:dyDescent="0.3">
      <c r="A64" s="98"/>
      <c r="B64" s="98"/>
      <c r="C64" s="98"/>
      <c r="D64" s="98" t="s">
        <v>266</v>
      </c>
      <c r="E64" s="114">
        <v>0</v>
      </c>
      <c r="F64" s="114">
        <v>0</v>
      </c>
      <c r="G64" s="114">
        <v>0</v>
      </c>
      <c r="H64" s="114">
        <v>0</v>
      </c>
      <c r="I64" s="114">
        <v>0</v>
      </c>
      <c r="J64" s="114">
        <v>0</v>
      </c>
      <c r="K64" s="114">
        <v>0</v>
      </c>
      <c r="L64" s="114">
        <v>0</v>
      </c>
      <c r="M64" s="114">
        <v>0</v>
      </c>
      <c r="N64" s="114">
        <v>0</v>
      </c>
      <c r="O64" s="114">
        <v>0</v>
      </c>
      <c r="P64" s="114">
        <v>0</v>
      </c>
      <c r="Q64" s="114">
        <v>0</v>
      </c>
      <c r="R64" s="114">
        <v>0</v>
      </c>
      <c r="S64" s="114">
        <v>0</v>
      </c>
      <c r="T64" s="114">
        <v>0</v>
      </c>
      <c r="U64" s="114">
        <v>0</v>
      </c>
    </row>
    <row r="65" spans="1:21" ht="12.75" customHeight="1" outlineLevel="2" x14ac:dyDescent="0.3">
      <c r="A65" s="98"/>
      <c r="B65" s="98"/>
      <c r="C65" s="98"/>
      <c r="D65" s="98" t="s">
        <v>266</v>
      </c>
      <c r="E65" s="114">
        <v>0</v>
      </c>
      <c r="F65" s="114">
        <v>0</v>
      </c>
      <c r="G65" s="114">
        <v>0</v>
      </c>
      <c r="H65" s="114">
        <v>0</v>
      </c>
      <c r="I65" s="114">
        <v>0</v>
      </c>
      <c r="J65" s="114">
        <v>0</v>
      </c>
      <c r="K65" s="114">
        <v>0</v>
      </c>
      <c r="L65" s="114">
        <v>0</v>
      </c>
      <c r="M65" s="114">
        <v>0</v>
      </c>
      <c r="N65" s="114">
        <v>0</v>
      </c>
      <c r="O65" s="114">
        <v>0</v>
      </c>
      <c r="P65" s="114">
        <v>0</v>
      </c>
      <c r="Q65" s="114">
        <v>0</v>
      </c>
      <c r="R65" s="114">
        <v>0</v>
      </c>
      <c r="S65" s="114">
        <v>0</v>
      </c>
      <c r="T65" s="114">
        <v>0</v>
      </c>
      <c r="U65" s="114">
        <v>0</v>
      </c>
    </row>
    <row r="66" spans="1:21" ht="12.75" customHeight="1" outlineLevel="2" x14ac:dyDescent="0.3">
      <c r="A66" s="98"/>
      <c r="B66" s="98"/>
      <c r="C66" s="98"/>
      <c r="D66" s="98" t="s">
        <v>266</v>
      </c>
      <c r="E66" s="114">
        <v>0</v>
      </c>
      <c r="F66" s="114">
        <v>0</v>
      </c>
      <c r="G66" s="114">
        <v>0</v>
      </c>
      <c r="H66" s="114">
        <v>0</v>
      </c>
      <c r="I66" s="114">
        <v>0</v>
      </c>
      <c r="J66" s="114">
        <v>0</v>
      </c>
      <c r="K66" s="114">
        <v>0</v>
      </c>
      <c r="L66" s="114">
        <v>0</v>
      </c>
      <c r="M66" s="114">
        <v>0</v>
      </c>
      <c r="N66" s="114">
        <v>0</v>
      </c>
      <c r="O66" s="114">
        <v>0</v>
      </c>
      <c r="P66" s="114">
        <v>0</v>
      </c>
      <c r="Q66" s="114">
        <v>0</v>
      </c>
      <c r="R66" s="114">
        <v>0</v>
      </c>
      <c r="S66" s="114">
        <v>0</v>
      </c>
      <c r="T66" s="114">
        <v>0</v>
      </c>
      <c r="U66" s="114">
        <v>0</v>
      </c>
    </row>
    <row r="67" spans="1:21" ht="12.75" customHeight="1" outlineLevel="2" x14ac:dyDescent="0.3">
      <c r="A67" s="98"/>
      <c r="B67" s="98"/>
      <c r="C67" s="98"/>
      <c r="D67" s="98" t="s">
        <v>266</v>
      </c>
      <c r="E67" s="114">
        <v>0</v>
      </c>
      <c r="F67" s="114">
        <v>0</v>
      </c>
      <c r="G67" s="114">
        <v>0</v>
      </c>
      <c r="H67" s="114">
        <v>0</v>
      </c>
      <c r="I67" s="114">
        <v>0</v>
      </c>
      <c r="J67" s="114">
        <v>0</v>
      </c>
      <c r="K67" s="114">
        <v>0</v>
      </c>
      <c r="L67" s="114">
        <v>0</v>
      </c>
      <c r="M67" s="114">
        <v>0</v>
      </c>
      <c r="N67" s="114">
        <v>0</v>
      </c>
      <c r="O67" s="114">
        <v>0</v>
      </c>
      <c r="P67" s="114">
        <v>0</v>
      </c>
      <c r="Q67" s="114">
        <v>0</v>
      </c>
      <c r="R67" s="114">
        <v>0</v>
      </c>
      <c r="S67" s="114">
        <v>0</v>
      </c>
      <c r="T67" s="114">
        <v>0</v>
      </c>
      <c r="U67" s="114">
        <v>0</v>
      </c>
    </row>
    <row r="68" spans="1:21" ht="12.75" customHeight="1" outlineLevel="2" x14ac:dyDescent="0.3">
      <c r="A68" s="98"/>
      <c r="B68" s="98"/>
      <c r="C68" s="98"/>
      <c r="D68" s="98" t="s">
        <v>266</v>
      </c>
      <c r="E68" s="114">
        <v>0</v>
      </c>
      <c r="F68" s="114">
        <v>0</v>
      </c>
      <c r="G68" s="114">
        <v>0</v>
      </c>
      <c r="H68" s="114">
        <v>0</v>
      </c>
      <c r="I68" s="114">
        <v>0</v>
      </c>
      <c r="J68" s="114">
        <v>0</v>
      </c>
      <c r="K68" s="114">
        <v>0</v>
      </c>
      <c r="L68" s="114">
        <v>0</v>
      </c>
      <c r="M68" s="114">
        <v>0</v>
      </c>
      <c r="N68" s="114">
        <v>0</v>
      </c>
      <c r="O68" s="114">
        <v>0</v>
      </c>
      <c r="P68" s="114">
        <v>0</v>
      </c>
      <c r="Q68" s="114">
        <v>0</v>
      </c>
      <c r="R68" s="114">
        <v>0</v>
      </c>
      <c r="S68" s="114">
        <v>0</v>
      </c>
      <c r="T68" s="114">
        <v>0</v>
      </c>
      <c r="U68" s="114">
        <v>0</v>
      </c>
    </row>
    <row r="69" spans="1:21" ht="12.75" customHeight="1" outlineLevel="2" x14ac:dyDescent="0.3">
      <c r="A69" s="98"/>
      <c r="B69" s="98"/>
      <c r="C69" s="98"/>
      <c r="D69" s="98" t="s">
        <v>266</v>
      </c>
      <c r="E69" s="114">
        <v>0</v>
      </c>
      <c r="F69" s="114">
        <v>0</v>
      </c>
      <c r="G69" s="114">
        <v>0</v>
      </c>
      <c r="H69" s="114">
        <v>0</v>
      </c>
      <c r="I69" s="114">
        <v>0</v>
      </c>
      <c r="J69" s="114">
        <v>0</v>
      </c>
      <c r="K69" s="114">
        <v>0</v>
      </c>
      <c r="L69" s="114">
        <v>0</v>
      </c>
      <c r="M69" s="114">
        <v>0</v>
      </c>
      <c r="N69" s="114">
        <v>0</v>
      </c>
      <c r="O69" s="114">
        <v>0</v>
      </c>
      <c r="P69" s="114">
        <v>0</v>
      </c>
      <c r="Q69" s="114">
        <v>0</v>
      </c>
      <c r="R69" s="114">
        <v>0</v>
      </c>
      <c r="S69" s="114">
        <v>0</v>
      </c>
      <c r="T69" s="114">
        <v>0</v>
      </c>
      <c r="U69" s="114">
        <v>0</v>
      </c>
    </row>
    <row r="70" spans="1:21" ht="12.75" customHeight="1" outlineLevel="2" x14ac:dyDescent="0.3">
      <c r="A70" s="98"/>
      <c r="B70" s="98"/>
      <c r="C70" s="98"/>
      <c r="D70" s="98" t="s">
        <v>266</v>
      </c>
      <c r="E70" s="114">
        <v>0</v>
      </c>
      <c r="F70" s="114">
        <v>0</v>
      </c>
      <c r="G70" s="114">
        <v>0</v>
      </c>
      <c r="H70" s="114">
        <v>0</v>
      </c>
      <c r="I70" s="114">
        <v>0</v>
      </c>
      <c r="J70" s="114">
        <v>0</v>
      </c>
      <c r="K70" s="114">
        <v>0</v>
      </c>
      <c r="L70" s="114">
        <v>0</v>
      </c>
      <c r="M70" s="114">
        <v>0</v>
      </c>
      <c r="N70" s="114">
        <v>0</v>
      </c>
      <c r="O70" s="114">
        <v>0</v>
      </c>
      <c r="P70" s="114">
        <v>0</v>
      </c>
      <c r="Q70" s="114">
        <v>0</v>
      </c>
      <c r="R70" s="114">
        <v>0</v>
      </c>
      <c r="S70" s="114">
        <v>0</v>
      </c>
      <c r="T70" s="114">
        <v>0</v>
      </c>
      <c r="U70" s="114">
        <v>0</v>
      </c>
    </row>
    <row r="71" spans="1:21" ht="12.75" customHeight="1" outlineLevel="2" x14ac:dyDescent="0.3">
      <c r="A71" s="98"/>
      <c r="B71" s="98"/>
      <c r="C71" s="98"/>
      <c r="D71" s="98" t="s">
        <v>266</v>
      </c>
      <c r="E71" s="114">
        <v>0</v>
      </c>
      <c r="F71" s="114">
        <v>0</v>
      </c>
      <c r="G71" s="114">
        <v>0</v>
      </c>
      <c r="H71" s="114">
        <v>0</v>
      </c>
      <c r="I71" s="114">
        <v>0</v>
      </c>
      <c r="J71" s="114">
        <v>0</v>
      </c>
      <c r="K71" s="114">
        <v>0</v>
      </c>
      <c r="L71" s="114">
        <v>0</v>
      </c>
      <c r="M71" s="114">
        <v>0</v>
      </c>
      <c r="N71" s="114">
        <v>0</v>
      </c>
      <c r="O71" s="114">
        <v>0</v>
      </c>
      <c r="P71" s="114">
        <v>0</v>
      </c>
      <c r="Q71" s="114">
        <v>0</v>
      </c>
      <c r="R71" s="114">
        <v>0</v>
      </c>
      <c r="S71" s="114">
        <v>0</v>
      </c>
      <c r="T71" s="114">
        <v>0</v>
      </c>
      <c r="U71" s="114">
        <v>0</v>
      </c>
    </row>
    <row r="72" spans="1:21" ht="12.75" customHeight="1" outlineLevel="2" x14ac:dyDescent="0.3">
      <c r="A72" s="98"/>
      <c r="B72" s="98"/>
      <c r="C72" s="98"/>
      <c r="D72" s="98" t="s">
        <v>266</v>
      </c>
      <c r="E72" s="114">
        <v>0</v>
      </c>
      <c r="F72" s="114">
        <v>0</v>
      </c>
      <c r="G72" s="114">
        <v>0</v>
      </c>
      <c r="H72" s="114">
        <v>0</v>
      </c>
      <c r="I72" s="114">
        <v>0</v>
      </c>
      <c r="J72" s="114">
        <v>0</v>
      </c>
      <c r="K72" s="114">
        <v>0</v>
      </c>
      <c r="L72" s="114">
        <v>0</v>
      </c>
      <c r="M72" s="114">
        <v>0</v>
      </c>
      <c r="N72" s="114">
        <v>0</v>
      </c>
      <c r="O72" s="114">
        <v>0</v>
      </c>
      <c r="P72" s="114">
        <v>0</v>
      </c>
      <c r="Q72" s="114">
        <v>0</v>
      </c>
      <c r="R72" s="114">
        <v>0</v>
      </c>
      <c r="S72" s="114">
        <v>0</v>
      </c>
      <c r="T72" s="114">
        <v>0</v>
      </c>
      <c r="U72" s="114">
        <v>0</v>
      </c>
    </row>
    <row r="73" spans="1:21" ht="12.75" customHeight="1" outlineLevel="2" x14ac:dyDescent="0.3">
      <c r="A73" s="98"/>
      <c r="B73" s="98"/>
      <c r="C73" s="98"/>
      <c r="D73" s="98" t="s">
        <v>266</v>
      </c>
      <c r="E73" s="114">
        <v>0</v>
      </c>
      <c r="F73" s="114">
        <v>0</v>
      </c>
      <c r="G73" s="114">
        <v>0</v>
      </c>
      <c r="H73" s="114">
        <v>0</v>
      </c>
      <c r="I73" s="114">
        <v>0</v>
      </c>
      <c r="J73" s="114">
        <v>0</v>
      </c>
      <c r="K73" s="114">
        <v>0</v>
      </c>
      <c r="L73" s="114">
        <v>0</v>
      </c>
      <c r="M73" s="114">
        <v>0</v>
      </c>
      <c r="N73" s="114">
        <v>0</v>
      </c>
      <c r="O73" s="114">
        <v>0</v>
      </c>
      <c r="P73" s="114">
        <v>0</v>
      </c>
      <c r="Q73" s="114">
        <v>0</v>
      </c>
      <c r="R73" s="114">
        <v>0</v>
      </c>
      <c r="S73" s="114">
        <v>0</v>
      </c>
      <c r="T73" s="114">
        <v>0</v>
      </c>
      <c r="U73" s="114">
        <v>0</v>
      </c>
    </row>
    <row r="74" spans="1:21" ht="12.75" customHeight="1" outlineLevel="2" x14ac:dyDescent="0.3">
      <c r="A74" s="98"/>
      <c r="B74" s="98"/>
      <c r="C74" s="98"/>
      <c r="D74" s="98" t="s">
        <v>266</v>
      </c>
      <c r="E74" s="114">
        <v>0</v>
      </c>
      <c r="F74" s="114">
        <v>0</v>
      </c>
      <c r="G74" s="114">
        <v>0</v>
      </c>
      <c r="H74" s="114">
        <v>0</v>
      </c>
      <c r="I74" s="114">
        <v>0</v>
      </c>
      <c r="J74" s="114">
        <v>0</v>
      </c>
      <c r="K74" s="114">
        <v>0</v>
      </c>
      <c r="L74" s="114">
        <v>0</v>
      </c>
      <c r="M74" s="114">
        <v>0</v>
      </c>
      <c r="N74" s="114">
        <v>0</v>
      </c>
      <c r="O74" s="114">
        <v>0</v>
      </c>
      <c r="P74" s="114">
        <v>0</v>
      </c>
      <c r="Q74" s="114">
        <v>0</v>
      </c>
      <c r="R74" s="114">
        <v>0</v>
      </c>
      <c r="S74" s="114">
        <v>0</v>
      </c>
      <c r="T74" s="114">
        <v>0</v>
      </c>
      <c r="U74" s="114">
        <v>0</v>
      </c>
    </row>
    <row r="75" spans="1:21" ht="12.75" customHeight="1" outlineLevel="2" x14ac:dyDescent="0.3">
      <c r="A75" s="98"/>
      <c r="B75" s="98"/>
      <c r="C75" s="98"/>
      <c r="D75" s="98" t="s">
        <v>266</v>
      </c>
      <c r="E75" s="114">
        <v>0</v>
      </c>
      <c r="F75" s="114">
        <v>0</v>
      </c>
      <c r="G75" s="114">
        <v>0</v>
      </c>
      <c r="H75" s="114">
        <v>0</v>
      </c>
      <c r="I75" s="114">
        <v>0</v>
      </c>
      <c r="J75" s="114">
        <v>0</v>
      </c>
      <c r="K75" s="114">
        <v>0</v>
      </c>
      <c r="L75" s="114">
        <v>0</v>
      </c>
      <c r="M75" s="114">
        <v>0</v>
      </c>
      <c r="N75" s="114">
        <v>0</v>
      </c>
      <c r="O75" s="114">
        <v>0</v>
      </c>
      <c r="P75" s="114">
        <v>0</v>
      </c>
      <c r="Q75" s="114">
        <v>0</v>
      </c>
      <c r="R75" s="114">
        <v>0</v>
      </c>
      <c r="S75" s="114">
        <v>0</v>
      </c>
      <c r="T75" s="114">
        <v>0</v>
      </c>
      <c r="U75" s="114">
        <v>0</v>
      </c>
    </row>
    <row r="76" spans="1:21" ht="12.75" customHeight="1" outlineLevel="2" x14ac:dyDescent="0.3">
      <c r="A76" s="98"/>
      <c r="B76" s="98"/>
      <c r="C76" s="98"/>
      <c r="D76" s="98" t="s">
        <v>266</v>
      </c>
      <c r="E76" s="114">
        <v>0</v>
      </c>
      <c r="F76" s="114">
        <v>0</v>
      </c>
      <c r="G76" s="114">
        <v>0</v>
      </c>
      <c r="H76" s="114">
        <v>0</v>
      </c>
      <c r="I76" s="114">
        <v>0</v>
      </c>
      <c r="J76" s="114">
        <v>0</v>
      </c>
      <c r="K76" s="114">
        <v>0</v>
      </c>
      <c r="L76" s="114">
        <v>0</v>
      </c>
      <c r="M76" s="114">
        <v>0</v>
      </c>
      <c r="N76" s="114">
        <v>0</v>
      </c>
      <c r="O76" s="114">
        <v>0</v>
      </c>
      <c r="P76" s="114">
        <v>0</v>
      </c>
      <c r="Q76" s="114">
        <v>0</v>
      </c>
      <c r="R76" s="114">
        <v>0</v>
      </c>
      <c r="S76" s="114">
        <v>0</v>
      </c>
      <c r="T76" s="114">
        <v>0</v>
      </c>
      <c r="U76" s="114">
        <v>0</v>
      </c>
    </row>
    <row r="77" spans="1:21" ht="12.75" customHeight="1" thickBot="1" x14ac:dyDescent="0.35">
      <c r="A77" s="109" t="s">
        <v>153</v>
      </c>
      <c r="B77" s="109"/>
      <c r="C77" s="109"/>
      <c r="D77" s="110"/>
      <c r="E77" s="122">
        <f>SUM(E46:E76)</f>
        <v>-96769.137163888896</v>
      </c>
      <c r="F77" s="122">
        <f t="shared" ref="F77:P77" si="18">SUM(F46:F76)</f>
        <v>-96769.137163888896</v>
      </c>
      <c r="G77" s="122">
        <f t="shared" si="18"/>
        <v>-96769.137163888896</v>
      </c>
      <c r="H77" s="122">
        <f t="shared" si="18"/>
        <v>-96769.137163888896</v>
      </c>
      <c r="I77" s="122">
        <f t="shared" si="18"/>
        <v>-96769.137163888896</v>
      </c>
      <c r="J77" s="122">
        <f t="shared" si="18"/>
        <v>-96769.137163888896</v>
      </c>
      <c r="K77" s="122">
        <f t="shared" si="18"/>
        <v>-96769.137163888896</v>
      </c>
      <c r="L77" s="122">
        <f t="shared" si="18"/>
        <v>-96769.137163888896</v>
      </c>
      <c r="M77" s="122">
        <f t="shared" si="18"/>
        <v>-96769.137163888896</v>
      </c>
      <c r="N77" s="122">
        <f t="shared" si="18"/>
        <v>-96769.137163888896</v>
      </c>
      <c r="O77" s="122">
        <f t="shared" si="18"/>
        <v>-96769.137163888896</v>
      </c>
      <c r="P77" s="122">
        <f t="shared" si="18"/>
        <v>-96769.137163888896</v>
      </c>
      <c r="Q77" s="122">
        <f>SUM(Q46:Q76)</f>
        <v>-1161229.6459666668</v>
      </c>
      <c r="R77" s="122">
        <f>SUM(R46:R76)</f>
        <v>-1223214.0928616666</v>
      </c>
      <c r="S77" s="122">
        <f t="shared" ref="S77:U77" si="19">SUM(S46:S76)</f>
        <v>-1288886.2067909166</v>
      </c>
      <c r="T77" s="122">
        <f t="shared" si="19"/>
        <v>-1358518.6378095541</v>
      </c>
      <c r="U77" s="122">
        <f t="shared" si="19"/>
        <v>-1432410.9084809874</v>
      </c>
    </row>
    <row r="78" spans="1:21" ht="12.75" customHeight="1" thickTop="1" x14ac:dyDescent="0.3">
      <c r="A78" s="98"/>
      <c r="B78" s="98"/>
      <c r="C78" s="98"/>
      <c r="D78" s="70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</row>
    <row r="79" spans="1:21" ht="12.75" customHeight="1" thickBot="1" x14ac:dyDescent="0.35">
      <c r="A79" s="101"/>
      <c r="B79" s="101"/>
      <c r="C79" s="101"/>
      <c r="D79" s="102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88"/>
      <c r="R79" s="188"/>
      <c r="S79" s="188"/>
      <c r="T79" s="188"/>
      <c r="U79" s="188"/>
    </row>
    <row r="80" spans="1:21" ht="12.75" customHeight="1" x14ac:dyDescent="0.3">
      <c r="A80" s="98"/>
      <c r="B80" s="98"/>
      <c r="C80" s="98"/>
      <c r="D80" s="70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70"/>
      <c r="R80" s="114"/>
      <c r="S80" s="114"/>
      <c r="T80" s="114"/>
      <c r="U80" s="114"/>
    </row>
    <row r="81" spans="1:23" ht="12.75" customHeight="1" x14ac:dyDescent="0.3">
      <c r="A81" s="98" t="s">
        <v>162</v>
      </c>
      <c r="B81" s="98"/>
      <c r="C81" s="98"/>
      <c r="D81" s="70"/>
      <c r="E81" s="114">
        <f>E42+E77</f>
        <v>-268611.89849444444</v>
      </c>
      <c r="F81" s="114">
        <f t="shared" ref="F81:U81" si="20">F42+F77</f>
        <v>27624.212616666598</v>
      </c>
      <c r="G81" s="114">
        <f t="shared" si="20"/>
        <v>27624.212616666598</v>
      </c>
      <c r="H81" s="114">
        <f t="shared" si="20"/>
        <v>27624.212616666598</v>
      </c>
      <c r="I81" s="114">
        <f t="shared" si="20"/>
        <v>27624.212616666598</v>
      </c>
      <c r="J81" s="114">
        <f t="shared" si="20"/>
        <v>27624.212616666598</v>
      </c>
      <c r="K81" s="114">
        <f t="shared" si="20"/>
        <v>27624.212616666598</v>
      </c>
      <c r="L81" s="114">
        <f t="shared" si="20"/>
        <v>27624.212616666598</v>
      </c>
      <c r="M81" s="114">
        <f t="shared" si="20"/>
        <v>27624.212616666598</v>
      </c>
      <c r="N81" s="114">
        <f t="shared" si="20"/>
        <v>27624.212616666598</v>
      </c>
      <c r="O81" s="114">
        <f t="shared" si="20"/>
        <v>27624.212616666598</v>
      </c>
      <c r="P81" s="114">
        <f t="shared" si="20"/>
        <v>-150117.45405000006</v>
      </c>
      <c r="Q81" s="114">
        <f t="shared" si="20"/>
        <v>-142487.22637777869</v>
      </c>
      <c r="R81" s="114">
        <f t="shared" si="20"/>
        <v>-29974.739437778248</v>
      </c>
      <c r="S81" s="114">
        <f t="shared" si="20"/>
        <v>139857.13542472199</v>
      </c>
      <c r="T81" s="114">
        <f t="shared" si="20"/>
        <v>329593.16983742174</v>
      </c>
      <c r="U81" s="114">
        <f t="shared" si="20"/>
        <v>541215.10001689289</v>
      </c>
    </row>
    <row r="82" spans="1:23" ht="12.75" customHeight="1" thickBot="1" x14ac:dyDescent="0.35">
      <c r="A82" s="101"/>
      <c r="B82" s="101"/>
      <c r="C82" s="101"/>
      <c r="D82" s="102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</row>
    <row r="83" spans="1:23" ht="12.75" customHeight="1" x14ac:dyDescent="0.3">
      <c r="A83" s="98"/>
      <c r="B83" s="98"/>
      <c r="C83" s="98"/>
      <c r="D83" s="70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</row>
    <row r="84" spans="1:23" ht="12.75" customHeight="1" x14ac:dyDescent="0.3">
      <c r="A84" s="98"/>
      <c r="B84" s="98"/>
      <c r="C84" s="98"/>
      <c r="D84" s="70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</row>
    <row r="85" spans="1:23" ht="12.75" customHeight="1" outlineLevel="1" thickBot="1" x14ac:dyDescent="0.35">
      <c r="A85" s="109" t="s">
        <v>155</v>
      </c>
      <c r="B85" s="109"/>
      <c r="C85" s="109"/>
      <c r="D85" s="110"/>
      <c r="E85" s="150">
        <v>0</v>
      </c>
      <c r="F85" s="150">
        <v>0</v>
      </c>
      <c r="G85" s="150">
        <v>0</v>
      </c>
      <c r="H85" s="150">
        <v>0</v>
      </c>
      <c r="I85" s="150">
        <v>0</v>
      </c>
      <c r="J85" s="150">
        <v>0</v>
      </c>
      <c r="K85" s="150">
        <v>0</v>
      </c>
      <c r="L85" s="150">
        <v>0</v>
      </c>
      <c r="M85" s="150">
        <v>0</v>
      </c>
      <c r="N85" s="150">
        <v>0</v>
      </c>
      <c r="O85" s="150">
        <v>0</v>
      </c>
      <c r="P85" s="150">
        <v>0</v>
      </c>
      <c r="Q85" s="150">
        <v>0</v>
      </c>
      <c r="R85" s="150">
        <v>0</v>
      </c>
      <c r="S85" s="150">
        <v>0</v>
      </c>
      <c r="T85" s="150">
        <v>0</v>
      </c>
      <c r="U85" s="150">
        <v>0</v>
      </c>
    </row>
    <row r="86" spans="1:23" ht="12.75" customHeight="1" outlineLevel="1" thickTop="1" x14ac:dyDescent="0.3">
      <c r="A86" s="98"/>
      <c r="B86" s="98"/>
      <c r="C86" s="98"/>
      <c r="D86" s="70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</row>
    <row r="87" spans="1:23" ht="12.75" customHeight="1" outlineLevel="1" x14ac:dyDescent="0.3">
      <c r="A87" s="98"/>
      <c r="B87" s="98"/>
      <c r="C87" s="98"/>
      <c r="D87" s="70"/>
      <c r="E87" s="131"/>
      <c r="F87" s="131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</row>
    <row r="88" spans="1:23" ht="12.75" customHeight="1" outlineLevel="1" thickBot="1" x14ac:dyDescent="0.35">
      <c r="A88" s="109" t="s">
        <v>72</v>
      </c>
      <c r="B88" s="129"/>
      <c r="C88" s="109"/>
      <c r="D88" s="11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22"/>
      <c r="R88" s="122"/>
      <c r="S88" s="122"/>
      <c r="T88" s="122"/>
      <c r="U88" s="122"/>
      <c r="V88" s="117"/>
      <c r="W88" s="117"/>
    </row>
    <row r="89" spans="1:23" ht="12.75" customHeight="1" outlineLevel="1" thickTop="1" x14ac:dyDescent="0.3">
      <c r="A89" s="98"/>
      <c r="B89" s="98"/>
      <c r="C89" s="98"/>
      <c r="D89" s="70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14"/>
      <c r="R89" s="114"/>
      <c r="S89" s="114"/>
      <c r="T89" s="114"/>
      <c r="U89" s="114"/>
    </row>
    <row r="90" spans="1:23" ht="12.75" customHeight="1" outlineLevel="1" x14ac:dyDescent="0.3">
      <c r="A90" s="98"/>
      <c r="B90" s="98"/>
      <c r="C90" s="98" t="s">
        <v>9</v>
      </c>
      <c r="D90" s="70"/>
      <c r="E90" s="275">
        <f>('11. Depreciation &amp;Amoritization'!G20)*-1</f>
        <v>0</v>
      </c>
      <c r="F90" s="275">
        <f>('11. Depreciation &amp;Amoritization'!H20)*-1</f>
        <v>0</v>
      </c>
      <c r="G90" s="275">
        <f>('11. Depreciation &amp;Amoritization'!I20)*-1</f>
        <v>0</v>
      </c>
      <c r="H90" s="275">
        <f>('11. Depreciation &amp;Amoritization'!J20)*-1</f>
        <v>0</v>
      </c>
      <c r="I90" s="275">
        <f>('11. Depreciation &amp;Amoritization'!K20)*-1</f>
        <v>0</v>
      </c>
      <c r="J90" s="275">
        <f>('11. Depreciation &amp;Amoritization'!L20)*-1</f>
        <v>0</v>
      </c>
      <c r="K90" s="275">
        <f>('11. Depreciation &amp;Amoritization'!M20)*-1</f>
        <v>0</v>
      </c>
      <c r="L90" s="275">
        <f>('11. Depreciation &amp;Amoritization'!N20)*-1</f>
        <v>0</v>
      </c>
      <c r="M90" s="275">
        <f>('11. Depreciation &amp;Amoritization'!O20)*-1</f>
        <v>0</v>
      </c>
      <c r="N90" s="275">
        <f>('11. Depreciation &amp;Amoritization'!P20)*-1</f>
        <v>0</v>
      </c>
      <c r="O90" s="275">
        <f>('11. Depreciation &amp;Amoritization'!Q20)*-1</f>
        <v>0</v>
      </c>
      <c r="P90" s="275">
        <f>('11. Depreciation &amp;Amoritization'!R20)*-1</f>
        <v>0</v>
      </c>
      <c r="Q90" s="114">
        <f t="shared" ref="Q90:Q94" si="21">SUM(E90:P90)</f>
        <v>0</v>
      </c>
      <c r="R90" s="114">
        <f>-'11. Depreciation &amp;Amoritization'!S24</f>
        <v>0</v>
      </c>
      <c r="S90" s="114">
        <f>-'11. Depreciation &amp;Amoritization'!S28</f>
        <v>0</v>
      </c>
      <c r="T90" s="114">
        <f>-'11. Depreciation &amp;Amoritization'!S32</f>
        <v>0</v>
      </c>
      <c r="U90" s="114">
        <f>-'11. Depreciation &amp;Amoritization'!S36</f>
        <v>0</v>
      </c>
    </row>
    <row r="91" spans="1:23" ht="12.75" customHeight="1" outlineLevel="1" x14ac:dyDescent="0.3">
      <c r="A91" s="98"/>
      <c r="B91" s="98"/>
      <c r="C91" s="98" t="s">
        <v>11</v>
      </c>
      <c r="D91" s="70"/>
      <c r="E91" s="275">
        <f>('11. Depreciation &amp;Amoritization'!G108)*-1</f>
        <v>0</v>
      </c>
      <c r="F91" s="275">
        <f>('11. Depreciation &amp;Amoritization'!H108)*-1</f>
        <v>0</v>
      </c>
      <c r="G91" s="275">
        <f>('11. Depreciation &amp;Amoritization'!I108)*-1</f>
        <v>0</v>
      </c>
      <c r="H91" s="275">
        <f>('11. Depreciation &amp;Amoritization'!J108)*-1</f>
        <v>0</v>
      </c>
      <c r="I91" s="275">
        <f>('11. Depreciation &amp;Amoritization'!K108)*-1</f>
        <v>0</v>
      </c>
      <c r="J91" s="275">
        <f>('11. Depreciation &amp;Amoritization'!L108)*-1</f>
        <v>0</v>
      </c>
      <c r="K91" s="275">
        <f>('11. Depreciation &amp;Amoritization'!M108)*-1</f>
        <v>0</v>
      </c>
      <c r="L91" s="275">
        <f>('11. Depreciation &amp;Amoritization'!N108)*-1</f>
        <v>0</v>
      </c>
      <c r="M91" s="275">
        <f>('11. Depreciation &amp;Amoritization'!O108)*-1</f>
        <v>0</v>
      </c>
      <c r="N91" s="275">
        <f>('11. Depreciation &amp;Amoritization'!P108)*-1</f>
        <v>0</v>
      </c>
      <c r="O91" s="275">
        <f>('11. Depreciation &amp;Amoritization'!Q108)*-1</f>
        <v>0</v>
      </c>
      <c r="P91" s="275">
        <f>('11. Depreciation &amp;Amoritization'!R108)*-1</f>
        <v>0</v>
      </c>
      <c r="Q91" s="114">
        <f t="shared" si="21"/>
        <v>0</v>
      </c>
      <c r="R91" s="114">
        <f t="shared" ref="R91:R93" si="22">SUM(F91:Q91)</f>
        <v>0</v>
      </c>
      <c r="S91" s="114">
        <f t="shared" ref="S91:S93" si="23">SUM(G91:R91)</f>
        <v>0</v>
      </c>
      <c r="T91" s="114">
        <f t="shared" ref="T91:T93" si="24">SUM(H91:S91)</f>
        <v>0</v>
      </c>
      <c r="U91" s="114">
        <f t="shared" ref="U91:U93" si="25">SUM(I91:T91)</f>
        <v>0</v>
      </c>
    </row>
    <row r="92" spans="1:23" ht="12.75" customHeight="1" outlineLevel="1" x14ac:dyDescent="0.3">
      <c r="A92" s="98"/>
      <c r="B92" s="98"/>
      <c r="C92" s="98" t="s">
        <v>88</v>
      </c>
      <c r="D92" s="98"/>
      <c r="E92" s="275">
        <f>('11. Depreciation &amp;Amoritization'!G131)*-1</f>
        <v>0</v>
      </c>
      <c r="F92" s="275">
        <f>('11. Depreciation &amp;Amoritization'!H131)*-1</f>
        <v>0</v>
      </c>
      <c r="G92" s="275">
        <f>('11. Depreciation &amp;Amoritization'!I131)*-1</f>
        <v>0</v>
      </c>
      <c r="H92" s="275">
        <f>('11. Depreciation &amp;Amoritization'!J131)*-1</f>
        <v>0</v>
      </c>
      <c r="I92" s="275">
        <f>('11. Depreciation &amp;Amoritization'!K131)*-1</f>
        <v>0</v>
      </c>
      <c r="J92" s="275">
        <f>('11. Depreciation &amp;Amoritization'!L131)*-1</f>
        <v>0</v>
      </c>
      <c r="K92" s="275">
        <f>('11. Depreciation &amp;Amoritization'!M131)*-1</f>
        <v>0</v>
      </c>
      <c r="L92" s="275">
        <f>('11. Depreciation &amp;Amoritization'!N131)*-1</f>
        <v>0</v>
      </c>
      <c r="M92" s="275">
        <f>('11. Depreciation &amp;Amoritization'!O131)*-1</f>
        <v>0</v>
      </c>
      <c r="N92" s="275">
        <f>('11. Depreciation &amp;Amoritization'!P131)*-1</f>
        <v>0</v>
      </c>
      <c r="O92" s="275">
        <f>('11. Depreciation &amp;Amoritization'!Q131)*-1</f>
        <v>0</v>
      </c>
      <c r="P92" s="275">
        <f>('11. Depreciation &amp;Amoritization'!R131)*-1</f>
        <v>0</v>
      </c>
      <c r="Q92" s="114">
        <f t="shared" si="21"/>
        <v>0</v>
      </c>
      <c r="R92" s="114">
        <f t="shared" si="22"/>
        <v>0</v>
      </c>
      <c r="S92" s="114">
        <f t="shared" si="23"/>
        <v>0</v>
      </c>
      <c r="T92" s="114">
        <f t="shared" si="24"/>
        <v>0</v>
      </c>
      <c r="U92" s="114">
        <f t="shared" si="25"/>
        <v>0</v>
      </c>
    </row>
    <row r="93" spans="1:23" ht="12.75" customHeight="1" outlineLevel="1" x14ac:dyDescent="0.3">
      <c r="A93" s="98"/>
      <c r="B93" s="98"/>
      <c r="C93" s="98" t="s">
        <v>89</v>
      </c>
      <c r="D93" s="98"/>
      <c r="E93" s="275">
        <f>('11. Depreciation &amp;Amoritization'!G154)*-1</f>
        <v>0</v>
      </c>
      <c r="F93" s="275">
        <f>('11. Depreciation &amp;Amoritization'!H154)*-1</f>
        <v>0</v>
      </c>
      <c r="G93" s="275">
        <f>('11. Depreciation &amp;Amoritization'!I154)*-1</f>
        <v>0</v>
      </c>
      <c r="H93" s="275">
        <f>('11. Depreciation &amp;Amoritization'!J154)*-1</f>
        <v>0</v>
      </c>
      <c r="I93" s="275">
        <f>('11. Depreciation &amp;Amoritization'!K154)*-1</f>
        <v>0</v>
      </c>
      <c r="J93" s="275">
        <f>('11. Depreciation &amp;Amoritization'!L154)*-1</f>
        <v>0</v>
      </c>
      <c r="K93" s="275">
        <f>('11. Depreciation &amp;Amoritization'!M154)*-1</f>
        <v>0</v>
      </c>
      <c r="L93" s="275">
        <f>('11. Depreciation &amp;Amoritization'!N154)*-1</f>
        <v>0</v>
      </c>
      <c r="M93" s="275">
        <f>('11. Depreciation &amp;Amoritization'!O154)*-1</f>
        <v>0</v>
      </c>
      <c r="N93" s="275">
        <f>('11. Depreciation &amp;Amoritization'!P154)*-1</f>
        <v>0</v>
      </c>
      <c r="O93" s="275">
        <f>('11. Depreciation &amp;Amoritization'!Q154)*-1</f>
        <v>0</v>
      </c>
      <c r="P93" s="275">
        <f>('11. Depreciation &amp;Amoritization'!R154)*-1</f>
        <v>0</v>
      </c>
      <c r="Q93" s="114">
        <f t="shared" si="21"/>
        <v>0</v>
      </c>
      <c r="R93" s="114">
        <f t="shared" si="22"/>
        <v>0</v>
      </c>
      <c r="S93" s="114">
        <f t="shared" si="23"/>
        <v>0</v>
      </c>
      <c r="T93" s="114">
        <f t="shared" si="24"/>
        <v>0</v>
      </c>
      <c r="U93" s="114">
        <f t="shared" si="25"/>
        <v>0</v>
      </c>
    </row>
    <row r="94" spans="1:23" ht="12.75" customHeight="1" outlineLevel="1" x14ac:dyDescent="0.3">
      <c r="A94" s="98"/>
      <c r="B94" s="98"/>
      <c r="C94" s="98" t="s">
        <v>90</v>
      </c>
      <c r="D94" s="98"/>
      <c r="E94" s="275">
        <f>('11. Depreciation &amp;Amoritization'!G51)*-1</f>
        <v>-28215.778499062504</v>
      </c>
      <c r="F94" s="275">
        <f>('11. Depreciation &amp;Amoritization'!H51)*-1</f>
        <v>-27883.965288666943</v>
      </c>
      <c r="G94" s="275">
        <f>('11. Depreciation &amp;Amoritization'!I51)*-1</f>
        <v>-27548.419179654422</v>
      </c>
      <c r="H94" s="275">
        <f>('11. Depreciation &amp;Amoritization'!J51)*-1</f>
        <v>-27209.098176915515</v>
      </c>
      <c r="I94" s="275">
        <f>('11. Depreciation &amp;Amoritization'!K51)*-1</f>
        <v>-26865.959812895799</v>
      </c>
      <c r="J94" s="275">
        <f>('11. Depreciation &amp;Amoritization'!L51)*-1</f>
        <v>-26518.961142280848</v>
      </c>
      <c r="K94" s="275">
        <f>('11. Depreciation &amp;Amoritization'!M51)*-1</f>
        <v>-26168.05873662149</v>
      </c>
      <c r="L94" s="275">
        <f>('11. Depreciation &amp;Amoritization'!N51)*-1</f>
        <v>-25813.208678898467</v>
      </c>
      <c r="M94" s="275">
        <f>('11. Depreciation &amp;Amoritization'!O51)*-1</f>
        <v>-25454.366558026049</v>
      </c>
      <c r="N94" s="275">
        <f>('11. Depreciation &amp;Amoritization'!P51)*-1</f>
        <v>-25091.487463293826</v>
      </c>
      <c r="O94" s="275">
        <f>('11. Depreciation &amp;Amoritization'!Q51)*-1</f>
        <v>-24724.525978745867</v>
      </c>
      <c r="P94" s="275">
        <f>('11. Depreciation &amp;Amoritization'!R51)*-1</f>
        <v>-24353.436177496729</v>
      </c>
      <c r="Q94" s="117">
        <f t="shared" si="21"/>
        <v>-315847.26569255849</v>
      </c>
      <c r="R94" s="117">
        <f>-'11. Depreciation &amp;Amoritization'!S55</f>
        <v>-261728.52800242676</v>
      </c>
      <c r="S94" s="117">
        <f>-'11. Depreciation &amp;Amoritization'!S59</f>
        <v>-199834.31094096199</v>
      </c>
      <c r="T94" s="117">
        <f>-'11. Depreciation &amp;Amoritization'!S63</f>
        <v>-129047.47685798114</v>
      </c>
      <c r="U94" s="117">
        <f>-'11. Depreciation &amp;Amoritization'!S67</f>
        <v>-48090.383976178411</v>
      </c>
    </row>
    <row r="95" spans="1:23" ht="12.75" customHeight="1" thickBot="1" x14ac:dyDescent="0.35">
      <c r="A95" s="129"/>
      <c r="B95" s="109" t="s">
        <v>177</v>
      </c>
      <c r="C95" s="109"/>
      <c r="D95" s="110"/>
      <c r="E95" s="122">
        <f>SUM(E90:E94)</f>
        <v>-28215.778499062504</v>
      </c>
      <c r="F95" s="122">
        <f t="shared" ref="F95:P95" si="26">SUM(F90:F94)</f>
        <v>-27883.965288666943</v>
      </c>
      <c r="G95" s="122">
        <f t="shared" si="26"/>
        <v>-27548.419179654422</v>
      </c>
      <c r="H95" s="122">
        <f t="shared" si="26"/>
        <v>-27209.098176915515</v>
      </c>
      <c r="I95" s="122">
        <f t="shared" si="26"/>
        <v>-26865.959812895799</v>
      </c>
      <c r="J95" s="122">
        <f t="shared" si="26"/>
        <v>-26518.961142280848</v>
      </c>
      <c r="K95" s="122">
        <f t="shared" si="26"/>
        <v>-26168.05873662149</v>
      </c>
      <c r="L95" s="122">
        <f t="shared" si="26"/>
        <v>-25813.208678898467</v>
      </c>
      <c r="M95" s="122">
        <f t="shared" si="26"/>
        <v>-25454.366558026049</v>
      </c>
      <c r="N95" s="122">
        <f t="shared" si="26"/>
        <v>-25091.487463293826</v>
      </c>
      <c r="O95" s="122">
        <f t="shared" si="26"/>
        <v>-24724.525978745867</v>
      </c>
      <c r="P95" s="122">
        <f t="shared" si="26"/>
        <v>-24353.436177496729</v>
      </c>
      <c r="Q95" s="122">
        <f>SUM(Q90:Q94)</f>
        <v>-315847.26569255849</v>
      </c>
      <c r="R95" s="122">
        <f t="shared" ref="R95:U95" si="27">SUM(R90:R94)</f>
        <v>-261728.52800242676</v>
      </c>
      <c r="S95" s="122">
        <f t="shared" si="27"/>
        <v>-199834.31094096199</v>
      </c>
      <c r="T95" s="122">
        <f t="shared" si="27"/>
        <v>-129047.47685798114</v>
      </c>
      <c r="U95" s="122">
        <f t="shared" si="27"/>
        <v>-48090.383976178411</v>
      </c>
    </row>
    <row r="96" spans="1:23" ht="12.75" customHeight="1" thickTop="1" x14ac:dyDescent="0.3">
      <c r="A96" s="98"/>
      <c r="B96" s="98"/>
      <c r="C96" s="98"/>
      <c r="D96" s="70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</row>
    <row r="97" spans="1:21" ht="12.75" customHeight="1" thickBot="1" x14ac:dyDescent="0.35">
      <c r="A97" s="101"/>
      <c r="B97" s="101"/>
      <c r="C97" s="101"/>
      <c r="D97" s="102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</row>
    <row r="98" spans="1:21" ht="12.75" customHeight="1" x14ac:dyDescent="0.3">
      <c r="A98" s="98"/>
      <c r="B98" s="98"/>
      <c r="C98" s="98"/>
      <c r="D98" s="70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</row>
    <row r="99" spans="1:21" ht="12.75" customHeight="1" x14ac:dyDescent="0.3">
      <c r="A99" s="98" t="s">
        <v>157</v>
      </c>
      <c r="B99" s="98"/>
      <c r="C99" s="98"/>
      <c r="D99" s="70"/>
      <c r="E99" s="114">
        <f t="shared" ref="E99:U99" si="28">E81+E85+E88+E95</f>
        <v>-296827.67699350696</v>
      </c>
      <c r="F99" s="114">
        <f t="shared" si="28"/>
        <v>-259.75267200034432</v>
      </c>
      <c r="G99" s="114">
        <f t="shared" si="28"/>
        <v>75.793437012176582</v>
      </c>
      <c r="H99" s="114">
        <f t="shared" si="28"/>
        <v>415.11443975108341</v>
      </c>
      <c r="I99" s="114">
        <f t="shared" si="28"/>
        <v>758.2528037707998</v>
      </c>
      <c r="J99" s="114">
        <f t="shared" si="28"/>
        <v>1105.25147438575</v>
      </c>
      <c r="K99" s="114">
        <f t="shared" si="28"/>
        <v>1456.153880045109</v>
      </c>
      <c r="L99" s="114">
        <f t="shared" si="28"/>
        <v>1811.0039377681314</v>
      </c>
      <c r="M99" s="114">
        <f t="shared" si="28"/>
        <v>2169.846058640549</v>
      </c>
      <c r="N99" s="114">
        <f t="shared" si="28"/>
        <v>2532.7251533727722</v>
      </c>
      <c r="O99" s="114">
        <f t="shared" si="28"/>
        <v>2899.6866379207313</v>
      </c>
      <c r="P99" s="114">
        <f t="shared" si="28"/>
        <v>-174470.8902274968</v>
      </c>
      <c r="Q99" s="114">
        <f t="shared" si="28"/>
        <v>-458334.49207033718</v>
      </c>
      <c r="R99" s="114">
        <f t="shared" si="28"/>
        <v>-291703.26744020497</v>
      </c>
      <c r="S99" s="114">
        <f t="shared" si="28"/>
        <v>-59977.175516240008</v>
      </c>
      <c r="T99" s="114">
        <f t="shared" si="28"/>
        <v>200545.69297944062</v>
      </c>
      <c r="U99" s="114">
        <f t="shared" si="28"/>
        <v>493124.71604071447</v>
      </c>
    </row>
    <row r="100" spans="1:21" ht="12.75" customHeight="1" thickBot="1" x14ac:dyDescent="0.35">
      <c r="A100" s="101"/>
      <c r="B100" s="101"/>
      <c r="C100" s="101"/>
      <c r="D100" s="102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</row>
    <row r="101" spans="1:21" ht="12.75" customHeight="1" x14ac:dyDescent="0.3">
      <c r="A101" s="98"/>
      <c r="B101" s="98"/>
      <c r="C101" s="98"/>
      <c r="D101" s="70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</row>
    <row r="102" spans="1:21" ht="12.75" customHeight="1" x14ac:dyDescent="0.3">
      <c r="A102" s="98" t="s">
        <v>164</v>
      </c>
      <c r="C102" s="98"/>
      <c r="D102" s="70"/>
      <c r="E102" s="117">
        <f>-'1. Assumptions'!$D$20*'6. Income Statement'!E99</f>
        <v>80143.472788246887</v>
      </c>
      <c r="F102" s="117">
        <f>-'1. Assumptions'!$D$20*'6. Income Statement'!F99</f>
        <v>70.133221440092967</v>
      </c>
      <c r="G102" s="117">
        <f>-'1. Assumptions'!$D$20*'6. Income Statement'!G99</f>
        <v>-20.464227993287679</v>
      </c>
      <c r="H102" s="117">
        <f>-'1. Assumptions'!$D$20*'6. Income Statement'!H99</f>
        <v>-112.08089873279253</v>
      </c>
      <c r="I102" s="117">
        <f>-'1. Assumptions'!$D$20*'6. Income Statement'!I99</f>
        <v>-204.72825701811595</v>
      </c>
      <c r="J102" s="117">
        <f>-'1. Assumptions'!$D$20*'6. Income Statement'!J99</f>
        <v>-298.41789808415251</v>
      </c>
      <c r="K102" s="117">
        <f>-'1. Assumptions'!$D$20*'6. Income Statement'!K99</f>
        <v>-393.16154761217945</v>
      </c>
      <c r="L102" s="117">
        <f>-'1. Assumptions'!$D$20*'6. Income Statement'!L99</f>
        <v>-488.97106319739549</v>
      </c>
      <c r="M102" s="117">
        <f>-'1. Assumptions'!$D$20*'6. Income Statement'!M99</f>
        <v>-585.85843583294832</v>
      </c>
      <c r="N102" s="117">
        <f>-'1. Assumptions'!$D$20*'6. Income Statement'!N99</f>
        <v>-683.83579141064854</v>
      </c>
      <c r="O102" s="117">
        <f>-'1. Assumptions'!$D$20*'6. Income Statement'!O99</f>
        <v>-782.91539223859752</v>
      </c>
      <c r="P102" s="117">
        <f>-'1. Assumptions'!$D$20*'6. Income Statement'!P99</f>
        <v>47107.140361424135</v>
      </c>
      <c r="Q102" s="117">
        <f>-'1. Assumptions'!$D$20*'6. Income Statement'!Q99</f>
        <v>123750.31285899105</v>
      </c>
      <c r="R102" s="117">
        <f>-'1. Assumptions'!$D$20*'6. Income Statement'!R99</f>
        <v>78759.882208855342</v>
      </c>
      <c r="S102" s="117">
        <f>-'1. Assumptions'!$D$20*'6. Income Statement'!S99</f>
        <v>16193.837389384804</v>
      </c>
      <c r="T102" s="117">
        <f>-'1. Assumptions'!$D$20*'6. Income Statement'!T99</f>
        <v>-54147.337104448969</v>
      </c>
      <c r="U102" s="117">
        <f>-'1. Assumptions'!$D$20*'6. Income Statement'!U99</f>
        <v>-133143.67333099293</v>
      </c>
    </row>
    <row r="103" spans="1:21" ht="12.75" customHeight="1" thickBot="1" x14ac:dyDescent="0.35">
      <c r="A103" s="101"/>
      <c r="B103" s="101"/>
      <c r="C103" s="101"/>
      <c r="D103" s="102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</row>
    <row r="104" spans="1:21" ht="12.75" customHeight="1" x14ac:dyDescent="0.3">
      <c r="A104" s="98"/>
      <c r="B104" s="98"/>
      <c r="C104" s="98"/>
      <c r="D104" s="70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</row>
    <row r="105" spans="1:21" ht="15.9" customHeight="1" x14ac:dyDescent="0.3">
      <c r="A105" s="98" t="s">
        <v>163</v>
      </c>
      <c r="B105" s="98"/>
      <c r="C105" s="98"/>
      <c r="D105" s="70"/>
      <c r="E105" s="114">
        <f>E99+E102</f>
        <v>-216684.20420526009</v>
      </c>
      <c r="F105" s="114">
        <f t="shared" ref="F105:P105" si="29">F99+F102</f>
        <v>-189.61945056025135</v>
      </c>
      <c r="G105" s="114">
        <f t="shared" si="29"/>
        <v>55.329209018888903</v>
      </c>
      <c r="H105" s="114">
        <f t="shared" si="29"/>
        <v>303.03354101829086</v>
      </c>
      <c r="I105" s="114">
        <f t="shared" si="29"/>
        <v>553.52454675268382</v>
      </c>
      <c r="J105" s="114">
        <f t="shared" si="29"/>
        <v>806.83357630159753</v>
      </c>
      <c r="K105" s="114">
        <f t="shared" si="29"/>
        <v>1062.9923324329295</v>
      </c>
      <c r="L105" s="114">
        <f t="shared" si="29"/>
        <v>1322.0328745707359</v>
      </c>
      <c r="M105" s="114">
        <f t="shared" si="29"/>
        <v>1583.9876228076007</v>
      </c>
      <c r="N105" s="114">
        <f t="shared" si="29"/>
        <v>1848.8893619621235</v>
      </c>
      <c r="O105" s="114">
        <f t="shared" si="29"/>
        <v>2116.7712456821337</v>
      </c>
      <c r="P105" s="114">
        <f t="shared" si="29"/>
        <v>-127363.74986607267</v>
      </c>
      <c r="Q105" s="114">
        <f>Q99+Q102</f>
        <v>-334584.17921134614</v>
      </c>
      <c r="R105" s="114">
        <f t="shared" ref="R105:U105" si="30">R99+R102</f>
        <v>-212943.38523134962</v>
      </c>
      <c r="S105" s="114">
        <f t="shared" si="30"/>
        <v>-43783.338126855204</v>
      </c>
      <c r="T105" s="114">
        <f t="shared" si="30"/>
        <v>146398.35587499166</v>
      </c>
      <c r="U105" s="114">
        <f t="shared" si="30"/>
        <v>359981.04270972154</v>
      </c>
    </row>
    <row r="106" spans="1:21" ht="12.75" customHeight="1" thickBot="1" x14ac:dyDescent="0.35">
      <c r="A106" s="101"/>
      <c r="B106" s="101"/>
      <c r="C106" s="101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30"/>
      <c r="R106" s="130"/>
      <c r="S106" s="130"/>
      <c r="T106" s="130"/>
      <c r="U106" s="130"/>
    </row>
    <row r="107" spans="1:21" ht="12.75" customHeight="1" x14ac:dyDescent="0.3">
      <c r="A107" s="98"/>
      <c r="B107" s="98"/>
      <c r="C107" s="98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117"/>
      <c r="R107" s="44"/>
      <c r="S107" s="44"/>
      <c r="T107" s="44"/>
    </row>
    <row r="108" spans="1:21" ht="12.75" customHeight="1" x14ac:dyDescent="0.3">
      <c r="A108" s="98"/>
      <c r="B108" s="98"/>
      <c r="C108" s="98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117"/>
      <c r="R108" s="117"/>
      <c r="S108" s="117"/>
      <c r="T108" s="117"/>
      <c r="U108" s="117"/>
    </row>
    <row r="109" spans="1:21" ht="12.75" customHeight="1" x14ac:dyDescent="0.3">
      <c r="A109" s="98"/>
      <c r="B109" s="98"/>
      <c r="C109" s="98"/>
      <c r="D109" s="70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44"/>
      <c r="S109" s="44"/>
      <c r="T109" s="44"/>
    </row>
    <row r="110" spans="1:21" ht="12.75" customHeight="1" x14ac:dyDescent="0.3">
      <c r="A110" s="98"/>
      <c r="B110" s="98"/>
      <c r="C110" s="98"/>
      <c r="D110" s="70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17"/>
      <c r="R110" s="117"/>
      <c r="S110" s="117"/>
      <c r="T110" s="117"/>
      <c r="U110" s="117"/>
    </row>
    <row r="111" spans="1:21" ht="12.75" customHeight="1" x14ac:dyDescent="0.3">
      <c r="A111" s="98"/>
      <c r="B111" s="98"/>
      <c r="C111" s="98"/>
      <c r="D111" s="70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4"/>
      <c r="Q111" s="134"/>
      <c r="R111" s="44"/>
      <c r="S111" s="44"/>
      <c r="T111" s="44"/>
    </row>
    <row r="112" spans="1:21" ht="12.75" customHeight="1" x14ac:dyDescent="0.3">
      <c r="A112" s="98"/>
      <c r="B112" s="98"/>
      <c r="C112" s="98"/>
      <c r="D112" s="70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44"/>
      <c r="S112" s="44"/>
      <c r="T112" s="44"/>
    </row>
    <row r="113" spans="1:20" ht="12.75" customHeight="1" x14ac:dyDescent="0.3">
      <c r="A113" s="98"/>
      <c r="B113" s="98"/>
      <c r="C113" s="98"/>
      <c r="D113" s="70"/>
      <c r="E113" s="133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44"/>
      <c r="S113" s="44"/>
      <c r="T113" s="44"/>
    </row>
    <row r="114" spans="1:20" ht="12.75" customHeight="1" x14ac:dyDescent="0.3">
      <c r="A114" s="98"/>
      <c r="B114" s="98"/>
      <c r="C114" s="98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44"/>
      <c r="S114" s="44"/>
      <c r="T114" s="44"/>
    </row>
    <row r="115" spans="1:20" ht="12.75" customHeight="1" x14ac:dyDescent="0.3">
      <c r="A115" s="98"/>
      <c r="B115" s="98"/>
      <c r="C115" s="98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44"/>
      <c r="S115" s="44"/>
      <c r="T115" s="44"/>
    </row>
    <row r="116" spans="1:20" ht="12.75" customHeight="1" x14ac:dyDescent="0.3">
      <c r="A116" s="98"/>
      <c r="B116" s="98"/>
      <c r="C116" s="98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44"/>
      <c r="S116" s="44"/>
      <c r="T116" s="44"/>
    </row>
    <row r="117" spans="1:20" ht="12.75" customHeight="1" x14ac:dyDescent="0.3">
      <c r="A117" s="98"/>
      <c r="B117" s="98"/>
      <c r="C117" s="98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44"/>
      <c r="S117" s="44"/>
      <c r="T117" s="44"/>
    </row>
    <row r="118" spans="1:20" ht="12.75" customHeight="1" x14ac:dyDescent="0.3">
      <c r="A118" s="98"/>
      <c r="B118" s="98"/>
      <c r="C118" s="98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44"/>
      <c r="S118" s="44"/>
      <c r="T118" s="44"/>
    </row>
    <row r="119" spans="1:20" ht="12.75" customHeight="1" x14ac:dyDescent="0.3">
      <c r="A119" s="98"/>
      <c r="B119" s="98"/>
      <c r="C119" s="98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44"/>
      <c r="S119" s="44"/>
      <c r="T119" s="44"/>
    </row>
    <row r="120" spans="1:20" ht="12.75" customHeight="1" x14ac:dyDescent="0.3">
      <c r="A120" s="98"/>
      <c r="B120" s="98"/>
      <c r="C120" s="98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44"/>
      <c r="S120" s="44"/>
      <c r="T120" s="44"/>
    </row>
    <row r="121" spans="1:20" ht="12.75" customHeight="1" x14ac:dyDescent="0.3">
      <c r="A121" s="98"/>
      <c r="B121" s="98"/>
      <c r="C121" s="98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44"/>
      <c r="S121" s="44"/>
      <c r="T121" s="44"/>
    </row>
    <row r="122" spans="1:20" ht="12.75" customHeight="1" x14ac:dyDescent="0.3">
      <c r="A122" s="98"/>
      <c r="B122" s="98"/>
      <c r="C122" s="98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44"/>
      <c r="S122" s="44"/>
      <c r="T122" s="44"/>
    </row>
    <row r="123" spans="1:20" ht="12.75" customHeight="1" x14ac:dyDescent="0.25">
      <c r="A123" s="95"/>
      <c r="B123" s="95"/>
      <c r="C123" s="95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</row>
    <row r="124" spans="1:20" ht="12.75" customHeight="1" x14ac:dyDescent="0.25">
      <c r="A124" s="95"/>
      <c r="B124" s="95"/>
      <c r="C124" s="95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</row>
    <row r="125" spans="1:20" ht="12.75" customHeight="1" x14ac:dyDescent="0.25">
      <c r="A125" s="95"/>
      <c r="B125" s="95"/>
      <c r="C125" s="95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</row>
    <row r="126" spans="1:20" ht="12.75" customHeight="1" x14ac:dyDescent="0.25">
      <c r="A126" s="95"/>
      <c r="B126" s="95"/>
      <c r="C126" s="95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</row>
    <row r="127" spans="1:20" ht="12.75" customHeight="1" x14ac:dyDescent="0.25">
      <c r="A127" s="95"/>
      <c r="B127" s="95"/>
      <c r="C127" s="95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</row>
    <row r="128" spans="1:20" ht="12.75" customHeight="1" x14ac:dyDescent="0.25">
      <c r="A128" s="95"/>
      <c r="B128" s="95"/>
      <c r="C128" s="95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</row>
    <row r="129" spans="4:17" x14ac:dyDescent="0.2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</row>
    <row r="130" spans="4:17" x14ac:dyDescent="0.2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 spans="4:17" x14ac:dyDescent="0.2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</row>
    <row r="132" spans="4:17" x14ac:dyDescent="0.2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4:17" x14ac:dyDescent="0.2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</sheetData>
  <mergeCells count="2">
    <mergeCell ref="D9:D11"/>
    <mergeCell ref="A3:U7"/>
  </mergeCells>
  <phoneticPr fontId="7" type="noConversion"/>
  <pageMargins left="0.75" right="0.75" top="1" bottom="0.75" header="0.5" footer="0.5"/>
  <pageSetup scale="75" orientation="landscape" horizontalDpi="300" verticalDpi="300" r:id="rId1"/>
  <headerFooter alignWithMargins="0"/>
  <ignoredErrors>
    <ignoredError sqref="R25:U25 R55:U55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W116"/>
  <sheetViews>
    <sheetView showGridLines="0" showRowColHeaders="0" topLeftCell="A3" zoomScale="80" zoomScaleNormal="80" workbookViewId="0">
      <pane ySplit="8" topLeftCell="A37" activePane="bottomLeft" state="frozen"/>
      <selection activeCell="F3" sqref="F3"/>
      <selection pane="bottomLeft" activeCell="Q14" sqref="Q14"/>
    </sheetView>
  </sheetViews>
  <sheetFormatPr defaultColWidth="8.875" defaultRowHeight="11.4" outlineLevelRow="1" outlineLevelCol="1" x14ac:dyDescent="0.2"/>
  <cols>
    <col min="1" max="1" width="3" style="3" customWidth="1"/>
    <col min="2" max="2" width="22.75" style="3" customWidth="1"/>
    <col min="3" max="3" width="3" style="3" customWidth="1"/>
    <col min="4" max="4" width="20.75" customWidth="1"/>
    <col min="5" max="16" width="11.75" customWidth="1" outlineLevel="1"/>
    <col min="17" max="21" width="15.75" customWidth="1"/>
  </cols>
  <sheetData>
    <row r="1" spans="1:23" ht="12" customHeight="1" x14ac:dyDescent="0.2">
      <c r="A1" s="594" t="s">
        <v>254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  <c r="N1" s="594"/>
      <c r="O1" s="594"/>
      <c r="P1" s="594"/>
      <c r="Q1" s="594"/>
      <c r="R1" s="594"/>
      <c r="S1" s="594"/>
      <c r="T1" s="594"/>
      <c r="U1" s="594"/>
    </row>
    <row r="2" spans="1:23" ht="12" customHeight="1" x14ac:dyDescent="0.2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594"/>
      <c r="M2" s="594"/>
      <c r="N2" s="594"/>
      <c r="O2" s="594"/>
      <c r="P2" s="594"/>
      <c r="Q2" s="594"/>
      <c r="R2" s="594"/>
      <c r="S2" s="594"/>
      <c r="T2" s="594"/>
      <c r="U2" s="594"/>
    </row>
    <row r="3" spans="1:23" ht="12.75" customHeight="1" x14ac:dyDescent="0.3">
      <c r="A3" s="594"/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594"/>
      <c r="M3" s="594"/>
      <c r="N3" s="594"/>
      <c r="O3" s="594"/>
      <c r="P3" s="594"/>
      <c r="Q3" s="594"/>
      <c r="R3" s="594"/>
      <c r="S3" s="594"/>
      <c r="T3" s="594"/>
      <c r="U3" s="594"/>
      <c r="V3" s="70"/>
    </row>
    <row r="4" spans="1:23" ht="12.75" customHeight="1" x14ac:dyDescent="0.3">
      <c r="A4" s="594"/>
      <c r="B4" s="594"/>
      <c r="C4" s="594"/>
      <c r="D4" s="594"/>
      <c r="E4" s="594"/>
      <c r="F4" s="594"/>
      <c r="G4" s="594"/>
      <c r="H4" s="594"/>
      <c r="I4" s="594"/>
      <c r="J4" s="594"/>
      <c r="K4" s="594"/>
      <c r="L4" s="594"/>
      <c r="M4" s="594"/>
      <c r="N4" s="594"/>
      <c r="O4" s="594"/>
      <c r="P4" s="594"/>
      <c r="Q4" s="594"/>
      <c r="R4" s="594"/>
      <c r="S4" s="594"/>
      <c r="T4" s="594"/>
      <c r="U4" s="594"/>
      <c r="V4" s="70"/>
    </row>
    <row r="5" spans="1:23" ht="12.75" customHeight="1" x14ac:dyDescent="0.3">
      <c r="A5" s="594"/>
      <c r="B5" s="594"/>
      <c r="C5" s="594"/>
      <c r="D5" s="594"/>
      <c r="E5" s="594"/>
      <c r="F5" s="594"/>
      <c r="G5" s="594"/>
      <c r="H5" s="594"/>
      <c r="I5" s="594"/>
      <c r="J5" s="594"/>
      <c r="K5" s="594"/>
      <c r="L5" s="594"/>
      <c r="M5" s="594"/>
      <c r="N5" s="594"/>
      <c r="O5" s="594"/>
      <c r="P5" s="594"/>
      <c r="Q5" s="594"/>
      <c r="R5" s="594"/>
      <c r="S5" s="594"/>
      <c r="T5" s="594"/>
      <c r="U5" s="594"/>
      <c r="V5" s="70"/>
    </row>
    <row r="6" spans="1:23" ht="12.75" customHeight="1" x14ac:dyDescent="0.3">
      <c r="A6" s="98"/>
      <c r="B6" s="98"/>
      <c r="C6" s="98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3" ht="12.75" customHeight="1" x14ac:dyDescent="0.3">
      <c r="A7" s="98"/>
      <c r="B7" s="602" t="s">
        <v>148</v>
      </c>
      <c r="C7" s="98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3" ht="12.75" customHeight="1" x14ac:dyDescent="0.3">
      <c r="A8" s="98"/>
      <c r="B8" s="602"/>
      <c r="C8" s="98"/>
      <c r="D8" s="70"/>
      <c r="E8" s="127" t="s">
        <v>84</v>
      </c>
      <c r="F8" s="97" t="s">
        <v>85</v>
      </c>
      <c r="G8" s="97" t="s">
        <v>86</v>
      </c>
      <c r="H8" s="97" t="s">
        <v>75</v>
      </c>
      <c r="I8" s="97" t="s">
        <v>76</v>
      </c>
      <c r="J8" s="97" t="s">
        <v>77</v>
      </c>
      <c r="K8" s="97" t="s">
        <v>78</v>
      </c>
      <c r="L8" s="97" t="s">
        <v>79</v>
      </c>
      <c r="M8" s="97" t="s">
        <v>80</v>
      </c>
      <c r="N8" s="97" t="s">
        <v>81</v>
      </c>
      <c r="O8" s="97" t="s">
        <v>82</v>
      </c>
      <c r="P8" s="97" t="s">
        <v>83</v>
      </c>
      <c r="Q8" s="97" t="s">
        <v>206</v>
      </c>
      <c r="R8" s="97" t="s">
        <v>207</v>
      </c>
      <c r="S8" s="97" t="s">
        <v>208</v>
      </c>
      <c r="T8" s="97" t="s">
        <v>209</v>
      </c>
      <c r="U8" s="97" t="s">
        <v>210</v>
      </c>
      <c r="V8" s="70"/>
    </row>
    <row r="9" spans="1:23" ht="12.75" customHeight="1" x14ac:dyDescent="0.3">
      <c r="A9" s="98"/>
      <c r="B9" s="602"/>
      <c r="C9" s="98"/>
      <c r="D9" s="7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70"/>
    </row>
    <row r="10" spans="1:23" ht="12.75" customHeight="1" thickBot="1" x14ac:dyDescent="0.35">
      <c r="A10" s="101"/>
      <c r="B10" s="101"/>
      <c r="C10" s="101"/>
      <c r="D10" s="102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70"/>
    </row>
    <row r="11" spans="1:23" ht="12.75" customHeight="1" x14ac:dyDescent="0.3">
      <c r="A11" s="98"/>
      <c r="B11" s="98"/>
      <c r="C11" s="98"/>
      <c r="D11" s="70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70"/>
    </row>
    <row r="12" spans="1:23" ht="12.75" customHeight="1" x14ac:dyDescent="0.3">
      <c r="A12" s="98"/>
      <c r="B12" s="98"/>
      <c r="C12" s="98"/>
      <c r="D12" s="70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70"/>
    </row>
    <row r="13" spans="1:23" ht="15.6" x14ac:dyDescent="0.3">
      <c r="A13" s="43" t="s">
        <v>110</v>
      </c>
      <c r="B13" s="43"/>
      <c r="C13" s="43"/>
      <c r="D13" s="144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70"/>
    </row>
    <row r="14" spans="1:23" ht="15.6" outlineLevel="1" x14ac:dyDescent="0.3">
      <c r="A14" s="43"/>
      <c r="B14" s="98" t="s">
        <v>182</v>
      </c>
      <c r="C14" s="43"/>
      <c r="D14" s="144"/>
      <c r="E14" s="275">
        <f>'6. Income Statement'!E99</f>
        <v>-296827.67699350696</v>
      </c>
      <c r="F14" s="275">
        <f>'6. Income Statement'!F99</f>
        <v>-259.75267200034432</v>
      </c>
      <c r="G14" s="275">
        <f>'6. Income Statement'!G99</f>
        <v>75.793437012176582</v>
      </c>
      <c r="H14" s="275">
        <f>'6. Income Statement'!H99</f>
        <v>415.11443975108341</v>
      </c>
      <c r="I14" s="275">
        <f>'6. Income Statement'!I99</f>
        <v>758.2528037707998</v>
      </c>
      <c r="J14" s="275">
        <f>'6. Income Statement'!J99</f>
        <v>1105.25147438575</v>
      </c>
      <c r="K14" s="275">
        <f>'6. Income Statement'!K99</f>
        <v>1456.153880045109</v>
      </c>
      <c r="L14" s="275">
        <f>'6. Income Statement'!L99</f>
        <v>1811.0039377681314</v>
      </c>
      <c r="M14" s="275">
        <f>'6. Income Statement'!M99</f>
        <v>2169.846058640549</v>
      </c>
      <c r="N14" s="275">
        <f>'6. Income Statement'!N99</f>
        <v>2532.7251533727722</v>
      </c>
      <c r="O14" s="275">
        <f>'6. Income Statement'!O99</f>
        <v>2899.6866379207313</v>
      </c>
      <c r="P14" s="275">
        <f>'6. Income Statement'!P99</f>
        <v>-174470.8902274968</v>
      </c>
      <c r="Q14" s="275">
        <f>SUM(E14:P14)</f>
        <v>-458334.49207033694</v>
      </c>
      <c r="R14" s="275">
        <f>'6. Income Statement'!R99</f>
        <v>-291703.26744020497</v>
      </c>
      <c r="S14" s="275">
        <f>'6. Income Statement'!S99</f>
        <v>-59977.175516240008</v>
      </c>
      <c r="T14" s="275">
        <f>'6. Income Statement'!T99</f>
        <v>200545.69297944062</v>
      </c>
      <c r="U14" s="275">
        <f>'6. Income Statement'!U99</f>
        <v>493124.71604071447</v>
      </c>
      <c r="V14" s="131"/>
    </row>
    <row r="15" spans="1:23" ht="15.6" outlineLevel="1" x14ac:dyDescent="0.3">
      <c r="A15" s="43"/>
      <c r="B15" s="98" t="s">
        <v>183</v>
      </c>
      <c r="C15" s="43"/>
      <c r="D15" s="144"/>
      <c r="E15" s="275">
        <f>-('6. Income Statement'!E25+'6. Income Statement'!E55)</f>
        <v>69194.531497222226</v>
      </c>
      <c r="F15" s="275">
        <f>E15</f>
        <v>69194.531497222226</v>
      </c>
      <c r="G15" s="275">
        <f t="shared" ref="G15:P15" si="0">F15</f>
        <v>69194.531497222226</v>
      </c>
      <c r="H15" s="275">
        <f t="shared" si="0"/>
        <v>69194.531497222226</v>
      </c>
      <c r="I15" s="275">
        <f t="shared" si="0"/>
        <v>69194.531497222226</v>
      </c>
      <c r="J15" s="275">
        <f t="shared" si="0"/>
        <v>69194.531497222226</v>
      </c>
      <c r="K15" s="275">
        <f t="shared" si="0"/>
        <v>69194.531497222226</v>
      </c>
      <c r="L15" s="275">
        <f t="shared" si="0"/>
        <v>69194.531497222226</v>
      </c>
      <c r="M15" s="275">
        <f t="shared" si="0"/>
        <v>69194.531497222226</v>
      </c>
      <c r="N15" s="275">
        <f t="shared" si="0"/>
        <v>69194.531497222226</v>
      </c>
      <c r="O15" s="275">
        <f t="shared" si="0"/>
        <v>69194.531497222226</v>
      </c>
      <c r="P15" s="275">
        <f t="shared" si="0"/>
        <v>69194.531497222226</v>
      </c>
      <c r="Q15" s="275">
        <f t="shared" ref="Q15:Q21" si="1">SUM(E15:P15)</f>
        <v>830334.37796666694</v>
      </c>
      <c r="R15" s="275">
        <f>-'6. Income Statement'!R25</f>
        <v>830334.37796666659</v>
      </c>
      <c r="S15" s="275">
        <f>-'6. Income Statement'!S25</f>
        <v>830334.37796666659</v>
      </c>
      <c r="T15" s="275">
        <f>-'6. Income Statement'!T25</f>
        <v>830334.37796666659</v>
      </c>
      <c r="U15" s="275">
        <f>-'6. Income Statement'!U25</f>
        <v>830334.37796666659</v>
      </c>
      <c r="V15" s="70"/>
      <c r="W15" s="288"/>
    </row>
    <row r="16" spans="1:23" ht="15.6" outlineLevel="1" x14ac:dyDescent="0.3">
      <c r="A16" s="43"/>
      <c r="B16" s="98" t="s">
        <v>184</v>
      </c>
      <c r="C16" s="43"/>
      <c r="D16" s="144"/>
      <c r="E16" s="275">
        <v>0</v>
      </c>
      <c r="F16" s="275">
        <f>E16</f>
        <v>0</v>
      </c>
      <c r="G16" s="275">
        <f t="shared" ref="G16:P16" si="2">F16</f>
        <v>0</v>
      </c>
      <c r="H16" s="275">
        <f t="shared" si="2"/>
        <v>0</v>
      </c>
      <c r="I16" s="275">
        <f t="shared" si="2"/>
        <v>0</v>
      </c>
      <c r="J16" s="275">
        <f t="shared" si="2"/>
        <v>0</v>
      </c>
      <c r="K16" s="275">
        <f t="shared" si="2"/>
        <v>0</v>
      </c>
      <c r="L16" s="275">
        <f t="shared" si="2"/>
        <v>0</v>
      </c>
      <c r="M16" s="275">
        <f t="shared" si="2"/>
        <v>0</v>
      </c>
      <c r="N16" s="275">
        <f t="shared" si="2"/>
        <v>0</v>
      </c>
      <c r="O16" s="275">
        <f t="shared" si="2"/>
        <v>0</v>
      </c>
      <c r="P16" s="275">
        <f t="shared" si="2"/>
        <v>0</v>
      </c>
      <c r="Q16" s="275">
        <f t="shared" si="1"/>
        <v>0</v>
      </c>
      <c r="R16" s="275">
        <v>0</v>
      </c>
      <c r="S16" s="275">
        <v>0</v>
      </c>
      <c r="T16" s="275">
        <v>0</v>
      </c>
      <c r="U16" s="275">
        <v>0</v>
      </c>
      <c r="V16" s="70"/>
    </row>
    <row r="17" spans="1:22" ht="15.6" outlineLevel="1" x14ac:dyDescent="0.3">
      <c r="A17" s="43"/>
      <c r="B17" s="98" t="s">
        <v>175</v>
      </c>
      <c r="C17" s="43"/>
      <c r="D17" s="144"/>
      <c r="E17" s="275">
        <v>0</v>
      </c>
      <c r="F17" s="275">
        <f>E17</f>
        <v>0</v>
      </c>
      <c r="G17" s="275">
        <f t="shared" ref="G17:P17" si="3">F17</f>
        <v>0</v>
      </c>
      <c r="H17" s="275">
        <f t="shared" si="3"/>
        <v>0</v>
      </c>
      <c r="I17" s="275">
        <f t="shared" si="3"/>
        <v>0</v>
      </c>
      <c r="J17" s="275">
        <f t="shared" si="3"/>
        <v>0</v>
      </c>
      <c r="K17" s="275">
        <f t="shared" si="3"/>
        <v>0</v>
      </c>
      <c r="L17" s="275">
        <f t="shared" si="3"/>
        <v>0</v>
      </c>
      <c r="M17" s="275">
        <f t="shared" si="3"/>
        <v>0</v>
      </c>
      <c r="N17" s="275">
        <f t="shared" si="3"/>
        <v>0</v>
      </c>
      <c r="O17" s="275">
        <f t="shared" si="3"/>
        <v>0</v>
      </c>
      <c r="P17" s="275">
        <f t="shared" si="3"/>
        <v>0</v>
      </c>
      <c r="Q17" s="275">
        <f t="shared" si="1"/>
        <v>0</v>
      </c>
      <c r="R17" s="275">
        <v>0</v>
      </c>
      <c r="S17" s="275">
        <v>0</v>
      </c>
      <c r="T17" s="275">
        <v>0</v>
      </c>
      <c r="U17" s="275">
        <v>0</v>
      </c>
      <c r="V17" s="70"/>
    </row>
    <row r="18" spans="1:22" ht="15.6" outlineLevel="1" x14ac:dyDescent="0.3">
      <c r="A18" s="43"/>
      <c r="B18" s="98" t="s">
        <v>109</v>
      </c>
      <c r="C18" s="43"/>
      <c r="D18" s="144"/>
      <c r="E18" s="275">
        <f>-'6. Income Statement'!E95</f>
        <v>28215.778499062504</v>
      </c>
      <c r="F18" s="275">
        <f>-'6. Income Statement'!F95</f>
        <v>27883.965288666943</v>
      </c>
      <c r="G18" s="275">
        <f>-'6. Income Statement'!G95</f>
        <v>27548.419179654422</v>
      </c>
      <c r="H18" s="275">
        <f>-'6. Income Statement'!H95</f>
        <v>27209.098176915515</v>
      </c>
      <c r="I18" s="275">
        <f>-'6. Income Statement'!I95</f>
        <v>26865.959812895799</v>
      </c>
      <c r="J18" s="275">
        <f>-'6. Income Statement'!J95</f>
        <v>26518.961142280848</v>
      </c>
      <c r="K18" s="275">
        <f>-'6. Income Statement'!K95</f>
        <v>26168.05873662149</v>
      </c>
      <c r="L18" s="275">
        <f>-'6. Income Statement'!L95</f>
        <v>25813.208678898467</v>
      </c>
      <c r="M18" s="275">
        <f>-'6. Income Statement'!M95</f>
        <v>25454.366558026049</v>
      </c>
      <c r="N18" s="275">
        <f>-'6. Income Statement'!N95</f>
        <v>25091.487463293826</v>
      </c>
      <c r="O18" s="275">
        <f>-'6. Income Statement'!O95</f>
        <v>24724.525978745867</v>
      </c>
      <c r="P18" s="275">
        <f>-'6. Income Statement'!P95</f>
        <v>24353.436177496729</v>
      </c>
      <c r="Q18" s="275">
        <f>SUM(E18:P18)</f>
        <v>315847.26569255849</v>
      </c>
      <c r="R18" s="275">
        <f>-'6. Income Statement'!R95</f>
        <v>261728.52800242676</v>
      </c>
      <c r="S18" s="275">
        <f>-'6. Income Statement'!S95</f>
        <v>199834.31094096199</v>
      </c>
      <c r="T18" s="275">
        <f>-'6. Income Statement'!T95</f>
        <v>129047.47685798114</v>
      </c>
      <c r="U18" s="275">
        <f>-'6. Income Statement'!U95</f>
        <v>48090.383976178411</v>
      </c>
      <c r="V18" s="70"/>
    </row>
    <row r="19" spans="1:22" ht="15.6" outlineLevel="1" x14ac:dyDescent="0.3">
      <c r="A19" s="43"/>
      <c r="B19" s="105" t="s">
        <v>202</v>
      </c>
      <c r="C19" s="74"/>
      <c r="D19" s="190"/>
      <c r="E19" s="275">
        <f>-('8. Balance Sheet'!G24-'8. Balance Sheet'!F24)/12</f>
        <v>-18050</v>
      </c>
      <c r="F19" s="275">
        <f t="shared" ref="F19:P21" si="4">E19</f>
        <v>-18050</v>
      </c>
      <c r="G19" s="275">
        <f t="shared" si="4"/>
        <v>-18050</v>
      </c>
      <c r="H19" s="275">
        <f t="shared" si="4"/>
        <v>-18050</v>
      </c>
      <c r="I19" s="275">
        <f t="shared" si="4"/>
        <v>-18050</v>
      </c>
      <c r="J19" s="275">
        <f t="shared" si="4"/>
        <v>-18050</v>
      </c>
      <c r="K19" s="275">
        <f t="shared" si="4"/>
        <v>-18050</v>
      </c>
      <c r="L19" s="275">
        <f t="shared" si="4"/>
        <v>-18050</v>
      </c>
      <c r="M19" s="275">
        <f t="shared" si="4"/>
        <v>-18050</v>
      </c>
      <c r="N19" s="275">
        <f t="shared" si="4"/>
        <v>-18050</v>
      </c>
      <c r="O19" s="275">
        <f t="shared" si="4"/>
        <v>-18050</v>
      </c>
      <c r="P19" s="275">
        <f t="shared" si="4"/>
        <v>-18050</v>
      </c>
      <c r="Q19" s="275">
        <f t="shared" si="1"/>
        <v>-216600</v>
      </c>
      <c r="R19" s="275">
        <f>-('8. Balance Sheet'!H24-'8. Balance Sheet'!G24)</f>
        <v>205770</v>
      </c>
      <c r="S19" s="275">
        <f>-('8. Balance Sheet'!I24-'8. Balance Sheet'!H24)</f>
        <v>-217141.5</v>
      </c>
      <c r="T19" s="275">
        <f>-('8. Balance Sheet'!J24-'8. Balance Sheet'!I24)</f>
        <v>205201.42499999999</v>
      </c>
      <c r="U19" s="275">
        <f>-('8. Balance Sheet'!K24-'8. Balance Sheet'!J24)</f>
        <v>-217738.50374999997</v>
      </c>
      <c r="V19" s="70"/>
    </row>
    <row r="20" spans="1:22" ht="15.6" outlineLevel="1" x14ac:dyDescent="0.3">
      <c r="A20" s="43"/>
      <c r="B20" s="98" t="s">
        <v>186</v>
      </c>
      <c r="C20" s="43"/>
      <c r="D20" s="144"/>
      <c r="E20" s="275">
        <f>-'15. Debtors &amp; Creditors'!H17</f>
        <v>0</v>
      </c>
      <c r="F20" s="275">
        <f t="shared" si="4"/>
        <v>0</v>
      </c>
      <c r="G20" s="275">
        <f t="shared" si="4"/>
        <v>0</v>
      </c>
      <c r="H20" s="275">
        <f t="shared" si="4"/>
        <v>0</v>
      </c>
      <c r="I20" s="275">
        <f t="shared" si="4"/>
        <v>0</v>
      </c>
      <c r="J20" s="275">
        <f t="shared" si="4"/>
        <v>0</v>
      </c>
      <c r="K20" s="275">
        <f t="shared" si="4"/>
        <v>0</v>
      </c>
      <c r="L20" s="275">
        <f t="shared" si="4"/>
        <v>0</v>
      </c>
      <c r="M20" s="275">
        <f t="shared" si="4"/>
        <v>0</v>
      </c>
      <c r="N20" s="275">
        <f t="shared" si="4"/>
        <v>0</v>
      </c>
      <c r="O20" s="275">
        <f t="shared" si="4"/>
        <v>0</v>
      </c>
      <c r="P20" s="275">
        <f t="shared" si="4"/>
        <v>0</v>
      </c>
      <c r="Q20" s="275">
        <f t="shared" si="1"/>
        <v>0</v>
      </c>
      <c r="R20" s="275">
        <f>-('8. Balance Sheet'!H25-'8. Balance Sheet'!G25)</f>
        <v>0</v>
      </c>
      <c r="S20" s="275">
        <f>-('8. Balance Sheet'!I25-'8. Balance Sheet'!H25)</f>
        <v>0</v>
      </c>
      <c r="T20" s="275">
        <f>-('8. Balance Sheet'!J25-'8. Balance Sheet'!I25)</f>
        <v>0</v>
      </c>
      <c r="U20" s="275">
        <f>-('8. Balance Sheet'!K25-'8. Balance Sheet'!J25)</f>
        <v>0</v>
      </c>
      <c r="V20" s="70"/>
    </row>
    <row r="21" spans="1:22" ht="16.2" outlineLevel="1" thickBot="1" x14ac:dyDescent="0.35">
      <c r="A21" s="141"/>
      <c r="B21" s="101" t="s">
        <v>140</v>
      </c>
      <c r="C21" s="141"/>
      <c r="D21" s="152"/>
      <c r="E21" s="276">
        <f>'15. Debtors &amp; Creditors'!H20</f>
        <v>0</v>
      </c>
      <c r="F21" s="276">
        <f t="shared" si="4"/>
        <v>0</v>
      </c>
      <c r="G21" s="276">
        <f t="shared" si="4"/>
        <v>0</v>
      </c>
      <c r="H21" s="276">
        <f t="shared" si="4"/>
        <v>0</v>
      </c>
      <c r="I21" s="276">
        <f t="shared" si="4"/>
        <v>0</v>
      </c>
      <c r="J21" s="276">
        <f t="shared" si="4"/>
        <v>0</v>
      </c>
      <c r="K21" s="276">
        <f t="shared" si="4"/>
        <v>0</v>
      </c>
      <c r="L21" s="276">
        <f t="shared" si="4"/>
        <v>0</v>
      </c>
      <c r="M21" s="276">
        <f t="shared" si="4"/>
        <v>0</v>
      </c>
      <c r="N21" s="276">
        <f t="shared" si="4"/>
        <v>0</v>
      </c>
      <c r="O21" s="276">
        <f t="shared" si="4"/>
        <v>0</v>
      </c>
      <c r="P21" s="276">
        <f t="shared" si="4"/>
        <v>0</v>
      </c>
      <c r="Q21" s="276">
        <f t="shared" si="1"/>
        <v>0</v>
      </c>
      <c r="R21" s="276">
        <f>'8. Balance Sheet'!H46-'8. Balance Sheet'!G46</f>
        <v>0</v>
      </c>
      <c r="S21" s="276">
        <f>'8. Balance Sheet'!I46-'8. Balance Sheet'!H46</f>
        <v>0</v>
      </c>
      <c r="T21" s="276">
        <f>'8. Balance Sheet'!J46-'8. Balance Sheet'!I46</f>
        <v>0</v>
      </c>
      <c r="U21" s="276">
        <f>'8. Balance Sheet'!K46-'8. Balance Sheet'!J46</f>
        <v>0</v>
      </c>
      <c r="V21" s="70"/>
    </row>
    <row r="22" spans="1:22" ht="12.75" customHeight="1" x14ac:dyDescent="0.3">
      <c r="B22" s="98" t="s">
        <v>111</v>
      </c>
      <c r="C22" s="98"/>
      <c r="D22" s="70"/>
      <c r="E22" s="275">
        <f t="shared" ref="E22:Q22" si="5">SUM(E14:E21)</f>
        <v>-217467.36699722224</v>
      </c>
      <c r="F22" s="275">
        <f t="shared" si="5"/>
        <v>78768.744113888824</v>
      </c>
      <c r="G22" s="275">
        <f t="shared" si="5"/>
        <v>78768.744113888824</v>
      </c>
      <c r="H22" s="275">
        <f t="shared" si="5"/>
        <v>78768.744113888824</v>
      </c>
      <c r="I22" s="275">
        <f t="shared" si="5"/>
        <v>78768.744113888824</v>
      </c>
      <c r="J22" s="275">
        <f t="shared" si="5"/>
        <v>78768.744113888824</v>
      </c>
      <c r="K22" s="275">
        <f t="shared" si="5"/>
        <v>78768.744113888824</v>
      </c>
      <c r="L22" s="275">
        <f t="shared" si="5"/>
        <v>78768.744113888824</v>
      </c>
      <c r="M22" s="275">
        <f t="shared" si="5"/>
        <v>78768.744113888824</v>
      </c>
      <c r="N22" s="275">
        <f t="shared" si="5"/>
        <v>78768.744113888824</v>
      </c>
      <c r="O22" s="275">
        <f t="shared" si="5"/>
        <v>78768.744113888824</v>
      </c>
      <c r="P22" s="275">
        <f t="shared" si="5"/>
        <v>-98972.922552777847</v>
      </c>
      <c r="Q22" s="275">
        <f t="shared" si="5"/>
        <v>471247.15158888849</v>
      </c>
      <c r="R22" s="275">
        <f t="shared" ref="R22:U22" si="6">SUM(R14:R21)</f>
        <v>1006129.6385288883</v>
      </c>
      <c r="S22" s="275">
        <f t="shared" si="6"/>
        <v>753050.01339138858</v>
      </c>
      <c r="T22" s="275">
        <f t="shared" si="6"/>
        <v>1365128.9728040884</v>
      </c>
      <c r="U22" s="131">
        <f t="shared" si="6"/>
        <v>1153810.9742335596</v>
      </c>
      <c r="V22" s="70"/>
    </row>
    <row r="23" spans="1:22" ht="12.75" customHeight="1" x14ac:dyDescent="0.3">
      <c r="B23" s="98" t="s">
        <v>176</v>
      </c>
      <c r="C23" s="98"/>
      <c r="D23" s="70"/>
      <c r="E23" s="275">
        <f>'6. Income Statement'!E95</f>
        <v>-28215.778499062504</v>
      </c>
      <c r="F23" s="275">
        <f>'6. Income Statement'!F95</f>
        <v>-27883.965288666943</v>
      </c>
      <c r="G23" s="275">
        <f>'6. Income Statement'!G95</f>
        <v>-27548.419179654422</v>
      </c>
      <c r="H23" s="275">
        <f>'6. Income Statement'!H95</f>
        <v>-27209.098176915515</v>
      </c>
      <c r="I23" s="275">
        <f>'6. Income Statement'!I95</f>
        <v>-26865.959812895799</v>
      </c>
      <c r="J23" s="275">
        <f>'6. Income Statement'!J95</f>
        <v>-26518.961142280848</v>
      </c>
      <c r="K23" s="275">
        <f>'6. Income Statement'!K95</f>
        <v>-26168.05873662149</v>
      </c>
      <c r="L23" s="275">
        <f>'6. Income Statement'!L95</f>
        <v>-25813.208678898467</v>
      </c>
      <c r="M23" s="275">
        <f>'6. Income Statement'!M95</f>
        <v>-25454.366558026049</v>
      </c>
      <c r="N23" s="275">
        <f>'6. Income Statement'!N95</f>
        <v>-25091.487463293826</v>
      </c>
      <c r="O23" s="275">
        <f>'6. Income Statement'!O95</f>
        <v>-24724.525978745867</v>
      </c>
      <c r="P23" s="275">
        <f>'6. Income Statement'!P95</f>
        <v>-24353.436177496729</v>
      </c>
      <c r="Q23" s="275">
        <f>SUM(E23:P23)</f>
        <v>-315847.26569255849</v>
      </c>
      <c r="R23" s="275">
        <f>'6. Income Statement'!R95</f>
        <v>-261728.52800242676</v>
      </c>
      <c r="S23" s="275">
        <f>'6. Income Statement'!S95</f>
        <v>-199834.31094096199</v>
      </c>
      <c r="T23" s="275">
        <f>'6. Income Statement'!T95</f>
        <v>-129047.47685798114</v>
      </c>
      <c r="U23" s="131">
        <f>'6. Income Statement'!U95</f>
        <v>-48090.383976178411</v>
      </c>
      <c r="V23" s="70"/>
    </row>
    <row r="24" spans="1:22" ht="12.75" customHeight="1" x14ac:dyDescent="0.3">
      <c r="A24" s="98"/>
      <c r="B24" s="98" t="s">
        <v>31</v>
      </c>
      <c r="D24" s="70"/>
      <c r="E24" s="275">
        <v>0</v>
      </c>
      <c r="F24" s="275">
        <v>0</v>
      </c>
      <c r="G24" s="275">
        <f>SUM('6. Income Statement'!E102:G102)</f>
        <v>80193.141781693688</v>
      </c>
      <c r="H24" s="275">
        <v>0</v>
      </c>
      <c r="I24" s="275">
        <v>0</v>
      </c>
      <c r="J24" s="275">
        <f>SUM('6. Income Statement'!H102:J102)</f>
        <v>-615.22705383506104</v>
      </c>
      <c r="K24" s="275">
        <v>0</v>
      </c>
      <c r="L24" s="275">
        <v>0</v>
      </c>
      <c r="M24" s="275">
        <f>SUM('6. Income Statement'!K102:M102)</f>
        <v>-1467.9910466425233</v>
      </c>
      <c r="N24" s="275">
        <v>0</v>
      </c>
      <c r="O24" s="275">
        <v>0</v>
      </c>
      <c r="P24" s="275">
        <f>SUM('6. Income Statement'!N102:P102)</f>
        <v>45640.389177774887</v>
      </c>
      <c r="Q24" s="275">
        <f>SUM(E24:P24)</f>
        <v>123750.312858991</v>
      </c>
      <c r="R24" s="275">
        <f>'6. Income Statement'!R102</f>
        <v>78759.882208855342</v>
      </c>
      <c r="S24" s="275">
        <f>'6. Income Statement'!S102</f>
        <v>16193.837389384804</v>
      </c>
      <c r="T24" s="275">
        <f>'6. Income Statement'!T102</f>
        <v>-54147.337104448969</v>
      </c>
      <c r="U24" s="131">
        <f>'6. Income Statement'!U102</f>
        <v>-133143.67333099293</v>
      </c>
      <c r="V24" s="70"/>
    </row>
    <row r="25" spans="1:22" ht="12.75" customHeight="1" thickBot="1" x14ac:dyDescent="0.35">
      <c r="A25" s="109"/>
      <c r="B25" s="109" t="s">
        <v>114</v>
      </c>
      <c r="C25" s="129"/>
      <c r="D25" s="110"/>
      <c r="E25" s="277">
        <f t="shared" ref="E25:P25" si="7">SUM(E22:E24)</f>
        <v>-245683.14549628473</v>
      </c>
      <c r="F25" s="277">
        <f t="shared" si="7"/>
        <v>50884.778825221882</v>
      </c>
      <c r="G25" s="277">
        <f t="shared" si="7"/>
        <v>131413.46671592811</v>
      </c>
      <c r="H25" s="277">
        <f t="shared" si="7"/>
        <v>51559.645936973306</v>
      </c>
      <c r="I25" s="277">
        <f t="shared" si="7"/>
        <v>51902.784300993022</v>
      </c>
      <c r="J25" s="277">
        <f t="shared" si="7"/>
        <v>51634.555917772908</v>
      </c>
      <c r="K25" s="277">
        <f t="shared" si="7"/>
        <v>52600.685377267335</v>
      </c>
      <c r="L25" s="277">
        <f t="shared" si="7"/>
        <v>52955.535434990357</v>
      </c>
      <c r="M25" s="277">
        <f t="shared" si="7"/>
        <v>51846.386509220254</v>
      </c>
      <c r="N25" s="277">
        <f t="shared" si="7"/>
        <v>53677.256650594994</v>
      </c>
      <c r="O25" s="277">
        <f t="shared" si="7"/>
        <v>54044.218135142961</v>
      </c>
      <c r="P25" s="277">
        <f t="shared" si="7"/>
        <v>-77685.969552499679</v>
      </c>
      <c r="Q25" s="277">
        <f>SUM(Q22:Q24)</f>
        <v>279150.19875532098</v>
      </c>
      <c r="R25" s="277">
        <f t="shared" ref="R25:U25" si="8">SUM(R22:R24)</f>
        <v>823160.99273531698</v>
      </c>
      <c r="S25" s="277">
        <f t="shared" si="8"/>
        <v>569409.53983981139</v>
      </c>
      <c r="T25" s="277">
        <f t="shared" si="8"/>
        <v>1181934.1588416582</v>
      </c>
      <c r="U25" s="150">
        <f t="shared" si="8"/>
        <v>972576.91692638816</v>
      </c>
      <c r="V25" s="70"/>
    </row>
    <row r="26" spans="1:22" ht="12.75" customHeight="1" thickTop="1" x14ac:dyDescent="0.3">
      <c r="A26" s="43"/>
      <c r="B26" s="43"/>
      <c r="C26" s="43"/>
      <c r="D26" s="144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8"/>
      <c r="R26" s="278"/>
      <c r="S26" s="278"/>
      <c r="T26" s="278"/>
      <c r="U26" s="192"/>
      <c r="V26" s="70"/>
    </row>
    <row r="27" spans="1:22" ht="12.75" customHeight="1" x14ac:dyDescent="0.3">
      <c r="A27" s="43"/>
      <c r="B27" s="43"/>
      <c r="C27" s="43"/>
      <c r="D27" s="144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9"/>
      <c r="S27" s="279"/>
      <c r="T27" s="279"/>
      <c r="U27" s="193"/>
      <c r="V27" s="70"/>
    </row>
    <row r="28" spans="1:22" ht="12.75" customHeight="1" x14ac:dyDescent="0.3">
      <c r="A28" s="43" t="s">
        <v>115</v>
      </c>
      <c r="B28" s="43"/>
      <c r="C28" s="43"/>
      <c r="D28" s="144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131"/>
      <c r="V28" s="70"/>
    </row>
    <row r="29" spans="1:22" ht="12.75" customHeight="1" x14ac:dyDescent="0.3">
      <c r="A29" s="98"/>
      <c r="B29" s="98" t="s">
        <v>174</v>
      </c>
      <c r="D29" s="70"/>
      <c r="E29" s="275">
        <f>'8. Balance Sheet'!F20*0</f>
        <v>0</v>
      </c>
      <c r="F29" s="275">
        <v>0</v>
      </c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5">
        <f>SUM(E29:P29)</f>
        <v>0</v>
      </c>
      <c r="R29" s="275">
        <f t="shared" ref="R29:U29" si="9">SUM(F29:Q29)</f>
        <v>0</v>
      </c>
      <c r="S29" s="275">
        <f t="shared" si="9"/>
        <v>0</v>
      </c>
      <c r="T29" s="275">
        <f t="shared" si="9"/>
        <v>0</v>
      </c>
      <c r="U29" s="131">
        <f t="shared" si="9"/>
        <v>0</v>
      </c>
      <c r="V29" s="70"/>
    </row>
    <row r="30" spans="1:22" ht="12.75" customHeight="1" x14ac:dyDescent="0.3">
      <c r="A30" s="98"/>
      <c r="B30" s="98" t="s">
        <v>116</v>
      </c>
      <c r="D30" s="70"/>
      <c r="E30" s="275">
        <v>0</v>
      </c>
      <c r="F30" s="275">
        <v>0</v>
      </c>
      <c r="G30" s="275">
        <v>0</v>
      </c>
      <c r="H30" s="275">
        <v>0</v>
      </c>
      <c r="I30" s="275">
        <v>0</v>
      </c>
      <c r="J30" s="275">
        <v>0</v>
      </c>
      <c r="K30" s="275">
        <v>0</v>
      </c>
      <c r="L30" s="275">
        <v>0</v>
      </c>
      <c r="M30" s="275">
        <v>0</v>
      </c>
      <c r="N30" s="275">
        <v>0</v>
      </c>
      <c r="O30" s="275">
        <v>0</v>
      </c>
      <c r="P30" s="275">
        <v>0</v>
      </c>
      <c r="Q30" s="275">
        <v>0</v>
      </c>
      <c r="R30" s="275">
        <v>0</v>
      </c>
      <c r="S30" s="275">
        <v>0</v>
      </c>
      <c r="T30" s="275">
        <v>0</v>
      </c>
      <c r="U30" s="131">
        <v>0</v>
      </c>
      <c r="V30" s="70"/>
    </row>
    <row r="31" spans="1:22" ht="12.75" customHeight="1" thickBot="1" x14ac:dyDescent="0.35">
      <c r="A31" s="109"/>
      <c r="B31" s="109" t="s">
        <v>117</v>
      </c>
      <c r="C31" s="109"/>
      <c r="D31" s="110"/>
      <c r="E31" s="277">
        <f t="shared" ref="E31:Q31" si="10">SUM(E29:E30)</f>
        <v>0</v>
      </c>
      <c r="F31" s="277">
        <f t="shared" si="10"/>
        <v>0</v>
      </c>
      <c r="G31" s="277">
        <f t="shared" si="10"/>
        <v>0</v>
      </c>
      <c r="H31" s="277">
        <f t="shared" si="10"/>
        <v>0</v>
      </c>
      <c r="I31" s="277">
        <f t="shared" si="10"/>
        <v>0</v>
      </c>
      <c r="J31" s="277">
        <f t="shared" si="10"/>
        <v>0</v>
      </c>
      <c r="K31" s="277">
        <f t="shared" si="10"/>
        <v>0</v>
      </c>
      <c r="L31" s="277">
        <f t="shared" si="10"/>
        <v>0</v>
      </c>
      <c r="M31" s="277">
        <f t="shared" si="10"/>
        <v>0</v>
      </c>
      <c r="N31" s="277">
        <f t="shared" si="10"/>
        <v>0</v>
      </c>
      <c r="O31" s="277">
        <f t="shared" si="10"/>
        <v>0</v>
      </c>
      <c r="P31" s="277">
        <f t="shared" si="10"/>
        <v>0</v>
      </c>
      <c r="Q31" s="277">
        <f t="shared" si="10"/>
        <v>0</v>
      </c>
      <c r="R31" s="277">
        <f t="shared" ref="R31" si="11">SUM(R29:R30)</f>
        <v>0</v>
      </c>
      <c r="S31" s="277">
        <f t="shared" ref="S31" si="12">SUM(S29:S30)</f>
        <v>0</v>
      </c>
      <c r="T31" s="277">
        <f t="shared" ref="T31" si="13">SUM(T29:T30)</f>
        <v>0</v>
      </c>
      <c r="U31" s="150">
        <f t="shared" ref="U31" si="14">SUM(U29:U30)</f>
        <v>0</v>
      </c>
      <c r="V31" s="70"/>
    </row>
    <row r="32" spans="1:22" ht="12.75" customHeight="1" thickTop="1" x14ac:dyDescent="0.3">
      <c r="A32" s="98"/>
      <c r="B32" s="98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131"/>
      <c r="V32" s="70"/>
    </row>
    <row r="33" spans="1:22" ht="12.75" customHeight="1" x14ac:dyDescent="0.3">
      <c r="A33" s="98"/>
      <c r="B33" s="98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131"/>
      <c r="V33" s="70"/>
    </row>
    <row r="34" spans="1:22" ht="12.75" customHeight="1" x14ac:dyDescent="0.3">
      <c r="A34" s="43" t="s">
        <v>118</v>
      </c>
      <c r="B34" s="98"/>
      <c r="C34" s="98"/>
      <c r="D34" s="70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131"/>
      <c r="V34" s="70"/>
    </row>
    <row r="35" spans="1:22" ht="12.75" customHeight="1" x14ac:dyDescent="0.3">
      <c r="B35" s="98" t="s">
        <v>178</v>
      </c>
      <c r="C35" s="98"/>
      <c r="D35" s="70"/>
      <c r="E35" s="275">
        <f>-('11. Depreciation &amp;Amoritization'!G21+'11. Depreciation &amp;Amoritization'!G52)</f>
        <v>-29494.507590717054</v>
      </c>
      <c r="F35" s="275">
        <f>-('11. Depreciation &amp;Amoritization'!H21+'11. Depreciation &amp;Amoritization'!H52)</f>
        <v>-29826.320801112615</v>
      </c>
      <c r="G35" s="275">
        <f>-('11. Depreciation &amp;Amoritization'!I21+'11. Depreciation &amp;Amoritization'!I52)</f>
        <v>-30161.866910125136</v>
      </c>
      <c r="H35" s="275">
        <f>-('11. Depreciation &amp;Amoritization'!J21+'11. Depreciation &amp;Amoritization'!J52)</f>
        <v>-30501.187912864043</v>
      </c>
      <c r="I35" s="275">
        <f>-('11. Depreciation &amp;Amoritization'!K21+'11. Depreciation &amp;Amoritization'!K52)</f>
        <v>-30844.32627688377</v>
      </c>
      <c r="J35" s="275">
        <f>-('11. Depreciation &amp;Amoritization'!L21+'11. Depreciation &amp;Amoritization'!L52)</f>
        <v>-31191.32494749871</v>
      </c>
      <c r="K35" s="275">
        <f>-('11. Depreciation &amp;Amoritization'!M21+'11. Depreciation &amp;Amoritization'!M52)</f>
        <v>-31542.227353158065</v>
      </c>
      <c r="L35" s="275">
        <f>-('11. Depreciation &amp;Amoritization'!N21+'11. Depreciation &amp;Amoritization'!N52)</f>
        <v>-31897.077410881091</v>
      </c>
      <c r="M35" s="275">
        <f>-('11. Depreciation &amp;Amoritization'!O21+'11. Depreciation &amp;Amoritization'!O52)</f>
        <v>-32255.919531753509</v>
      </c>
      <c r="N35" s="275">
        <f>-('11. Depreciation &amp;Amoritization'!P21+'11. Depreciation &amp;Amoritization'!P52)</f>
        <v>-32618.798626485732</v>
      </c>
      <c r="O35" s="275">
        <f>-('11. Depreciation &amp;Amoritization'!Q21+'11. Depreciation &amp;Amoritization'!Q52)</f>
        <v>-32985.760111033705</v>
      </c>
      <c r="P35" s="275">
        <f>-('11. Depreciation &amp;Amoritization'!R21+'11. Depreciation &amp;Amoritization'!R52)</f>
        <v>-33356.849912282829</v>
      </c>
      <c r="Q35" s="275">
        <f>SUM(E35:P35)</f>
        <v>-376676.16738479625</v>
      </c>
      <c r="R35" s="275">
        <f>-('11. Depreciation &amp;Amoritization'!S25+'11. Depreciation &amp;Amoritization'!S56)</f>
        <v>-430794.90507492796</v>
      </c>
      <c r="S35" s="275">
        <f>-('11. Depreciation &amp;Amoritization'!S29+'11. Depreciation &amp;Amoritization'!S60)</f>
        <v>-492689.12213639275</v>
      </c>
      <c r="T35" s="275">
        <f>-('11. Depreciation &amp;Amoritization'!S33+'11. Depreciation &amp;Amoritization'!S64)</f>
        <v>-563475.95621937362</v>
      </c>
      <c r="U35" s="131">
        <f>-('11. Depreciation &amp;Amoritization'!S37+'11. Depreciation &amp;Amoritization'!S68)</f>
        <v>-644433.04910117632</v>
      </c>
      <c r="V35" s="70"/>
    </row>
    <row r="36" spans="1:22" ht="12.75" customHeight="1" x14ac:dyDescent="0.3">
      <c r="B36" s="98" t="s">
        <v>179</v>
      </c>
      <c r="C36" s="98"/>
      <c r="D36" s="70"/>
      <c r="E36" s="275">
        <f>'4. Financing'!G32*0</f>
        <v>0</v>
      </c>
      <c r="F36" s="275">
        <v>0</v>
      </c>
      <c r="G36" s="275">
        <v>0</v>
      </c>
      <c r="H36" s="275">
        <v>0</v>
      </c>
      <c r="I36" s="275">
        <v>0</v>
      </c>
      <c r="J36" s="275">
        <v>0</v>
      </c>
      <c r="K36" s="275">
        <v>0</v>
      </c>
      <c r="L36" s="275">
        <v>0</v>
      </c>
      <c r="M36" s="275">
        <v>0</v>
      </c>
      <c r="N36" s="275">
        <v>0</v>
      </c>
      <c r="O36" s="275">
        <v>0</v>
      </c>
      <c r="P36" s="275">
        <v>0</v>
      </c>
      <c r="Q36" s="275">
        <f>SUM(E36:P36)</f>
        <v>0</v>
      </c>
      <c r="R36" s="275">
        <f t="shared" ref="R36:U36" si="15">SUM(F36:Q36)</f>
        <v>0</v>
      </c>
      <c r="S36" s="275">
        <f t="shared" si="15"/>
        <v>0</v>
      </c>
      <c r="T36" s="275">
        <f t="shared" si="15"/>
        <v>0</v>
      </c>
      <c r="U36" s="131">
        <f t="shared" si="15"/>
        <v>0</v>
      </c>
      <c r="V36" s="70"/>
    </row>
    <row r="37" spans="1:22" ht="12.75" customHeight="1" x14ac:dyDescent="0.3">
      <c r="B37" s="98" t="s">
        <v>120</v>
      </c>
      <c r="C37" s="98"/>
      <c r="D37" s="70"/>
      <c r="E37" s="275">
        <v>0</v>
      </c>
      <c r="F37" s="275">
        <v>0</v>
      </c>
      <c r="G37" s="275">
        <v>0</v>
      </c>
      <c r="H37" s="275">
        <v>0</v>
      </c>
      <c r="I37" s="275">
        <v>0</v>
      </c>
      <c r="J37" s="275">
        <v>0</v>
      </c>
      <c r="K37" s="275">
        <v>0</v>
      </c>
      <c r="L37" s="275">
        <v>0</v>
      </c>
      <c r="M37" s="275">
        <v>0</v>
      </c>
      <c r="N37" s="275">
        <v>0</v>
      </c>
      <c r="O37" s="275">
        <v>0</v>
      </c>
      <c r="P37" s="275">
        <v>0</v>
      </c>
      <c r="Q37" s="275">
        <f>SUM(E37:P37)</f>
        <v>0</v>
      </c>
      <c r="R37" s="275">
        <f t="shared" ref="R37:U37" si="16">SUM(F37:Q37)</f>
        <v>0</v>
      </c>
      <c r="S37" s="275">
        <f t="shared" si="16"/>
        <v>0</v>
      </c>
      <c r="T37" s="275">
        <f t="shared" si="16"/>
        <v>0</v>
      </c>
      <c r="U37" s="131">
        <f t="shared" si="16"/>
        <v>0</v>
      </c>
      <c r="V37" s="70"/>
    </row>
    <row r="38" spans="1:22" ht="12.75" customHeight="1" thickBot="1" x14ac:dyDescent="0.35">
      <c r="A38" s="109" t="s">
        <v>166</v>
      </c>
      <c r="B38" s="109"/>
      <c r="C38" s="109"/>
      <c r="D38" s="110"/>
      <c r="E38" s="277">
        <f>SUM(E35:E37)</f>
        <v>-29494.507590717054</v>
      </c>
      <c r="F38" s="277">
        <f t="shared" ref="F38:P38" si="17">SUM(F35:F37)</f>
        <v>-29826.320801112615</v>
      </c>
      <c r="G38" s="277">
        <f t="shared" si="17"/>
        <v>-30161.866910125136</v>
      </c>
      <c r="H38" s="277">
        <f t="shared" si="17"/>
        <v>-30501.187912864043</v>
      </c>
      <c r="I38" s="277">
        <f t="shared" si="17"/>
        <v>-30844.32627688377</v>
      </c>
      <c r="J38" s="277">
        <f t="shared" si="17"/>
        <v>-31191.32494749871</v>
      </c>
      <c r="K38" s="277">
        <f t="shared" si="17"/>
        <v>-31542.227353158065</v>
      </c>
      <c r="L38" s="277">
        <f t="shared" si="17"/>
        <v>-31897.077410881091</v>
      </c>
      <c r="M38" s="277">
        <f t="shared" si="17"/>
        <v>-32255.919531753509</v>
      </c>
      <c r="N38" s="277">
        <f t="shared" si="17"/>
        <v>-32618.798626485732</v>
      </c>
      <c r="O38" s="277">
        <f t="shared" si="17"/>
        <v>-32985.760111033705</v>
      </c>
      <c r="P38" s="277">
        <f t="shared" si="17"/>
        <v>-33356.849912282829</v>
      </c>
      <c r="Q38" s="277">
        <f>SUM(Q35:Q37)</f>
        <v>-376676.16738479625</v>
      </c>
      <c r="R38" s="277">
        <f t="shared" ref="R38:U38" si="18">SUM(R35:R37)</f>
        <v>-430794.90507492796</v>
      </c>
      <c r="S38" s="277">
        <f t="shared" si="18"/>
        <v>-492689.12213639275</v>
      </c>
      <c r="T38" s="277">
        <f t="shared" si="18"/>
        <v>-563475.95621937362</v>
      </c>
      <c r="U38" s="150">
        <f t="shared" si="18"/>
        <v>-644433.04910117632</v>
      </c>
      <c r="V38" s="70"/>
    </row>
    <row r="39" spans="1:22" ht="12.75" customHeight="1" thickTop="1" x14ac:dyDescent="0.3">
      <c r="A39" s="98"/>
      <c r="B39" s="98"/>
      <c r="C39" s="98"/>
      <c r="D39" s="7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151"/>
      <c r="V39" s="70"/>
    </row>
    <row r="40" spans="1:22" ht="12.75" customHeight="1" outlineLevel="1" x14ac:dyDescent="0.3">
      <c r="A40" s="43"/>
      <c r="B40" s="43"/>
      <c r="C40" s="43"/>
      <c r="D40" s="144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131"/>
      <c r="V40" s="70"/>
    </row>
    <row r="41" spans="1:22" ht="12.75" customHeight="1" outlineLevel="1" thickBot="1" x14ac:dyDescent="0.35">
      <c r="A41" s="141"/>
      <c r="B41" s="141"/>
      <c r="C41" s="141"/>
      <c r="D41" s="152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149"/>
      <c r="V41" s="70"/>
    </row>
    <row r="42" spans="1:22" ht="12.75" customHeight="1" outlineLevel="1" x14ac:dyDescent="0.3">
      <c r="A42" s="43"/>
      <c r="B42" s="43"/>
      <c r="C42" s="43"/>
      <c r="D42" s="144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131"/>
      <c r="V42" s="70"/>
    </row>
    <row r="43" spans="1:22" ht="12.75" customHeight="1" outlineLevel="1" x14ac:dyDescent="0.3">
      <c r="A43" s="43" t="s">
        <v>121</v>
      </c>
      <c r="B43" s="98"/>
      <c r="C43" s="98"/>
      <c r="D43" s="70"/>
      <c r="E43" s="280">
        <f>E25+E31+E38</f>
        <v>-275177.65308700176</v>
      </c>
      <c r="F43" s="280">
        <f t="shared" ref="F43:P43" si="19">F25+F31+F38</f>
        <v>21058.458024109266</v>
      </c>
      <c r="G43" s="280">
        <f t="shared" si="19"/>
        <v>101251.59980580298</v>
      </c>
      <c r="H43" s="280">
        <f t="shared" si="19"/>
        <v>21058.458024109263</v>
      </c>
      <c r="I43" s="280">
        <f t="shared" si="19"/>
        <v>21058.458024109252</v>
      </c>
      <c r="J43" s="280">
        <f t="shared" si="19"/>
        <v>20443.230970274199</v>
      </c>
      <c r="K43" s="280">
        <f t="shared" si="19"/>
        <v>21058.45802410927</v>
      </c>
      <c r="L43" s="280">
        <f t="shared" si="19"/>
        <v>21058.458024109266</v>
      </c>
      <c r="M43" s="280">
        <f t="shared" si="19"/>
        <v>19590.466977466745</v>
      </c>
      <c r="N43" s="280">
        <f t="shared" si="19"/>
        <v>21058.458024109263</v>
      </c>
      <c r="O43" s="280">
        <f t="shared" si="19"/>
        <v>21058.458024109255</v>
      </c>
      <c r="P43" s="280">
        <f t="shared" si="19"/>
        <v>-111042.81946478251</v>
      </c>
      <c r="Q43" s="280">
        <f>Q25+Q31+Q38</f>
        <v>-97525.968629475276</v>
      </c>
      <c r="R43" s="280">
        <f>R25+R31+R38</f>
        <v>392366.08766038902</v>
      </c>
      <c r="S43" s="280">
        <f>S25+S31+S38</f>
        <v>76720.417703418643</v>
      </c>
      <c r="T43" s="280">
        <f t="shared" ref="T43:U43" si="20">T25+T31+T38</f>
        <v>618458.20262228453</v>
      </c>
      <c r="U43" s="151">
        <f t="shared" si="20"/>
        <v>328143.86782521184</v>
      </c>
      <c r="V43" s="70"/>
    </row>
    <row r="44" spans="1:22" ht="12.75" customHeight="1" outlineLevel="1" thickBot="1" x14ac:dyDescent="0.35">
      <c r="A44" s="141"/>
      <c r="B44" s="101"/>
      <c r="C44" s="101"/>
      <c r="D44" s="102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149"/>
      <c r="V44" s="70"/>
    </row>
    <row r="45" spans="1:22" ht="12.75" customHeight="1" outlineLevel="1" x14ac:dyDescent="0.3">
      <c r="A45" s="43"/>
      <c r="B45" s="98"/>
      <c r="C45" s="98"/>
      <c r="D45" s="7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151"/>
      <c r="V45" s="70"/>
    </row>
    <row r="46" spans="1:22" ht="12.75" customHeight="1" outlineLevel="1" x14ac:dyDescent="0.3">
      <c r="A46" s="43"/>
      <c r="B46" s="98"/>
      <c r="C46" s="98"/>
      <c r="D46" s="7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0"/>
      <c r="T46" s="280"/>
      <c r="U46" s="151"/>
      <c r="V46" s="70"/>
    </row>
    <row r="47" spans="1:22" ht="12.75" customHeight="1" outlineLevel="1" thickBot="1" x14ac:dyDescent="0.35">
      <c r="A47" s="141"/>
      <c r="B47" s="101"/>
      <c r="C47" s="101"/>
      <c r="D47" s="102"/>
      <c r="E47" s="276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149"/>
      <c r="V47" s="70"/>
    </row>
    <row r="48" spans="1:22" ht="12.75" customHeight="1" outlineLevel="1" x14ac:dyDescent="0.3">
      <c r="A48" s="98"/>
      <c r="B48" s="98"/>
      <c r="C48" s="98"/>
      <c r="D48" s="70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131"/>
      <c r="V48" s="70"/>
    </row>
    <row r="49" spans="1:22" ht="12.75" customHeight="1" outlineLevel="1" x14ac:dyDescent="0.3">
      <c r="A49" s="43" t="s">
        <v>180</v>
      </c>
      <c r="B49" s="43"/>
      <c r="C49" s="43"/>
      <c r="D49" s="144"/>
      <c r="E49" s="280">
        <f>'8. Balance Sheet'!F23</f>
        <v>382094.01</v>
      </c>
      <c r="F49" s="280">
        <f>E55</f>
        <v>106916.35691299825</v>
      </c>
      <c r="G49" s="280">
        <f t="shared" ref="G49:P49" si="21">F55</f>
        <v>127974.81493710751</v>
      </c>
      <c r="H49" s="280">
        <f t="shared" si="21"/>
        <v>229226.41474291048</v>
      </c>
      <c r="I49" s="280">
        <f t="shared" si="21"/>
        <v>250284.87276701973</v>
      </c>
      <c r="J49" s="280">
        <f t="shared" si="21"/>
        <v>271343.33079112897</v>
      </c>
      <c r="K49" s="280">
        <f t="shared" si="21"/>
        <v>291786.56176140317</v>
      </c>
      <c r="L49" s="280">
        <f t="shared" si="21"/>
        <v>312845.01978551241</v>
      </c>
      <c r="M49" s="280">
        <f t="shared" si="21"/>
        <v>333903.47780962166</v>
      </c>
      <c r="N49" s="280">
        <f t="shared" si="21"/>
        <v>353493.94478708843</v>
      </c>
      <c r="O49" s="280">
        <f t="shared" si="21"/>
        <v>374552.40281119768</v>
      </c>
      <c r="P49" s="280">
        <f t="shared" si="21"/>
        <v>395610.86083530693</v>
      </c>
      <c r="Q49" s="280">
        <f>'4. Financing'!E10</f>
        <v>382094.01</v>
      </c>
      <c r="R49" s="280">
        <f t="shared" ref="R49" si="22">Q55</f>
        <v>284568.04137052473</v>
      </c>
      <c r="S49" s="280">
        <f t="shared" ref="S49" si="23">R55</f>
        <v>676934.12903091381</v>
      </c>
      <c r="T49" s="280">
        <f t="shared" ref="T49" si="24">S55</f>
        <v>753654.54673433246</v>
      </c>
      <c r="U49" s="151">
        <f t="shared" ref="U49" si="25">T55</f>
        <v>1372112.749356617</v>
      </c>
      <c r="V49" s="70"/>
    </row>
    <row r="50" spans="1:22" ht="12.75" customHeight="1" outlineLevel="1" thickBot="1" x14ac:dyDescent="0.35">
      <c r="A50" s="101"/>
      <c r="B50" s="101"/>
      <c r="C50" s="101"/>
      <c r="D50" s="102"/>
      <c r="E50" s="276"/>
      <c r="F50" s="276"/>
      <c r="G50" s="276"/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R50" s="276"/>
      <c r="S50" s="276"/>
      <c r="T50" s="276"/>
      <c r="U50" s="149"/>
      <c r="V50" s="70"/>
    </row>
    <row r="51" spans="1:22" ht="12.75" customHeight="1" outlineLevel="1" x14ac:dyDescent="0.3">
      <c r="A51" s="98"/>
      <c r="B51" s="98"/>
      <c r="C51" s="98"/>
      <c r="D51" s="70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131"/>
      <c r="V51" s="70"/>
    </row>
    <row r="52" spans="1:22" ht="12.75" customHeight="1" outlineLevel="1" x14ac:dyDescent="0.3">
      <c r="A52" s="98"/>
      <c r="B52" s="98"/>
      <c r="C52" s="98"/>
      <c r="D52" s="70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131"/>
      <c r="V52" s="70"/>
    </row>
    <row r="53" spans="1:22" ht="12.75" customHeight="1" thickBot="1" x14ac:dyDescent="0.35">
      <c r="A53" s="101"/>
      <c r="B53" s="101"/>
      <c r="C53" s="101"/>
      <c r="D53" s="102"/>
      <c r="E53" s="276"/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/>
      <c r="Q53" s="276"/>
      <c r="R53" s="276"/>
      <c r="S53" s="276"/>
      <c r="T53" s="276"/>
      <c r="U53" s="149"/>
      <c r="V53" s="70"/>
    </row>
    <row r="54" spans="1:22" ht="12.75" customHeight="1" x14ac:dyDescent="0.3">
      <c r="A54" s="98"/>
      <c r="B54" s="98"/>
      <c r="C54" s="98"/>
      <c r="D54" s="70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131"/>
      <c r="V54" s="70"/>
    </row>
    <row r="55" spans="1:22" ht="12.75" customHeight="1" x14ac:dyDescent="0.3">
      <c r="A55" s="43" t="s">
        <v>181</v>
      </c>
      <c r="B55" s="98"/>
      <c r="C55" s="98"/>
      <c r="D55" s="70"/>
      <c r="E55" s="280">
        <f>E43+E49</f>
        <v>106916.35691299825</v>
      </c>
      <c r="F55" s="280">
        <f t="shared" ref="F55:U55" si="26">F43+F49</f>
        <v>127974.81493710751</v>
      </c>
      <c r="G55" s="280">
        <f t="shared" si="26"/>
        <v>229226.41474291048</v>
      </c>
      <c r="H55" s="280">
        <f t="shared" si="26"/>
        <v>250284.87276701973</v>
      </c>
      <c r="I55" s="280">
        <f t="shared" si="26"/>
        <v>271343.33079112897</v>
      </c>
      <c r="J55" s="280">
        <f t="shared" si="26"/>
        <v>291786.56176140317</v>
      </c>
      <c r="K55" s="280">
        <f t="shared" si="26"/>
        <v>312845.01978551241</v>
      </c>
      <c r="L55" s="280">
        <f t="shared" si="26"/>
        <v>333903.47780962166</v>
      </c>
      <c r="M55" s="280">
        <f t="shared" si="26"/>
        <v>353493.94478708843</v>
      </c>
      <c r="N55" s="280">
        <f>N43+N49</f>
        <v>374552.40281119768</v>
      </c>
      <c r="O55" s="280">
        <f>O43+O49</f>
        <v>395610.86083530693</v>
      </c>
      <c r="P55" s="280">
        <f t="shared" si="26"/>
        <v>284568.04137052444</v>
      </c>
      <c r="Q55" s="280">
        <f t="shared" si="26"/>
        <v>284568.04137052473</v>
      </c>
      <c r="R55" s="280">
        <f t="shared" si="26"/>
        <v>676934.12903091381</v>
      </c>
      <c r="S55" s="280">
        <f t="shared" si="26"/>
        <v>753654.54673433246</v>
      </c>
      <c r="T55" s="280">
        <f t="shared" si="26"/>
        <v>1372112.749356617</v>
      </c>
      <c r="U55" s="151">
        <f t="shared" si="26"/>
        <v>1700256.6171818287</v>
      </c>
      <c r="V55" s="70"/>
    </row>
    <row r="56" spans="1:22" ht="12.75" customHeight="1" thickBot="1" x14ac:dyDescent="0.35">
      <c r="A56" s="106"/>
      <c r="B56" s="106"/>
      <c r="C56" s="106"/>
      <c r="D56" s="107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153"/>
      <c r="V56" s="70"/>
    </row>
    <row r="57" spans="1:22" ht="12.75" customHeight="1" thickTop="1" x14ac:dyDescent="0.3">
      <c r="A57" s="98"/>
      <c r="B57" s="98"/>
      <c r="C57" s="98"/>
      <c r="D57" s="70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5"/>
      <c r="R57" s="70"/>
      <c r="S57" s="70"/>
      <c r="T57" s="70"/>
      <c r="U57" s="70"/>
      <c r="V57" s="70"/>
    </row>
    <row r="58" spans="1:22" ht="12.75" customHeight="1" x14ac:dyDescent="0.3">
      <c r="A58" s="98"/>
      <c r="B58" s="98"/>
      <c r="C58" s="98"/>
      <c r="D58" s="70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5"/>
      <c r="R58" s="70"/>
      <c r="S58" s="70"/>
      <c r="T58" s="70"/>
      <c r="U58" s="70"/>
      <c r="V58" s="70"/>
    </row>
    <row r="59" spans="1:22" ht="12.75" customHeight="1" x14ac:dyDescent="0.3">
      <c r="A59" s="43"/>
      <c r="B59" s="43"/>
      <c r="C59" s="43"/>
      <c r="D59" s="144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70"/>
      <c r="S59" s="70"/>
      <c r="T59" s="70"/>
      <c r="U59" s="70"/>
      <c r="V59" s="70"/>
    </row>
    <row r="60" spans="1:22" ht="12.75" customHeight="1" x14ac:dyDescent="0.3">
      <c r="A60" s="43"/>
      <c r="B60" s="43"/>
      <c r="C60" s="43"/>
      <c r="D60" s="144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70"/>
      <c r="S60" s="70"/>
      <c r="T60" s="70"/>
      <c r="U60" s="70"/>
      <c r="V60" s="70"/>
    </row>
    <row r="61" spans="1:22" ht="12.75" customHeight="1" x14ac:dyDescent="0.3">
      <c r="A61" s="43"/>
      <c r="B61" s="43"/>
      <c r="C61" s="43"/>
      <c r="D61" s="144"/>
      <c r="E61" s="275"/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5"/>
      <c r="R61" s="70"/>
      <c r="S61" s="70"/>
      <c r="T61" s="70"/>
      <c r="U61" s="70"/>
      <c r="V61" s="70"/>
    </row>
    <row r="62" spans="1:22" ht="12.75" customHeight="1" x14ac:dyDescent="0.3">
      <c r="A62" s="43"/>
      <c r="B62" s="43"/>
      <c r="C62" s="43"/>
      <c r="D62" s="144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70"/>
      <c r="S62" s="70"/>
      <c r="T62" s="70"/>
      <c r="U62" s="70"/>
      <c r="V62" s="70"/>
    </row>
    <row r="63" spans="1:22" ht="12.75" customHeight="1" x14ac:dyDescent="0.3">
      <c r="A63" s="98"/>
      <c r="B63" s="98"/>
      <c r="C63" s="98"/>
      <c r="D63" s="70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70"/>
      <c r="S63" s="70"/>
      <c r="T63" s="70"/>
      <c r="U63" s="70"/>
      <c r="V63" s="70"/>
    </row>
    <row r="64" spans="1:22" ht="12.75" customHeight="1" x14ac:dyDescent="0.3">
      <c r="A64" s="98"/>
      <c r="B64" s="98"/>
      <c r="C64" s="98"/>
      <c r="D64" s="70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70"/>
      <c r="S64" s="70"/>
      <c r="T64" s="70"/>
      <c r="U64" s="70"/>
      <c r="V64" s="70"/>
    </row>
    <row r="65" spans="1:22" ht="15.9" customHeight="1" x14ac:dyDescent="0.3">
      <c r="A65" s="43"/>
      <c r="B65" s="43"/>
      <c r="C65" s="43"/>
      <c r="D65" s="144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70"/>
      <c r="S65" s="70"/>
      <c r="T65" s="70"/>
      <c r="U65" s="70"/>
      <c r="V65" s="70"/>
    </row>
    <row r="66" spans="1:22" ht="12.75" customHeight="1" x14ac:dyDescent="0.3">
      <c r="A66" s="98"/>
      <c r="B66" s="98"/>
      <c r="C66" s="98"/>
      <c r="D66" s="70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70"/>
      <c r="S66" s="70"/>
      <c r="T66" s="70"/>
      <c r="U66" s="70"/>
      <c r="V66" s="70"/>
    </row>
    <row r="67" spans="1:22" ht="12.75" customHeight="1" x14ac:dyDescent="0.3">
      <c r="A67" s="98"/>
      <c r="B67" s="98"/>
      <c r="C67" s="98"/>
      <c r="D67" s="70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70"/>
      <c r="S67" s="70"/>
      <c r="T67" s="70"/>
      <c r="U67" s="70"/>
      <c r="V67" s="70"/>
    </row>
    <row r="68" spans="1:22" ht="12.75" customHeight="1" x14ac:dyDescent="0.3">
      <c r="A68" s="43"/>
      <c r="B68" s="43"/>
      <c r="C68" s="43"/>
      <c r="D68" s="144"/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70"/>
      <c r="S68" s="70"/>
      <c r="T68" s="70"/>
      <c r="U68" s="70"/>
      <c r="V68" s="70"/>
    </row>
    <row r="69" spans="1:22" ht="12.75" customHeight="1" x14ac:dyDescent="0.3">
      <c r="A69" s="98"/>
      <c r="B69" s="98"/>
      <c r="C69" s="98"/>
      <c r="D69" s="70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70"/>
      <c r="S69" s="70"/>
      <c r="T69" s="70"/>
      <c r="U69" s="70"/>
      <c r="V69" s="70"/>
    </row>
    <row r="70" spans="1:22" ht="12.75" customHeight="1" x14ac:dyDescent="0.3">
      <c r="A70" s="98"/>
      <c r="B70" s="98"/>
      <c r="C70" s="98"/>
      <c r="D70" s="70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70"/>
      <c r="S70" s="70"/>
      <c r="T70" s="70"/>
      <c r="U70" s="70"/>
      <c r="V70" s="70"/>
    </row>
    <row r="71" spans="1:22" ht="12.75" customHeight="1" x14ac:dyDescent="0.3">
      <c r="A71" s="98"/>
      <c r="B71" s="98"/>
      <c r="C71" s="98"/>
      <c r="D71" s="70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70"/>
      <c r="S71" s="70"/>
      <c r="T71" s="70"/>
      <c r="U71" s="70"/>
      <c r="V71" s="70"/>
    </row>
    <row r="72" spans="1:22" ht="12.75" customHeight="1" x14ac:dyDescent="0.3">
      <c r="A72" s="98"/>
      <c r="B72" s="98"/>
      <c r="C72" s="98"/>
      <c r="D72" s="70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70"/>
      <c r="S72" s="70"/>
      <c r="T72" s="70"/>
      <c r="U72" s="70"/>
      <c r="V72" s="70"/>
    </row>
    <row r="73" spans="1:22" ht="12.75" customHeight="1" x14ac:dyDescent="0.3">
      <c r="A73" s="98"/>
      <c r="B73" s="98"/>
      <c r="C73" s="98"/>
      <c r="D73" s="70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70"/>
      <c r="S73" s="70"/>
      <c r="T73" s="70"/>
      <c r="U73" s="70"/>
      <c r="V73" s="70"/>
    </row>
    <row r="74" spans="1:22" ht="12.75" customHeight="1" x14ac:dyDescent="0.3">
      <c r="A74" s="98"/>
      <c r="B74" s="98"/>
      <c r="C74" s="98"/>
      <c r="D74" s="70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70"/>
      <c r="S74" s="70"/>
      <c r="T74" s="70"/>
      <c r="U74" s="70"/>
      <c r="V74" s="70"/>
    </row>
    <row r="75" spans="1:22" ht="12.75" customHeight="1" x14ac:dyDescent="0.3">
      <c r="A75" s="98"/>
      <c r="B75" s="98"/>
      <c r="C75" s="98"/>
      <c r="D75" s="70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70"/>
      <c r="S75" s="70"/>
      <c r="T75" s="70"/>
      <c r="U75" s="70"/>
      <c r="V75" s="70"/>
    </row>
    <row r="76" spans="1:22" ht="12.75" customHeight="1" x14ac:dyDescent="0.3">
      <c r="A76" s="98"/>
      <c r="B76" s="98"/>
      <c r="C76" s="98"/>
      <c r="D76" s="70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70"/>
      <c r="S76" s="70"/>
      <c r="T76" s="70"/>
      <c r="U76" s="70"/>
      <c r="V76" s="70"/>
    </row>
    <row r="77" spans="1:22" ht="12.75" customHeight="1" x14ac:dyDescent="0.3">
      <c r="A77" s="98"/>
      <c r="B77" s="98"/>
      <c r="C77" s="98"/>
      <c r="D77" s="70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70"/>
      <c r="S77" s="70"/>
      <c r="T77" s="70"/>
      <c r="U77" s="70"/>
      <c r="V77" s="70"/>
    </row>
    <row r="78" spans="1:22" ht="12.75" customHeight="1" x14ac:dyDescent="0.3">
      <c r="A78" s="98"/>
      <c r="B78" s="98"/>
      <c r="C78" s="98"/>
      <c r="D78" s="70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70"/>
      <c r="S78" s="70"/>
      <c r="T78" s="70"/>
      <c r="U78" s="70"/>
      <c r="V78" s="70"/>
    </row>
    <row r="79" spans="1:22" ht="12.75" customHeight="1" x14ac:dyDescent="0.3">
      <c r="A79" s="98"/>
      <c r="B79" s="98"/>
      <c r="C79" s="98"/>
      <c r="D79" s="70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70"/>
      <c r="S79" s="70"/>
      <c r="T79" s="70"/>
      <c r="U79" s="70"/>
      <c r="V79" s="70"/>
    </row>
    <row r="80" spans="1:22" ht="12.75" customHeight="1" x14ac:dyDescent="0.3">
      <c r="A80" s="98"/>
      <c r="B80" s="98"/>
      <c r="C80" s="98"/>
      <c r="D80" s="70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70"/>
      <c r="S80" s="70"/>
      <c r="T80" s="70"/>
      <c r="U80" s="70"/>
      <c r="V80" s="70"/>
    </row>
    <row r="81" spans="1:22" ht="12.75" customHeight="1" x14ac:dyDescent="0.3">
      <c r="A81" s="98"/>
      <c r="B81" s="98"/>
      <c r="C81" s="98"/>
      <c r="D81" s="70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70"/>
      <c r="S81" s="70"/>
      <c r="T81" s="70"/>
      <c r="U81" s="70"/>
      <c r="V81" s="70"/>
    </row>
    <row r="82" spans="1:22" ht="12.75" customHeight="1" x14ac:dyDescent="0.3">
      <c r="A82" s="98"/>
      <c r="B82" s="98"/>
      <c r="C82" s="98"/>
      <c r="D82" s="70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70"/>
      <c r="S82" s="70"/>
      <c r="T82" s="70"/>
      <c r="U82" s="70"/>
      <c r="V82" s="70"/>
    </row>
    <row r="83" spans="1:22" ht="12.75" customHeight="1" x14ac:dyDescent="0.3">
      <c r="A83" s="98"/>
      <c r="B83" s="98"/>
      <c r="C83" s="98"/>
      <c r="D83" s="70"/>
      <c r="E83" s="131"/>
      <c r="F83" s="131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70"/>
      <c r="S83" s="70"/>
      <c r="T83" s="70"/>
      <c r="U83" s="70"/>
      <c r="V83" s="70"/>
    </row>
    <row r="84" spans="1:22" ht="12.75" customHeight="1" x14ac:dyDescent="0.3">
      <c r="A84" s="98"/>
      <c r="B84" s="98"/>
      <c r="C84" s="98"/>
      <c r="D84" s="70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70"/>
      <c r="S84" s="70"/>
      <c r="T84" s="70"/>
      <c r="U84" s="70"/>
      <c r="V84" s="70"/>
    </row>
    <row r="85" spans="1:22" ht="12.75" customHeight="1" x14ac:dyDescent="0.3">
      <c r="A85" s="98"/>
      <c r="B85" s="98"/>
      <c r="C85" s="98"/>
      <c r="D85" s="70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70"/>
      <c r="S85" s="70"/>
      <c r="T85" s="70"/>
      <c r="U85" s="70"/>
      <c r="V85" s="70"/>
    </row>
    <row r="86" spans="1:22" ht="12.75" customHeight="1" x14ac:dyDescent="0.3">
      <c r="A86" s="98"/>
      <c r="B86" s="98"/>
      <c r="C86" s="98"/>
      <c r="D86" s="70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70"/>
      <c r="S86" s="70"/>
      <c r="T86" s="70"/>
      <c r="U86" s="70"/>
      <c r="V86" s="70"/>
    </row>
    <row r="87" spans="1:22" ht="12.75" customHeight="1" x14ac:dyDescent="0.3">
      <c r="A87" s="98"/>
      <c r="B87" s="98"/>
      <c r="C87" s="98"/>
      <c r="D87" s="70"/>
      <c r="E87" s="131"/>
      <c r="F87" s="131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70"/>
      <c r="S87" s="70"/>
      <c r="T87" s="70"/>
      <c r="U87" s="70"/>
      <c r="V87" s="70"/>
    </row>
    <row r="88" spans="1:22" ht="12.75" customHeight="1" x14ac:dyDescent="0.3">
      <c r="A88" s="98"/>
      <c r="B88" s="98"/>
      <c r="C88" s="98"/>
      <c r="D88" s="70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70"/>
      <c r="S88" s="70"/>
      <c r="T88" s="70"/>
      <c r="U88" s="70"/>
      <c r="V88" s="70"/>
    </row>
    <row r="89" spans="1:22" ht="12.75" customHeight="1" x14ac:dyDescent="0.3">
      <c r="A89" s="98"/>
      <c r="B89" s="98"/>
      <c r="C89" s="98"/>
      <c r="D89" s="70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70"/>
      <c r="S89" s="70"/>
      <c r="T89" s="70"/>
      <c r="U89" s="70"/>
      <c r="V89" s="70"/>
    </row>
    <row r="90" spans="1:22" ht="12.75" customHeight="1" x14ac:dyDescent="0.3">
      <c r="A90" s="98"/>
      <c r="B90" s="98"/>
      <c r="C90" s="98"/>
      <c r="D90" s="70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70"/>
      <c r="S90" s="70"/>
      <c r="T90" s="70"/>
      <c r="U90" s="70"/>
      <c r="V90" s="70"/>
    </row>
    <row r="91" spans="1:22" ht="12.75" customHeight="1" x14ac:dyDescent="0.3">
      <c r="A91" s="98"/>
      <c r="B91" s="98"/>
      <c r="C91" s="98"/>
      <c r="D91" s="70"/>
      <c r="E91" s="131"/>
      <c r="F91" s="131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70"/>
      <c r="S91" s="70"/>
      <c r="T91" s="70"/>
      <c r="U91" s="70"/>
      <c r="V91" s="70"/>
    </row>
    <row r="92" spans="1:22" ht="12.75" customHeight="1" x14ac:dyDescent="0.3">
      <c r="A92" s="98"/>
      <c r="B92" s="98"/>
      <c r="C92" s="98"/>
      <c r="D92" s="70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70"/>
      <c r="S92" s="70"/>
      <c r="T92" s="70"/>
      <c r="U92" s="70"/>
      <c r="V92" s="70"/>
    </row>
    <row r="93" spans="1:22" ht="12.75" customHeight="1" x14ac:dyDescent="0.3">
      <c r="A93" s="98"/>
      <c r="B93" s="98"/>
      <c r="C93" s="98"/>
      <c r="D93" s="70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70"/>
      <c r="S93" s="70"/>
      <c r="T93" s="70"/>
      <c r="U93" s="70"/>
      <c r="V93" s="70"/>
    </row>
    <row r="94" spans="1:22" ht="12.75" customHeight="1" x14ac:dyDescent="0.3">
      <c r="A94" s="98"/>
      <c r="B94" s="98"/>
      <c r="C94" s="98"/>
      <c r="D94" s="70"/>
      <c r="E94" s="131"/>
      <c r="F94" s="131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70"/>
      <c r="S94" s="70"/>
      <c r="T94" s="70"/>
      <c r="U94" s="70"/>
      <c r="V94" s="70"/>
    </row>
    <row r="95" spans="1:22" ht="12.75" customHeight="1" x14ac:dyDescent="0.3">
      <c r="A95" s="98"/>
      <c r="B95" s="98"/>
      <c r="C95" s="98"/>
      <c r="D95" s="70"/>
      <c r="E95" s="131"/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70"/>
      <c r="S95" s="70"/>
      <c r="T95" s="70"/>
      <c r="U95" s="70"/>
      <c r="V95" s="70"/>
    </row>
    <row r="96" spans="1:22" ht="12.75" customHeight="1" x14ac:dyDescent="0.3">
      <c r="A96" s="98"/>
      <c r="B96" s="98"/>
      <c r="C96" s="98"/>
      <c r="D96" s="70"/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70"/>
      <c r="S96" s="70"/>
      <c r="T96" s="70"/>
      <c r="U96" s="70"/>
      <c r="V96" s="70"/>
    </row>
    <row r="97" spans="1:22" ht="12.75" customHeight="1" x14ac:dyDescent="0.3">
      <c r="A97" s="98"/>
      <c r="B97" s="98"/>
      <c r="C97" s="98"/>
      <c r="D97" s="70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70"/>
      <c r="S97" s="70"/>
      <c r="T97" s="70"/>
      <c r="U97" s="70"/>
      <c r="V97" s="70"/>
    </row>
    <row r="98" spans="1:22" ht="12.75" customHeight="1" x14ac:dyDescent="0.3">
      <c r="A98" s="98"/>
      <c r="B98" s="98"/>
      <c r="C98" s="98"/>
      <c r="D98" s="70"/>
      <c r="E98" s="131"/>
      <c r="F98" s="131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70"/>
      <c r="S98" s="70"/>
      <c r="T98" s="70"/>
      <c r="U98" s="70"/>
      <c r="V98" s="70"/>
    </row>
    <row r="99" spans="1:22" ht="12.75" customHeight="1" x14ac:dyDescent="0.3">
      <c r="A99" s="98"/>
      <c r="B99" s="98"/>
      <c r="C99" s="98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</row>
    <row r="100" spans="1:22" ht="12.75" customHeight="1" x14ac:dyDescent="0.3">
      <c r="A100" s="98"/>
      <c r="B100" s="98"/>
      <c r="C100" s="98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</row>
    <row r="101" spans="1:22" ht="12.75" customHeight="1" x14ac:dyDescent="0.3">
      <c r="A101" s="98"/>
      <c r="B101" s="98"/>
      <c r="C101" s="98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</row>
    <row r="102" spans="1:22" ht="12.75" customHeight="1" x14ac:dyDescent="0.3">
      <c r="A102" s="98"/>
      <c r="B102" s="98"/>
      <c r="C102" s="98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</row>
    <row r="103" spans="1:22" ht="12.75" customHeight="1" x14ac:dyDescent="0.3">
      <c r="A103" s="98"/>
      <c r="B103" s="98"/>
      <c r="C103" s="98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</row>
    <row r="104" spans="1:22" ht="12.75" customHeight="1" x14ac:dyDescent="0.2"/>
    <row r="105" spans="1:22" ht="12.75" customHeight="1" x14ac:dyDescent="0.2"/>
    <row r="106" spans="1:22" ht="12.75" customHeight="1" x14ac:dyDescent="0.2"/>
    <row r="107" spans="1:22" ht="12.75" customHeight="1" x14ac:dyDescent="0.2"/>
    <row r="108" spans="1:22" ht="12.75" customHeight="1" x14ac:dyDescent="0.2"/>
    <row r="109" spans="1:22" ht="12.75" customHeight="1" x14ac:dyDescent="0.2"/>
    <row r="110" spans="1:22" ht="12.75" customHeight="1" x14ac:dyDescent="0.2"/>
    <row r="111" spans="1:22" ht="12.75" customHeight="1" x14ac:dyDescent="0.2"/>
    <row r="112" spans="1:2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</sheetData>
  <mergeCells count="2">
    <mergeCell ref="B7:B9"/>
    <mergeCell ref="A1:U5"/>
  </mergeCells>
  <phoneticPr fontId="7" type="noConversion"/>
  <pageMargins left="0.75" right="0.75" top="1" bottom="0.75" header="0.5" footer="0.5"/>
  <pageSetup scale="75" orientation="landscape" blackAndWhite="1" horizontalDpi="300" verticalDpi="300"/>
  <headerFooter alignWithMargins="0"/>
  <ignoredErrors>
    <ignoredError sqref="E81:P82 F29:P29 E32:P32 E70:Q80 E34:P34 F33:P33 E38:P38 E26:P26 E31 E48:P48 E55:M55 F43:P43 E45:P45 E50:P50 F49:P49 E22:E24 F24:P24 F15:Q17 E18 Q14 E25:P25 R22:U22 Q25:U28 R23:U23 R24:U24 Q51:U56 R50:U50 Q46:U47 R45:U45 R49:U49 R48:U48 Q38:U42 R36:U37 R35:U35 Q34:U34 R33:U33 R32:U32 Q30:U31 R29:U29 Q44:U44 R43:U43 P55" unlockedFormula="1"/>
    <ignoredError sqref="F31:P31" formulaRange="1" unlockedFormula="1"/>
    <ignoredError sqref="F22:Q22 Q29 Q32 Q33 Q35 Q36:Q37 Q48 Q45 Q50 Q24 Q23 F19:Q21" formula="1" unlockedFormula="1"/>
    <ignoredError sqref="F18:U18 R19:U21 Q49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O94"/>
  <sheetViews>
    <sheetView showGridLines="0" showRowColHeaders="0" topLeftCell="A6" zoomScale="90" zoomScaleNormal="90" workbookViewId="0">
      <selection activeCell="B6" sqref="B6:B8"/>
    </sheetView>
  </sheetViews>
  <sheetFormatPr defaultColWidth="8.875" defaultRowHeight="11.4" x14ac:dyDescent="0.2"/>
  <cols>
    <col min="1" max="1" width="3" style="3" customWidth="1"/>
    <col min="2" max="2" width="22.75" style="3" customWidth="1"/>
    <col min="3" max="3" width="3" style="3" customWidth="1"/>
    <col min="4" max="4" width="22.75" customWidth="1"/>
    <col min="5" max="5" width="10.75" customWidth="1"/>
    <col min="6" max="11" width="17.75" customWidth="1"/>
    <col min="12" max="12" width="15.75" customWidth="1"/>
  </cols>
  <sheetData>
    <row r="1" spans="1:15" ht="12" customHeight="1" x14ac:dyDescent="0.25">
      <c r="A1" s="594" t="s">
        <v>255</v>
      </c>
      <c r="B1" s="594"/>
      <c r="C1" s="594"/>
      <c r="D1" s="594"/>
      <c r="E1" s="594"/>
      <c r="F1" s="594"/>
      <c r="G1" s="594"/>
      <c r="H1" s="594"/>
      <c r="I1" s="594"/>
      <c r="J1" s="594"/>
      <c r="K1" s="594"/>
      <c r="L1" s="44"/>
      <c r="M1" s="44"/>
      <c r="N1" s="44"/>
      <c r="O1" s="44"/>
    </row>
    <row r="2" spans="1:15" ht="12" customHeight="1" x14ac:dyDescent="0.25">
      <c r="A2" s="594"/>
      <c r="B2" s="594"/>
      <c r="C2" s="594"/>
      <c r="D2" s="594"/>
      <c r="E2" s="594"/>
      <c r="F2" s="594"/>
      <c r="G2" s="594"/>
      <c r="H2" s="594"/>
      <c r="I2" s="594"/>
      <c r="J2" s="594"/>
      <c r="K2" s="594"/>
      <c r="L2" s="44"/>
      <c r="M2" s="44"/>
      <c r="N2" s="44"/>
      <c r="O2" s="44"/>
    </row>
    <row r="3" spans="1:15" ht="15.75" customHeight="1" x14ac:dyDescent="0.25">
      <c r="A3" s="594"/>
      <c r="B3" s="594"/>
      <c r="C3" s="594"/>
      <c r="D3" s="594"/>
      <c r="E3" s="594"/>
      <c r="F3" s="594"/>
      <c r="G3" s="594"/>
      <c r="H3" s="594"/>
      <c r="I3" s="594"/>
      <c r="J3" s="594"/>
      <c r="K3" s="594"/>
      <c r="L3" s="44"/>
      <c r="M3" s="44"/>
      <c r="N3" s="44"/>
      <c r="O3" s="44"/>
    </row>
    <row r="4" spans="1:15" ht="15.75" customHeight="1" x14ac:dyDescent="0.25">
      <c r="A4" s="594"/>
      <c r="B4" s="594"/>
      <c r="C4" s="594"/>
      <c r="D4" s="594"/>
      <c r="E4" s="594"/>
      <c r="F4" s="594"/>
      <c r="G4" s="594"/>
      <c r="H4" s="594"/>
      <c r="I4" s="594"/>
      <c r="J4" s="594"/>
      <c r="K4" s="594"/>
      <c r="L4" s="44"/>
      <c r="M4" s="44"/>
      <c r="N4" s="44"/>
      <c r="O4" s="44"/>
    </row>
    <row r="5" spans="1:15" ht="12.75" customHeight="1" x14ac:dyDescent="0.25">
      <c r="A5" s="46"/>
      <c r="B5" s="46"/>
      <c r="C5" s="46"/>
      <c r="D5" s="44"/>
      <c r="E5" s="44"/>
      <c r="F5" s="44"/>
      <c r="G5" s="44"/>
      <c r="H5" s="44"/>
      <c r="I5" s="44"/>
      <c r="J5" s="44"/>
      <c r="K5" s="44"/>
      <c r="L5" s="61"/>
      <c r="M5" s="44"/>
      <c r="N5" s="44"/>
      <c r="O5" s="44"/>
    </row>
    <row r="6" spans="1:15" ht="12.75" customHeight="1" x14ac:dyDescent="0.25">
      <c r="A6" s="46"/>
      <c r="B6" s="602" t="s">
        <v>148</v>
      </c>
      <c r="C6" s="46"/>
      <c r="D6" s="44"/>
      <c r="E6" s="47"/>
      <c r="L6" s="71"/>
      <c r="M6" s="44"/>
      <c r="N6" s="44"/>
      <c r="O6" s="44"/>
    </row>
    <row r="7" spans="1:15" ht="12.75" customHeight="1" x14ac:dyDescent="0.3">
      <c r="A7" s="46"/>
      <c r="B7" s="602"/>
      <c r="C7" s="46"/>
      <c r="D7" s="159"/>
      <c r="E7" s="47"/>
      <c r="F7" s="97" t="s">
        <v>188</v>
      </c>
      <c r="G7" s="97" t="s">
        <v>206</v>
      </c>
      <c r="H7" s="97" t="s">
        <v>207</v>
      </c>
      <c r="I7" s="97" t="s">
        <v>208</v>
      </c>
      <c r="J7" s="97" t="s">
        <v>209</v>
      </c>
      <c r="K7" s="97" t="s">
        <v>210</v>
      </c>
      <c r="L7" s="71"/>
      <c r="M7" s="44"/>
      <c r="N7" s="44"/>
      <c r="O7" s="44"/>
    </row>
    <row r="8" spans="1:15" ht="12.75" customHeight="1" x14ac:dyDescent="0.25">
      <c r="B8" s="602"/>
      <c r="C8" s="46"/>
      <c r="D8" s="44"/>
      <c r="E8" s="44"/>
      <c r="F8" s="49"/>
      <c r="G8" s="49"/>
      <c r="H8" s="49"/>
      <c r="I8" s="49"/>
      <c r="J8" s="49"/>
      <c r="K8" s="49"/>
      <c r="L8" s="61"/>
      <c r="M8" s="44"/>
      <c r="N8" s="44"/>
      <c r="O8" s="44"/>
    </row>
    <row r="9" spans="1:15" ht="12.75" customHeight="1" thickBot="1" x14ac:dyDescent="0.3">
      <c r="A9" s="195"/>
      <c r="B9" s="196"/>
      <c r="C9" s="66"/>
      <c r="D9" s="80"/>
      <c r="E9" s="80"/>
      <c r="F9" s="57"/>
      <c r="G9" s="57"/>
      <c r="H9" s="57"/>
      <c r="I9" s="57"/>
      <c r="J9" s="57"/>
      <c r="K9" s="57"/>
      <c r="L9" s="61"/>
      <c r="M9" s="44"/>
      <c r="N9" s="44"/>
      <c r="O9" s="44"/>
    </row>
    <row r="10" spans="1:15" ht="12.75" customHeight="1" x14ac:dyDescent="0.3">
      <c r="A10" s="98"/>
      <c r="B10" s="157"/>
      <c r="C10" s="98"/>
      <c r="E10" s="159"/>
      <c r="F10" s="158"/>
      <c r="G10" s="158"/>
      <c r="H10" s="158"/>
      <c r="I10" s="158"/>
      <c r="J10" s="158"/>
      <c r="K10" s="158"/>
      <c r="L10" s="61"/>
      <c r="M10" s="44"/>
      <c r="N10" s="44"/>
      <c r="O10" s="44"/>
    </row>
    <row r="11" spans="1:15" ht="12.75" customHeight="1" thickBot="1" x14ac:dyDescent="0.35">
      <c r="A11" s="98"/>
      <c r="B11" s="546" t="s">
        <v>187</v>
      </c>
      <c r="C11" s="547"/>
      <c r="D11" s="548"/>
      <c r="E11" s="548"/>
      <c r="F11" s="549"/>
      <c r="G11" s="549"/>
      <c r="H11" s="549"/>
      <c r="I11" s="549"/>
      <c r="J11" s="549"/>
      <c r="K11" s="549"/>
      <c r="L11" s="61"/>
      <c r="M11" s="44"/>
      <c r="N11" s="44"/>
      <c r="O11" s="44"/>
    </row>
    <row r="12" spans="1:15" ht="12.75" customHeight="1" x14ac:dyDescent="0.3">
      <c r="A12" s="98"/>
      <c r="B12" s="118" t="s">
        <v>191</v>
      </c>
      <c r="D12" s="70"/>
      <c r="E12" s="70"/>
      <c r="F12" s="158"/>
      <c r="G12" s="158"/>
      <c r="H12" s="158"/>
      <c r="I12" s="158"/>
      <c r="J12" s="158"/>
      <c r="K12" s="112"/>
      <c r="L12" s="61"/>
      <c r="M12" s="44"/>
      <c r="N12" s="44"/>
      <c r="O12" s="44"/>
    </row>
    <row r="13" spans="1:15" ht="12.75" customHeight="1" x14ac:dyDescent="0.3">
      <c r="A13" s="98"/>
      <c r="B13" s="98"/>
      <c r="C13" s="98" t="str">
        <f>'4. Financing'!C4</f>
        <v>Real Estate-Land</v>
      </c>
      <c r="D13" s="70"/>
      <c r="E13" s="70"/>
      <c r="F13" s="159">
        <f>'4. Financing'!E4</f>
        <v>0</v>
      </c>
      <c r="G13" s="159">
        <f>F13-'4. Financing'!$I6</f>
        <v>-218710</v>
      </c>
      <c r="H13" s="159">
        <f>G13-'4. Financing'!$I6</f>
        <v>-437420</v>
      </c>
      <c r="I13" s="159">
        <f>H13-'4. Financing'!$I6</f>
        <v>-656130</v>
      </c>
      <c r="J13" s="159">
        <f>I13-'4. Financing'!$I6</f>
        <v>-874840</v>
      </c>
      <c r="K13" s="112">
        <f>J13-'4. Financing'!$I6</f>
        <v>-1093550</v>
      </c>
      <c r="L13" s="61"/>
      <c r="M13" s="44"/>
      <c r="N13" s="44"/>
      <c r="O13" s="44"/>
    </row>
    <row r="14" spans="1:15" ht="12.75" customHeight="1" x14ac:dyDescent="0.3">
      <c r="A14" s="98"/>
      <c r="B14" s="98"/>
      <c r="C14" s="98" t="str">
        <f>'4. Financing'!C8</f>
        <v>Machinery, hard ware &amp; software</v>
      </c>
      <c r="D14" s="70"/>
      <c r="E14" s="70"/>
      <c r="F14" s="159">
        <f>'4. Financing'!$E$8</f>
        <v>112000</v>
      </c>
      <c r="G14" s="159">
        <f>F14-'4. Financing'!$I8</f>
        <v>89600</v>
      </c>
      <c r="H14" s="159">
        <f>G14-'4. Financing'!$I8</f>
        <v>67200</v>
      </c>
      <c r="I14" s="159">
        <f>H14-'4. Financing'!$I8</f>
        <v>44800</v>
      </c>
      <c r="J14" s="159">
        <f>I14-'4. Financing'!$I8</f>
        <v>22400</v>
      </c>
      <c r="K14" s="112">
        <f>J14-'4. Financing'!$I8</f>
        <v>0</v>
      </c>
      <c r="L14" s="61"/>
      <c r="M14" s="44"/>
      <c r="N14" s="44"/>
      <c r="O14" s="44"/>
    </row>
    <row r="15" spans="1:15" ht="12.75" customHeight="1" x14ac:dyDescent="0.3">
      <c r="A15" s="98"/>
      <c r="B15" s="98"/>
      <c r="C15" s="98" t="str">
        <f>'4. Financing'!C6</f>
        <v>Installations and Customazation</v>
      </c>
      <c r="D15" s="70"/>
      <c r="E15" s="70"/>
      <c r="F15" s="159">
        <f>'4. Financing'!E6</f>
        <v>1093550</v>
      </c>
      <c r="G15" s="159">
        <f>F15-'4. Financing'!$I$9</f>
        <v>930550</v>
      </c>
      <c r="H15" s="159">
        <f>G15-'4. Financing'!$I$9</f>
        <v>767550</v>
      </c>
      <c r="I15" s="159">
        <f>H15-'4. Financing'!$I$9</f>
        <v>604550</v>
      </c>
      <c r="J15" s="159">
        <f>I15-'4. Financing'!$I$9</f>
        <v>441550</v>
      </c>
      <c r="K15" s="159">
        <f>J15-'4. Financing'!$I$9</f>
        <v>278550</v>
      </c>
      <c r="L15" s="61"/>
      <c r="M15" s="44"/>
      <c r="N15" s="44"/>
      <c r="O15" s="44"/>
    </row>
    <row r="16" spans="1:15" ht="12.75" customHeight="1" x14ac:dyDescent="0.3">
      <c r="A16" s="98"/>
      <c r="B16" s="98"/>
      <c r="C16" s="98" t="str">
        <f>'4. Financing'!C7</f>
        <v>Other Leasehold Improvements</v>
      </c>
      <c r="D16" s="70"/>
      <c r="E16" s="70"/>
      <c r="F16" s="159">
        <f>'4. Financing'!E7</f>
        <v>687516.15999999992</v>
      </c>
      <c r="G16" s="159">
        <f>F16-'4. Financing'!$I$7</f>
        <v>550012.92799999996</v>
      </c>
      <c r="H16" s="159">
        <f>G16-'4. Financing'!$I$7</f>
        <v>412509.696</v>
      </c>
      <c r="I16" s="159">
        <f>H16-'4. Financing'!$I$7</f>
        <v>275006.46400000004</v>
      </c>
      <c r="J16" s="159">
        <f>I16-'4. Financing'!$I$7</f>
        <v>137503.23200000005</v>
      </c>
      <c r="K16" s="159">
        <f>J16-'4. Financing'!$I$7</f>
        <v>0</v>
      </c>
      <c r="L16" s="61"/>
      <c r="M16" s="44"/>
      <c r="N16" s="44"/>
      <c r="O16" s="44"/>
    </row>
    <row r="17" spans="1:15" ht="12.75" customHeight="1" x14ac:dyDescent="0.3">
      <c r="A17" s="98"/>
      <c r="B17" s="98"/>
      <c r="C17" s="98" t="s">
        <v>6</v>
      </c>
      <c r="D17" s="70"/>
      <c r="E17" s="70"/>
      <c r="F17" s="159">
        <f>'4. Financing'!$E$9</f>
        <v>815000</v>
      </c>
      <c r="G17" s="159">
        <f>F17-'4. Financing'!$I10</f>
        <v>652000</v>
      </c>
      <c r="H17" s="159">
        <f>G17-'4. Financing'!$I10</f>
        <v>489000</v>
      </c>
      <c r="I17" s="159">
        <f>H17-'4. Financing'!$I10</f>
        <v>326000</v>
      </c>
      <c r="J17" s="159">
        <f>I17-'4. Financing'!$I10</f>
        <v>163000</v>
      </c>
      <c r="K17" s="159">
        <f>J17-'4. Financing'!$I10</f>
        <v>0</v>
      </c>
      <c r="L17" s="61"/>
      <c r="M17" s="44"/>
      <c r="N17" s="44"/>
      <c r="O17" s="44"/>
    </row>
    <row r="18" spans="1:15" ht="12.75" customHeight="1" x14ac:dyDescent="0.3">
      <c r="A18" s="98"/>
      <c r="B18" s="98"/>
      <c r="C18" s="98" t="str">
        <f>'4. Financing'!C5</f>
        <v>Buildings</v>
      </c>
      <c r="D18" s="70"/>
      <c r="E18" s="70"/>
      <c r="F18" s="159">
        <f>'4. Financing'!E5</f>
        <v>1729830</v>
      </c>
      <c r="G18" s="159">
        <f>F18-'4. Financing'!$I$5</f>
        <v>1643338.5</v>
      </c>
      <c r="H18" s="159">
        <f>G18-'4. Financing'!$I$5</f>
        <v>1556847</v>
      </c>
      <c r="I18" s="159">
        <f>H18-'4. Financing'!$I$5</f>
        <v>1470355.5</v>
      </c>
      <c r="J18" s="159">
        <f>I18-'4. Financing'!$I$5</f>
        <v>1383864</v>
      </c>
      <c r="K18" s="159">
        <f>J18-'4. Financing'!$I$5</f>
        <v>1297372.5</v>
      </c>
      <c r="L18" s="61"/>
      <c r="M18" s="44"/>
      <c r="N18" s="44"/>
      <c r="O18" s="44"/>
    </row>
    <row r="19" spans="1:15" ht="12.75" customHeight="1" x14ac:dyDescent="0.3">
      <c r="A19" s="98"/>
      <c r="B19" s="98"/>
      <c r="L19" s="61"/>
      <c r="M19" s="44"/>
      <c r="N19" s="44"/>
      <c r="O19" s="44"/>
    </row>
    <row r="20" spans="1:15" ht="12.75" customHeight="1" thickBot="1" x14ac:dyDescent="0.35">
      <c r="A20" s="98"/>
      <c r="B20" s="109" t="s">
        <v>125</v>
      </c>
      <c r="C20" s="109"/>
      <c r="D20" s="110"/>
      <c r="E20" s="122"/>
      <c r="F20" s="160">
        <f t="shared" ref="F20:K20" si="0">SUM(F13:F18)</f>
        <v>4437896.16</v>
      </c>
      <c r="G20" s="160">
        <f t="shared" si="0"/>
        <v>3646791.4279999998</v>
      </c>
      <c r="H20" s="160">
        <f t="shared" si="0"/>
        <v>2855686.696</v>
      </c>
      <c r="I20" s="160">
        <f t="shared" si="0"/>
        <v>2064581.9640000002</v>
      </c>
      <c r="J20" s="160">
        <f t="shared" si="0"/>
        <v>1273477.2320000001</v>
      </c>
      <c r="K20" s="197">
        <f t="shared" si="0"/>
        <v>482372.5</v>
      </c>
      <c r="L20" s="72"/>
      <c r="M20" s="44"/>
      <c r="N20" s="44"/>
      <c r="O20" s="44"/>
    </row>
    <row r="21" spans="1:15" ht="12.75" customHeight="1" thickTop="1" x14ac:dyDescent="0.3">
      <c r="A21" s="98"/>
      <c r="B21" s="98"/>
      <c r="C21" s="98"/>
      <c r="D21" s="70"/>
      <c r="E21" s="117"/>
      <c r="F21" s="161"/>
      <c r="G21" s="161"/>
      <c r="H21" s="161"/>
      <c r="I21" s="161"/>
      <c r="J21" s="161"/>
      <c r="K21" s="161"/>
      <c r="L21" s="72"/>
      <c r="M21" s="44"/>
      <c r="N21" s="44"/>
      <c r="O21" s="44"/>
    </row>
    <row r="22" spans="1:15" ht="12.75" customHeight="1" thickBot="1" x14ac:dyDescent="0.35">
      <c r="A22" s="98"/>
      <c r="B22" s="547" t="s">
        <v>126</v>
      </c>
      <c r="C22" s="547"/>
      <c r="D22" s="548"/>
      <c r="E22" s="550"/>
      <c r="F22" s="551"/>
      <c r="G22" s="551"/>
      <c r="H22" s="551"/>
      <c r="I22" s="551"/>
      <c r="J22" s="551"/>
      <c r="K22" s="551"/>
      <c r="L22" s="73"/>
      <c r="M22" s="44"/>
      <c r="N22" s="44"/>
      <c r="O22" s="44"/>
    </row>
    <row r="23" spans="1:15" ht="12.75" customHeight="1" x14ac:dyDescent="0.3">
      <c r="A23" s="98"/>
      <c r="B23" s="98"/>
      <c r="C23" s="98" t="s">
        <v>129</v>
      </c>
      <c r="D23" s="70"/>
      <c r="E23" s="116"/>
      <c r="F23" s="159">
        <f>'4. Financing'!E10</f>
        <v>382094.01</v>
      </c>
      <c r="G23" s="185">
        <f>'7. Cash Flow Statement'!Q55</f>
        <v>284568.04137052473</v>
      </c>
      <c r="H23" s="185">
        <f>'7. Cash Flow Statement'!R55</f>
        <v>676934.12903091381</v>
      </c>
      <c r="I23" s="185">
        <f>'7. Cash Flow Statement'!S55</f>
        <v>753654.54673433246</v>
      </c>
      <c r="J23" s="185">
        <f>'7. Cash Flow Statement'!T55</f>
        <v>1372112.749356617</v>
      </c>
      <c r="K23" s="185">
        <f>'7. Cash Flow Statement'!U55</f>
        <v>1700256.6171818287</v>
      </c>
      <c r="L23" s="73"/>
      <c r="M23" s="44"/>
      <c r="N23" s="44"/>
      <c r="O23" s="44"/>
    </row>
    <row r="24" spans="1:15" ht="12.75" customHeight="1" x14ac:dyDescent="0.3">
      <c r="A24" s="98"/>
      <c r="B24" s="98"/>
      <c r="C24" s="98" t="s">
        <v>127</v>
      </c>
      <c r="D24" s="70"/>
      <c r="E24" s="116"/>
      <c r="F24" s="159">
        <f>'4. Financing'!E15</f>
        <v>0</v>
      </c>
      <c r="G24" s="175">
        <f>-(F24+('6. Income Statement'!Q17+'6. Income Statement'!Q18))</f>
        <v>216600</v>
      </c>
      <c r="H24" s="175">
        <f>-(G24+('6. Income Statement'!R17+'6. Income Statement'!R18))</f>
        <v>10830</v>
      </c>
      <c r="I24" s="175">
        <f>-(H24+('6. Income Statement'!S17+'6. Income Statement'!S18))</f>
        <v>227971.5</v>
      </c>
      <c r="J24" s="175">
        <f>-(I24+('6. Income Statement'!T17+'6. Income Statement'!T18))</f>
        <v>22770.075000000012</v>
      </c>
      <c r="K24" s="175">
        <f>-(J24+('6. Income Statement'!U17+'6. Income Statement'!U18))</f>
        <v>240508.57874999999</v>
      </c>
      <c r="L24" s="73"/>
      <c r="M24" s="44"/>
      <c r="N24" s="44"/>
      <c r="O24" s="44"/>
    </row>
    <row r="25" spans="1:15" ht="12.75" customHeight="1" x14ac:dyDescent="0.3">
      <c r="A25" s="98"/>
      <c r="B25" s="98"/>
      <c r="C25" s="98" t="s">
        <v>128</v>
      </c>
      <c r="D25" s="70"/>
      <c r="E25" s="117"/>
      <c r="F25" s="159">
        <f>'4. Financing'!E16</f>
        <v>0</v>
      </c>
      <c r="G25" s="159">
        <f>'15. Debtors &amp; Creditors'!H16</f>
        <v>0</v>
      </c>
      <c r="H25" s="159">
        <f>'15. Debtors &amp; Creditors'!I16</f>
        <v>0</v>
      </c>
      <c r="I25" s="159">
        <f>'15. Debtors &amp; Creditors'!J16</f>
        <v>0</v>
      </c>
      <c r="J25" s="159">
        <f>'15. Debtors &amp; Creditors'!K16</f>
        <v>0</v>
      </c>
      <c r="K25" s="159">
        <f>'15. Debtors &amp; Creditors'!L16</f>
        <v>0</v>
      </c>
      <c r="L25" s="72"/>
      <c r="M25" s="44"/>
      <c r="N25" s="44"/>
      <c r="O25" s="44"/>
    </row>
    <row r="26" spans="1:15" ht="12.75" customHeight="1" x14ac:dyDescent="0.3">
      <c r="A26" s="98"/>
      <c r="B26" s="98"/>
      <c r="C26" s="98" t="s">
        <v>196</v>
      </c>
      <c r="D26" s="70"/>
      <c r="E26" s="117"/>
      <c r="F26" s="159">
        <f>'4. Financing'!E17</f>
        <v>196148.22983333335</v>
      </c>
      <c r="G26" s="159">
        <f>'8. Balance Sheet'!F26-'11. Depreciation &amp;Amoritization'!G82</f>
        <v>156918.58386666668</v>
      </c>
      <c r="H26" s="159">
        <f>'8. Balance Sheet'!G26-'11. Depreciation &amp;Amoritization'!H82</f>
        <v>117688.93790000002</v>
      </c>
      <c r="I26" s="159">
        <f>'8. Balance Sheet'!H26-'11. Depreciation &amp;Amoritization'!I82</f>
        <v>78459.291933333356</v>
      </c>
      <c r="J26" s="159">
        <f>'8. Balance Sheet'!I26-'11. Depreciation &amp;Amoritization'!J82</f>
        <v>39229.645966666685</v>
      </c>
      <c r="K26" s="159">
        <f>'8. Balance Sheet'!J26-'11. Depreciation &amp;Amoritization'!K82</f>
        <v>0</v>
      </c>
      <c r="L26" s="72"/>
      <c r="M26" s="44"/>
      <c r="N26" s="44"/>
      <c r="O26" s="44"/>
    </row>
    <row r="27" spans="1:15" ht="12.75" customHeight="1" thickBot="1" x14ac:dyDescent="0.35">
      <c r="A27" s="98"/>
      <c r="B27" s="109" t="s">
        <v>130</v>
      </c>
      <c r="C27" s="109"/>
      <c r="D27" s="110"/>
      <c r="E27" s="122"/>
      <c r="F27" s="160">
        <f>SUM(F23:F26)</f>
        <v>578242.2398333333</v>
      </c>
      <c r="G27" s="160">
        <f t="shared" ref="G27:K27" si="1">SUM(G23:G26)</f>
        <v>658086.62523719145</v>
      </c>
      <c r="H27" s="160">
        <f t="shared" si="1"/>
        <v>805453.06693091383</v>
      </c>
      <c r="I27" s="160">
        <f t="shared" si="1"/>
        <v>1060085.3386676658</v>
      </c>
      <c r="J27" s="160">
        <f t="shared" si="1"/>
        <v>1434112.4703232837</v>
      </c>
      <c r="K27" s="160">
        <f t="shared" si="1"/>
        <v>1940765.1959318286</v>
      </c>
      <c r="L27" s="72"/>
      <c r="M27" s="44"/>
      <c r="N27" s="44"/>
      <c r="O27" s="44"/>
    </row>
    <row r="28" spans="1:15" ht="12.75" customHeight="1" thickTop="1" x14ac:dyDescent="0.3">
      <c r="A28" s="98"/>
      <c r="B28" s="98"/>
      <c r="C28" s="98"/>
      <c r="D28" s="70"/>
      <c r="E28" s="117"/>
      <c r="F28" s="161"/>
      <c r="G28" s="161"/>
      <c r="H28" s="161"/>
      <c r="I28" s="161"/>
      <c r="J28" s="161"/>
      <c r="K28" s="161"/>
      <c r="L28" s="72"/>
      <c r="M28" s="44"/>
      <c r="N28" s="44"/>
      <c r="O28" s="44"/>
    </row>
    <row r="29" spans="1:15" ht="12.75" customHeight="1" thickBot="1" x14ac:dyDescent="0.35">
      <c r="A29" s="101"/>
      <c r="B29" s="101"/>
      <c r="C29" s="101"/>
      <c r="D29" s="102"/>
      <c r="E29" s="130"/>
      <c r="F29" s="162"/>
      <c r="G29" s="162"/>
      <c r="H29" s="162"/>
      <c r="I29" s="162"/>
      <c r="J29" s="162"/>
      <c r="K29" s="162"/>
      <c r="L29" s="73"/>
      <c r="M29" s="44"/>
      <c r="N29" s="44"/>
      <c r="O29" s="44"/>
    </row>
    <row r="30" spans="1:15" ht="15.9" customHeight="1" thickBot="1" x14ac:dyDescent="0.35">
      <c r="A30" s="106" t="s">
        <v>192</v>
      </c>
      <c r="B30" s="106"/>
      <c r="C30" s="106"/>
      <c r="D30" s="107"/>
      <c r="E30" s="107"/>
      <c r="F30" s="186">
        <f>F20+F27</f>
        <v>5016138.3998333337</v>
      </c>
      <c r="G30" s="186">
        <f t="shared" ref="G30:K30" si="2">G20+G27</f>
        <v>4304878.0532371914</v>
      </c>
      <c r="H30" s="186">
        <f t="shared" si="2"/>
        <v>3661139.7629309138</v>
      </c>
      <c r="I30" s="186">
        <f t="shared" si="2"/>
        <v>3124667.3026676662</v>
      </c>
      <c r="J30" s="186">
        <f t="shared" si="2"/>
        <v>2707589.702323284</v>
      </c>
      <c r="K30" s="186">
        <f t="shared" si="2"/>
        <v>2423137.6959318286</v>
      </c>
      <c r="L30" s="187"/>
      <c r="M30" s="44"/>
      <c r="N30" s="44"/>
      <c r="O30" s="44"/>
    </row>
    <row r="31" spans="1:15" ht="12.75" customHeight="1" thickTop="1" x14ac:dyDescent="0.3">
      <c r="A31" s="98"/>
      <c r="B31" s="98"/>
      <c r="C31" s="98"/>
      <c r="D31" s="70"/>
      <c r="E31" s="70"/>
      <c r="F31" s="161"/>
      <c r="G31" s="161"/>
      <c r="H31" s="161"/>
      <c r="I31" s="161"/>
      <c r="J31" s="161"/>
      <c r="K31" s="161"/>
      <c r="L31" s="61"/>
      <c r="M31" s="44"/>
      <c r="N31" s="44"/>
      <c r="O31" s="44"/>
    </row>
    <row r="32" spans="1:15" ht="12.75" customHeight="1" x14ac:dyDescent="0.3">
      <c r="A32" s="98"/>
      <c r="B32" s="98" t="s">
        <v>145</v>
      </c>
      <c r="C32" s="98"/>
      <c r="D32" s="70"/>
      <c r="E32" s="70"/>
      <c r="F32" s="161"/>
      <c r="G32" s="161"/>
      <c r="H32" s="161"/>
      <c r="I32" s="161"/>
      <c r="J32" s="161"/>
      <c r="K32" s="161"/>
      <c r="L32" s="61"/>
      <c r="M32" s="44"/>
      <c r="N32" s="44"/>
      <c r="O32" s="44"/>
    </row>
    <row r="33" spans="1:15" ht="12.75" customHeight="1" x14ac:dyDescent="0.3">
      <c r="A33" s="98"/>
      <c r="B33" s="98"/>
      <c r="C33" s="98" t="s">
        <v>131</v>
      </c>
      <c r="D33" s="70"/>
      <c r="E33" s="117"/>
      <c r="F33" s="159">
        <f>'4. Financing'!F20</f>
        <v>2508069.1999166668</v>
      </c>
      <c r="G33" s="159">
        <f>F33</f>
        <v>2508069.1999166668</v>
      </c>
      <c r="H33" s="159">
        <f t="shared" ref="H33:K33" si="3">G33</f>
        <v>2508069.1999166668</v>
      </c>
      <c r="I33" s="159">
        <f t="shared" si="3"/>
        <v>2508069.1999166668</v>
      </c>
      <c r="J33" s="159">
        <f t="shared" si="3"/>
        <v>2508069.1999166668</v>
      </c>
      <c r="K33" s="159">
        <f t="shared" si="3"/>
        <v>2508069.1999166668</v>
      </c>
      <c r="L33" s="72"/>
      <c r="M33" s="44"/>
      <c r="N33" s="44"/>
      <c r="O33" s="44"/>
    </row>
    <row r="34" spans="1:15" ht="12.75" customHeight="1" thickBot="1" x14ac:dyDescent="0.35">
      <c r="A34" s="101"/>
      <c r="B34" s="101"/>
      <c r="C34" s="101" t="s">
        <v>132</v>
      </c>
      <c r="D34" s="102"/>
      <c r="E34" s="130"/>
      <c r="F34" s="164">
        <v>0</v>
      </c>
      <c r="G34" s="164">
        <f>F34+'6. Income Statement'!Q105-'8. Balance Sheet'!G48</f>
        <v>-334584.17921134614</v>
      </c>
      <c r="H34" s="164">
        <f>G34+'6. Income Statement'!R105-'8. Balance Sheet'!H48</f>
        <v>-547527.56444269582</v>
      </c>
      <c r="I34" s="164">
        <f>H34+'6. Income Statement'!S105-'8. Balance Sheet'!I48</f>
        <v>-591310.90256955102</v>
      </c>
      <c r="J34" s="164">
        <f>I34+'6. Income Statement'!T105-'8. Balance Sheet'!J48</f>
        <v>-444912.54669455939</v>
      </c>
      <c r="K34" s="164">
        <f>J34+'6. Income Statement'!U105-'8. Balance Sheet'!K48</f>
        <v>-84931.503984837851</v>
      </c>
      <c r="L34" s="61"/>
      <c r="M34" s="44"/>
      <c r="N34" s="44"/>
      <c r="O34" s="44"/>
    </row>
    <row r="35" spans="1:15" ht="12.75" customHeight="1" thickBot="1" x14ac:dyDescent="0.35">
      <c r="A35" s="106"/>
      <c r="B35" s="106" t="s">
        <v>133</v>
      </c>
      <c r="C35" s="106"/>
      <c r="D35" s="107"/>
      <c r="E35" s="107"/>
      <c r="F35" s="163">
        <f>SUM(F33:F34)</f>
        <v>2508069.1999166668</v>
      </c>
      <c r="G35" s="163">
        <f>SUM(G33:G34)</f>
        <v>2173485.0207053209</v>
      </c>
      <c r="H35" s="163">
        <f t="shared" ref="H35:K35" si="4">SUM(H33:H34)</f>
        <v>1960541.635473971</v>
      </c>
      <c r="I35" s="163">
        <f t="shared" si="4"/>
        <v>1916758.2973471158</v>
      </c>
      <c r="J35" s="163">
        <f t="shared" si="4"/>
        <v>2063156.6532221073</v>
      </c>
      <c r="K35" s="163">
        <f t="shared" si="4"/>
        <v>2423137.695931829</v>
      </c>
      <c r="L35" s="61"/>
      <c r="M35" s="44"/>
      <c r="N35" s="44"/>
      <c r="O35" s="44"/>
    </row>
    <row r="36" spans="1:15" ht="12.75" customHeight="1" thickTop="1" x14ac:dyDescent="0.3">
      <c r="A36" s="98"/>
      <c r="B36" s="98"/>
      <c r="C36" s="98"/>
      <c r="D36" s="70"/>
      <c r="E36" s="70"/>
      <c r="F36" s="165"/>
      <c r="G36" s="165"/>
      <c r="H36" s="165"/>
      <c r="I36" s="165"/>
      <c r="J36" s="165"/>
      <c r="K36" s="165"/>
      <c r="L36" s="61"/>
      <c r="M36" s="44"/>
      <c r="N36" s="44"/>
      <c r="O36" s="44"/>
    </row>
    <row r="37" spans="1:15" ht="12.75" customHeight="1" x14ac:dyDescent="0.3">
      <c r="A37" s="98"/>
      <c r="B37" s="98"/>
      <c r="C37" s="98"/>
      <c r="D37" s="70"/>
      <c r="E37" s="70"/>
      <c r="F37" s="165"/>
      <c r="G37" s="165"/>
      <c r="H37" s="165"/>
      <c r="I37" s="165"/>
      <c r="J37" s="165"/>
      <c r="K37" s="165"/>
      <c r="L37" s="61"/>
      <c r="M37" s="44"/>
      <c r="N37" s="44"/>
      <c r="O37" s="44"/>
    </row>
    <row r="38" spans="1:15" ht="12.75" customHeight="1" x14ac:dyDescent="0.3">
      <c r="A38" s="98"/>
      <c r="B38" s="98" t="s">
        <v>134</v>
      </c>
      <c r="C38" s="98"/>
      <c r="D38" s="70"/>
      <c r="E38" s="70"/>
      <c r="F38" s="165"/>
      <c r="G38" s="191"/>
      <c r="H38" s="191"/>
      <c r="I38" s="191"/>
      <c r="J38" s="191"/>
      <c r="K38" s="191"/>
      <c r="L38" s="61"/>
      <c r="M38" s="44"/>
      <c r="N38" s="44"/>
      <c r="O38" s="44"/>
    </row>
    <row r="39" spans="1:15" ht="12.75" customHeight="1" x14ac:dyDescent="0.3">
      <c r="A39" s="98"/>
      <c r="B39" s="98"/>
      <c r="C39" s="98" t="s">
        <v>135</v>
      </c>
      <c r="D39" s="70"/>
      <c r="E39" s="70"/>
      <c r="F39" s="112">
        <v>0</v>
      </c>
      <c r="G39" s="159">
        <f>F39</f>
        <v>0</v>
      </c>
      <c r="H39" s="159">
        <f t="shared" ref="H39:K39" si="5">G39</f>
        <v>0</v>
      </c>
      <c r="I39" s="159">
        <f t="shared" si="5"/>
        <v>0</v>
      </c>
      <c r="J39" s="159">
        <f t="shared" si="5"/>
        <v>0</v>
      </c>
      <c r="K39" s="159">
        <f t="shared" si="5"/>
        <v>0</v>
      </c>
      <c r="L39" s="61"/>
      <c r="M39" s="44"/>
      <c r="N39" s="44"/>
      <c r="O39" s="44"/>
    </row>
    <row r="40" spans="1:15" ht="12.75" customHeight="1" x14ac:dyDescent="0.3">
      <c r="A40" s="98"/>
      <c r="B40" s="98"/>
      <c r="C40" s="98" t="s">
        <v>136</v>
      </c>
      <c r="D40" s="70"/>
      <c r="E40" s="70"/>
      <c r="F40" s="159">
        <f>'4. Financing'!F21</f>
        <v>2508069.1999166668</v>
      </c>
      <c r="G40" s="159">
        <f>'11. Depreciation &amp;Amoritization'!R22+'11. Depreciation &amp;Amoritization'!R53</f>
        <v>2131393.0325318701</v>
      </c>
      <c r="H40" s="159">
        <f>'11. Depreciation &amp;Amoritization'!R26+'11. Depreciation &amp;Amoritization'!R57</f>
        <v>1700598.1274569419</v>
      </c>
      <c r="I40" s="159">
        <f>'11. Depreciation &amp;Amoritization'!R30+'11. Depreciation &amp;Amoritization'!R61</f>
        <v>1207909.0053205495</v>
      </c>
      <c r="J40" s="159">
        <f>'11. Depreciation &amp;Amoritization'!R34+'11. Depreciation &amp;Amoritization'!R65</f>
        <v>644433.04910117609</v>
      </c>
      <c r="K40" s="159">
        <f>J40-('11. Depreciation &amp;Amoritization'!S37+'11. Depreciation &amp;Amoritization'!S68)</f>
        <v>0</v>
      </c>
      <c r="L40" s="61"/>
      <c r="M40" s="44"/>
      <c r="N40" s="44"/>
      <c r="O40" s="44"/>
    </row>
    <row r="41" spans="1:15" ht="12.75" customHeight="1" x14ac:dyDescent="0.3">
      <c r="A41" s="98"/>
      <c r="B41" s="98"/>
      <c r="C41" s="98" t="s">
        <v>124</v>
      </c>
      <c r="D41" s="70"/>
      <c r="E41" s="70"/>
      <c r="F41" s="112">
        <v>0</v>
      </c>
      <c r="G41" s="159">
        <v>0</v>
      </c>
      <c r="H41" s="159">
        <v>0</v>
      </c>
      <c r="I41" s="159">
        <v>0</v>
      </c>
      <c r="J41" s="159">
        <v>0</v>
      </c>
      <c r="K41" s="159">
        <v>0</v>
      </c>
      <c r="L41" s="61"/>
      <c r="M41" s="44"/>
      <c r="N41" s="44"/>
      <c r="O41" s="44"/>
    </row>
    <row r="42" spans="1:15" ht="12.75" customHeight="1" thickBot="1" x14ac:dyDescent="0.35">
      <c r="A42" s="98"/>
      <c r="B42" s="109" t="s">
        <v>137</v>
      </c>
      <c r="C42" s="109"/>
      <c r="D42" s="110"/>
      <c r="E42" s="110"/>
      <c r="F42" s="160">
        <f t="shared" ref="F42:K42" si="6">SUM(F39:F41)</f>
        <v>2508069.1999166668</v>
      </c>
      <c r="G42" s="160">
        <f t="shared" si="6"/>
        <v>2131393.0325318701</v>
      </c>
      <c r="H42" s="160">
        <f t="shared" si="6"/>
        <v>1700598.1274569419</v>
      </c>
      <c r="I42" s="160">
        <f t="shared" si="6"/>
        <v>1207909.0053205495</v>
      </c>
      <c r="J42" s="160">
        <f t="shared" si="6"/>
        <v>644433.04910117609</v>
      </c>
      <c r="K42" s="160">
        <f t="shared" si="6"/>
        <v>0</v>
      </c>
      <c r="L42" s="44"/>
      <c r="M42" s="44"/>
      <c r="N42" s="44"/>
      <c r="O42" s="44"/>
    </row>
    <row r="43" spans="1:15" ht="12.75" customHeight="1" thickTop="1" x14ac:dyDescent="0.3">
      <c r="A43" s="98"/>
      <c r="B43" s="98"/>
      <c r="C43" s="98"/>
      <c r="D43" s="70"/>
      <c r="E43" s="70"/>
      <c r="F43" s="161"/>
      <c r="G43" s="161"/>
      <c r="H43" s="161"/>
      <c r="I43" s="161"/>
      <c r="J43" s="161"/>
      <c r="K43" s="161"/>
      <c r="L43" s="44"/>
      <c r="M43" s="44"/>
      <c r="N43" s="44"/>
      <c r="O43" s="44"/>
    </row>
    <row r="44" spans="1:15" ht="12.75" customHeight="1" x14ac:dyDescent="0.3">
      <c r="A44" s="98"/>
      <c r="B44" s="98" t="s">
        <v>138</v>
      </c>
      <c r="C44" s="98"/>
      <c r="D44" s="70"/>
      <c r="E44" s="70"/>
      <c r="F44" s="165"/>
      <c r="G44" s="165"/>
      <c r="H44" s="165"/>
      <c r="I44" s="165"/>
      <c r="J44" s="165"/>
      <c r="K44" s="165"/>
      <c r="L44" s="44"/>
      <c r="M44" s="44"/>
      <c r="N44" s="44"/>
      <c r="O44" s="44"/>
    </row>
    <row r="45" spans="1:15" ht="12.75" customHeight="1" x14ac:dyDescent="0.3">
      <c r="A45" s="98"/>
      <c r="B45" s="98"/>
      <c r="C45" s="98" t="s">
        <v>136</v>
      </c>
      <c r="D45" s="70"/>
      <c r="E45" s="70"/>
      <c r="F45" s="175">
        <v>0</v>
      </c>
      <c r="G45" s="159">
        <f>F45</f>
        <v>0</v>
      </c>
      <c r="H45" s="159">
        <f t="shared" ref="H45:K45" si="7">G45</f>
        <v>0</v>
      </c>
      <c r="I45" s="159">
        <f t="shared" si="7"/>
        <v>0</v>
      </c>
      <c r="J45" s="159">
        <f t="shared" si="7"/>
        <v>0</v>
      </c>
      <c r="K45" s="159">
        <f t="shared" si="7"/>
        <v>0</v>
      </c>
      <c r="L45" s="44"/>
      <c r="M45" s="44"/>
      <c r="N45" s="44"/>
      <c r="O45" s="44"/>
    </row>
    <row r="46" spans="1:15" ht="12.75" customHeight="1" x14ac:dyDescent="0.3">
      <c r="A46" s="98"/>
      <c r="B46" s="98"/>
      <c r="C46" s="98" t="s">
        <v>140</v>
      </c>
      <c r="D46" s="70"/>
      <c r="E46" s="70"/>
      <c r="F46" s="159">
        <v>0</v>
      </c>
      <c r="G46" s="175">
        <f>'15. Debtors &amp; Creditors'!H19</f>
        <v>0</v>
      </c>
      <c r="H46" s="159">
        <f>'15. Debtors &amp; Creditors'!I19</f>
        <v>0</v>
      </c>
      <c r="I46" s="159">
        <f>'15. Debtors &amp; Creditors'!J19</f>
        <v>0</v>
      </c>
      <c r="J46" s="159">
        <f>'15. Debtors &amp; Creditors'!K19</f>
        <v>0</v>
      </c>
      <c r="K46" s="159">
        <f>'15. Debtors &amp; Creditors'!L19</f>
        <v>0</v>
      </c>
      <c r="L46" s="44"/>
      <c r="M46" s="44"/>
      <c r="N46" s="44"/>
      <c r="O46" s="44"/>
    </row>
    <row r="47" spans="1:15" ht="12.75" customHeight="1" x14ac:dyDescent="0.3">
      <c r="A47" s="98"/>
      <c r="B47" s="98"/>
      <c r="C47" s="98" t="s">
        <v>141</v>
      </c>
      <c r="D47" s="70"/>
      <c r="E47" s="70"/>
      <c r="F47" s="159">
        <v>0</v>
      </c>
      <c r="G47" s="159"/>
      <c r="H47" s="159"/>
      <c r="I47" s="159"/>
      <c r="J47" s="159"/>
      <c r="K47" s="159"/>
      <c r="L47" s="44"/>
      <c r="M47" s="44"/>
      <c r="N47" s="44"/>
      <c r="O47" s="44"/>
    </row>
    <row r="48" spans="1:15" ht="12.75" customHeight="1" x14ac:dyDescent="0.3">
      <c r="A48" s="98"/>
      <c r="B48" s="98"/>
      <c r="C48" s="98" t="s">
        <v>144</v>
      </c>
      <c r="D48" s="70"/>
      <c r="E48" s="70"/>
      <c r="F48" s="112">
        <v>0</v>
      </c>
      <c r="G48" s="112">
        <v>0</v>
      </c>
      <c r="H48" s="112">
        <v>0</v>
      </c>
      <c r="I48" s="112">
        <v>0</v>
      </c>
      <c r="J48" s="112">
        <v>0</v>
      </c>
      <c r="K48" s="112">
        <v>0</v>
      </c>
      <c r="L48" s="44"/>
      <c r="M48" s="44"/>
      <c r="N48" s="44"/>
      <c r="O48" s="44"/>
    </row>
    <row r="49" spans="1:15" ht="12.75" customHeight="1" thickBot="1" x14ac:dyDescent="0.35">
      <c r="A49" s="98"/>
      <c r="B49" s="109" t="s">
        <v>142</v>
      </c>
      <c r="C49" s="109"/>
      <c r="D49" s="110"/>
      <c r="E49" s="110"/>
      <c r="F49" s="160">
        <f>SUM(F45:F48)</f>
        <v>0</v>
      </c>
      <c r="G49" s="160">
        <f t="shared" ref="G49:K49" si="8">SUM(G45:G48)</f>
        <v>0</v>
      </c>
      <c r="H49" s="160">
        <f t="shared" si="8"/>
        <v>0</v>
      </c>
      <c r="I49" s="160">
        <f t="shared" si="8"/>
        <v>0</v>
      </c>
      <c r="J49" s="160">
        <f t="shared" si="8"/>
        <v>0</v>
      </c>
      <c r="K49" s="160">
        <f t="shared" si="8"/>
        <v>0</v>
      </c>
      <c r="L49" s="44"/>
      <c r="M49" s="44"/>
      <c r="N49" s="44"/>
      <c r="O49" s="44"/>
    </row>
    <row r="50" spans="1:15" ht="12.75" customHeight="1" thickTop="1" x14ac:dyDescent="0.3">
      <c r="A50" s="98"/>
      <c r="B50" s="98"/>
      <c r="C50" s="98"/>
      <c r="D50" s="70"/>
      <c r="E50" s="70"/>
      <c r="F50" s="165"/>
      <c r="G50" s="165"/>
      <c r="H50" s="165"/>
      <c r="I50" s="165"/>
      <c r="J50" s="165"/>
      <c r="K50" s="165"/>
      <c r="L50" s="44"/>
      <c r="M50" s="44"/>
      <c r="N50" s="44"/>
      <c r="O50" s="44"/>
    </row>
    <row r="51" spans="1:15" ht="12.75" customHeight="1" x14ac:dyDescent="0.3">
      <c r="A51" s="98"/>
      <c r="B51" s="98"/>
      <c r="C51" s="98"/>
      <c r="D51" s="70"/>
      <c r="E51" s="70"/>
      <c r="F51" s="165"/>
      <c r="G51" s="165"/>
      <c r="H51" s="165"/>
      <c r="I51" s="165"/>
      <c r="J51" s="165"/>
      <c r="K51" s="165"/>
      <c r="L51" s="44"/>
      <c r="M51" s="44"/>
      <c r="N51" s="44"/>
      <c r="O51" s="44"/>
    </row>
    <row r="52" spans="1:15" ht="12.75" customHeight="1" thickBot="1" x14ac:dyDescent="0.35">
      <c r="A52" s="109" t="s">
        <v>193</v>
      </c>
      <c r="B52" s="109"/>
      <c r="C52" s="109"/>
      <c r="D52" s="110"/>
      <c r="E52" s="110"/>
      <c r="F52" s="160">
        <f>F42+F49</f>
        <v>2508069.1999166668</v>
      </c>
      <c r="G52" s="160">
        <f t="shared" ref="G52:K52" si="9">G42+G49</f>
        <v>2131393.0325318701</v>
      </c>
      <c r="H52" s="160">
        <f t="shared" si="9"/>
        <v>1700598.1274569419</v>
      </c>
      <c r="I52" s="160">
        <f t="shared" si="9"/>
        <v>1207909.0053205495</v>
      </c>
      <c r="J52" s="160">
        <f t="shared" si="9"/>
        <v>644433.04910117609</v>
      </c>
      <c r="K52" s="160">
        <f t="shared" si="9"/>
        <v>0</v>
      </c>
      <c r="L52" s="44"/>
      <c r="M52" s="44"/>
      <c r="N52" s="44"/>
      <c r="O52" s="44"/>
    </row>
    <row r="53" spans="1:15" ht="12.75" customHeight="1" thickTop="1" x14ac:dyDescent="0.3">
      <c r="A53" s="98"/>
      <c r="B53" s="98"/>
      <c r="C53" s="98"/>
      <c r="D53" s="70"/>
      <c r="E53" s="70"/>
      <c r="F53" s="161"/>
      <c r="G53" s="161"/>
      <c r="H53" s="161"/>
      <c r="I53" s="161"/>
      <c r="J53" s="161"/>
      <c r="K53" s="161"/>
      <c r="L53" s="44"/>
      <c r="M53" s="44"/>
      <c r="N53" s="44"/>
      <c r="O53" s="44"/>
    </row>
    <row r="54" spans="1:15" ht="12.75" customHeight="1" thickBot="1" x14ac:dyDescent="0.35">
      <c r="A54" s="101"/>
      <c r="B54" s="101"/>
      <c r="C54" s="101"/>
      <c r="D54" s="102"/>
      <c r="E54" s="102"/>
      <c r="F54" s="162"/>
      <c r="G54" s="162"/>
      <c r="H54" s="162"/>
      <c r="I54" s="162"/>
      <c r="J54" s="162"/>
      <c r="K54" s="162"/>
      <c r="L54" s="44"/>
      <c r="M54" s="44"/>
      <c r="N54" s="44"/>
      <c r="O54" s="44"/>
    </row>
    <row r="55" spans="1:15" ht="15.9" customHeight="1" thickBot="1" x14ac:dyDescent="0.35">
      <c r="A55" s="106" t="s">
        <v>204</v>
      </c>
      <c r="B55" s="106"/>
      <c r="C55" s="106"/>
      <c r="D55" s="107"/>
      <c r="E55" s="107"/>
      <c r="F55" s="186">
        <f>F35+F52</f>
        <v>5016138.3998333337</v>
      </c>
      <c r="G55" s="186">
        <f>G35+G52</f>
        <v>4304878.0532371905</v>
      </c>
      <c r="H55" s="186">
        <f t="shared" ref="H55:K55" si="10">H35+H52</f>
        <v>3661139.7629309129</v>
      </c>
      <c r="I55" s="186">
        <f t="shared" si="10"/>
        <v>3124667.3026676653</v>
      </c>
      <c r="J55" s="186">
        <f t="shared" si="10"/>
        <v>2707589.7023232835</v>
      </c>
      <c r="K55" s="186">
        <f t="shared" si="10"/>
        <v>2423137.695931829</v>
      </c>
      <c r="L55" s="44"/>
      <c r="M55" s="81"/>
      <c r="N55" s="44"/>
      <c r="O55" s="44"/>
    </row>
    <row r="56" spans="1:15" ht="12.75" customHeight="1" thickTop="1" x14ac:dyDescent="0.3">
      <c r="A56" s="98"/>
      <c r="B56" s="98"/>
      <c r="C56" s="98"/>
      <c r="D56" s="70"/>
      <c r="E56" s="70"/>
      <c r="F56" s="108"/>
      <c r="G56" s="108"/>
      <c r="H56" s="108"/>
      <c r="I56" s="81"/>
      <c r="J56" s="81"/>
      <c r="K56" s="81"/>
      <c r="L56" s="44"/>
      <c r="M56" s="44"/>
      <c r="N56" s="44"/>
      <c r="O56" s="44"/>
    </row>
    <row r="57" spans="1:15" ht="12.75" customHeight="1" thickBot="1" x14ac:dyDescent="0.35">
      <c r="A57" s="101"/>
      <c r="B57" s="101"/>
      <c r="C57" s="101"/>
      <c r="D57" s="102"/>
      <c r="E57" s="102"/>
      <c r="F57" s="123"/>
      <c r="G57" s="123"/>
      <c r="H57" s="123"/>
      <c r="I57" s="176"/>
      <c r="J57" s="176"/>
      <c r="K57" s="176"/>
      <c r="L57" s="44"/>
      <c r="M57" s="44"/>
      <c r="N57" s="44"/>
      <c r="O57" s="44"/>
    </row>
    <row r="58" spans="1:15" ht="12.75" customHeight="1" thickBot="1" x14ac:dyDescent="0.35">
      <c r="A58" s="106" t="s">
        <v>205</v>
      </c>
      <c r="B58" s="106"/>
      <c r="C58" s="106"/>
      <c r="D58" s="107"/>
      <c r="E58" s="107"/>
      <c r="F58" s="121">
        <f>F55-F30</f>
        <v>0</v>
      </c>
      <c r="G58" s="121">
        <f>G55-G30</f>
        <v>0</v>
      </c>
      <c r="H58" s="121">
        <f t="shared" ref="H58:K58" si="11">H30-H55</f>
        <v>0</v>
      </c>
      <c r="I58" s="121">
        <f t="shared" si="11"/>
        <v>0</v>
      </c>
      <c r="J58" s="121">
        <f t="shared" si="11"/>
        <v>0</v>
      </c>
      <c r="K58" s="121">
        <f t="shared" si="11"/>
        <v>0</v>
      </c>
      <c r="L58" s="44"/>
      <c r="M58" s="44"/>
      <c r="N58" s="44"/>
      <c r="O58" s="44"/>
    </row>
    <row r="59" spans="1:15" ht="12.75" customHeight="1" thickTop="1" x14ac:dyDescent="0.3">
      <c r="A59" s="98"/>
      <c r="B59" s="98"/>
      <c r="C59" s="98"/>
      <c r="D59" s="70"/>
      <c r="E59" s="70"/>
      <c r="F59" s="108"/>
      <c r="G59" s="108"/>
      <c r="H59" s="108"/>
      <c r="I59" s="108"/>
      <c r="J59" s="108"/>
      <c r="K59" s="108"/>
      <c r="L59" s="44"/>
      <c r="M59" s="44"/>
      <c r="N59" s="44"/>
      <c r="O59" s="44"/>
    </row>
    <row r="60" spans="1:15" ht="12.75" customHeight="1" thickBot="1" x14ac:dyDescent="0.35">
      <c r="A60" s="101"/>
      <c r="B60" s="101"/>
      <c r="C60" s="101"/>
      <c r="D60" s="102"/>
      <c r="E60" s="102"/>
      <c r="F60" s="123"/>
      <c r="G60" s="123"/>
      <c r="H60" s="123"/>
      <c r="I60" s="123"/>
      <c r="J60" s="123"/>
      <c r="K60" s="123"/>
      <c r="L60" s="44"/>
      <c r="M60" s="44"/>
      <c r="N60" s="44"/>
      <c r="O60" s="44"/>
    </row>
    <row r="61" spans="1:15" ht="12.75" customHeight="1" thickBot="1" x14ac:dyDescent="0.35">
      <c r="A61" s="106" t="s">
        <v>203</v>
      </c>
      <c r="B61" s="106"/>
      <c r="C61" s="106"/>
      <c r="D61" s="107"/>
      <c r="E61" s="107"/>
      <c r="F61" s="184" t="str">
        <f>IF(F58=0, "Yes", "No")</f>
        <v>Yes</v>
      </c>
      <c r="G61" s="184" t="str">
        <f>IF(G58&lt;0.000000001, "Yes", "No")</f>
        <v>Yes</v>
      </c>
      <c r="H61" s="184" t="str">
        <f t="shared" ref="H61:K61" si="12">IF(H58=0, "Yes", "No")</f>
        <v>Yes</v>
      </c>
      <c r="I61" s="184" t="str">
        <f t="shared" si="12"/>
        <v>Yes</v>
      </c>
      <c r="J61" s="184" t="str">
        <f t="shared" si="12"/>
        <v>Yes</v>
      </c>
      <c r="K61" s="184" t="str">
        <f t="shared" si="12"/>
        <v>Yes</v>
      </c>
      <c r="L61" s="44"/>
      <c r="M61" s="44"/>
      <c r="N61" s="44"/>
      <c r="O61" s="44"/>
    </row>
    <row r="62" spans="1:15" ht="12.75" customHeight="1" thickTop="1" x14ac:dyDescent="0.3">
      <c r="A62" s="98"/>
      <c r="B62" s="98"/>
      <c r="C62" s="98"/>
      <c r="D62" s="70"/>
      <c r="E62" s="70"/>
      <c r="F62" s="108"/>
      <c r="G62" s="108"/>
      <c r="H62" s="108"/>
      <c r="I62" s="108"/>
      <c r="J62" s="108"/>
      <c r="K62" s="108"/>
      <c r="L62" s="44"/>
      <c r="M62" s="44"/>
      <c r="N62" s="44"/>
      <c r="O62" s="44"/>
    </row>
    <row r="63" spans="1:15" ht="12.75" customHeight="1" x14ac:dyDescent="0.3">
      <c r="A63" s="98"/>
      <c r="B63" s="98"/>
      <c r="C63" s="98"/>
      <c r="D63" s="70"/>
      <c r="E63" s="70"/>
      <c r="F63" s="70"/>
      <c r="G63" s="70"/>
      <c r="H63" s="44"/>
      <c r="I63" s="44"/>
      <c r="J63" s="44"/>
      <c r="K63" s="44"/>
      <c r="L63" s="44"/>
      <c r="M63" s="44"/>
      <c r="N63" s="44"/>
      <c r="O63" s="44"/>
    </row>
    <row r="64" spans="1:15" ht="12.75" customHeight="1" x14ac:dyDescent="0.3">
      <c r="A64" s="63"/>
      <c r="B64" s="63"/>
      <c r="C64" s="63"/>
      <c r="D64" s="61"/>
      <c r="E64" s="44"/>
      <c r="F64" s="44"/>
      <c r="G64" s="194"/>
      <c r="H64" s="194"/>
      <c r="I64" s="194"/>
      <c r="J64" s="194"/>
      <c r="K64" s="194"/>
      <c r="L64" s="44"/>
      <c r="M64" s="44"/>
      <c r="N64" s="44"/>
      <c r="O64" s="44"/>
    </row>
    <row r="65" spans="1:15" ht="12.75" customHeight="1" x14ac:dyDescent="0.25">
      <c r="A65" s="63"/>
      <c r="B65" s="63"/>
      <c r="C65" s="63"/>
      <c r="D65" s="61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</row>
    <row r="66" spans="1:15" ht="12.75" customHeight="1" x14ac:dyDescent="0.3">
      <c r="A66" s="63"/>
      <c r="B66" s="63"/>
      <c r="C66" s="63"/>
      <c r="D66" s="61"/>
      <c r="E66" s="44"/>
      <c r="F66" s="44"/>
      <c r="G66" s="194"/>
      <c r="H66" s="194"/>
      <c r="I66" s="194"/>
      <c r="J66" s="194"/>
      <c r="K66" s="194"/>
      <c r="L66" s="44"/>
      <c r="M66" s="44"/>
      <c r="N66" s="44"/>
      <c r="O66" s="44"/>
    </row>
    <row r="67" spans="1:15" ht="12.75" customHeight="1" x14ac:dyDescent="0.25">
      <c r="A67" s="63"/>
      <c r="B67" s="63"/>
      <c r="C67" s="63"/>
      <c r="D67" s="61"/>
      <c r="E67" s="44"/>
      <c r="F67" s="44"/>
      <c r="G67" s="75"/>
      <c r="H67" s="75"/>
      <c r="I67" s="75"/>
      <c r="J67" s="75"/>
      <c r="K67" s="75"/>
      <c r="L67" s="44"/>
      <c r="M67" s="44"/>
      <c r="N67" s="44"/>
      <c r="O67" s="44"/>
    </row>
    <row r="68" spans="1:15" ht="12.75" customHeight="1" x14ac:dyDescent="0.3">
      <c r="A68" s="63"/>
      <c r="B68" s="63"/>
      <c r="C68" s="63"/>
      <c r="D68" s="44"/>
      <c r="E68" s="44"/>
      <c r="F68" s="44"/>
      <c r="G68" s="175"/>
      <c r="H68" s="44"/>
      <c r="I68" s="44"/>
      <c r="J68" s="44"/>
      <c r="K68" s="44"/>
      <c r="L68" s="44"/>
      <c r="M68" s="44"/>
      <c r="N68" s="44"/>
      <c r="O68" s="44"/>
    </row>
    <row r="69" spans="1:15" ht="12.75" customHeight="1" x14ac:dyDescent="0.25">
      <c r="A69" s="63"/>
      <c r="B69" s="63"/>
      <c r="C69" s="63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ht="12.75" customHeight="1" x14ac:dyDescent="0.25">
      <c r="A70" s="63"/>
      <c r="B70" s="63"/>
      <c r="C70" s="63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</row>
    <row r="71" spans="1:15" ht="12.75" customHeight="1" x14ac:dyDescent="0.25">
      <c r="A71" s="63"/>
      <c r="B71" s="63"/>
      <c r="C71" s="63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</row>
    <row r="72" spans="1:15" ht="12.75" customHeight="1" x14ac:dyDescent="0.25">
      <c r="A72" s="63"/>
      <c r="B72" s="63"/>
      <c r="C72" s="63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</row>
    <row r="73" spans="1:15" ht="12.75" customHeight="1" x14ac:dyDescent="0.25">
      <c r="A73" s="63"/>
      <c r="B73" s="63"/>
      <c r="C73" s="63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</row>
    <row r="74" spans="1:15" ht="12.75" customHeight="1" x14ac:dyDescent="0.25">
      <c r="A74" s="63"/>
      <c r="B74" s="63"/>
      <c r="C74" s="63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</row>
    <row r="75" spans="1:15" ht="12.75" customHeight="1" x14ac:dyDescent="0.25">
      <c r="A75" s="63"/>
      <c r="B75" s="63"/>
      <c r="C75" s="63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</row>
    <row r="76" spans="1:15" ht="12.75" customHeight="1" x14ac:dyDescent="0.25">
      <c r="A76" s="63"/>
      <c r="B76" s="63"/>
      <c r="C76" s="63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</row>
    <row r="77" spans="1:15" ht="12.75" customHeight="1" x14ac:dyDescent="0.25">
      <c r="A77" s="63"/>
      <c r="B77" s="63"/>
      <c r="C77" s="63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</row>
    <row r="78" spans="1:15" ht="12.75" customHeight="1" x14ac:dyDescent="0.25">
      <c r="A78" s="63"/>
      <c r="B78" s="63"/>
      <c r="C78" s="63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</row>
    <row r="79" spans="1:15" ht="12.75" customHeight="1" x14ac:dyDescent="0.25">
      <c r="A79" s="63"/>
      <c r="B79" s="63"/>
      <c r="C79" s="63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</row>
    <row r="80" spans="1:15" ht="12.75" customHeight="1" x14ac:dyDescent="0.25">
      <c r="A80" s="63"/>
      <c r="B80" s="63"/>
      <c r="C80" s="63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</row>
    <row r="81" spans="1:15" ht="12.75" customHeight="1" x14ac:dyDescent="0.25">
      <c r="A81" s="63"/>
      <c r="B81" s="63"/>
      <c r="C81" s="63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</row>
    <row r="82" spans="1:15" ht="12.75" customHeight="1" x14ac:dyDescent="0.25">
      <c r="A82" s="63"/>
      <c r="B82" s="63"/>
      <c r="C82" s="63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</row>
    <row r="83" spans="1:15" ht="12.75" customHeight="1" x14ac:dyDescent="0.25">
      <c r="A83" s="63"/>
      <c r="B83" s="63"/>
      <c r="C83" s="63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</row>
    <row r="84" spans="1:15" ht="12.75" customHeight="1" x14ac:dyDescent="0.25">
      <c r="A84" s="63"/>
      <c r="B84" s="63"/>
      <c r="C84" s="63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</row>
    <row r="85" spans="1:15" ht="12.75" customHeight="1" x14ac:dyDescent="0.25">
      <c r="A85" s="63"/>
      <c r="B85" s="63"/>
      <c r="C85" s="63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</row>
    <row r="86" spans="1:15" ht="12.75" customHeight="1" x14ac:dyDescent="0.25">
      <c r="A86" s="63"/>
      <c r="B86" s="63"/>
      <c r="C86" s="63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</row>
    <row r="87" spans="1:15" ht="12.75" customHeight="1" x14ac:dyDescent="0.25">
      <c r="A87" s="63"/>
      <c r="B87" s="63"/>
      <c r="C87" s="63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</row>
    <row r="88" spans="1:15" ht="12.75" customHeight="1" x14ac:dyDescent="0.25">
      <c r="A88" s="63"/>
      <c r="B88" s="63"/>
      <c r="C88" s="63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89" spans="1:15" ht="12.75" customHeight="1" x14ac:dyDescent="0.25">
      <c r="A89" s="63"/>
      <c r="B89" s="63"/>
      <c r="C89" s="63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</row>
    <row r="90" spans="1:15" ht="12.75" customHeight="1" x14ac:dyDescent="0.25">
      <c r="A90" s="63"/>
      <c r="B90" s="63"/>
      <c r="C90" s="63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</row>
    <row r="91" spans="1:15" ht="12.75" customHeight="1" x14ac:dyDescent="0.2"/>
    <row r="92" spans="1:15" ht="12.75" customHeight="1" x14ac:dyDescent="0.2"/>
    <row r="93" spans="1:15" ht="12.75" customHeight="1" x14ac:dyDescent="0.2"/>
    <row r="94" spans="1:15" ht="12.75" customHeight="1" x14ac:dyDescent="0.2"/>
  </sheetData>
  <mergeCells count="2">
    <mergeCell ref="B6:B8"/>
    <mergeCell ref="A1:K4"/>
  </mergeCells>
  <pageMargins left="0.75" right="0.75" top="1" bottom="0.75" header="0.5" footer="0.5"/>
  <pageSetup scale="75" orientation="landscape" horizontalDpi="300" verticalDpi="300" r:id="rId1"/>
  <headerFooter alignWithMargins="0"/>
  <ignoredErrors>
    <ignoredError sqref="K20 K13:K14" unlockedFormula="1"/>
    <ignoredError sqref="G6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9</vt:i4>
      </vt:variant>
    </vt:vector>
  </HeadingPairs>
  <TitlesOfParts>
    <vt:vector size="30" baseType="lpstr">
      <vt:lpstr>Cover Page</vt:lpstr>
      <vt:lpstr>1. Assumptions</vt:lpstr>
      <vt:lpstr>2. Dashboards</vt:lpstr>
      <vt:lpstr>3. Budget</vt:lpstr>
      <vt:lpstr>4. Financing</vt:lpstr>
      <vt:lpstr>5. Sales forecast</vt:lpstr>
      <vt:lpstr>6. Income Statement</vt:lpstr>
      <vt:lpstr>7. Cash Flow Statement</vt:lpstr>
      <vt:lpstr>8. Balance Sheet</vt:lpstr>
      <vt:lpstr>7. Beginning Balance Sheet</vt:lpstr>
      <vt:lpstr>10. Breakeven Analysis</vt:lpstr>
      <vt:lpstr>9. Financial Ratios</vt:lpstr>
      <vt:lpstr>11. Depreciation &amp;Amoritization</vt:lpstr>
      <vt:lpstr>12. Historical Income Statement</vt:lpstr>
      <vt:lpstr>13 History Cash Flow Statement </vt:lpstr>
      <vt:lpstr>14. History Balance Sheet</vt:lpstr>
      <vt:lpstr>15. Debtors &amp; Creditors</vt:lpstr>
      <vt:lpstr>Production</vt:lpstr>
      <vt:lpstr>Enterprise budgets</vt:lpstr>
      <vt:lpstr>Cashflow</vt:lpstr>
      <vt:lpstr>Capex</vt:lpstr>
      <vt:lpstr>'12. Historical Income Statement'!Print_Area</vt:lpstr>
      <vt:lpstr>'6. Income Statement'!Print_Area</vt:lpstr>
      <vt:lpstr>'12. Historical Income Statement'!Print_Titles</vt:lpstr>
      <vt:lpstr>'13 History Cash Flow Statement '!Print_Titles</vt:lpstr>
      <vt:lpstr>'14. History Balance Sheet'!Print_Titles</vt:lpstr>
      <vt:lpstr>'6. Income Statement'!Print_Titles</vt:lpstr>
      <vt:lpstr>'7. Beginning Balance Sheet'!Print_Titles</vt:lpstr>
      <vt:lpstr>'7. Cash Flow Statement'!Print_Titles</vt:lpstr>
      <vt:lpstr>'8. Balance Sheet'!Print_Titles</vt:lpstr>
    </vt:vector>
  </TitlesOfParts>
  <Company>CEDC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Hess</dc:creator>
  <cp:lastModifiedBy>Sithembiso Mpungose</cp:lastModifiedBy>
  <cp:lastPrinted>2016-02-29T16:08:30Z</cp:lastPrinted>
  <dcterms:created xsi:type="dcterms:W3CDTF">2006-04-19T18:37:42Z</dcterms:created>
  <dcterms:modified xsi:type="dcterms:W3CDTF">2025-06-05T10:06:04Z</dcterms:modified>
</cp:coreProperties>
</file>