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RUPO SVQ\INMUEBLEX\"/>
    </mc:Choice>
  </mc:AlternateContent>
  <xr:revisionPtr revIDLastSave="0" documentId="13_ncr:1_{3235259E-8A20-45FC-8B09-9E74BDA4A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C separado (2)" sheetId="4" r:id="rId1"/>
    <sheet name="SCC combinado" sheetId="3" r:id="rId2"/>
    <sheet name="SCC separado" sheetId="1" r:id="rId3"/>
    <sheet name="Dependencias Tipo (borrador)" sheetId="2" r:id="rId4"/>
  </sheets>
  <definedNames>
    <definedName name="_xlnm._FilterDatabase" localSheetId="1" hidden="1">'SCC combinado'!$A$2:$JY$2</definedName>
    <definedName name="_xlnm._FilterDatabase" localSheetId="2" hidden="1">'SCC separado'!$A$2:$JW$2</definedName>
    <definedName name="_xlnm._FilterDatabase" localSheetId="0" hidden="1">'SCC separado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0" i="4" l="1"/>
  <c r="G7" i="4"/>
  <c r="G201" i="4"/>
  <c r="G76" i="4"/>
  <c r="G77" i="4"/>
  <c r="G78" i="4"/>
  <c r="G202" i="4"/>
  <c r="G8" i="4"/>
  <c r="G203" i="4"/>
  <c r="G204" i="4"/>
  <c r="G79" i="4"/>
  <c r="G80" i="4"/>
  <c r="G205" i="4"/>
  <c r="G206" i="4"/>
  <c r="G81" i="4"/>
  <c r="G207" i="4"/>
  <c r="G82" i="4"/>
  <c r="G83" i="4"/>
  <c r="G84" i="4"/>
  <c r="G9" i="4"/>
  <c r="G208" i="4"/>
  <c r="G209" i="4"/>
  <c r="G10" i="4"/>
  <c r="G85" i="4"/>
  <c r="G210" i="4"/>
  <c r="G211" i="4"/>
  <c r="G11" i="4"/>
  <c r="G12" i="4"/>
  <c r="G86" i="4"/>
  <c r="G13" i="4"/>
  <c r="G87" i="4"/>
  <c r="G88" i="4"/>
  <c r="G89" i="4"/>
  <c r="G90" i="4"/>
  <c r="G91" i="4"/>
  <c r="G212" i="4"/>
  <c r="G92" i="4"/>
  <c r="G93" i="4"/>
  <c r="G94" i="4"/>
  <c r="G14" i="4"/>
  <c r="G15" i="4"/>
  <c r="G16" i="4"/>
  <c r="G17" i="4"/>
  <c r="G95" i="4"/>
  <c r="G96" i="4"/>
  <c r="G97" i="4"/>
  <c r="G213" i="4"/>
  <c r="G18" i="4"/>
  <c r="G19" i="4"/>
  <c r="G20" i="4"/>
  <c r="G21" i="4"/>
  <c r="G98" i="4"/>
  <c r="G99" i="4"/>
  <c r="G100" i="4"/>
  <c r="G101" i="4"/>
  <c r="G22" i="4"/>
  <c r="G214" i="4"/>
  <c r="G23" i="4"/>
  <c r="G215" i="4"/>
  <c r="G24" i="4"/>
  <c r="G216" i="4"/>
  <c r="G217" i="4"/>
  <c r="G102" i="4"/>
  <c r="G103" i="4"/>
  <c r="G25" i="4"/>
  <c r="G104" i="4"/>
  <c r="G26" i="4"/>
  <c r="G27" i="4"/>
  <c r="G28" i="4"/>
  <c r="G218" i="4"/>
  <c r="G105" i="4"/>
  <c r="G106" i="4"/>
  <c r="G219" i="4"/>
  <c r="G220" i="4"/>
  <c r="G221" i="4"/>
  <c r="G222" i="4"/>
  <c r="G107" i="4"/>
  <c r="G108" i="4"/>
  <c r="G109" i="4"/>
  <c r="G110" i="4"/>
  <c r="G111" i="4"/>
  <c r="G112" i="4"/>
  <c r="G113" i="4"/>
  <c r="G114" i="4"/>
  <c r="G115" i="4"/>
  <c r="G29" i="4"/>
  <c r="G116" i="4"/>
  <c r="G30" i="4"/>
  <c r="G31" i="4"/>
  <c r="G117" i="4"/>
  <c r="G32" i="4"/>
  <c r="G223" i="4"/>
  <c r="G224" i="4"/>
  <c r="G225" i="4"/>
  <c r="G118" i="4"/>
  <c r="G226" i="4"/>
  <c r="G227" i="4"/>
  <c r="G228" i="4"/>
  <c r="G229" i="4"/>
  <c r="G33" i="4"/>
  <c r="G119" i="4"/>
  <c r="G120" i="4"/>
  <c r="G121" i="4"/>
  <c r="G122" i="4"/>
  <c r="G123" i="4"/>
  <c r="G124" i="4"/>
  <c r="G34" i="4"/>
  <c r="G125" i="4"/>
  <c r="G35" i="4"/>
  <c r="G36" i="4"/>
  <c r="G230" i="4"/>
  <c r="G37" i="4"/>
  <c r="G126" i="4"/>
  <c r="G38" i="4"/>
  <c r="G127" i="4"/>
  <c r="G128" i="4"/>
  <c r="G39" i="4"/>
  <c r="G129" i="4"/>
  <c r="G2" i="4"/>
  <c r="G40" i="4"/>
  <c r="G3" i="4"/>
  <c r="G130" i="4"/>
  <c r="G41" i="4"/>
  <c r="G131" i="4"/>
  <c r="G42" i="4"/>
  <c r="G231" i="4"/>
  <c r="G132" i="4"/>
  <c r="G133" i="4"/>
  <c r="G134" i="4"/>
  <c r="G135" i="4"/>
  <c r="G232" i="4"/>
  <c r="G136" i="4"/>
  <c r="G233" i="4"/>
  <c r="G234" i="4"/>
  <c r="G235" i="4"/>
  <c r="G43" i="4"/>
  <c r="G236" i="4"/>
  <c r="G44" i="4"/>
  <c r="G137" i="4"/>
  <c r="G4" i="4"/>
  <c r="G138" i="4"/>
  <c r="G139" i="4"/>
  <c r="G237" i="4"/>
  <c r="G140" i="4"/>
  <c r="G141" i="4"/>
  <c r="G45" i="4"/>
  <c r="G238" i="4"/>
  <c r="G142" i="4"/>
  <c r="G143" i="4"/>
  <c r="G46" i="4"/>
  <c r="G47" i="4"/>
  <c r="G144" i="4"/>
  <c r="G145" i="4"/>
  <c r="G239" i="4"/>
  <c r="G146" i="4"/>
  <c r="G147" i="4"/>
  <c r="G148" i="4"/>
  <c r="G149" i="4"/>
  <c r="G150" i="4"/>
  <c r="G240" i="4"/>
  <c r="G151" i="4"/>
  <c r="G152" i="4"/>
  <c r="G153" i="4"/>
  <c r="G48" i="4"/>
  <c r="G154" i="4"/>
  <c r="G49" i="4"/>
  <c r="G155" i="4"/>
  <c r="G241" i="4"/>
  <c r="G156" i="4"/>
  <c r="G50" i="4"/>
  <c r="G51" i="4"/>
  <c r="G157" i="4"/>
  <c r="G158" i="4"/>
  <c r="G159" i="4"/>
  <c r="G160" i="4"/>
  <c r="G161" i="4"/>
  <c r="G162" i="4"/>
  <c r="G163" i="4"/>
  <c r="G164" i="4"/>
  <c r="G165" i="4"/>
  <c r="G166" i="4"/>
  <c r="G52" i="4"/>
  <c r="G167" i="4"/>
  <c r="G168" i="4"/>
  <c r="G169" i="4"/>
  <c r="G170" i="4"/>
  <c r="G242" i="4"/>
  <c r="G171" i="4"/>
  <c r="G172" i="4"/>
  <c r="G243" i="4"/>
  <c r="G53" i="4"/>
  <c r="G244" i="4"/>
  <c r="G54" i="4"/>
  <c r="G55" i="4"/>
  <c r="G173" i="4"/>
  <c r="G174" i="4"/>
  <c r="G175" i="4"/>
  <c r="G176" i="4"/>
  <c r="G56" i="4"/>
  <c r="G177" i="4"/>
  <c r="G57" i="4"/>
  <c r="G58" i="4"/>
  <c r="G59" i="4"/>
  <c r="G178" i="4"/>
  <c r="G60" i="4"/>
  <c r="G179" i="4"/>
  <c r="G180" i="4"/>
  <c r="G181" i="4"/>
  <c r="G61" i="4"/>
  <c r="G182" i="4"/>
  <c r="G183" i="4"/>
  <c r="G245" i="4"/>
  <c r="G246" i="4"/>
  <c r="G5" i="4"/>
  <c r="G62" i="4"/>
  <c r="G184" i="4"/>
  <c r="G63" i="4"/>
  <c r="G185" i="4"/>
  <c r="G186" i="4"/>
  <c r="G6" i="4"/>
  <c r="G187" i="4"/>
  <c r="G247" i="4"/>
  <c r="G248" i="4"/>
  <c r="G249" i="4"/>
  <c r="G64" i="4"/>
  <c r="G250" i="4"/>
  <c r="G188" i="4"/>
  <c r="G189" i="4"/>
  <c r="G190" i="4"/>
  <c r="G251" i="4"/>
  <c r="G65" i="4"/>
  <c r="G66" i="4"/>
  <c r="G252" i="4"/>
  <c r="G191" i="4"/>
  <c r="G67" i="4"/>
  <c r="G68" i="4"/>
  <c r="G69" i="4"/>
  <c r="G70" i="4"/>
  <c r="G71" i="4"/>
  <c r="G72" i="4"/>
  <c r="G253" i="4"/>
  <c r="G192" i="4"/>
  <c r="G193" i="4"/>
  <c r="G194" i="4"/>
  <c r="G254" i="4"/>
  <c r="G255" i="4"/>
  <c r="G73" i="4"/>
  <c r="G256" i="4"/>
  <c r="G195" i="4"/>
  <c r="G74" i="4"/>
  <c r="G196" i="4"/>
  <c r="G197" i="4"/>
  <c r="G198" i="4"/>
  <c r="G199" i="4"/>
  <c r="G75" i="4"/>
  <c r="F200" i="4"/>
  <c r="F7" i="4"/>
  <c r="F201" i="4"/>
  <c r="F76" i="4"/>
  <c r="F77" i="4"/>
  <c r="F78" i="4"/>
  <c r="F202" i="4"/>
  <c r="F8" i="4"/>
  <c r="F203" i="4"/>
  <c r="F204" i="4"/>
  <c r="F79" i="4"/>
  <c r="F80" i="4"/>
  <c r="F205" i="4"/>
  <c r="F206" i="4"/>
  <c r="F81" i="4"/>
  <c r="F207" i="4"/>
  <c r="F82" i="4"/>
  <c r="F83" i="4"/>
  <c r="F84" i="4"/>
  <c r="F9" i="4"/>
  <c r="F208" i="4"/>
  <c r="F209" i="4"/>
  <c r="F10" i="4"/>
  <c r="F85" i="4"/>
  <c r="F210" i="4"/>
  <c r="F211" i="4"/>
  <c r="F11" i="4"/>
  <c r="F12" i="4"/>
  <c r="F86" i="4"/>
  <c r="F13" i="4"/>
  <c r="F87" i="4"/>
  <c r="F88" i="4"/>
  <c r="F89" i="4"/>
  <c r="F90" i="4"/>
  <c r="F91" i="4"/>
  <c r="F212" i="4"/>
  <c r="F92" i="4"/>
  <c r="F93" i="4"/>
  <c r="F94" i="4"/>
  <c r="F14" i="4"/>
  <c r="F15" i="4"/>
  <c r="F16" i="4"/>
  <c r="F17" i="4"/>
  <c r="F95" i="4"/>
  <c r="F96" i="4"/>
  <c r="F97" i="4"/>
  <c r="F213" i="4"/>
  <c r="F18" i="4"/>
  <c r="F19" i="4"/>
  <c r="F20" i="4"/>
  <c r="F21" i="4"/>
  <c r="F98" i="4"/>
  <c r="F99" i="4"/>
  <c r="F100" i="4"/>
  <c r="F101" i="4"/>
  <c r="F22" i="4"/>
  <c r="F214" i="4"/>
  <c r="F23" i="4"/>
  <c r="F215" i="4"/>
  <c r="F24" i="4"/>
  <c r="F216" i="4"/>
  <c r="F217" i="4"/>
  <c r="F102" i="4"/>
  <c r="F103" i="4"/>
  <c r="F25" i="4"/>
  <c r="F104" i="4"/>
  <c r="F26" i="4"/>
  <c r="F27" i="4"/>
  <c r="F28" i="4"/>
  <c r="F218" i="4"/>
  <c r="F105" i="4"/>
  <c r="F106" i="4"/>
  <c r="F219" i="4"/>
  <c r="F220" i="4"/>
  <c r="F221" i="4"/>
  <c r="F222" i="4"/>
  <c r="F107" i="4"/>
  <c r="F108" i="4"/>
  <c r="F109" i="4"/>
  <c r="F110" i="4"/>
  <c r="F111" i="4"/>
  <c r="F112" i="4"/>
  <c r="F113" i="4"/>
  <c r="F114" i="4"/>
  <c r="F115" i="4"/>
  <c r="F29" i="4"/>
  <c r="F116" i="4"/>
  <c r="F30" i="4"/>
  <c r="F31" i="4"/>
  <c r="F117" i="4"/>
  <c r="F32" i="4"/>
  <c r="F223" i="4"/>
  <c r="F224" i="4"/>
  <c r="F225" i="4"/>
  <c r="F118" i="4"/>
  <c r="F226" i="4"/>
  <c r="F227" i="4"/>
  <c r="F228" i="4"/>
  <c r="F229" i="4"/>
  <c r="F33" i="4"/>
  <c r="F119" i="4"/>
  <c r="F120" i="4"/>
  <c r="F121" i="4"/>
  <c r="F122" i="4"/>
  <c r="F123" i="4"/>
  <c r="F124" i="4"/>
  <c r="F34" i="4"/>
  <c r="F125" i="4"/>
  <c r="F35" i="4"/>
  <c r="F36" i="4"/>
  <c r="F230" i="4"/>
  <c r="F37" i="4"/>
  <c r="F126" i="4"/>
  <c r="F38" i="4"/>
  <c r="F127" i="4"/>
  <c r="F128" i="4"/>
  <c r="F39" i="4"/>
  <c r="F129" i="4"/>
  <c r="F2" i="4"/>
  <c r="F40" i="4"/>
  <c r="F3" i="4"/>
  <c r="F130" i="4"/>
  <c r="F41" i="4"/>
  <c r="F131" i="4"/>
  <c r="F42" i="4"/>
  <c r="F231" i="4"/>
  <c r="F132" i="4"/>
  <c r="F133" i="4"/>
  <c r="F134" i="4"/>
  <c r="F135" i="4"/>
  <c r="F232" i="4"/>
  <c r="F136" i="4"/>
  <c r="F233" i="4"/>
  <c r="F234" i="4"/>
  <c r="F235" i="4"/>
  <c r="F43" i="4"/>
  <c r="F236" i="4"/>
  <c r="F44" i="4"/>
  <c r="F137" i="4"/>
  <c r="F4" i="4"/>
  <c r="F138" i="4"/>
  <c r="F139" i="4"/>
  <c r="F237" i="4"/>
  <c r="F140" i="4"/>
  <c r="F141" i="4"/>
  <c r="F45" i="4"/>
  <c r="F238" i="4"/>
  <c r="F142" i="4"/>
  <c r="F143" i="4"/>
  <c r="F46" i="4"/>
  <c r="F47" i="4"/>
  <c r="F144" i="4"/>
  <c r="F145" i="4"/>
  <c r="F239" i="4"/>
  <c r="F146" i="4"/>
  <c r="F147" i="4"/>
  <c r="F148" i="4"/>
  <c r="F149" i="4"/>
  <c r="F150" i="4"/>
  <c r="F240" i="4"/>
  <c r="F151" i="4"/>
  <c r="F152" i="4"/>
  <c r="F153" i="4"/>
  <c r="F48" i="4"/>
  <c r="F154" i="4"/>
  <c r="F49" i="4"/>
  <c r="F155" i="4"/>
  <c r="F241" i="4"/>
  <c r="F156" i="4"/>
  <c r="F50" i="4"/>
  <c r="F51" i="4"/>
  <c r="F157" i="4"/>
  <c r="F158" i="4"/>
  <c r="F159" i="4"/>
  <c r="F160" i="4"/>
  <c r="F161" i="4"/>
  <c r="F162" i="4"/>
  <c r="F163" i="4"/>
  <c r="F164" i="4"/>
  <c r="F165" i="4"/>
  <c r="F166" i="4"/>
  <c r="F52" i="4"/>
  <c r="F167" i="4"/>
  <c r="F168" i="4"/>
  <c r="F169" i="4"/>
  <c r="F170" i="4"/>
  <c r="F242" i="4"/>
  <c r="F171" i="4"/>
  <c r="F172" i="4"/>
  <c r="F243" i="4"/>
  <c r="F53" i="4"/>
  <c r="F244" i="4"/>
  <c r="F54" i="4"/>
  <c r="F55" i="4"/>
  <c r="F173" i="4"/>
  <c r="F174" i="4"/>
  <c r="F175" i="4"/>
  <c r="F176" i="4"/>
  <c r="F56" i="4"/>
  <c r="F177" i="4"/>
  <c r="F57" i="4"/>
  <c r="F58" i="4"/>
  <c r="F59" i="4"/>
  <c r="F178" i="4"/>
  <c r="F60" i="4"/>
  <c r="F179" i="4"/>
  <c r="F180" i="4"/>
  <c r="F181" i="4"/>
  <c r="F61" i="4"/>
  <c r="F182" i="4"/>
  <c r="F183" i="4"/>
  <c r="F245" i="4"/>
  <c r="F246" i="4"/>
  <c r="F5" i="4"/>
  <c r="F62" i="4"/>
  <c r="F184" i="4"/>
  <c r="F63" i="4"/>
  <c r="F185" i="4"/>
  <c r="F186" i="4"/>
  <c r="F6" i="4"/>
  <c r="F187" i="4"/>
  <c r="F247" i="4"/>
  <c r="F248" i="4"/>
  <c r="F249" i="4"/>
  <c r="F64" i="4"/>
  <c r="F250" i="4"/>
  <c r="F188" i="4"/>
  <c r="F189" i="4"/>
  <c r="F190" i="4"/>
  <c r="F251" i="4"/>
  <c r="F65" i="4"/>
  <c r="F66" i="4"/>
  <c r="F252" i="4"/>
  <c r="F191" i="4"/>
  <c r="F67" i="4"/>
  <c r="F68" i="4"/>
  <c r="F69" i="4"/>
  <c r="F70" i="4"/>
  <c r="F71" i="4"/>
  <c r="F72" i="4"/>
  <c r="F253" i="4"/>
  <c r="F192" i="4"/>
  <c r="F193" i="4"/>
  <c r="F194" i="4"/>
  <c r="F254" i="4"/>
  <c r="F255" i="4"/>
  <c r="F73" i="4"/>
  <c r="F256" i="4"/>
  <c r="F195" i="4"/>
  <c r="F74" i="4"/>
  <c r="F196" i="4"/>
  <c r="F197" i="4"/>
  <c r="F198" i="4"/>
  <c r="F199" i="4"/>
  <c r="F75" i="4"/>
  <c r="E200" i="4"/>
  <c r="E7" i="4"/>
  <c r="E201" i="4"/>
  <c r="E76" i="4"/>
  <c r="E77" i="4"/>
  <c r="E78" i="4"/>
  <c r="E202" i="4"/>
  <c r="E8" i="4"/>
  <c r="E203" i="4"/>
  <c r="E204" i="4"/>
  <c r="E79" i="4"/>
  <c r="E80" i="4"/>
  <c r="E205" i="4"/>
  <c r="E206" i="4"/>
  <c r="E81" i="4"/>
  <c r="E207" i="4"/>
  <c r="E82" i="4"/>
  <c r="E83" i="4"/>
  <c r="E84" i="4"/>
  <c r="E9" i="4"/>
  <c r="E208" i="4"/>
  <c r="E209" i="4"/>
  <c r="E10" i="4"/>
  <c r="E85" i="4"/>
  <c r="E210" i="4"/>
  <c r="E211" i="4"/>
  <c r="E11" i="4"/>
  <c r="E12" i="4"/>
  <c r="E86" i="4"/>
  <c r="E13" i="4"/>
  <c r="E87" i="4"/>
  <c r="E88" i="4"/>
  <c r="E89" i="4"/>
  <c r="E90" i="4"/>
  <c r="E91" i="4"/>
  <c r="E212" i="4"/>
  <c r="E92" i="4"/>
  <c r="E93" i="4"/>
  <c r="E94" i="4"/>
  <c r="E14" i="4"/>
  <c r="E15" i="4"/>
  <c r="E16" i="4"/>
  <c r="E17" i="4"/>
  <c r="E95" i="4"/>
  <c r="E96" i="4"/>
  <c r="E97" i="4"/>
  <c r="E213" i="4"/>
  <c r="E18" i="4"/>
  <c r="E19" i="4"/>
  <c r="E20" i="4"/>
  <c r="E21" i="4"/>
  <c r="E98" i="4"/>
  <c r="E100" i="4"/>
  <c r="E22" i="4"/>
  <c r="E214" i="4"/>
  <c r="E23" i="4"/>
  <c r="E24" i="4"/>
  <c r="E217" i="4"/>
  <c r="E102" i="4"/>
  <c r="E103" i="4"/>
  <c r="E25" i="4"/>
  <c r="E104" i="4"/>
  <c r="E26" i="4"/>
  <c r="E27" i="4"/>
  <c r="E28" i="4"/>
  <c r="E218" i="4"/>
  <c r="E105" i="4"/>
  <c r="E106" i="4"/>
  <c r="E219" i="4"/>
  <c r="E220" i="4"/>
  <c r="E221" i="4"/>
  <c r="E222" i="4"/>
  <c r="E107" i="4"/>
  <c r="E108" i="4"/>
  <c r="E109" i="4"/>
  <c r="E110" i="4"/>
  <c r="E111" i="4"/>
  <c r="E112" i="4"/>
  <c r="E113" i="4"/>
  <c r="E114" i="4"/>
  <c r="E115" i="4"/>
  <c r="E29" i="4"/>
  <c r="E116" i="4"/>
  <c r="E30" i="4"/>
  <c r="E31" i="4"/>
  <c r="E117" i="4"/>
  <c r="E32" i="4"/>
  <c r="E223" i="4"/>
  <c r="E224" i="4"/>
  <c r="E225" i="4"/>
  <c r="E118" i="4"/>
  <c r="E226" i="4"/>
  <c r="E227" i="4"/>
  <c r="E228" i="4"/>
  <c r="E229" i="4"/>
  <c r="E33" i="4"/>
  <c r="E119" i="4"/>
  <c r="E120" i="4"/>
  <c r="E121" i="4"/>
  <c r="E122" i="4"/>
  <c r="E123" i="4"/>
  <c r="E124" i="4"/>
  <c r="E34" i="4"/>
  <c r="E125" i="4"/>
  <c r="E35" i="4"/>
  <c r="E36" i="4"/>
  <c r="E230" i="4"/>
  <c r="E37" i="4"/>
  <c r="E126" i="4"/>
  <c r="E38" i="4"/>
  <c r="E127" i="4"/>
  <c r="E128" i="4"/>
  <c r="E39" i="4"/>
  <c r="E129" i="4"/>
  <c r="E2" i="4"/>
  <c r="E40" i="4"/>
  <c r="E3" i="4"/>
  <c r="E130" i="4"/>
  <c r="E41" i="4"/>
  <c r="E131" i="4"/>
  <c r="E42" i="4"/>
  <c r="E231" i="4"/>
  <c r="E132" i="4"/>
  <c r="E133" i="4"/>
  <c r="E134" i="4"/>
  <c r="E135" i="4"/>
  <c r="E232" i="4"/>
  <c r="E136" i="4"/>
  <c r="E233" i="4"/>
  <c r="E234" i="4"/>
  <c r="E235" i="4"/>
  <c r="E43" i="4"/>
  <c r="E236" i="4"/>
  <c r="E44" i="4"/>
  <c r="E137" i="4"/>
  <c r="E4" i="4"/>
  <c r="E138" i="4"/>
  <c r="E139" i="4"/>
  <c r="E237" i="4"/>
  <c r="E140" i="4"/>
  <c r="E141" i="4"/>
  <c r="E45" i="4"/>
  <c r="E238" i="4"/>
  <c r="E142" i="4"/>
  <c r="E143" i="4"/>
  <c r="E46" i="4"/>
  <c r="E47" i="4"/>
  <c r="E144" i="4"/>
  <c r="E145" i="4"/>
  <c r="E239" i="4"/>
  <c r="E146" i="4"/>
  <c r="E147" i="4"/>
  <c r="E148" i="4"/>
  <c r="E149" i="4"/>
  <c r="E150" i="4"/>
  <c r="E240" i="4"/>
  <c r="E151" i="4"/>
  <c r="E152" i="4"/>
  <c r="E153" i="4"/>
  <c r="E48" i="4"/>
  <c r="E154" i="4"/>
  <c r="E49" i="4"/>
  <c r="E155" i="4"/>
  <c r="E241" i="4"/>
  <c r="E156" i="4"/>
  <c r="E50" i="4"/>
  <c r="E51" i="4"/>
  <c r="E157" i="4"/>
  <c r="E158" i="4"/>
  <c r="E159" i="4"/>
  <c r="E160" i="4"/>
  <c r="E161" i="4"/>
  <c r="E162" i="4"/>
  <c r="E163" i="4"/>
  <c r="E164" i="4"/>
  <c r="E165" i="4"/>
  <c r="E166" i="4"/>
  <c r="E52" i="4"/>
  <c r="E167" i="4"/>
  <c r="E168" i="4"/>
  <c r="E169" i="4"/>
  <c r="E170" i="4"/>
  <c r="E242" i="4"/>
  <c r="E171" i="4"/>
  <c r="E172" i="4"/>
  <c r="E243" i="4"/>
  <c r="E53" i="4"/>
  <c r="E244" i="4"/>
  <c r="E54" i="4"/>
  <c r="E55" i="4"/>
  <c r="E173" i="4"/>
  <c r="E174" i="4"/>
  <c r="E175" i="4"/>
  <c r="E176" i="4"/>
  <c r="E56" i="4"/>
  <c r="E177" i="4"/>
  <c r="E57" i="4"/>
  <c r="E58" i="4"/>
  <c r="E59" i="4"/>
  <c r="E178" i="4"/>
  <c r="E60" i="4"/>
  <c r="E179" i="4"/>
  <c r="E180" i="4"/>
  <c r="E181" i="4"/>
  <c r="E61" i="4"/>
  <c r="E182" i="4"/>
  <c r="E183" i="4"/>
  <c r="E245" i="4"/>
  <c r="E246" i="4"/>
  <c r="E5" i="4"/>
  <c r="E62" i="4"/>
  <c r="E184" i="4"/>
  <c r="E63" i="4"/>
  <c r="E185" i="4"/>
  <c r="E186" i="4"/>
  <c r="E6" i="4"/>
  <c r="E187" i="4"/>
  <c r="E247" i="4"/>
  <c r="E248" i="4"/>
  <c r="E249" i="4"/>
  <c r="E64" i="4"/>
  <c r="E250" i="4"/>
  <c r="E188" i="4"/>
  <c r="E189" i="4"/>
  <c r="E190" i="4"/>
  <c r="E251" i="4"/>
  <c r="E65" i="4"/>
  <c r="E66" i="4"/>
  <c r="E252" i="4"/>
  <c r="E191" i="4"/>
  <c r="E67" i="4"/>
  <c r="E68" i="4"/>
  <c r="E69" i="4"/>
  <c r="E70" i="4"/>
  <c r="E71" i="4"/>
  <c r="E72" i="4"/>
  <c r="E253" i="4"/>
  <c r="E192" i="4"/>
  <c r="E193" i="4"/>
  <c r="E194" i="4"/>
  <c r="E254" i="4"/>
  <c r="E255" i="4"/>
  <c r="E73" i="4"/>
  <c r="E256" i="4"/>
  <c r="E195" i="4"/>
  <c r="E74" i="4"/>
  <c r="E196" i="4"/>
  <c r="E197" i="4"/>
  <c r="E198" i="4"/>
  <c r="E199" i="4"/>
  <c r="E75" i="4"/>
  <c r="AM218" i="4"/>
  <c r="AM11" i="4"/>
  <c r="AM12" i="4"/>
  <c r="AM108" i="4"/>
  <c r="AM33" i="4"/>
  <c r="AM109" i="4"/>
  <c r="AM110" i="4"/>
  <c r="AM111" i="4"/>
  <c r="AM86" i="4"/>
  <c r="AM119" i="4"/>
  <c r="AM120" i="4"/>
  <c r="AM121" i="4"/>
  <c r="AM122" i="4"/>
  <c r="AM123" i="4"/>
  <c r="AM124" i="4"/>
  <c r="AM85" i="4"/>
  <c r="AM34" i="4"/>
  <c r="AM125" i="4"/>
  <c r="AM98" i="4"/>
  <c r="AM112" i="4"/>
  <c r="AM113" i="4"/>
  <c r="AM35" i="4"/>
  <c r="AM36" i="4"/>
  <c r="AM99" i="4"/>
  <c r="AM230" i="4"/>
  <c r="AM100" i="4"/>
  <c r="AM13" i="4"/>
  <c r="AM37" i="4"/>
  <c r="AM126" i="4"/>
  <c r="AM38" i="4"/>
  <c r="AM105" i="4"/>
  <c r="AM101" i="4"/>
  <c r="AM118" i="4"/>
  <c r="AM207" i="4"/>
  <c r="AM127" i="4"/>
  <c r="AM256" i="4"/>
  <c r="AM128" i="4"/>
  <c r="AM39" i="4"/>
  <c r="AM129" i="4"/>
  <c r="AM2" i="4"/>
  <c r="AM40" i="4"/>
  <c r="AM3" i="4"/>
  <c r="AM130" i="4"/>
  <c r="AM41" i="4"/>
  <c r="AM195" i="4"/>
  <c r="AM22" i="4"/>
  <c r="AM226" i="4"/>
  <c r="AM131" i="4"/>
  <c r="AM42" i="4"/>
  <c r="AM231" i="4"/>
  <c r="AM132" i="4"/>
  <c r="AM133" i="4"/>
  <c r="AM134" i="4"/>
  <c r="AM135" i="4"/>
  <c r="AM232" i="4"/>
  <c r="AM136" i="4"/>
  <c r="AM102" i="4"/>
  <c r="AM233" i="4"/>
  <c r="AM234" i="4"/>
  <c r="AM235" i="4"/>
  <c r="AM106" i="4"/>
  <c r="AM103" i="4"/>
  <c r="AM43" i="4"/>
  <c r="AM87" i="4"/>
  <c r="AM114" i="4"/>
  <c r="AM236" i="4"/>
  <c r="AM44" i="4"/>
  <c r="AM137" i="4"/>
  <c r="AM4" i="4"/>
  <c r="AM25" i="4"/>
  <c r="AM104" i="4"/>
  <c r="AM138" i="4"/>
  <c r="AM139" i="4"/>
  <c r="AM211" i="4"/>
  <c r="AM88" i="4"/>
  <c r="AM237" i="4"/>
  <c r="AM140" i="4"/>
  <c r="AM141" i="4"/>
  <c r="AM45" i="4"/>
  <c r="AM115" i="4"/>
  <c r="AM238" i="4"/>
  <c r="AM142" i="4"/>
  <c r="AM143" i="4"/>
  <c r="AM46" i="4"/>
  <c r="AM47" i="4"/>
  <c r="AM144" i="4"/>
  <c r="AM145" i="4"/>
  <c r="AM239" i="4"/>
  <c r="AM214" i="4"/>
  <c r="AM146" i="4"/>
  <c r="AM76" i="4"/>
  <c r="AM147" i="4"/>
  <c r="AM29" i="4"/>
  <c r="AM82" i="4"/>
  <c r="AM148" i="4"/>
  <c r="AM89" i="4"/>
  <c r="AM149" i="4"/>
  <c r="AM23" i="4"/>
  <c r="AM83" i="4"/>
  <c r="AM28" i="4"/>
  <c r="AM150" i="4"/>
  <c r="AM253" i="4"/>
  <c r="AM116" i="4"/>
  <c r="AM240" i="4"/>
  <c r="AM192" i="4"/>
  <c r="AM151" i="4"/>
  <c r="AM152" i="4"/>
  <c r="AM90" i="4"/>
  <c r="AM219" i="4"/>
  <c r="AM193" i="4"/>
  <c r="AM153" i="4"/>
  <c r="AM215" i="4"/>
  <c r="AM91" i="4"/>
  <c r="AM48" i="4"/>
  <c r="AM212" i="4"/>
  <c r="AM154" i="4"/>
  <c r="AM92" i="4"/>
  <c r="AM93" i="4"/>
  <c r="AM49" i="4"/>
  <c r="AM155" i="4"/>
  <c r="AM241" i="4"/>
  <c r="AM156" i="4"/>
  <c r="AM194" i="4"/>
  <c r="AM50" i="4"/>
  <c r="AM51" i="4"/>
  <c r="AM30" i="4"/>
  <c r="AM31" i="4"/>
  <c r="AM24" i="4"/>
  <c r="AM157" i="4"/>
  <c r="AM158" i="4"/>
  <c r="AM159" i="4"/>
  <c r="AM117" i="4"/>
  <c r="AM160" i="4"/>
  <c r="AM94" i="4"/>
  <c r="AM26" i="4"/>
  <c r="AM216" i="4"/>
  <c r="AM161" i="4"/>
  <c r="AM162" i="4"/>
  <c r="AM163" i="4"/>
  <c r="AM79" i="4"/>
  <c r="AM164" i="4"/>
  <c r="AM80" i="4"/>
  <c r="AM220" i="4"/>
  <c r="AM77" i="4"/>
  <c r="AM223" i="4"/>
  <c r="AM27" i="4"/>
  <c r="AM165" i="4"/>
  <c r="AM166" i="4"/>
  <c r="AM52" i="4"/>
  <c r="AM167" i="4"/>
  <c r="AM168" i="4"/>
  <c r="AM169" i="4"/>
  <c r="AM197" i="4"/>
  <c r="AM170" i="4"/>
  <c r="AM242" i="4"/>
  <c r="AM171" i="4"/>
  <c r="AM254" i="4"/>
  <c r="AM172" i="4"/>
  <c r="AM243" i="4"/>
  <c r="AM75" i="4"/>
  <c r="AM53" i="4"/>
  <c r="AM244" i="4"/>
  <c r="AM54" i="4"/>
  <c r="AM55" i="4"/>
  <c r="AM173" i="4"/>
  <c r="AM174" i="4"/>
  <c r="AM227" i="4"/>
  <c r="AM175" i="4"/>
  <c r="AM74" i="4"/>
  <c r="AM176" i="4"/>
  <c r="AM56" i="4"/>
  <c r="AM198" i="4"/>
  <c r="AM177" i="4"/>
  <c r="AM196" i="4"/>
  <c r="AM57" i="4"/>
  <c r="AM14" i="4"/>
  <c r="AM58" i="4"/>
  <c r="AM59" i="4"/>
  <c r="AM84" i="4"/>
  <c r="AM78" i="4"/>
  <c r="AM178" i="4"/>
  <c r="AM60" i="4"/>
  <c r="AM205" i="4"/>
  <c r="AM179" i="4"/>
  <c r="AM180" i="4"/>
  <c r="AM217" i="4"/>
  <c r="AM7" i="4"/>
  <c r="AM202" i="4"/>
  <c r="AM181" i="4"/>
  <c r="AM9" i="4"/>
  <c r="AM208" i="4"/>
  <c r="AM210" i="4"/>
  <c r="AM8" i="4"/>
  <c r="AM61" i="4"/>
  <c r="AM209" i="4"/>
  <c r="AM221" i="4"/>
  <c r="AM182" i="4"/>
  <c r="AM183" i="4"/>
  <c r="AM245" i="4"/>
  <c r="AM246" i="4"/>
  <c r="AM228" i="4"/>
  <c r="AM203" i="4"/>
  <c r="AM5" i="4"/>
  <c r="AM206" i="4"/>
  <c r="AM229" i="4"/>
  <c r="AM62" i="4"/>
  <c r="AM184" i="4"/>
  <c r="AM63" i="4"/>
  <c r="AM255" i="4"/>
  <c r="AM185" i="4"/>
  <c r="AM186" i="4"/>
  <c r="AM224" i="4"/>
  <c r="AM225" i="4"/>
  <c r="AM15" i="4"/>
  <c r="AM16" i="4"/>
  <c r="AM6" i="4"/>
  <c r="AM187" i="4"/>
  <c r="AM247" i="4"/>
  <c r="AM248" i="4"/>
  <c r="AM249" i="4"/>
  <c r="AM64" i="4"/>
  <c r="AM250" i="4"/>
  <c r="AM188" i="4"/>
  <c r="AM222" i="4"/>
  <c r="AM189" i="4"/>
  <c r="AM190" i="4"/>
  <c r="AM204" i="4"/>
  <c r="AM95" i="4"/>
  <c r="AM251" i="4"/>
  <c r="AM107" i="4"/>
  <c r="AM73" i="4"/>
  <c r="AM65" i="4"/>
  <c r="AM81" i="4"/>
  <c r="AM66" i="4"/>
  <c r="AM32" i="4"/>
  <c r="AM17" i="4"/>
  <c r="AM252" i="4"/>
  <c r="AM10" i="4"/>
  <c r="AM191" i="4"/>
  <c r="AM67" i="4"/>
  <c r="AM199" i="4"/>
  <c r="AM68" i="4"/>
  <c r="AM96" i="4"/>
  <c r="AM69" i="4"/>
  <c r="AM70" i="4"/>
  <c r="AM200" i="4"/>
  <c r="AM97" i="4"/>
  <c r="AM71" i="4"/>
  <c r="AM213" i="4"/>
  <c r="AM18" i="4"/>
  <c r="AM19" i="4"/>
  <c r="AM201" i="4"/>
  <c r="AM72" i="4"/>
  <c r="AM20" i="4"/>
  <c r="AM21" i="4"/>
  <c r="AL218" i="4"/>
  <c r="AL11" i="4"/>
  <c r="AL12" i="4"/>
  <c r="AL108" i="4"/>
  <c r="AL33" i="4"/>
  <c r="AL109" i="4"/>
  <c r="AL110" i="4"/>
  <c r="AL111" i="4"/>
  <c r="AL86" i="4"/>
  <c r="AL119" i="4"/>
  <c r="AL120" i="4"/>
  <c r="AL121" i="4"/>
  <c r="AL122" i="4"/>
  <c r="AL123" i="4"/>
  <c r="AL124" i="4"/>
  <c r="AL85" i="4"/>
  <c r="AL34" i="4"/>
  <c r="AL125" i="4"/>
  <c r="AL98" i="4"/>
  <c r="AL112" i="4"/>
  <c r="AL113" i="4"/>
  <c r="AL35" i="4"/>
  <c r="AL36" i="4"/>
  <c r="AL230" i="4"/>
  <c r="AL100" i="4"/>
  <c r="AL13" i="4"/>
  <c r="AL37" i="4"/>
  <c r="AL126" i="4"/>
  <c r="AL38" i="4"/>
  <c r="AL105" i="4"/>
  <c r="AL118" i="4"/>
  <c r="AL207" i="4"/>
  <c r="AL127" i="4"/>
  <c r="AL256" i="4"/>
  <c r="AL128" i="4"/>
  <c r="AL39" i="4"/>
  <c r="AL129" i="4"/>
  <c r="AL2" i="4"/>
  <c r="AL40" i="4"/>
  <c r="AL3" i="4"/>
  <c r="AL130" i="4"/>
  <c r="AL41" i="4"/>
  <c r="AL195" i="4"/>
  <c r="AL22" i="4"/>
  <c r="AL226" i="4"/>
  <c r="AL131" i="4"/>
  <c r="AL42" i="4"/>
  <c r="AL231" i="4"/>
  <c r="AL132" i="4"/>
  <c r="AL133" i="4"/>
  <c r="AL134" i="4"/>
  <c r="AL135" i="4"/>
  <c r="AL232" i="4"/>
  <c r="AL136" i="4"/>
  <c r="AL102" i="4"/>
  <c r="AL233" i="4"/>
  <c r="AL234" i="4"/>
  <c r="AL235" i="4"/>
  <c r="AL106" i="4"/>
  <c r="AL103" i="4"/>
  <c r="AL43" i="4"/>
  <c r="AL87" i="4"/>
  <c r="AL114" i="4"/>
  <c r="AL236" i="4"/>
  <c r="AL44" i="4"/>
  <c r="AL137" i="4"/>
  <c r="AL4" i="4"/>
  <c r="AL25" i="4"/>
  <c r="AL104" i="4"/>
  <c r="AL138" i="4"/>
  <c r="AL139" i="4"/>
  <c r="AL211" i="4"/>
  <c r="AL88" i="4"/>
  <c r="AL237" i="4"/>
  <c r="AL140" i="4"/>
  <c r="AL141" i="4"/>
  <c r="AL45" i="4"/>
  <c r="AL115" i="4"/>
  <c r="AL238" i="4"/>
  <c r="AL142" i="4"/>
  <c r="AL143" i="4"/>
  <c r="AL46" i="4"/>
  <c r="AL47" i="4"/>
  <c r="AL144" i="4"/>
  <c r="AL145" i="4"/>
  <c r="AL239" i="4"/>
  <c r="AL214" i="4"/>
  <c r="AL146" i="4"/>
  <c r="AL76" i="4"/>
  <c r="AL147" i="4"/>
  <c r="AL29" i="4"/>
  <c r="AL82" i="4"/>
  <c r="AL148" i="4"/>
  <c r="AL89" i="4"/>
  <c r="AL149" i="4"/>
  <c r="AL23" i="4"/>
  <c r="AL83" i="4"/>
  <c r="AL28" i="4"/>
  <c r="AL150" i="4"/>
  <c r="AL253" i="4"/>
  <c r="AL116" i="4"/>
  <c r="AL240" i="4"/>
  <c r="AL192" i="4"/>
  <c r="AL151" i="4"/>
  <c r="AL152" i="4"/>
  <c r="AL90" i="4"/>
  <c r="AL219" i="4"/>
  <c r="AL193" i="4"/>
  <c r="AL153" i="4"/>
  <c r="AL91" i="4"/>
  <c r="AL48" i="4"/>
  <c r="AL212" i="4"/>
  <c r="AL154" i="4"/>
  <c r="AL92" i="4"/>
  <c r="AL93" i="4"/>
  <c r="AL49" i="4"/>
  <c r="AL155" i="4"/>
  <c r="AL241" i="4"/>
  <c r="AL156" i="4"/>
  <c r="AL194" i="4"/>
  <c r="AL50" i="4"/>
  <c r="AL51" i="4"/>
  <c r="AL30" i="4"/>
  <c r="AL31" i="4"/>
  <c r="AL24" i="4"/>
  <c r="AL157" i="4"/>
  <c r="AL158" i="4"/>
  <c r="AL159" i="4"/>
  <c r="AL117" i="4"/>
  <c r="AL160" i="4"/>
  <c r="AL94" i="4"/>
  <c r="AL26" i="4"/>
  <c r="AL161" i="4"/>
  <c r="AL162" i="4"/>
  <c r="AL163" i="4"/>
  <c r="AL79" i="4"/>
  <c r="AL164" i="4"/>
  <c r="AL80" i="4"/>
  <c r="AL220" i="4"/>
  <c r="AL77" i="4"/>
  <c r="AL223" i="4"/>
  <c r="AL27" i="4"/>
  <c r="AL165" i="4"/>
  <c r="AL166" i="4"/>
  <c r="AL52" i="4"/>
  <c r="AL167" i="4"/>
  <c r="AL168" i="4"/>
  <c r="AL169" i="4"/>
  <c r="AL197" i="4"/>
  <c r="AL170" i="4"/>
  <c r="AL242" i="4"/>
  <c r="AL171" i="4"/>
  <c r="AL254" i="4"/>
  <c r="AL172" i="4"/>
  <c r="AL243" i="4"/>
  <c r="AL75" i="4"/>
  <c r="AL53" i="4"/>
  <c r="AL244" i="4"/>
  <c r="AL54" i="4"/>
  <c r="AL55" i="4"/>
  <c r="AL173" i="4"/>
  <c r="AL174" i="4"/>
  <c r="AL227" i="4"/>
  <c r="AL175" i="4"/>
  <c r="AL74" i="4"/>
  <c r="AL176" i="4"/>
  <c r="AL56" i="4"/>
  <c r="AL198" i="4"/>
  <c r="AL177" i="4"/>
  <c r="AL196" i="4"/>
  <c r="AL57" i="4"/>
  <c r="AL14" i="4"/>
  <c r="AL58" i="4"/>
  <c r="AL59" i="4"/>
  <c r="AL84" i="4"/>
  <c r="AL78" i="4"/>
  <c r="AL178" i="4"/>
  <c r="AL60" i="4"/>
  <c r="AL205" i="4"/>
  <c r="AL179" i="4"/>
  <c r="AL180" i="4"/>
  <c r="AL217" i="4"/>
  <c r="AL7" i="4"/>
  <c r="AL202" i="4"/>
  <c r="AL181" i="4"/>
  <c r="AL9" i="4"/>
  <c r="AL208" i="4"/>
  <c r="AL210" i="4"/>
  <c r="AL8" i="4"/>
  <c r="AL61" i="4"/>
  <c r="AL209" i="4"/>
  <c r="AL221" i="4"/>
  <c r="AL182" i="4"/>
  <c r="AL183" i="4"/>
  <c r="AL245" i="4"/>
  <c r="AL246" i="4"/>
  <c r="AL228" i="4"/>
  <c r="AL203" i="4"/>
  <c r="AL5" i="4"/>
  <c r="AL206" i="4"/>
  <c r="AL229" i="4"/>
  <c r="AL62" i="4"/>
  <c r="AL184" i="4"/>
  <c r="AL63" i="4"/>
  <c r="AL255" i="4"/>
  <c r="AL185" i="4"/>
  <c r="AL186" i="4"/>
  <c r="AL224" i="4"/>
  <c r="AL225" i="4"/>
  <c r="AL15" i="4"/>
  <c r="AL16" i="4"/>
  <c r="AL6" i="4"/>
  <c r="AL187" i="4"/>
  <c r="AL247" i="4"/>
  <c r="AL248" i="4"/>
  <c r="AL64" i="4"/>
  <c r="AL250" i="4"/>
  <c r="AL188" i="4"/>
  <c r="AL222" i="4"/>
  <c r="AL189" i="4"/>
  <c r="AL190" i="4"/>
  <c r="AL204" i="4"/>
  <c r="AL95" i="4"/>
  <c r="AL251" i="4"/>
  <c r="AL107" i="4"/>
  <c r="AL73" i="4"/>
  <c r="AL65" i="4"/>
  <c r="AL81" i="4"/>
  <c r="AL66" i="4"/>
  <c r="AL32" i="4"/>
  <c r="AL17" i="4"/>
  <c r="AL252" i="4"/>
  <c r="AL10" i="4"/>
  <c r="AL191" i="4"/>
  <c r="AL67" i="4"/>
  <c r="AL199" i="4"/>
  <c r="AL68" i="4"/>
  <c r="AL69" i="4"/>
  <c r="AL70" i="4"/>
  <c r="AL200" i="4"/>
  <c r="AL97" i="4"/>
  <c r="AL71" i="4"/>
  <c r="AL213" i="4"/>
  <c r="AL18" i="4"/>
  <c r="AL19" i="4"/>
  <c r="AL72" i="4"/>
  <c r="AL20" i="4"/>
  <c r="D200" i="4"/>
  <c r="D30" i="4"/>
  <c r="AQ30" i="4" s="1"/>
  <c r="D31" i="4"/>
  <c r="AQ31" i="4" s="1"/>
  <c r="D29" i="4"/>
  <c r="AQ29" i="4" s="1"/>
  <c r="D32" i="4"/>
  <c r="AP32" i="4" s="1"/>
  <c r="D109" i="4"/>
  <c r="AP109" i="4" s="1"/>
  <c r="D111" i="4"/>
  <c r="AQ111" i="4" s="1"/>
  <c r="D115" i="4"/>
  <c r="AQ115" i="4" s="1"/>
  <c r="D110" i="4"/>
  <c r="AP110" i="4" s="1"/>
  <c r="D108" i="4"/>
  <c r="AP108" i="4" s="1"/>
  <c r="D116" i="4"/>
  <c r="AP116" i="4" s="1"/>
  <c r="D117" i="4"/>
  <c r="D114" i="4"/>
  <c r="D113" i="4"/>
  <c r="AQ113" i="4" s="1"/>
  <c r="D112" i="4"/>
  <c r="D198" i="4"/>
  <c r="AP198" i="4" s="1"/>
  <c r="D197" i="4"/>
  <c r="AQ197" i="4" s="1"/>
  <c r="D199" i="4"/>
  <c r="D16" i="4"/>
  <c r="AP16" i="4" s="1"/>
  <c r="D15" i="4"/>
  <c r="D17" i="4"/>
  <c r="AP17" i="4" s="1"/>
  <c r="D12" i="4"/>
  <c r="AP12" i="4" s="1"/>
  <c r="D11" i="4"/>
  <c r="AP11" i="4" s="1"/>
  <c r="D14" i="4"/>
  <c r="AQ14" i="4" s="1"/>
  <c r="D86" i="4"/>
  <c r="AQ86" i="4" s="1"/>
  <c r="D13" i="4"/>
  <c r="AP13" i="4" s="1"/>
  <c r="D89" i="4"/>
  <c r="AQ89" i="4" s="1"/>
  <c r="D88" i="4"/>
  <c r="AP88" i="4" s="1"/>
  <c r="D92" i="4"/>
  <c r="D87" i="4"/>
  <c r="AQ87" i="4" s="1"/>
  <c r="D94" i="4"/>
  <c r="D93" i="4"/>
  <c r="D90" i="4"/>
  <c r="AP90" i="4" s="1"/>
  <c r="D91" i="4"/>
  <c r="D212" i="4"/>
  <c r="D250" i="4"/>
  <c r="AP250" i="4" s="1"/>
  <c r="D107" i="4"/>
  <c r="AP107" i="4" s="1"/>
  <c r="D222" i="4"/>
  <c r="AQ222" i="4" s="1"/>
  <c r="D123" i="4"/>
  <c r="AP123" i="4" s="1"/>
  <c r="D144" i="4"/>
  <c r="AP144" i="4" s="1"/>
  <c r="D76" i="4"/>
  <c r="AP76" i="4" s="1"/>
  <c r="D77" i="4"/>
  <c r="AQ77" i="4" s="1"/>
  <c r="D203" i="4"/>
  <c r="AP203" i="4" s="1"/>
  <c r="D7" i="4"/>
  <c r="AQ7" i="4" s="1"/>
  <c r="D211" i="4"/>
  <c r="AP211" i="4" s="1"/>
  <c r="D23" i="4"/>
  <c r="D19" i="4"/>
  <c r="AP19" i="4" s="1"/>
  <c r="D20" i="4"/>
  <c r="AP20" i="4" s="1"/>
  <c r="D18" i="4"/>
  <c r="AP18" i="4" s="1"/>
  <c r="D97" i="4"/>
  <c r="AP97" i="4" s="1"/>
  <c r="D60" i="4"/>
  <c r="D56" i="4"/>
  <c r="AP56" i="4" s="1"/>
  <c r="D163" i="4"/>
  <c r="AQ163" i="4" s="1"/>
  <c r="D157" i="4"/>
  <c r="AQ157" i="4" s="1"/>
  <c r="D133" i="4"/>
  <c r="AP133" i="4" s="1"/>
  <c r="D145" i="4"/>
  <c r="AP145" i="4" s="1"/>
  <c r="D178" i="4"/>
  <c r="AQ178" i="4" s="1"/>
  <c r="D174" i="4"/>
  <c r="AP174" i="4" s="1"/>
  <c r="D151" i="4"/>
  <c r="AP151" i="4" s="1"/>
  <c r="D154" i="4"/>
  <c r="D236" i="4"/>
  <c r="AP236" i="4" s="1"/>
  <c r="D244" i="4"/>
  <c r="D49" i="4"/>
  <c r="AP49" i="4" s="1"/>
  <c r="D48" i="4"/>
  <c r="D183" i="4"/>
  <c r="D69" i="4"/>
  <c r="D67" i="4"/>
  <c r="AQ67" i="4" s="1"/>
  <c r="D65" i="4"/>
  <c r="AP65" i="4" s="1"/>
  <c r="D63" i="4"/>
  <c r="AQ63" i="4" s="1"/>
  <c r="D71" i="4"/>
  <c r="AP71" i="4" s="1"/>
  <c r="D62" i="4"/>
  <c r="AP62" i="4" s="1"/>
  <c r="D64" i="4"/>
  <c r="AQ64" i="4" s="1"/>
  <c r="D72" i="4"/>
  <c r="AQ72" i="4" s="1"/>
  <c r="D22" i="4"/>
  <c r="AP22" i="4" s="1"/>
  <c r="D100" i="4"/>
  <c r="AP100" i="4" s="1"/>
  <c r="D98" i="4"/>
  <c r="D118" i="4"/>
  <c r="AQ118" i="4" s="1"/>
  <c r="D227" i="4"/>
  <c r="AP227" i="4" s="1"/>
  <c r="D229" i="4"/>
  <c r="AP229" i="4" s="1"/>
  <c r="D228" i="4"/>
  <c r="AQ228" i="4" s="1"/>
  <c r="D95" i="4"/>
  <c r="D2" i="4"/>
  <c r="AP2" i="4" s="1"/>
  <c r="D226" i="4"/>
  <c r="AQ226" i="4" s="1"/>
  <c r="D28" i="4"/>
  <c r="AP28" i="4" s="1"/>
  <c r="D73" i="4"/>
  <c r="AP73" i="4" s="1"/>
  <c r="D192" i="4"/>
  <c r="AQ192" i="4" s="1"/>
  <c r="D193" i="4"/>
  <c r="AP193" i="4" s="1"/>
  <c r="D194" i="4"/>
  <c r="AQ194" i="4" s="1"/>
  <c r="D253" i="4"/>
  <c r="D254" i="4"/>
  <c r="AQ254" i="4" s="1"/>
  <c r="D255" i="4"/>
  <c r="AQ255" i="4" s="1"/>
  <c r="D79" i="4"/>
  <c r="AP79" i="4" s="1"/>
  <c r="D81" i="4"/>
  <c r="AQ81" i="4" s="1"/>
  <c r="D80" i="4"/>
  <c r="AP80" i="4" s="1"/>
  <c r="D206" i="4"/>
  <c r="AP206" i="4" s="1"/>
  <c r="D205" i="4"/>
  <c r="AP205" i="4" s="1"/>
  <c r="D41" i="4"/>
  <c r="AQ41" i="4" s="1"/>
  <c r="D42" i="4"/>
  <c r="AP42" i="4" s="1"/>
  <c r="D39" i="4"/>
  <c r="AP39" i="4" s="1"/>
  <c r="D150" i="4"/>
  <c r="AQ150" i="4" s="1"/>
  <c r="D152" i="4"/>
  <c r="AP152" i="4" s="1"/>
  <c r="D153" i="4"/>
  <c r="AP153" i="4" s="1"/>
  <c r="D156" i="4"/>
  <c r="AP156" i="4" s="1"/>
  <c r="D140" i="4"/>
  <c r="AP140" i="4" s="1"/>
  <c r="D148" i="4"/>
  <c r="AQ148" i="4" s="1"/>
  <c r="D235" i="4"/>
  <c r="AQ235" i="4" s="1"/>
  <c r="D233" i="4"/>
  <c r="AP233" i="4" s="1"/>
  <c r="D237" i="4"/>
  <c r="AP237" i="4" s="1"/>
  <c r="D3" i="4"/>
  <c r="AP3" i="4" s="1"/>
  <c r="D43" i="4"/>
  <c r="AQ43" i="4" s="1"/>
  <c r="D40" i="4"/>
  <c r="AQ40" i="4" s="1"/>
  <c r="D124" i="4"/>
  <c r="AQ124" i="4" s="1"/>
  <c r="D59" i="4"/>
  <c r="D147" i="4"/>
  <c r="AP147" i="4" s="1"/>
  <c r="D70" i="4"/>
  <c r="AQ70" i="4" s="1"/>
  <c r="D126" i="4"/>
  <c r="AQ126" i="4" s="1"/>
  <c r="D128" i="4"/>
  <c r="AQ128" i="4" s="1"/>
  <c r="D149" i="4"/>
  <c r="AP149" i="4" s="1"/>
  <c r="D135" i="4"/>
  <c r="AP135" i="4" s="1"/>
  <c r="D125" i="4"/>
  <c r="AP125" i="4" s="1"/>
  <c r="D121" i="4"/>
  <c r="AQ121" i="4" s="1"/>
  <c r="D188" i="4"/>
  <c r="AP188" i="4" s="1"/>
  <c r="D160" i="4"/>
  <c r="AQ160" i="4" s="1"/>
  <c r="D119" i="4"/>
  <c r="AP119" i="4" s="1"/>
  <c r="D122" i="4"/>
  <c r="AQ122" i="4" s="1"/>
  <c r="D190" i="4"/>
  <c r="D24" i="4"/>
  <c r="AQ24" i="4" s="1"/>
  <c r="D214" i="4"/>
  <c r="AQ214" i="4" s="1"/>
  <c r="D217" i="4"/>
  <c r="AP217" i="4" s="1"/>
  <c r="D234" i="4"/>
  <c r="AQ234" i="4" s="1"/>
  <c r="D224" i="4"/>
  <c r="AP224" i="4" s="1"/>
  <c r="D223" i="4"/>
  <c r="AP223" i="4" s="1"/>
  <c r="D225" i="4"/>
  <c r="AQ225" i="4" s="1"/>
  <c r="D106" i="4"/>
  <c r="AQ106" i="4" s="1"/>
  <c r="D105" i="4"/>
  <c r="AP105" i="4" s="1"/>
  <c r="D218" i="4"/>
  <c r="AQ218" i="4" s="1"/>
  <c r="D221" i="4"/>
  <c r="D220" i="4"/>
  <c r="AP220" i="4" s="1"/>
  <c r="D219" i="4"/>
  <c r="AP219" i="4" s="1"/>
  <c r="D204" i="4"/>
  <c r="D53" i="4"/>
  <c r="D127" i="4"/>
  <c r="D120" i="4"/>
  <c r="AQ120" i="4" s="1"/>
  <c r="D230" i="4"/>
  <c r="AQ230" i="4" s="1"/>
  <c r="D207" i="4"/>
  <c r="D213" i="4"/>
  <c r="AQ213" i="4" s="1"/>
  <c r="D75" i="4"/>
  <c r="AQ75" i="4" s="1"/>
  <c r="D4" i="4"/>
  <c r="AQ4" i="4" s="1"/>
  <c r="D5" i="4"/>
  <c r="AP5" i="4" s="1"/>
  <c r="D38" i="4"/>
  <c r="AP38" i="4" s="1"/>
  <c r="D46" i="4"/>
  <c r="AP46" i="4" s="1"/>
  <c r="D146" i="4"/>
  <c r="AP146" i="4" s="1"/>
  <c r="D143" i="4"/>
  <c r="D173" i="4"/>
  <c r="D164" i="4"/>
  <c r="AP164" i="4" s="1"/>
  <c r="D247" i="4"/>
  <c r="AP247" i="4" s="1"/>
  <c r="D6" i="4"/>
  <c r="AQ6" i="4" s="1"/>
  <c r="D35" i="4"/>
  <c r="D54" i="4"/>
  <c r="D66" i="4"/>
  <c r="AP66" i="4" s="1"/>
  <c r="D58" i="4"/>
  <c r="D68" i="4"/>
  <c r="AP68" i="4" s="1"/>
  <c r="D61" i="4"/>
  <c r="AP61" i="4" s="1"/>
  <c r="D51" i="4"/>
  <c r="AP51" i="4" s="1"/>
  <c r="D47" i="4"/>
  <c r="AQ47" i="4" s="1"/>
  <c r="D185" i="4"/>
  <c r="AP185" i="4" s="1"/>
  <c r="D138" i="4"/>
  <c r="AQ138" i="4" s="1"/>
  <c r="D181" i="4"/>
  <c r="AP181" i="4" s="1"/>
  <c r="D142" i="4"/>
  <c r="D176" i="4"/>
  <c r="AP176" i="4" s="1"/>
  <c r="D184" i="4"/>
  <c r="AP184" i="4" s="1"/>
  <c r="D162" i="4"/>
  <c r="AP162" i="4" s="1"/>
  <c r="D175" i="4"/>
  <c r="AP175" i="4" s="1"/>
  <c r="D169" i="4"/>
  <c r="AP169" i="4" s="1"/>
  <c r="D172" i="4"/>
  <c r="AQ172" i="4" s="1"/>
  <c r="D242" i="4"/>
  <c r="AQ242" i="4" s="1"/>
  <c r="D238" i="4"/>
  <c r="D232" i="4"/>
  <c r="AP232" i="4" s="1"/>
  <c r="D241" i="4"/>
  <c r="AQ241" i="4" s="1"/>
  <c r="D252" i="4"/>
  <c r="AP252" i="4" s="1"/>
  <c r="D245" i="4"/>
  <c r="AP245" i="4" s="1"/>
  <c r="D248" i="4"/>
  <c r="AQ248" i="4" s="1"/>
  <c r="D55" i="4"/>
  <c r="AP55" i="4" s="1"/>
  <c r="D36" i="4"/>
  <c r="AP36" i="4" s="1"/>
  <c r="D34" i="4"/>
  <c r="D137" i="4"/>
  <c r="D134" i="4"/>
  <c r="AQ134" i="4" s="1"/>
  <c r="D132" i="4"/>
  <c r="D139" i="4"/>
  <c r="AQ139" i="4" s="1"/>
  <c r="D130" i="4"/>
  <c r="AQ130" i="4" s="1"/>
  <c r="D136" i="4"/>
  <c r="AP136" i="4" s="1"/>
  <c r="D131" i="4"/>
  <c r="AQ131" i="4" s="1"/>
  <c r="D168" i="4"/>
  <c r="AP168" i="4" s="1"/>
  <c r="D191" i="4"/>
  <c r="AP191" i="4" s="1"/>
  <c r="D171" i="4"/>
  <c r="AQ171" i="4" s="1"/>
  <c r="D246" i="4"/>
  <c r="AP246" i="4" s="1"/>
  <c r="D74" i="4"/>
  <c r="AQ74" i="4" s="1"/>
  <c r="D196" i="4"/>
  <c r="AQ196" i="4" s="1"/>
  <c r="D195" i="4"/>
  <c r="AP195" i="4" s="1"/>
  <c r="D256" i="4"/>
  <c r="AP256" i="4" s="1"/>
  <c r="D45" i="4"/>
  <c r="AP45" i="4" s="1"/>
  <c r="D57" i="4"/>
  <c r="AQ57" i="4" s="1"/>
  <c r="D186" i="4"/>
  <c r="AP186" i="4" s="1"/>
  <c r="D166" i="4"/>
  <c r="D167" i="4"/>
  <c r="D141" i="4"/>
  <c r="AP141" i="4" s="1"/>
  <c r="D231" i="4"/>
  <c r="D239" i="4"/>
  <c r="AP239" i="4" s="1"/>
  <c r="D44" i="4"/>
  <c r="D52" i="4"/>
  <c r="AQ52" i="4" s="1"/>
  <c r="D37" i="4"/>
  <c r="AQ37" i="4" s="1"/>
  <c r="D159" i="4"/>
  <c r="AP159" i="4" s="1"/>
  <c r="D158" i="4"/>
  <c r="AP158" i="4" s="1"/>
  <c r="D129" i="4"/>
  <c r="AP129" i="4" s="1"/>
  <c r="D170" i="4"/>
  <c r="AP170" i="4" s="1"/>
  <c r="D165" i="4"/>
  <c r="AP165" i="4" s="1"/>
  <c r="D180" i="4"/>
  <c r="AQ180" i="4" s="1"/>
  <c r="D179" i="4"/>
  <c r="AQ179" i="4" s="1"/>
  <c r="D155" i="4"/>
  <c r="AP155" i="4" s="1"/>
  <c r="D189" i="4"/>
  <c r="D161" i="4"/>
  <c r="AQ161" i="4" s="1"/>
  <c r="D182" i="4"/>
  <c r="D240" i="4"/>
  <c r="AQ240" i="4" s="1"/>
  <c r="D10" i="4"/>
  <c r="AP10" i="4" s="1"/>
  <c r="D9" i="4"/>
  <c r="AP9" i="4" s="1"/>
  <c r="D83" i="4"/>
  <c r="AP83" i="4" s="1"/>
  <c r="D82" i="4"/>
  <c r="AP82" i="4" s="1"/>
  <c r="D84" i="4"/>
  <c r="AP84" i="4" s="1"/>
  <c r="D209" i="4"/>
  <c r="AP209" i="4" s="1"/>
  <c r="D208" i="4"/>
  <c r="AQ208" i="4" s="1"/>
  <c r="D8" i="4"/>
  <c r="AP8" i="4" s="1"/>
  <c r="D78" i="4"/>
  <c r="AP78" i="4" s="1"/>
  <c r="D202" i="4"/>
  <c r="AQ202" i="4" s="1"/>
  <c r="D33" i="4"/>
  <c r="D177" i="4"/>
  <c r="AQ177" i="4" s="1"/>
  <c r="D50" i="4"/>
  <c r="AQ50" i="4" s="1"/>
  <c r="D187" i="4"/>
  <c r="AQ187" i="4" s="1"/>
  <c r="D251" i="4"/>
  <c r="D243" i="4"/>
  <c r="AP243" i="4" s="1"/>
  <c r="D85" i="4"/>
  <c r="AQ85" i="4" s="1"/>
  <c r="D210" i="4"/>
  <c r="AQ210" i="4" s="1"/>
  <c r="D26" i="4"/>
  <c r="AP26" i="4" s="1"/>
  <c r="D25" i="4"/>
  <c r="AP25" i="4" s="1"/>
  <c r="D27" i="4"/>
  <c r="AP27" i="4" s="1"/>
  <c r="D102" i="4"/>
  <c r="AQ102" i="4" s="1"/>
  <c r="D103" i="4"/>
  <c r="AQ103" i="4" s="1"/>
  <c r="D104" i="4"/>
  <c r="AP104" i="4" s="1"/>
  <c r="AI215" i="4"/>
  <c r="AJ215" i="4" s="1"/>
  <c r="AF215" i="4"/>
  <c r="AD215" i="4"/>
  <c r="AB215" i="4"/>
  <c r="Z215" i="4"/>
  <c r="X215" i="4"/>
  <c r="U215" i="4"/>
  <c r="D215" i="4" s="1"/>
  <c r="AQ215" i="4" s="1"/>
  <c r="R215" i="4"/>
  <c r="P215" i="4"/>
  <c r="N215" i="4"/>
  <c r="L215" i="4"/>
  <c r="J215" i="4"/>
  <c r="AH225" i="4"/>
  <c r="AF225" i="4"/>
  <c r="AD225" i="4"/>
  <c r="AB225" i="4"/>
  <c r="Z225" i="4"/>
  <c r="X225" i="4"/>
  <c r="V225" i="4"/>
  <c r="R225" i="4"/>
  <c r="P225" i="4"/>
  <c r="N225" i="4"/>
  <c r="L225" i="4"/>
  <c r="J225" i="4"/>
  <c r="AJ205" i="4"/>
  <c r="AH205" i="4"/>
  <c r="AF205" i="4"/>
  <c r="AD205" i="4"/>
  <c r="AB205" i="4"/>
  <c r="Z205" i="4"/>
  <c r="X205" i="4"/>
  <c r="V205" i="4"/>
  <c r="T205" i="4"/>
  <c r="P205" i="4"/>
  <c r="N205" i="4"/>
  <c r="L205" i="4"/>
  <c r="J205" i="4"/>
  <c r="AJ206" i="4"/>
  <c r="AH206" i="4"/>
  <c r="AF206" i="4"/>
  <c r="AD206" i="4"/>
  <c r="AB206" i="4"/>
  <c r="Z206" i="4"/>
  <c r="X206" i="4"/>
  <c r="V206" i="4"/>
  <c r="T206" i="4"/>
  <c r="P206" i="4"/>
  <c r="N206" i="4"/>
  <c r="L206" i="4"/>
  <c r="J206" i="4"/>
  <c r="AJ213" i="4"/>
  <c r="AH213" i="4"/>
  <c r="AF213" i="4"/>
  <c r="AD213" i="4"/>
  <c r="AB213" i="4"/>
  <c r="Z213" i="4"/>
  <c r="X213" i="4"/>
  <c r="V213" i="4"/>
  <c r="R213" i="4"/>
  <c r="P213" i="4"/>
  <c r="N213" i="4"/>
  <c r="L213" i="4"/>
  <c r="J213" i="4"/>
  <c r="AI217" i="4"/>
  <c r="AJ217" i="4" s="1"/>
  <c r="AF217" i="4"/>
  <c r="AD217" i="4"/>
  <c r="AB217" i="4"/>
  <c r="Z217" i="4"/>
  <c r="X217" i="4"/>
  <c r="V217" i="4"/>
  <c r="R217" i="4"/>
  <c r="P217" i="4"/>
  <c r="N217" i="4"/>
  <c r="L217" i="4"/>
  <c r="J217" i="4"/>
  <c r="AI214" i="4"/>
  <c r="AJ214" i="4" s="1"/>
  <c r="AF214" i="4"/>
  <c r="AD214" i="4"/>
  <c r="AB214" i="4"/>
  <c r="Z214" i="4"/>
  <c r="X214" i="4"/>
  <c r="V214" i="4"/>
  <c r="T214" i="4"/>
  <c r="P214" i="4"/>
  <c r="N214" i="4"/>
  <c r="L214" i="4"/>
  <c r="J214" i="4"/>
  <c r="AI255" i="4"/>
  <c r="AJ255" i="4" s="1"/>
  <c r="AF255" i="4"/>
  <c r="AD255" i="4"/>
  <c r="AB255" i="4"/>
  <c r="Z255" i="4"/>
  <c r="X255" i="4"/>
  <c r="V255" i="4"/>
  <c r="P255" i="4"/>
  <c r="N255" i="4"/>
  <c r="L255" i="4"/>
  <c r="J255" i="4"/>
  <c r="AH223" i="4"/>
  <c r="AF223" i="4"/>
  <c r="AD223" i="4"/>
  <c r="AB223" i="4"/>
  <c r="Z223" i="4"/>
  <c r="X223" i="4"/>
  <c r="V223" i="4"/>
  <c r="P223" i="4"/>
  <c r="N223" i="4"/>
  <c r="L223" i="4"/>
  <c r="J223" i="4"/>
  <c r="AI222" i="4"/>
  <c r="AJ222" i="4" s="1"/>
  <c r="AH222" i="4"/>
  <c r="AF222" i="4"/>
  <c r="AD222" i="4"/>
  <c r="AB222" i="4"/>
  <c r="Z222" i="4"/>
  <c r="X222" i="4"/>
  <c r="V222" i="4"/>
  <c r="P222" i="4"/>
  <c r="N222" i="4"/>
  <c r="L222" i="4"/>
  <c r="J222" i="4"/>
  <c r="AJ210" i="4"/>
  <c r="AF210" i="4"/>
  <c r="AD210" i="4"/>
  <c r="AB210" i="4"/>
  <c r="Z210" i="4"/>
  <c r="X210" i="4"/>
  <c r="V210" i="4"/>
  <c r="P210" i="4"/>
  <c r="N210" i="4"/>
  <c r="L210" i="4"/>
  <c r="J210" i="4"/>
  <c r="AJ219" i="4"/>
  <c r="AF219" i="4"/>
  <c r="AD219" i="4"/>
  <c r="AB219" i="4"/>
  <c r="Z219" i="4"/>
  <c r="X219" i="4"/>
  <c r="V219" i="4"/>
  <c r="P219" i="4"/>
  <c r="N219" i="4"/>
  <c r="L219" i="4"/>
  <c r="J219" i="4"/>
  <c r="AJ201" i="4"/>
  <c r="AE201" i="4"/>
  <c r="AL201" i="4" s="1"/>
  <c r="AD201" i="4"/>
  <c r="AB201" i="4"/>
  <c r="Z201" i="4"/>
  <c r="X201" i="4"/>
  <c r="V201" i="4"/>
  <c r="T201" i="4"/>
  <c r="P201" i="4"/>
  <c r="N201" i="4"/>
  <c r="L201" i="4"/>
  <c r="J201" i="4"/>
  <c r="AI254" i="4"/>
  <c r="AJ254" i="4" s="1"/>
  <c r="AF254" i="4"/>
  <c r="AD254" i="4"/>
  <c r="AB254" i="4"/>
  <c r="Z254" i="4"/>
  <c r="X254" i="4"/>
  <c r="V254" i="4"/>
  <c r="P254" i="4"/>
  <c r="N254" i="4"/>
  <c r="L254" i="4"/>
  <c r="J254" i="4"/>
  <c r="AH224" i="4"/>
  <c r="AF224" i="4"/>
  <c r="AD224" i="4"/>
  <c r="AB224" i="4"/>
  <c r="Z224" i="4"/>
  <c r="X224" i="4"/>
  <c r="V224" i="4"/>
  <c r="T224" i="4"/>
  <c r="P224" i="4"/>
  <c r="N224" i="4"/>
  <c r="L224" i="4"/>
  <c r="J224" i="4"/>
  <c r="AI216" i="4"/>
  <c r="AJ216" i="4" s="1"/>
  <c r="AF216" i="4"/>
  <c r="AD216" i="4"/>
  <c r="AB216" i="4"/>
  <c r="Z216" i="4"/>
  <c r="X216" i="4"/>
  <c r="U216" i="4"/>
  <c r="V216" i="4" s="1"/>
  <c r="R216" i="4"/>
  <c r="P216" i="4"/>
  <c r="N216" i="4"/>
  <c r="L216" i="4"/>
  <c r="J216" i="4"/>
  <c r="AF229" i="4"/>
  <c r="AD229" i="4"/>
  <c r="AB229" i="4"/>
  <c r="Z229" i="4"/>
  <c r="X229" i="4"/>
  <c r="V229" i="4"/>
  <c r="T229" i="4"/>
  <c r="P229" i="4"/>
  <c r="N229" i="4"/>
  <c r="L229" i="4"/>
  <c r="J229" i="4"/>
  <c r="AJ253" i="4"/>
  <c r="AF253" i="4"/>
  <c r="AD253" i="4"/>
  <c r="AB253" i="4"/>
  <c r="Z253" i="4"/>
  <c r="X253" i="4"/>
  <c r="V253" i="4"/>
  <c r="P253" i="4"/>
  <c r="N253" i="4"/>
  <c r="L253" i="4"/>
  <c r="J253" i="4"/>
  <c r="AI226" i="4"/>
  <c r="AJ226" i="4" s="1"/>
  <c r="AF226" i="4"/>
  <c r="AD226" i="4"/>
  <c r="AB226" i="4"/>
  <c r="Z226" i="4"/>
  <c r="X226" i="4"/>
  <c r="V226" i="4"/>
  <c r="P226" i="4"/>
  <c r="N226" i="4"/>
  <c r="L226" i="4"/>
  <c r="J226" i="4"/>
  <c r="AF227" i="4"/>
  <c r="AD227" i="4"/>
  <c r="AB227" i="4"/>
  <c r="Z227" i="4"/>
  <c r="X227" i="4"/>
  <c r="V227" i="4"/>
  <c r="P227" i="4"/>
  <c r="N227" i="4"/>
  <c r="L227" i="4"/>
  <c r="J227" i="4"/>
  <c r="AI220" i="4"/>
  <c r="AJ220" i="4" s="1"/>
  <c r="AF220" i="4"/>
  <c r="AD220" i="4"/>
  <c r="AB220" i="4"/>
  <c r="Z220" i="4"/>
  <c r="X220" i="4"/>
  <c r="V220" i="4"/>
  <c r="P220" i="4"/>
  <c r="N220" i="4"/>
  <c r="L220" i="4"/>
  <c r="J220" i="4"/>
  <c r="AJ211" i="4"/>
  <c r="AF211" i="4"/>
  <c r="AD211" i="4"/>
  <c r="AB211" i="4"/>
  <c r="Z211" i="4"/>
  <c r="X211" i="4"/>
  <c r="V211" i="4"/>
  <c r="P211" i="4"/>
  <c r="N211" i="4"/>
  <c r="L211" i="4"/>
  <c r="J211" i="4"/>
  <c r="AJ221" i="4"/>
  <c r="AF221" i="4"/>
  <c r="AD221" i="4"/>
  <c r="AB221" i="4"/>
  <c r="Z221" i="4"/>
  <c r="X221" i="4"/>
  <c r="V221" i="4"/>
  <c r="P221" i="4"/>
  <c r="N221" i="4"/>
  <c r="L221" i="4"/>
  <c r="J221" i="4"/>
  <c r="AJ228" i="4"/>
  <c r="AF228" i="4"/>
  <c r="AD228" i="4"/>
  <c r="AB228" i="4"/>
  <c r="Z228" i="4"/>
  <c r="X228" i="4"/>
  <c r="V228" i="4"/>
  <c r="T228" i="4"/>
  <c r="P228" i="4"/>
  <c r="N228" i="4"/>
  <c r="L228" i="4"/>
  <c r="J228" i="4"/>
  <c r="AI200" i="4"/>
  <c r="AJ200" i="4" s="1"/>
  <c r="AH200" i="4"/>
  <c r="AF200" i="4"/>
  <c r="AD200" i="4"/>
  <c r="AB200" i="4"/>
  <c r="Z200" i="4"/>
  <c r="X200" i="4"/>
  <c r="V200" i="4"/>
  <c r="P200" i="4"/>
  <c r="N200" i="4"/>
  <c r="L200" i="4"/>
  <c r="J200" i="4"/>
  <c r="AG249" i="4"/>
  <c r="D249" i="4" s="1"/>
  <c r="AP249" i="4" s="1"/>
  <c r="AF249" i="4"/>
  <c r="AD249" i="4"/>
  <c r="AB249" i="4"/>
  <c r="Z249" i="4"/>
  <c r="X249" i="4"/>
  <c r="V249" i="4"/>
  <c r="P249" i="4"/>
  <c r="N249" i="4"/>
  <c r="L249" i="4"/>
  <c r="J249" i="4"/>
  <c r="AJ234" i="4"/>
  <c r="AF234" i="4"/>
  <c r="AD234" i="4"/>
  <c r="AB234" i="4"/>
  <c r="Z234" i="4"/>
  <c r="X234" i="4"/>
  <c r="V234" i="4"/>
  <c r="R234" i="4"/>
  <c r="P234" i="4"/>
  <c r="N234" i="4"/>
  <c r="L234" i="4"/>
  <c r="J234" i="4"/>
  <c r="AI256" i="4"/>
  <c r="AJ256" i="4" s="1"/>
  <c r="AD256" i="4"/>
  <c r="AB256" i="4"/>
  <c r="Z256" i="4"/>
  <c r="X256" i="4"/>
  <c r="V256" i="4"/>
  <c r="P256" i="4"/>
  <c r="N256" i="4"/>
  <c r="L256" i="4"/>
  <c r="J256" i="4"/>
  <c r="AJ204" i="4"/>
  <c r="AH204" i="4"/>
  <c r="AF204" i="4"/>
  <c r="AD204" i="4"/>
  <c r="AB204" i="4"/>
  <c r="Z204" i="4"/>
  <c r="X204" i="4"/>
  <c r="V204" i="4"/>
  <c r="T204" i="4"/>
  <c r="P204" i="4"/>
  <c r="N204" i="4"/>
  <c r="L204" i="4"/>
  <c r="J204" i="4"/>
  <c r="AH250" i="4"/>
  <c r="AF250" i="4"/>
  <c r="AD250" i="4"/>
  <c r="AB250" i="4"/>
  <c r="Z250" i="4"/>
  <c r="X250" i="4"/>
  <c r="V250" i="4"/>
  <c r="P250" i="4"/>
  <c r="N250" i="4"/>
  <c r="L250" i="4"/>
  <c r="J250" i="4"/>
  <c r="AI112" i="4"/>
  <c r="AJ112" i="4" s="1"/>
  <c r="AF112" i="4"/>
  <c r="AD112" i="4"/>
  <c r="Z112" i="4"/>
  <c r="X112" i="4"/>
  <c r="V112" i="4"/>
  <c r="P112" i="4"/>
  <c r="N112" i="4"/>
  <c r="L112" i="4"/>
  <c r="J112" i="4"/>
  <c r="AJ113" i="4"/>
  <c r="AF113" i="4"/>
  <c r="AD113" i="4"/>
  <c r="Z113" i="4"/>
  <c r="X113" i="4"/>
  <c r="V113" i="4"/>
  <c r="P113" i="4"/>
  <c r="N113" i="4"/>
  <c r="L113" i="4"/>
  <c r="J113" i="4"/>
  <c r="AJ98" i="4"/>
  <c r="AF98" i="4"/>
  <c r="Z98" i="4"/>
  <c r="X98" i="4"/>
  <c r="V98" i="4"/>
  <c r="P98" i="4"/>
  <c r="N98" i="4"/>
  <c r="L98" i="4"/>
  <c r="J98" i="4"/>
  <c r="AF207" i="4"/>
  <c r="AD207" i="4"/>
  <c r="AB207" i="4"/>
  <c r="Z207" i="4"/>
  <c r="X207" i="4"/>
  <c r="V207" i="4"/>
  <c r="P207" i="4"/>
  <c r="N207" i="4"/>
  <c r="L207" i="4"/>
  <c r="J207" i="4"/>
  <c r="AI194" i="4"/>
  <c r="AJ194" i="4" s="1"/>
  <c r="AF194" i="4"/>
  <c r="AD194" i="4"/>
  <c r="Z194" i="4"/>
  <c r="X194" i="4"/>
  <c r="V194" i="4"/>
  <c r="P194" i="4"/>
  <c r="N194" i="4"/>
  <c r="L194" i="4"/>
  <c r="J194" i="4"/>
  <c r="AI243" i="4"/>
  <c r="AJ243" i="4" s="1"/>
  <c r="AF243" i="4"/>
  <c r="AB243" i="4"/>
  <c r="Z243" i="4"/>
  <c r="X243" i="4"/>
  <c r="V243" i="4"/>
  <c r="T243" i="4"/>
  <c r="P243" i="4"/>
  <c r="N243" i="4"/>
  <c r="L243" i="4"/>
  <c r="J243" i="4"/>
  <c r="AI212" i="4"/>
  <c r="AJ212" i="4" s="1"/>
  <c r="AF212" i="4"/>
  <c r="AD212" i="4"/>
  <c r="AB212" i="4"/>
  <c r="Z212" i="4"/>
  <c r="X212" i="4"/>
  <c r="V212" i="4"/>
  <c r="P212" i="4"/>
  <c r="N212" i="4"/>
  <c r="L212" i="4"/>
  <c r="J212" i="4"/>
  <c r="AI251" i="4"/>
  <c r="AJ251" i="4" s="1"/>
  <c r="AF251" i="4"/>
  <c r="AB251" i="4"/>
  <c r="Z251" i="4"/>
  <c r="X251" i="4"/>
  <c r="V251" i="4"/>
  <c r="P251" i="4"/>
  <c r="N251" i="4"/>
  <c r="L251" i="4"/>
  <c r="J251" i="4"/>
  <c r="AI91" i="4"/>
  <c r="AJ91" i="4" s="1"/>
  <c r="AF91" i="4"/>
  <c r="AD91" i="4"/>
  <c r="Z91" i="4"/>
  <c r="X91" i="4"/>
  <c r="V91" i="4"/>
  <c r="P91" i="4"/>
  <c r="N91" i="4"/>
  <c r="L91" i="4"/>
  <c r="J91" i="4"/>
  <c r="AI90" i="4"/>
  <c r="AJ90" i="4" s="1"/>
  <c r="AF90" i="4"/>
  <c r="AD90" i="4"/>
  <c r="Z90" i="4"/>
  <c r="X90" i="4"/>
  <c r="V90" i="4"/>
  <c r="P90" i="4"/>
  <c r="N90" i="4"/>
  <c r="L90" i="4"/>
  <c r="J90" i="4"/>
  <c r="AH107" i="4"/>
  <c r="AF107" i="4"/>
  <c r="AD107" i="4"/>
  <c r="Z107" i="4"/>
  <c r="X107" i="4"/>
  <c r="V107" i="4"/>
  <c r="P107" i="4"/>
  <c r="N107" i="4"/>
  <c r="L107" i="4"/>
  <c r="J107" i="4"/>
  <c r="AJ93" i="4"/>
  <c r="AF93" i="4"/>
  <c r="AD93" i="4"/>
  <c r="Z93" i="4"/>
  <c r="X93" i="4"/>
  <c r="V93" i="4"/>
  <c r="P93" i="4"/>
  <c r="N93" i="4"/>
  <c r="L93" i="4"/>
  <c r="J93" i="4"/>
  <c r="AJ193" i="4"/>
  <c r="AF193" i="4"/>
  <c r="AD193" i="4"/>
  <c r="Z193" i="4"/>
  <c r="X193" i="4"/>
  <c r="V193" i="4"/>
  <c r="P193" i="4"/>
  <c r="N193" i="4"/>
  <c r="L193" i="4"/>
  <c r="J193" i="4"/>
  <c r="AJ202" i="4"/>
  <c r="AF202" i="4"/>
  <c r="AD202" i="4"/>
  <c r="AB202" i="4"/>
  <c r="Z202" i="4"/>
  <c r="X202" i="4"/>
  <c r="V202" i="4"/>
  <c r="P202" i="4"/>
  <c r="N202" i="4"/>
  <c r="L202" i="4"/>
  <c r="J202" i="4"/>
  <c r="AJ244" i="4"/>
  <c r="AH244" i="4"/>
  <c r="AF244" i="4"/>
  <c r="AD244" i="4"/>
  <c r="AB244" i="4"/>
  <c r="Z244" i="4"/>
  <c r="X244" i="4"/>
  <c r="V244" i="4"/>
  <c r="P244" i="4"/>
  <c r="N244" i="4"/>
  <c r="L244" i="4"/>
  <c r="J244" i="4"/>
  <c r="AI94" i="4"/>
  <c r="AJ94" i="4" s="1"/>
  <c r="AF94" i="4"/>
  <c r="AD94" i="4"/>
  <c r="Z94" i="4"/>
  <c r="X94" i="4"/>
  <c r="V94" i="4"/>
  <c r="P94" i="4"/>
  <c r="N94" i="4"/>
  <c r="L94" i="4"/>
  <c r="J94" i="4"/>
  <c r="AH236" i="4"/>
  <c r="AF236" i="4"/>
  <c r="AB236" i="4"/>
  <c r="Z236" i="4"/>
  <c r="X236" i="4"/>
  <c r="V236" i="4"/>
  <c r="P236" i="4"/>
  <c r="N236" i="4"/>
  <c r="L236" i="4"/>
  <c r="J236" i="4"/>
  <c r="AJ114" i="4"/>
  <c r="AF114" i="4"/>
  <c r="AD114" i="4"/>
  <c r="Z114" i="4"/>
  <c r="X114" i="4"/>
  <c r="V114" i="4"/>
  <c r="P114" i="4"/>
  <c r="N114" i="4"/>
  <c r="L114" i="4"/>
  <c r="J114" i="4"/>
  <c r="AJ208" i="4"/>
  <c r="AH208" i="4"/>
  <c r="AF208" i="4"/>
  <c r="AD208" i="4"/>
  <c r="AB208" i="4"/>
  <c r="Z208" i="4"/>
  <c r="X208" i="4"/>
  <c r="V208" i="4"/>
  <c r="P208" i="4"/>
  <c r="N208" i="4"/>
  <c r="L208" i="4"/>
  <c r="J208" i="4"/>
  <c r="AJ209" i="4"/>
  <c r="AH209" i="4"/>
  <c r="AF209" i="4"/>
  <c r="AD209" i="4"/>
  <c r="AB209" i="4"/>
  <c r="Z209" i="4"/>
  <c r="X209" i="4"/>
  <c r="V209" i="4"/>
  <c r="P209" i="4"/>
  <c r="N209" i="4"/>
  <c r="L209" i="4"/>
  <c r="J209" i="4"/>
  <c r="AH248" i="4"/>
  <c r="AF248" i="4"/>
  <c r="AD248" i="4"/>
  <c r="AB248" i="4"/>
  <c r="Z248" i="4"/>
  <c r="X248" i="4"/>
  <c r="V248" i="4"/>
  <c r="P248" i="4"/>
  <c r="N248" i="4"/>
  <c r="L248" i="4"/>
  <c r="J248" i="4"/>
  <c r="AH95" i="4"/>
  <c r="AF95" i="4"/>
  <c r="AD95" i="4"/>
  <c r="Z95" i="4"/>
  <c r="X95" i="4"/>
  <c r="V95" i="4"/>
  <c r="P95" i="4"/>
  <c r="N95" i="4"/>
  <c r="L95" i="4"/>
  <c r="J95" i="4"/>
  <c r="AH96" i="4"/>
  <c r="AE96" i="4"/>
  <c r="D96" i="4" s="1"/>
  <c r="AQ96" i="4" s="1"/>
  <c r="AD96" i="4"/>
  <c r="Z96" i="4"/>
  <c r="X96" i="4"/>
  <c r="V96" i="4"/>
  <c r="P96" i="4"/>
  <c r="N96" i="4"/>
  <c r="L96" i="4"/>
  <c r="J96" i="4"/>
  <c r="AJ192" i="4"/>
  <c r="AF192" i="4"/>
  <c r="AD192" i="4"/>
  <c r="Z192" i="4"/>
  <c r="X192" i="4"/>
  <c r="V192" i="4"/>
  <c r="P192" i="4"/>
  <c r="N192" i="4"/>
  <c r="L192" i="4"/>
  <c r="J192" i="4"/>
  <c r="AD247" i="4"/>
  <c r="AB247" i="4"/>
  <c r="Z247" i="4"/>
  <c r="X247" i="4"/>
  <c r="V247" i="4"/>
  <c r="P247" i="4"/>
  <c r="N247" i="4"/>
  <c r="L247" i="4"/>
  <c r="J247" i="4"/>
  <c r="AF245" i="4"/>
  <c r="AD245" i="4"/>
  <c r="AB245" i="4"/>
  <c r="Z245" i="4"/>
  <c r="X245" i="4"/>
  <c r="V245" i="4"/>
  <c r="P245" i="4"/>
  <c r="N245" i="4"/>
  <c r="L245" i="4"/>
  <c r="J245" i="4"/>
  <c r="AH252" i="4"/>
  <c r="AF252" i="4"/>
  <c r="AD252" i="4"/>
  <c r="AB252" i="4"/>
  <c r="Z252" i="4"/>
  <c r="X252" i="4"/>
  <c r="V252" i="4"/>
  <c r="P252" i="4"/>
  <c r="N252" i="4"/>
  <c r="L252" i="4"/>
  <c r="J252" i="4"/>
  <c r="AJ199" i="4"/>
  <c r="AF199" i="4"/>
  <c r="AD199" i="4"/>
  <c r="Z199" i="4"/>
  <c r="X199" i="4"/>
  <c r="V199" i="4"/>
  <c r="T199" i="4"/>
  <c r="P199" i="4"/>
  <c r="N199" i="4"/>
  <c r="L199" i="4"/>
  <c r="J199" i="4"/>
  <c r="AJ117" i="4"/>
  <c r="AH117" i="4"/>
  <c r="AF117" i="4"/>
  <c r="AD117" i="4"/>
  <c r="Z117" i="4"/>
  <c r="X117" i="4"/>
  <c r="V117" i="4"/>
  <c r="P117" i="4"/>
  <c r="N117" i="4"/>
  <c r="L117" i="4"/>
  <c r="J117" i="4"/>
  <c r="AJ116" i="4"/>
  <c r="AF116" i="4"/>
  <c r="AD116" i="4"/>
  <c r="Z116" i="4"/>
  <c r="X116" i="4"/>
  <c r="V116" i="4"/>
  <c r="P116" i="4"/>
  <c r="N116" i="4"/>
  <c r="L116" i="4"/>
  <c r="J116" i="4"/>
  <c r="AF241" i="4"/>
  <c r="AD241" i="4"/>
  <c r="AB241" i="4"/>
  <c r="Z241" i="4"/>
  <c r="X241" i="4"/>
  <c r="V241" i="4"/>
  <c r="P241" i="4"/>
  <c r="N241" i="4"/>
  <c r="L241" i="4"/>
  <c r="J241" i="4"/>
  <c r="AF246" i="4"/>
  <c r="AD246" i="4"/>
  <c r="AB246" i="4"/>
  <c r="Z246" i="4"/>
  <c r="X246" i="4"/>
  <c r="V246" i="4"/>
  <c r="P246" i="4"/>
  <c r="N246" i="4"/>
  <c r="L246" i="4"/>
  <c r="J246" i="4"/>
  <c r="AJ197" i="4"/>
  <c r="AF197" i="4"/>
  <c r="AD197" i="4"/>
  <c r="Z197" i="4"/>
  <c r="X197" i="4"/>
  <c r="V197" i="4"/>
  <c r="T197" i="4"/>
  <c r="P197" i="4"/>
  <c r="N197" i="4"/>
  <c r="L197" i="4"/>
  <c r="J197" i="4"/>
  <c r="AJ85" i="4"/>
  <c r="AD85" i="4"/>
  <c r="Z85" i="4"/>
  <c r="X85" i="4"/>
  <c r="V85" i="4"/>
  <c r="P85" i="4"/>
  <c r="N85" i="4"/>
  <c r="L85" i="4"/>
  <c r="J85" i="4"/>
  <c r="AJ97" i="4"/>
  <c r="AH97" i="4"/>
  <c r="AF97" i="4"/>
  <c r="AD97" i="4"/>
  <c r="Z97" i="4"/>
  <c r="X97" i="4"/>
  <c r="V97" i="4"/>
  <c r="P97" i="4"/>
  <c r="N97" i="4"/>
  <c r="L97" i="4"/>
  <c r="J97" i="4"/>
  <c r="AI198" i="4"/>
  <c r="AJ198" i="4" s="1"/>
  <c r="AF198" i="4"/>
  <c r="AD198" i="4"/>
  <c r="Z198" i="4"/>
  <c r="X198" i="4"/>
  <c r="V198" i="4"/>
  <c r="T198" i="4"/>
  <c r="P198" i="4"/>
  <c r="N198" i="4"/>
  <c r="L198" i="4"/>
  <c r="J198" i="4"/>
  <c r="AF232" i="4"/>
  <c r="AD232" i="4"/>
  <c r="AB232" i="4"/>
  <c r="Z232" i="4"/>
  <c r="X232" i="4"/>
  <c r="V232" i="4"/>
  <c r="P232" i="4"/>
  <c r="N232" i="4"/>
  <c r="L232" i="4"/>
  <c r="J232" i="4"/>
  <c r="AH230" i="4"/>
  <c r="AF230" i="4"/>
  <c r="AB230" i="4"/>
  <c r="Z230" i="4"/>
  <c r="X230" i="4"/>
  <c r="V230" i="4"/>
  <c r="N230" i="4"/>
  <c r="L230" i="4"/>
  <c r="J230" i="4"/>
  <c r="AF100" i="4"/>
  <c r="Z100" i="4"/>
  <c r="X100" i="4"/>
  <c r="V100" i="4"/>
  <c r="P100" i="4"/>
  <c r="N100" i="4"/>
  <c r="L100" i="4"/>
  <c r="J100" i="4"/>
  <c r="AI187" i="4"/>
  <c r="AJ187" i="4" s="1"/>
  <c r="AF187" i="4"/>
  <c r="AD187" i="4"/>
  <c r="Z187" i="4"/>
  <c r="X187" i="4"/>
  <c r="V187" i="4"/>
  <c r="N187" i="4"/>
  <c r="L187" i="4"/>
  <c r="J187" i="4"/>
  <c r="AJ203" i="4"/>
  <c r="AD203" i="4"/>
  <c r="AB203" i="4"/>
  <c r="Z203" i="4"/>
  <c r="X203" i="4"/>
  <c r="V203" i="4"/>
  <c r="T203" i="4"/>
  <c r="P203" i="4"/>
  <c r="N203" i="4"/>
  <c r="L203" i="4"/>
  <c r="J203" i="4"/>
  <c r="AI108" i="4"/>
  <c r="AJ108" i="4" s="1"/>
  <c r="AF108" i="4"/>
  <c r="Z108" i="4"/>
  <c r="X108" i="4"/>
  <c r="V108" i="4"/>
  <c r="P108" i="4"/>
  <c r="N108" i="4"/>
  <c r="L108" i="4"/>
  <c r="J108" i="4"/>
  <c r="AJ218" i="4"/>
  <c r="AD218" i="4"/>
  <c r="AB218" i="4"/>
  <c r="Z218" i="4"/>
  <c r="X218" i="4"/>
  <c r="V218" i="4"/>
  <c r="N218" i="4"/>
  <c r="L218" i="4"/>
  <c r="J218" i="4"/>
  <c r="AI87" i="4"/>
  <c r="AJ87" i="4" s="1"/>
  <c r="AF87" i="4"/>
  <c r="AD87" i="4"/>
  <c r="Z87" i="4"/>
  <c r="X87" i="4"/>
  <c r="V87" i="4"/>
  <c r="N87" i="4"/>
  <c r="L87" i="4"/>
  <c r="J87" i="4"/>
  <c r="AJ195" i="4"/>
  <c r="AF195" i="4"/>
  <c r="AD195" i="4"/>
  <c r="Z195" i="4"/>
  <c r="X195" i="4"/>
  <c r="V195" i="4"/>
  <c r="N195" i="4"/>
  <c r="L195" i="4"/>
  <c r="J195" i="4"/>
  <c r="AJ105" i="4"/>
  <c r="AF105" i="4"/>
  <c r="AD105" i="4"/>
  <c r="Z105" i="4"/>
  <c r="X105" i="4"/>
  <c r="V105" i="4"/>
  <c r="N105" i="4"/>
  <c r="L105" i="4"/>
  <c r="J105" i="4"/>
  <c r="AJ154" i="4"/>
  <c r="AH154" i="4"/>
  <c r="AF154" i="4"/>
  <c r="AD154" i="4"/>
  <c r="Z154" i="4"/>
  <c r="X154" i="4"/>
  <c r="V154" i="4"/>
  <c r="N154" i="4"/>
  <c r="L154" i="4"/>
  <c r="J154" i="4"/>
  <c r="AI99" i="4"/>
  <c r="AJ99" i="4" s="1"/>
  <c r="AF99" i="4"/>
  <c r="AD99" i="4"/>
  <c r="Z99" i="4"/>
  <c r="X99" i="4"/>
  <c r="U99" i="4"/>
  <c r="V99" i="4" s="1"/>
  <c r="N99" i="4"/>
  <c r="L99" i="4"/>
  <c r="J99" i="4"/>
  <c r="AI92" i="4"/>
  <c r="AJ92" i="4" s="1"/>
  <c r="AH92" i="4"/>
  <c r="AF92" i="4"/>
  <c r="AD92" i="4"/>
  <c r="Z92" i="4"/>
  <c r="X92" i="4"/>
  <c r="V92" i="4"/>
  <c r="N92" i="4"/>
  <c r="L92" i="4"/>
  <c r="J92" i="4"/>
  <c r="AF238" i="4"/>
  <c r="AD238" i="4"/>
  <c r="AB238" i="4"/>
  <c r="Z238" i="4"/>
  <c r="X238" i="4"/>
  <c r="V238" i="4"/>
  <c r="P238" i="4"/>
  <c r="N238" i="4"/>
  <c r="L238" i="4"/>
  <c r="J238" i="4"/>
  <c r="AI88" i="4"/>
  <c r="AJ88" i="4" s="1"/>
  <c r="AF88" i="4"/>
  <c r="AD88" i="4"/>
  <c r="Z88" i="4"/>
  <c r="X88" i="4"/>
  <c r="V88" i="4"/>
  <c r="N88" i="4"/>
  <c r="L88" i="4"/>
  <c r="J88" i="4"/>
  <c r="AJ110" i="4"/>
  <c r="AF110" i="4"/>
  <c r="Z110" i="4"/>
  <c r="X110" i="4"/>
  <c r="V110" i="4"/>
  <c r="P110" i="4"/>
  <c r="N110" i="4"/>
  <c r="L110" i="4"/>
  <c r="J110" i="4"/>
  <c r="AI80" i="4"/>
  <c r="AJ80" i="4" s="1"/>
  <c r="AF80" i="4"/>
  <c r="AD80" i="4"/>
  <c r="Z80" i="4"/>
  <c r="X80" i="4"/>
  <c r="V80" i="4"/>
  <c r="P80" i="4"/>
  <c r="N80" i="4"/>
  <c r="L80" i="4"/>
  <c r="J80" i="4"/>
  <c r="AI81" i="4"/>
  <c r="AJ81" i="4" s="1"/>
  <c r="AF81" i="4"/>
  <c r="AD81" i="4"/>
  <c r="Z81" i="4"/>
  <c r="X81" i="4"/>
  <c r="V81" i="4"/>
  <c r="P81" i="4"/>
  <c r="N81" i="4"/>
  <c r="L81" i="4"/>
  <c r="J81" i="4"/>
  <c r="AI89" i="4"/>
  <c r="AJ89" i="4" s="1"/>
  <c r="AF89" i="4"/>
  <c r="AD89" i="4"/>
  <c r="Z89" i="4"/>
  <c r="X89" i="4"/>
  <c r="V89" i="4"/>
  <c r="N89" i="4"/>
  <c r="L89" i="4"/>
  <c r="J89" i="4"/>
  <c r="AF242" i="4"/>
  <c r="AD242" i="4"/>
  <c r="AB242" i="4"/>
  <c r="Z242" i="4"/>
  <c r="X242" i="4"/>
  <c r="V242" i="4"/>
  <c r="P242" i="4"/>
  <c r="N242" i="4"/>
  <c r="L242" i="4"/>
  <c r="J242" i="4"/>
  <c r="AJ115" i="4"/>
  <c r="AF115" i="4"/>
  <c r="AD115" i="4"/>
  <c r="Z115" i="4"/>
  <c r="X115" i="4"/>
  <c r="V115" i="4"/>
  <c r="P115" i="4"/>
  <c r="N115" i="4"/>
  <c r="L115" i="4"/>
  <c r="J115" i="4"/>
  <c r="AJ239" i="4"/>
  <c r="AF239" i="4"/>
  <c r="AD239" i="4"/>
  <c r="AB239" i="4"/>
  <c r="Z239" i="4"/>
  <c r="X239" i="4"/>
  <c r="V239" i="4"/>
  <c r="N239" i="4"/>
  <c r="L239" i="4"/>
  <c r="J239" i="4"/>
  <c r="AF237" i="4"/>
  <c r="AD237" i="4"/>
  <c r="AB237" i="4"/>
  <c r="Z237" i="4"/>
  <c r="X237" i="4"/>
  <c r="V237" i="4"/>
  <c r="N237" i="4"/>
  <c r="L237" i="4"/>
  <c r="J237" i="4"/>
  <c r="AJ78" i="4"/>
  <c r="AF78" i="4"/>
  <c r="AD78" i="4"/>
  <c r="Z78" i="4"/>
  <c r="X78" i="4"/>
  <c r="V78" i="4"/>
  <c r="P78" i="4"/>
  <c r="N78" i="4"/>
  <c r="L78" i="4"/>
  <c r="J78" i="4"/>
  <c r="AI111" i="4"/>
  <c r="AJ111" i="4" s="1"/>
  <c r="AF111" i="4"/>
  <c r="Z111" i="4"/>
  <c r="X111" i="4"/>
  <c r="V111" i="4"/>
  <c r="P111" i="4"/>
  <c r="N111" i="4"/>
  <c r="L111" i="4"/>
  <c r="J111" i="4"/>
  <c r="AF190" i="4"/>
  <c r="AD190" i="4"/>
  <c r="Z190" i="4"/>
  <c r="X190" i="4"/>
  <c r="V190" i="4"/>
  <c r="N190" i="4"/>
  <c r="L190" i="4"/>
  <c r="J190" i="4"/>
  <c r="AF233" i="4"/>
  <c r="AD233" i="4"/>
  <c r="AB233" i="4"/>
  <c r="Z233" i="4"/>
  <c r="X233" i="4"/>
  <c r="V233" i="4"/>
  <c r="N233" i="4"/>
  <c r="L233" i="4"/>
  <c r="J233" i="4"/>
  <c r="AF122" i="4"/>
  <c r="AD122" i="4"/>
  <c r="Z122" i="4"/>
  <c r="X122" i="4"/>
  <c r="V122" i="4"/>
  <c r="N122" i="4"/>
  <c r="L122" i="4"/>
  <c r="J122" i="4"/>
  <c r="AJ106" i="4"/>
  <c r="AF106" i="4"/>
  <c r="AD106" i="4"/>
  <c r="Z106" i="4"/>
  <c r="X106" i="4"/>
  <c r="V106" i="4"/>
  <c r="N106" i="4"/>
  <c r="L106" i="4"/>
  <c r="J106" i="4"/>
  <c r="AI109" i="4"/>
  <c r="AJ109" i="4" s="1"/>
  <c r="AF109" i="4"/>
  <c r="Z109" i="4"/>
  <c r="X109" i="4"/>
  <c r="V109" i="4"/>
  <c r="P109" i="4"/>
  <c r="N109" i="4"/>
  <c r="L109" i="4"/>
  <c r="J109" i="4"/>
  <c r="AJ151" i="4"/>
  <c r="AF151" i="4"/>
  <c r="AD151" i="4"/>
  <c r="Z151" i="4"/>
  <c r="X151" i="4"/>
  <c r="V151" i="4"/>
  <c r="N151" i="4"/>
  <c r="L151" i="4"/>
  <c r="J151" i="4"/>
  <c r="AI101" i="4"/>
  <c r="AJ101" i="4" s="1"/>
  <c r="AF101" i="4"/>
  <c r="AD101" i="4"/>
  <c r="Z101" i="4"/>
  <c r="X101" i="4"/>
  <c r="U101" i="4"/>
  <c r="V101" i="4" s="1"/>
  <c r="N101" i="4"/>
  <c r="L101" i="4"/>
  <c r="J101" i="4"/>
  <c r="AF118" i="4"/>
  <c r="AD118" i="4"/>
  <c r="Z118" i="4"/>
  <c r="X118" i="4"/>
  <c r="V118" i="4"/>
  <c r="N118" i="4"/>
  <c r="L118" i="4"/>
  <c r="J118" i="4"/>
  <c r="AF240" i="4"/>
  <c r="AD240" i="4"/>
  <c r="AB240" i="4"/>
  <c r="Z240" i="4"/>
  <c r="X240" i="4"/>
  <c r="V240" i="4"/>
  <c r="N240" i="4"/>
  <c r="L240" i="4"/>
  <c r="J240" i="4"/>
  <c r="AF235" i="4"/>
  <c r="AD235" i="4"/>
  <c r="AB235" i="4"/>
  <c r="Z235" i="4"/>
  <c r="X235" i="4"/>
  <c r="V235" i="4"/>
  <c r="N235" i="4"/>
  <c r="L235" i="4"/>
  <c r="J235" i="4"/>
  <c r="AJ231" i="4"/>
  <c r="AF231" i="4"/>
  <c r="AD231" i="4"/>
  <c r="AB231" i="4"/>
  <c r="Z231" i="4"/>
  <c r="X231" i="4"/>
  <c r="V231" i="4"/>
  <c r="N231" i="4"/>
  <c r="L231" i="4"/>
  <c r="J231" i="4"/>
  <c r="AJ84" i="4"/>
  <c r="AH84" i="4"/>
  <c r="AF84" i="4"/>
  <c r="AD84" i="4"/>
  <c r="Z84" i="4"/>
  <c r="X84" i="4"/>
  <c r="V84" i="4"/>
  <c r="N84" i="4"/>
  <c r="L84" i="4"/>
  <c r="J84" i="4"/>
  <c r="AF119" i="4"/>
  <c r="AD119" i="4"/>
  <c r="Z119" i="4"/>
  <c r="X119" i="4"/>
  <c r="V119" i="4"/>
  <c r="N119" i="4"/>
  <c r="L119" i="4"/>
  <c r="J119" i="4"/>
  <c r="AF171" i="4"/>
  <c r="AD171" i="4"/>
  <c r="Z171" i="4"/>
  <c r="X171" i="4"/>
  <c r="V171" i="4"/>
  <c r="P171" i="4"/>
  <c r="N171" i="4"/>
  <c r="L171" i="4"/>
  <c r="J171" i="4"/>
  <c r="AF160" i="4"/>
  <c r="AD160" i="4"/>
  <c r="Z160" i="4"/>
  <c r="X160" i="4"/>
  <c r="V160" i="4"/>
  <c r="N160" i="4"/>
  <c r="L160" i="4"/>
  <c r="J160" i="4"/>
  <c r="AJ196" i="4"/>
  <c r="AH196" i="4"/>
  <c r="AF196" i="4"/>
  <c r="AD196" i="4"/>
  <c r="Z196" i="4"/>
  <c r="X196" i="4"/>
  <c r="V196" i="4"/>
  <c r="N196" i="4"/>
  <c r="L196" i="4"/>
  <c r="J196" i="4"/>
  <c r="AF191" i="4"/>
  <c r="AD191" i="4"/>
  <c r="Z191" i="4"/>
  <c r="X191" i="4"/>
  <c r="V191" i="4"/>
  <c r="P191" i="4"/>
  <c r="N191" i="4"/>
  <c r="L191" i="4"/>
  <c r="J191" i="4"/>
  <c r="AH174" i="4"/>
  <c r="AF174" i="4"/>
  <c r="AD174" i="4"/>
  <c r="Z174" i="4"/>
  <c r="X174" i="4"/>
  <c r="V174" i="4"/>
  <c r="N174" i="4"/>
  <c r="L174" i="4"/>
  <c r="J174" i="4"/>
  <c r="AI23" i="4"/>
  <c r="AJ23" i="4" s="1"/>
  <c r="AF23" i="4"/>
  <c r="AD23" i="4"/>
  <c r="X23" i="4"/>
  <c r="V23" i="4"/>
  <c r="N23" i="4"/>
  <c r="L23" i="4"/>
  <c r="J23" i="4"/>
  <c r="AF120" i="4"/>
  <c r="Z120" i="4"/>
  <c r="X120" i="4"/>
  <c r="V120" i="4"/>
  <c r="N120" i="4"/>
  <c r="L120" i="4"/>
  <c r="J120" i="4"/>
  <c r="AJ73" i="4"/>
  <c r="AF73" i="4"/>
  <c r="AD73" i="4"/>
  <c r="X73" i="4"/>
  <c r="V73" i="4"/>
  <c r="P73" i="4"/>
  <c r="N73" i="4"/>
  <c r="L73" i="4"/>
  <c r="J73" i="4"/>
  <c r="AI79" i="4"/>
  <c r="AJ79" i="4" s="1"/>
  <c r="AF79" i="4"/>
  <c r="AD79" i="4"/>
  <c r="Z79" i="4"/>
  <c r="X79" i="4"/>
  <c r="V79" i="4"/>
  <c r="P79" i="4"/>
  <c r="N79" i="4"/>
  <c r="L79" i="4"/>
  <c r="J79" i="4"/>
  <c r="AI32" i="4"/>
  <c r="AJ32" i="4" s="1"/>
  <c r="AF32" i="4"/>
  <c r="AD32" i="4"/>
  <c r="X32" i="4"/>
  <c r="V32" i="4"/>
  <c r="P32" i="4"/>
  <c r="N32" i="4"/>
  <c r="L32" i="4"/>
  <c r="J32" i="4"/>
  <c r="AF168" i="4"/>
  <c r="AD168" i="4"/>
  <c r="Z168" i="4"/>
  <c r="X168" i="4"/>
  <c r="V168" i="4"/>
  <c r="P168" i="4"/>
  <c r="N168" i="4"/>
  <c r="L168" i="4"/>
  <c r="J168" i="4"/>
  <c r="AJ82" i="4"/>
  <c r="AH82" i="4"/>
  <c r="AF82" i="4"/>
  <c r="AD82" i="4"/>
  <c r="Z82" i="4"/>
  <c r="X82" i="4"/>
  <c r="V82" i="4"/>
  <c r="N82" i="4"/>
  <c r="L82" i="4"/>
  <c r="J82" i="4"/>
  <c r="AJ83" i="4"/>
  <c r="AH83" i="4"/>
  <c r="AF83" i="4"/>
  <c r="AD83" i="4"/>
  <c r="Z83" i="4"/>
  <c r="X83" i="4"/>
  <c r="V83" i="4"/>
  <c r="N83" i="4"/>
  <c r="L83" i="4"/>
  <c r="J83" i="4"/>
  <c r="AF183" i="4"/>
  <c r="AD183" i="4"/>
  <c r="Z183" i="4"/>
  <c r="X183" i="4"/>
  <c r="V183" i="4"/>
  <c r="P183" i="4"/>
  <c r="N183" i="4"/>
  <c r="L183" i="4"/>
  <c r="J183" i="4"/>
  <c r="AJ178" i="4"/>
  <c r="AF178" i="4"/>
  <c r="AD178" i="4"/>
  <c r="Z178" i="4"/>
  <c r="X178" i="4"/>
  <c r="V178" i="4"/>
  <c r="N178" i="4"/>
  <c r="L178" i="4"/>
  <c r="J178" i="4"/>
  <c r="AI145" i="4"/>
  <c r="AJ145" i="4" s="1"/>
  <c r="AH145" i="4"/>
  <c r="AF145" i="4"/>
  <c r="AD145" i="4"/>
  <c r="Z145" i="4"/>
  <c r="X145" i="4"/>
  <c r="V145" i="4"/>
  <c r="N145" i="4"/>
  <c r="L145" i="4"/>
  <c r="J145" i="4"/>
  <c r="AI13" i="4"/>
  <c r="AJ13" i="4" s="1"/>
  <c r="AF13" i="4"/>
  <c r="AD13" i="4"/>
  <c r="X13" i="4"/>
  <c r="V13" i="4"/>
  <c r="N13" i="4"/>
  <c r="L13" i="4"/>
  <c r="J13" i="4"/>
  <c r="AF188" i="4"/>
  <c r="AD188" i="4"/>
  <c r="Z188" i="4"/>
  <c r="X188" i="4"/>
  <c r="V188" i="4"/>
  <c r="N188" i="4"/>
  <c r="L188" i="4"/>
  <c r="J188" i="4"/>
  <c r="AJ133" i="4"/>
  <c r="AH133" i="4"/>
  <c r="AF133" i="4"/>
  <c r="AD133" i="4"/>
  <c r="Z133" i="4"/>
  <c r="X133" i="4"/>
  <c r="V133" i="4"/>
  <c r="N133" i="4"/>
  <c r="L133" i="4"/>
  <c r="J133" i="4"/>
  <c r="AJ157" i="4"/>
  <c r="AH157" i="4"/>
  <c r="AF157" i="4"/>
  <c r="AD157" i="4"/>
  <c r="Z157" i="4"/>
  <c r="X157" i="4"/>
  <c r="V157" i="4"/>
  <c r="N157" i="4"/>
  <c r="L157" i="4"/>
  <c r="J157" i="4"/>
  <c r="AJ86" i="4"/>
  <c r="AF86" i="4"/>
  <c r="AD86" i="4"/>
  <c r="Z86" i="4"/>
  <c r="X86" i="4"/>
  <c r="V86" i="4"/>
  <c r="N86" i="4"/>
  <c r="L86" i="4"/>
  <c r="J86" i="4"/>
  <c r="AF121" i="4"/>
  <c r="AD121" i="4"/>
  <c r="Z121" i="4"/>
  <c r="X121" i="4"/>
  <c r="V121" i="4"/>
  <c r="N121" i="4"/>
  <c r="L121" i="4"/>
  <c r="J121" i="4"/>
  <c r="AJ29" i="4"/>
  <c r="AF29" i="4"/>
  <c r="AD29" i="4"/>
  <c r="X29" i="4"/>
  <c r="V29" i="4"/>
  <c r="P29" i="4"/>
  <c r="N29" i="4"/>
  <c r="L29" i="4"/>
  <c r="J29" i="4"/>
  <c r="AJ104" i="4"/>
  <c r="AF104" i="4"/>
  <c r="AD104" i="4"/>
  <c r="Z104" i="4"/>
  <c r="X104" i="4"/>
  <c r="V104" i="4"/>
  <c r="N104" i="4"/>
  <c r="L104" i="4"/>
  <c r="J104" i="4"/>
  <c r="AJ103" i="4"/>
  <c r="AF103" i="4"/>
  <c r="AD103" i="4"/>
  <c r="Z103" i="4"/>
  <c r="X103" i="4"/>
  <c r="V103" i="4"/>
  <c r="N103" i="4"/>
  <c r="L103" i="4"/>
  <c r="J103" i="4"/>
  <c r="AI24" i="4"/>
  <c r="AJ24" i="4" s="1"/>
  <c r="AF24" i="4"/>
  <c r="AD24" i="4"/>
  <c r="X24" i="4"/>
  <c r="V24" i="4"/>
  <c r="P24" i="4"/>
  <c r="N24" i="4"/>
  <c r="L24" i="4"/>
  <c r="J24" i="4"/>
  <c r="AJ163" i="4"/>
  <c r="AF163" i="4"/>
  <c r="AD163" i="4"/>
  <c r="Z163" i="4"/>
  <c r="X163" i="4"/>
  <c r="V163" i="4"/>
  <c r="N163" i="4"/>
  <c r="L163" i="4"/>
  <c r="J163" i="4"/>
  <c r="AF125" i="4"/>
  <c r="AD125" i="4"/>
  <c r="Z125" i="4"/>
  <c r="X125" i="4"/>
  <c r="V125" i="4"/>
  <c r="N125" i="4"/>
  <c r="L125" i="4"/>
  <c r="J125" i="4"/>
  <c r="AJ102" i="4"/>
  <c r="AF102" i="4"/>
  <c r="AD102" i="4"/>
  <c r="Z102" i="4"/>
  <c r="X102" i="4"/>
  <c r="V102" i="4"/>
  <c r="N102" i="4"/>
  <c r="L102" i="4"/>
  <c r="J102" i="4"/>
  <c r="AH21" i="4"/>
  <c r="AE21" i="4"/>
  <c r="AF21" i="4" s="1"/>
  <c r="AD21" i="4"/>
  <c r="X21" i="4"/>
  <c r="V21" i="4"/>
  <c r="P21" i="4"/>
  <c r="N21" i="4"/>
  <c r="L21" i="4"/>
  <c r="J21" i="4"/>
  <c r="AJ123" i="4"/>
  <c r="AF123" i="4"/>
  <c r="AD123" i="4"/>
  <c r="Z123" i="4"/>
  <c r="X123" i="4"/>
  <c r="V123" i="4"/>
  <c r="N123" i="4"/>
  <c r="L123" i="4"/>
  <c r="J123" i="4"/>
  <c r="AF135" i="4"/>
  <c r="AD135" i="4"/>
  <c r="Z135" i="4"/>
  <c r="X135" i="4"/>
  <c r="V135" i="4"/>
  <c r="N135" i="4"/>
  <c r="L135" i="4"/>
  <c r="J135" i="4"/>
  <c r="AJ18" i="4"/>
  <c r="AH18" i="4"/>
  <c r="AF18" i="4"/>
  <c r="AD18" i="4"/>
  <c r="X18" i="4"/>
  <c r="V18" i="4"/>
  <c r="P18" i="4"/>
  <c r="N18" i="4"/>
  <c r="L18" i="4"/>
  <c r="J18" i="4"/>
  <c r="AF164" i="4"/>
  <c r="AD164" i="4"/>
  <c r="Z164" i="4"/>
  <c r="X164" i="4"/>
  <c r="V164" i="4"/>
  <c r="P164" i="4"/>
  <c r="N164" i="4"/>
  <c r="L164" i="4"/>
  <c r="J164" i="4"/>
  <c r="AD173" i="4"/>
  <c r="Z173" i="4"/>
  <c r="X173" i="4"/>
  <c r="V173" i="4"/>
  <c r="P173" i="4"/>
  <c r="N173" i="4"/>
  <c r="L173" i="4"/>
  <c r="J173" i="4"/>
  <c r="AD143" i="4"/>
  <c r="Z143" i="4"/>
  <c r="X143" i="4"/>
  <c r="V143" i="4"/>
  <c r="P143" i="4"/>
  <c r="N143" i="4"/>
  <c r="L143" i="4"/>
  <c r="J143" i="4"/>
  <c r="AF172" i="4"/>
  <c r="AD172" i="4"/>
  <c r="Z172" i="4"/>
  <c r="X172" i="4"/>
  <c r="V172" i="4"/>
  <c r="P172" i="4"/>
  <c r="N172" i="4"/>
  <c r="L172" i="4"/>
  <c r="J172" i="4"/>
  <c r="AF182" i="4"/>
  <c r="AD182" i="4"/>
  <c r="Z182" i="4"/>
  <c r="X182" i="4"/>
  <c r="V182" i="4"/>
  <c r="P182" i="4"/>
  <c r="N182" i="4"/>
  <c r="L182" i="4"/>
  <c r="J182" i="4"/>
  <c r="AH20" i="4"/>
  <c r="AF20" i="4"/>
  <c r="AD20" i="4"/>
  <c r="X20" i="4"/>
  <c r="V20" i="4"/>
  <c r="P20" i="4"/>
  <c r="N20" i="4"/>
  <c r="L20" i="4"/>
  <c r="J20" i="4"/>
  <c r="AF161" i="4"/>
  <c r="AD161" i="4"/>
  <c r="Z161" i="4"/>
  <c r="X161" i="4"/>
  <c r="V161" i="4"/>
  <c r="P161" i="4"/>
  <c r="N161" i="4"/>
  <c r="L161" i="4"/>
  <c r="J161" i="4"/>
  <c r="AF189" i="4"/>
  <c r="AD189" i="4"/>
  <c r="Z189" i="4"/>
  <c r="X189" i="4"/>
  <c r="V189" i="4"/>
  <c r="P189" i="4"/>
  <c r="N189" i="4"/>
  <c r="L189" i="4"/>
  <c r="J189" i="4"/>
  <c r="AF169" i="4"/>
  <c r="AD169" i="4"/>
  <c r="Z169" i="4"/>
  <c r="X169" i="4"/>
  <c r="V169" i="4"/>
  <c r="P169" i="4"/>
  <c r="N169" i="4"/>
  <c r="L169" i="4"/>
  <c r="J169" i="4"/>
  <c r="AD177" i="4"/>
  <c r="Z177" i="4"/>
  <c r="X177" i="4"/>
  <c r="V177" i="4"/>
  <c r="T177" i="4"/>
  <c r="N177" i="4"/>
  <c r="L177" i="4"/>
  <c r="J177" i="4"/>
  <c r="AF149" i="4"/>
  <c r="AD149" i="4"/>
  <c r="Z149" i="4"/>
  <c r="X149" i="4"/>
  <c r="V149" i="4"/>
  <c r="P149" i="4"/>
  <c r="N149" i="4"/>
  <c r="L149" i="4"/>
  <c r="J149" i="4"/>
  <c r="AF131" i="4"/>
  <c r="AD131" i="4"/>
  <c r="Z131" i="4"/>
  <c r="X131" i="4"/>
  <c r="V131" i="4"/>
  <c r="P131" i="4"/>
  <c r="N131" i="4"/>
  <c r="L131" i="4"/>
  <c r="J131" i="4"/>
  <c r="AF175" i="4"/>
  <c r="AD175" i="4"/>
  <c r="Z175" i="4"/>
  <c r="X175" i="4"/>
  <c r="V175" i="4"/>
  <c r="P175" i="4"/>
  <c r="N175" i="4"/>
  <c r="L175" i="4"/>
  <c r="J175" i="4"/>
  <c r="AJ14" i="4"/>
  <c r="AF14" i="4"/>
  <c r="AD14" i="4"/>
  <c r="X14" i="4"/>
  <c r="V14" i="4"/>
  <c r="P14" i="4"/>
  <c r="N14" i="4"/>
  <c r="L14" i="4"/>
  <c r="J14" i="4"/>
  <c r="AF148" i="4"/>
  <c r="AD148" i="4"/>
  <c r="Z148" i="4"/>
  <c r="X148" i="4"/>
  <c r="V148" i="4"/>
  <c r="T148" i="4"/>
  <c r="N148" i="4"/>
  <c r="L148" i="4"/>
  <c r="J148" i="4"/>
  <c r="AF128" i="4"/>
  <c r="AD128" i="4"/>
  <c r="Z128" i="4"/>
  <c r="X128" i="4"/>
  <c r="V128" i="4"/>
  <c r="P128" i="4"/>
  <c r="N128" i="4"/>
  <c r="L128" i="4"/>
  <c r="J128" i="4"/>
  <c r="AF162" i="4"/>
  <c r="AD162" i="4"/>
  <c r="Z162" i="4"/>
  <c r="X162" i="4"/>
  <c r="V162" i="4"/>
  <c r="P162" i="4"/>
  <c r="N162" i="4"/>
  <c r="L162" i="4"/>
  <c r="J162" i="4"/>
  <c r="AJ77" i="4"/>
  <c r="AH77" i="4"/>
  <c r="AF77" i="4"/>
  <c r="AD77" i="4"/>
  <c r="Z77" i="4"/>
  <c r="X77" i="4"/>
  <c r="V77" i="4"/>
  <c r="P77" i="4"/>
  <c r="N77" i="4"/>
  <c r="L77" i="4"/>
  <c r="J77" i="4"/>
  <c r="AJ19" i="4"/>
  <c r="AH19" i="4"/>
  <c r="AF19" i="4"/>
  <c r="AD19" i="4"/>
  <c r="X19" i="4"/>
  <c r="V19" i="4"/>
  <c r="P19" i="4"/>
  <c r="N19" i="4"/>
  <c r="L19" i="4"/>
  <c r="J19" i="4"/>
  <c r="AH127" i="4"/>
  <c r="AF127" i="4"/>
  <c r="Z127" i="4"/>
  <c r="X127" i="4"/>
  <c r="V127" i="4"/>
  <c r="N127" i="4"/>
  <c r="L127" i="4"/>
  <c r="J127" i="4"/>
  <c r="AF184" i="4"/>
  <c r="AD184" i="4"/>
  <c r="Z184" i="4"/>
  <c r="X184" i="4"/>
  <c r="V184" i="4"/>
  <c r="P184" i="4"/>
  <c r="N184" i="4"/>
  <c r="L184" i="4"/>
  <c r="J184" i="4"/>
  <c r="AF126" i="4"/>
  <c r="AD126" i="4"/>
  <c r="Z126" i="4"/>
  <c r="X126" i="4"/>
  <c r="V126" i="4"/>
  <c r="N126" i="4"/>
  <c r="L126" i="4"/>
  <c r="J126" i="4"/>
  <c r="AF176" i="4"/>
  <c r="AD176" i="4"/>
  <c r="Z176" i="4"/>
  <c r="X176" i="4"/>
  <c r="V176" i="4"/>
  <c r="P176" i="4"/>
  <c r="N176" i="4"/>
  <c r="L176" i="4"/>
  <c r="J176" i="4"/>
  <c r="AJ146" i="4"/>
  <c r="AD146" i="4"/>
  <c r="Z146" i="4"/>
  <c r="X146" i="4"/>
  <c r="V146" i="4"/>
  <c r="P146" i="4"/>
  <c r="N146" i="4"/>
  <c r="L146" i="4"/>
  <c r="J146" i="4"/>
  <c r="AJ7" i="4"/>
  <c r="AF7" i="4"/>
  <c r="AD7" i="4"/>
  <c r="X7" i="4"/>
  <c r="V7" i="4"/>
  <c r="P7" i="4"/>
  <c r="N7" i="4"/>
  <c r="L7" i="4"/>
  <c r="J7" i="4"/>
  <c r="AF155" i="4"/>
  <c r="AD155" i="4"/>
  <c r="Z155" i="4"/>
  <c r="X155" i="4"/>
  <c r="V155" i="4"/>
  <c r="P155" i="4"/>
  <c r="N155" i="4"/>
  <c r="L155" i="4"/>
  <c r="J155" i="4"/>
  <c r="AF179" i="4"/>
  <c r="AD179" i="4"/>
  <c r="Z179" i="4"/>
  <c r="X179" i="4"/>
  <c r="V179" i="4"/>
  <c r="P179" i="4"/>
  <c r="N179" i="4"/>
  <c r="L179" i="4"/>
  <c r="J179" i="4"/>
  <c r="AF142" i="4"/>
  <c r="AD142" i="4"/>
  <c r="Z142" i="4"/>
  <c r="X142" i="4"/>
  <c r="V142" i="4"/>
  <c r="P142" i="4"/>
  <c r="N142" i="4"/>
  <c r="L142" i="4"/>
  <c r="J142" i="4"/>
  <c r="AF180" i="4"/>
  <c r="AD180" i="4"/>
  <c r="Z180" i="4"/>
  <c r="X180" i="4"/>
  <c r="V180" i="4"/>
  <c r="P180" i="4"/>
  <c r="N180" i="4"/>
  <c r="L180" i="4"/>
  <c r="J180" i="4"/>
  <c r="AF70" i="4"/>
  <c r="AD70" i="4"/>
  <c r="X70" i="4"/>
  <c r="V70" i="4"/>
  <c r="P70" i="4"/>
  <c r="N70" i="4"/>
  <c r="L70" i="4"/>
  <c r="J70" i="4"/>
  <c r="AJ141" i="4"/>
  <c r="AF141" i="4"/>
  <c r="AD141" i="4"/>
  <c r="Z141" i="4"/>
  <c r="X141" i="4"/>
  <c r="V141" i="4"/>
  <c r="T141" i="4"/>
  <c r="N141" i="4"/>
  <c r="L141" i="4"/>
  <c r="J141" i="4"/>
  <c r="AJ167" i="4"/>
  <c r="AF167" i="4"/>
  <c r="AD167" i="4"/>
  <c r="Z167" i="4"/>
  <c r="X167" i="4"/>
  <c r="V167" i="4"/>
  <c r="P167" i="4"/>
  <c r="N167" i="4"/>
  <c r="L167" i="4"/>
  <c r="J167" i="4"/>
  <c r="AJ76" i="4"/>
  <c r="AF76" i="4"/>
  <c r="AD76" i="4"/>
  <c r="Z76" i="4"/>
  <c r="X76" i="4"/>
  <c r="V76" i="4"/>
  <c r="P76" i="4"/>
  <c r="N76" i="4"/>
  <c r="L76" i="4"/>
  <c r="J76" i="4"/>
  <c r="AF22" i="4"/>
  <c r="X22" i="4"/>
  <c r="V22" i="4"/>
  <c r="P22" i="4"/>
  <c r="N22" i="4"/>
  <c r="L22" i="4"/>
  <c r="J22" i="4"/>
  <c r="AF181" i="4"/>
  <c r="AD181" i="4"/>
  <c r="Z181" i="4"/>
  <c r="X181" i="4"/>
  <c r="V181" i="4"/>
  <c r="P181" i="4"/>
  <c r="N181" i="4"/>
  <c r="L181" i="4"/>
  <c r="J181" i="4"/>
  <c r="AI11" i="4"/>
  <c r="AJ11" i="4" s="1"/>
  <c r="AF11" i="4"/>
  <c r="X11" i="4"/>
  <c r="V11" i="4"/>
  <c r="N11" i="4"/>
  <c r="L11" i="4"/>
  <c r="J11" i="4"/>
  <c r="AF165" i="4"/>
  <c r="AD165" i="4"/>
  <c r="Z165" i="4"/>
  <c r="X165" i="4"/>
  <c r="V165" i="4"/>
  <c r="P165" i="4"/>
  <c r="N165" i="4"/>
  <c r="L165" i="4"/>
  <c r="J165" i="4"/>
  <c r="AF170" i="4"/>
  <c r="AD170" i="4"/>
  <c r="Z170" i="4"/>
  <c r="X170" i="4"/>
  <c r="V170" i="4"/>
  <c r="P170" i="4"/>
  <c r="N170" i="4"/>
  <c r="L170" i="4"/>
  <c r="J170" i="4"/>
  <c r="AF136" i="4"/>
  <c r="AD136" i="4"/>
  <c r="Z136" i="4"/>
  <c r="X136" i="4"/>
  <c r="V136" i="4"/>
  <c r="P136" i="4"/>
  <c r="N136" i="4"/>
  <c r="L136" i="4"/>
  <c r="J136" i="4"/>
  <c r="AI27" i="4"/>
  <c r="AJ27" i="4" s="1"/>
  <c r="AF27" i="4"/>
  <c r="AD27" i="4"/>
  <c r="X27" i="4"/>
  <c r="V27" i="4"/>
  <c r="P27" i="4"/>
  <c r="N27" i="4"/>
  <c r="L27" i="4"/>
  <c r="J27" i="4"/>
  <c r="AF138" i="4"/>
  <c r="AD138" i="4"/>
  <c r="Z138" i="4"/>
  <c r="X138" i="4"/>
  <c r="V138" i="4"/>
  <c r="P138" i="4"/>
  <c r="N138" i="4"/>
  <c r="L138" i="4"/>
  <c r="J138" i="4"/>
  <c r="AF129" i="4"/>
  <c r="AD129" i="4"/>
  <c r="Z129" i="4"/>
  <c r="X129" i="4"/>
  <c r="V129" i="4"/>
  <c r="P129" i="4"/>
  <c r="N129" i="4"/>
  <c r="L129" i="4"/>
  <c r="J129" i="4"/>
  <c r="AJ74" i="4"/>
  <c r="AH74" i="4"/>
  <c r="AF74" i="4"/>
  <c r="AD74" i="4"/>
  <c r="X74" i="4"/>
  <c r="V74" i="4"/>
  <c r="N74" i="4"/>
  <c r="L74" i="4"/>
  <c r="J74" i="4"/>
  <c r="AI12" i="4"/>
  <c r="AJ12" i="4" s="1"/>
  <c r="AF12" i="4"/>
  <c r="X12" i="4"/>
  <c r="V12" i="4"/>
  <c r="N12" i="4"/>
  <c r="L12" i="4"/>
  <c r="J12" i="4"/>
  <c r="AJ9" i="4"/>
  <c r="AD9" i="4"/>
  <c r="X9" i="4"/>
  <c r="V9" i="4"/>
  <c r="P9" i="4"/>
  <c r="N9" i="4"/>
  <c r="L9" i="4"/>
  <c r="J9" i="4"/>
  <c r="AI50" i="4"/>
  <c r="AJ50" i="4" s="1"/>
  <c r="AF50" i="4"/>
  <c r="AD50" i="4"/>
  <c r="X50" i="4"/>
  <c r="V50" i="4"/>
  <c r="P50" i="4"/>
  <c r="N50" i="4"/>
  <c r="L50" i="4"/>
  <c r="J50" i="4"/>
  <c r="AF130" i="4"/>
  <c r="AD130" i="4"/>
  <c r="Z130" i="4"/>
  <c r="X130" i="4"/>
  <c r="V130" i="4"/>
  <c r="P130" i="4"/>
  <c r="N130" i="4"/>
  <c r="L130" i="4"/>
  <c r="J130" i="4"/>
  <c r="AF158" i="4"/>
  <c r="AD158" i="4"/>
  <c r="Z158" i="4"/>
  <c r="X158" i="4"/>
  <c r="V158" i="4"/>
  <c r="P158" i="4"/>
  <c r="N158" i="4"/>
  <c r="L158" i="4"/>
  <c r="J158" i="4"/>
  <c r="AF140" i="4"/>
  <c r="AD140" i="4"/>
  <c r="Z140" i="4"/>
  <c r="X140" i="4"/>
  <c r="V140" i="4"/>
  <c r="T140" i="4"/>
  <c r="N140" i="4"/>
  <c r="L140" i="4"/>
  <c r="J140" i="4"/>
  <c r="AF147" i="4"/>
  <c r="AD147" i="4"/>
  <c r="Z147" i="4"/>
  <c r="X147" i="4"/>
  <c r="V147" i="4"/>
  <c r="P147" i="4"/>
  <c r="N147" i="4"/>
  <c r="L147" i="4"/>
  <c r="J147" i="4"/>
  <c r="AJ166" i="4"/>
  <c r="AF166" i="4"/>
  <c r="AD166" i="4"/>
  <c r="Z166" i="4"/>
  <c r="X166" i="4"/>
  <c r="V166" i="4"/>
  <c r="P166" i="4"/>
  <c r="N166" i="4"/>
  <c r="L166" i="4"/>
  <c r="J166" i="4"/>
  <c r="AI75" i="4"/>
  <c r="AJ75" i="4" s="1"/>
  <c r="AF75" i="4"/>
  <c r="AD75" i="4"/>
  <c r="X75" i="4"/>
  <c r="V75" i="4"/>
  <c r="P75" i="4"/>
  <c r="N75" i="4"/>
  <c r="L75" i="4"/>
  <c r="J75" i="4"/>
  <c r="AF139" i="4"/>
  <c r="AD139" i="4"/>
  <c r="Z139" i="4"/>
  <c r="X139" i="4"/>
  <c r="V139" i="4"/>
  <c r="P139" i="4"/>
  <c r="N139" i="4"/>
  <c r="L139" i="4"/>
  <c r="J139" i="4"/>
  <c r="AF17" i="4"/>
  <c r="AD17" i="4"/>
  <c r="X17" i="4"/>
  <c r="V17" i="4"/>
  <c r="P17" i="4"/>
  <c r="N17" i="4"/>
  <c r="L17" i="4"/>
  <c r="J17" i="4"/>
  <c r="AF59" i="4"/>
  <c r="AD59" i="4"/>
  <c r="X59" i="4"/>
  <c r="V59" i="4"/>
  <c r="N59" i="4"/>
  <c r="L59" i="4"/>
  <c r="J59" i="4"/>
  <c r="AJ186" i="4"/>
  <c r="AF186" i="4"/>
  <c r="AD186" i="4"/>
  <c r="Z186" i="4"/>
  <c r="X186" i="4"/>
  <c r="V186" i="4"/>
  <c r="P186" i="4"/>
  <c r="N186" i="4"/>
  <c r="L186" i="4"/>
  <c r="J186" i="4"/>
  <c r="AF124" i="4"/>
  <c r="AD124" i="4"/>
  <c r="Z124" i="4"/>
  <c r="X124" i="4"/>
  <c r="V124" i="4"/>
  <c r="N124" i="4"/>
  <c r="L124" i="4"/>
  <c r="J124" i="4"/>
  <c r="AF185" i="4"/>
  <c r="AD185" i="4"/>
  <c r="Z185" i="4"/>
  <c r="X185" i="4"/>
  <c r="V185" i="4"/>
  <c r="P185" i="4"/>
  <c r="N185" i="4"/>
  <c r="L185" i="4"/>
  <c r="J185" i="4"/>
  <c r="AI15" i="4"/>
  <c r="AJ15" i="4" s="1"/>
  <c r="AF15" i="4"/>
  <c r="AD15" i="4"/>
  <c r="X15" i="4"/>
  <c r="V15" i="4"/>
  <c r="P15" i="4"/>
  <c r="N15" i="4"/>
  <c r="L15" i="4"/>
  <c r="J15" i="4"/>
  <c r="AI25" i="4"/>
  <c r="AJ25" i="4" s="1"/>
  <c r="AF25" i="4"/>
  <c r="AD25" i="4"/>
  <c r="X25" i="4"/>
  <c r="V25" i="4"/>
  <c r="P25" i="4"/>
  <c r="N25" i="4"/>
  <c r="L25" i="4"/>
  <c r="J25" i="4"/>
  <c r="AJ144" i="4"/>
  <c r="AF144" i="4"/>
  <c r="AD144" i="4"/>
  <c r="Z144" i="4"/>
  <c r="X144" i="4"/>
  <c r="V144" i="4"/>
  <c r="P144" i="4"/>
  <c r="N144" i="4"/>
  <c r="L144" i="4"/>
  <c r="J144" i="4"/>
  <c r="AF132" i="4"/>
  <c r="AD132" i="4"/>
  <c r="Z132" i="4"/>
  <c r="X132" i="4"/>
  <c r="V132" i="4"/>
  <c r="P132" i="4"/>
  <c r="N132" i="4"/>
  <c r="L132" i="4"/>
  <c r="J132" i="4"/>
  <c r="AF159" i="4"/>
  <c r="AD159" i="4"/>
  <c r="Z159" i="4"/>
  <c r="X159" i="4"/>
  <c r="V159" i="4"/>
  <c r="P159" i="4"/>
  <c r="N159" i="4"/>
  <c r="L159" i="4"/>
  <c r="J159" i="4"/>
  <c r="AJ56" i="4"/>
  <c r="AH56" i="4"/>
  <c r="AF56" i="4"/>
  <c r="AD56" i="4"/>
  <c r="X56" i="4"/>
  <c r="V56" i="4"/>
  <c r="P56" i="4"/>
  <c r="N56" i="4"/>
  <c r="L56" i="4"/>
  <c r="J56" i="4"/>
  <c r="AF60" i="4"/>
  <c r="AD60" i="4"/>
  <c r="X60" i="4"/>
  <c r="V60" i="4"/>
  <c r="N60" i="4"/>
  <c r="L60" i="4"/>
  <c r="J60" i="4"/>
  <c r="AJ31" i="4"/>
  <c r="AF31" i="4"/>
  <c r="AD31" i="4"/>
  <c r="X31" i="4"/>
  <c r="V31" i="4"/>
  <c r="P31" i="4"/>
  <c r="N31" i="4"/>
  <c r="L31" i="4"/>
  <c r="J31" i="4"/>
  <c r="AF134" i="4"/>
  <c r="AD134" i="4"/>
  <c r="Z134" i="4"/>
  <c r="X134" i="4"/>
  <c r="V134" i="4"/>
  <c r="P134" i="4"/>
  <c r="N134" i="4"/>
  <c r="L134" i="4"/>
  <c r="J134" i="4"/>
  <c r="AF137" i="4"/>
  <c r="AD137" i="4"/>
  <c r="Z137" i="4"/>
  <c r="X137" i="4"/>
  <c r="V137" i="4"/>
  <c r="P137" i="4"/>
  <c r="N137" i="4"/>
  <c r="L137" i="4"/>
  <c r="J137" i="4"/>
  <c r="AF156" i="4"/>
  <c r="AD156" i="4"/>
  <c r="Z156" i="4"/>
  <c r="X156" i="4"/>
  <c r="V156" i="4"/>
  <c r="T156" i="4"/>
  <c r="N156" i="4"/>
  <c r="L156" i="4"/>
  <c r="J156" i="4"/>
  <c r="AJ72" i="4"/>
  <c r="AH72" i="4"/>
  <c r="AF72" i="4"/>
  <c r="AD72" i="4"/>
  <c r="X72" i="4"/>
  <c r="V72" i="4"/>
  <c r="N72" i="4"/>
  <c r="L72" i="4"/>
  <c r="J72" i="4"/>
  <c r="AI26" i="4"/>
  <c r="AJ26" i="4" s="1"/>
  <c r="AF26" i="4"/>
  <c r="AD26" i="4"/>
  <c r="X26" i="4"/>
  <c r="V26" i="4"/>
  <c r="P26" i="4"/>
  <c r="N26" i="4"/>
  <c r="L26" i="4"/>
  <c r="J26" i="4"/>
  <c r="AI16" i="4"/>
  <c r="AJ16" i="4" s="1"/>
  <c r="AF16" i="4"/>
  <c r="AD16" i="4"/>
  <c r="X16" i="4"/>
  <c r="V16" i="4"/>
  <c r="P16" i="4"/>
  <c r="N16" i="4"/>
  <c r="L16" i="4"/>
  <c r="J16" i="4"/>
  <c r="AF153" i="4"/>
  <c r="AD153" i="4"/>
  <c r="Z153" i="4"/>
  <c r="X153" i="4"/>
  <c r="V153" i="4"/>
  <c r="T153" i="4"/>
  <c r="N153" i="4"/>
  <c r="L153" i="4"/>
  <c r="J153" i="4"/>
  <c r="AF48" i="4"/>
  <c r="AD48" i="4"/>
  <c r="X48" i="4"/>
  <c r="V48" i="4"/>
  <c r="N48" i="4"/>
  <c r="L48" i="4"/>
  <c r="J48" i="4"/>
  <c r="AJ10" i="4"/>
  <c r="AH10" i="4"/>
  <c r="AF10" i="4"/>
  <c r="AD10" i="4"/>
  <c r="X10" i="4"/>
  <c r="V10" i="4"/>
  <c r="P10" i="4"/>
  <c r="N10" i="4"/>
  <c r="L10" i="4"/>
  <c r="J10" i="4"/>
  <c r="AJ30" i="4"/>
  <c r="AF30" i="4"/>
  <c r="AD30" i="4"/>
  <c r="X30" i="4"/>
  <c r="V30" i="4"/>
  <c r="P30" i="4"/>
  <c r="N30" i="4"/>
  <c r="L30" i="4"/>
  <c r="J30" i="4"/>
  <c r="AF152" i="4"/>
  <c r="AD152" i="4"/>
  <c r="Z152" i="4"/>
  <c r="X152" i="4"/>
  <c r="V152" i="4"/>
  <c r="T152" i="4"/>
  <c r="N152" i="4"/>
  <c r="L152" i="4"/>
  <c r="J152" i="4"/>
  <c r="AF150" i="4"/>
  <c r="AD150" i="4"/>
  <c r="Z150" i="4"/>
  <c r="X150" i="4"/>
  <c r="V150" i="4"/>
  <c r="T150" i="4"/>
  <c r="N150" i="4"/>
  <c r="L150" i="4"/>
  <c r="J150" i="4"/>
  <c r="AJ64" i="4"/>
  <c r="AH64" i="4"/>
  <c r="AF64" i="4"/>
  <c r="AD64" i="4"/>
  <c r="X64" i="4"/>
  <c r="V64" i="4"/>
  <c r="N64" i="4"/>
  <c r="L64" i="4"/>
  <c r="J64" i="4"/>
  <c r="AJ62" i="4"/>
  <c r="AH62" i="4"/>
  <c r="AF62" i="4"/>
  <c r="AD62" i="4"/>
  <c r="X62" i="4"/>
  <c r="V62" i="4"/>
  <c r="N62" i="4"/>
  <c r="L62" i="4"/>
  <c r="J62" i="4"/>
  <c r="AJ8" i="4"/>
  <c r="AF8" i="4"/>
  <c r="AD8" i="4"/>
  <c r="X8" i="4"/>
  <c r="V8" i="4"/>
  <c r="P8" i="4"/>
  <c r="N8" i="4"/>
  <c r="L8" i="4"/>
  <c r="J8" i="4"/>
  <c r="AF39" i="4"/>
  <c r="AD39" i="4"/>
  <c r="X39" i="4"/>
  <c r="V39" i="4"/>
  <c r="N39" i="4"/>
  <c r="L39" i="4"/>
  <c r="J39" i="4"/>
  <c r="AJ71" i="4"/>
  <c r="AH71" i="4"/>
  <c r="AF71" i="4"/>
  <c r="AD71" i="4"/>
  <c r="X71" i="4"/>
  <c r="V71" i="4"/>
  <c r="N71" i="4"/>
  <c r="L71" i="4"/>
  <c r="J71" i="4"/>
  <c r="AD28" i="4"/>
  <c r="X28" i="4"/>
  <c r="V28" i="4"/>
  <c r="N28" i="4"/>
  <c r="L28" i="4"/>
  <c r="J28" i="4"/>
  <c r="AF47" i="4"/>
  <c r="AD47" i="4"/>
  <c r="X47" i="4"/>
  <c r="V47" i="4"/>
  <c r="N47" i="4"/>
  <c r="L47" i="4"/>
  <c r="J47" i="4"/>
  <c r="AF51" i="4"/>
  <c r="AD51" i="4"/>
  <c r="X51" i="4"/>
  <c r="V51" i="4"/>
  <c r="N51" i="4"/>
  <c r="L51" i="4"/>
  <c r="J51" i="4"/>
  <c r="AF61" i="4"/>
  <c r="AD61" i="4"/>
  <c r="X61" i="4"/>
  <c r="V61" i="4"/>
  <c r="N61" i="4"/>
  <c r="L61" i="4"/>
  <c r="J61" i="4"/>
  <c r="AF68" i="4"/>
  <c r="AD68" i="4"/>
  <c r="X68" i="4"/>
  <c r="V68" i="4"/>
  <c r="N68" i="4"/>
  <c r="L68" i="4"/>
  <c r="J68" i="4"/>
  <c r="AH63" i="4"/>
  <c r="AF63" i="4"/>
  <c r="AD63" i="4"/>
  <c r="X63" i="4"/>
  <c r="V63" i="4"/>
  <c r="N63" i="4"/>
  <c r="L63" i="4"/>
  <c r="J63" i="4"/>
  <c r="AF57" i="4"/>
  <c r="AD57" i="4"/>
  <c r="X57" i="4"/>
  <c r="V57" i="4"/>
  <c r="N57" i="4"/>
  <c r="L57" i="4"/>
  <c r="J57" i="4"/>
  <c r="AD46" i="4"/>
  <c r="X46" i="4"/>
  <c r="V46" i="4"/>
  <c r="N46" i="4"/>
  <c r="L46" i="4"/>
  <c r="J46" i="4"/>
  <c r="AF45" i="4"/>
  <c r="AD45" i="4"/>
  <c r="X45" i="4"/>
  <c r="V45" i="4"/>
  <c r="N45" i="4"/>
  <c r="L45" i="4"/>
  <c r="J45" i="4"/>
  <c r="AF53" i="4"/>
  <c r="AD53" i="4"/>
  <c r="X53" i="4"/>
  <c r="V53" i="4"/>
  <c r="N53" i="4"/>
  <c r="L53" i="4"/>
  <c r="J53" i="4"/>
  <c r="AF34" i="4"/>
  <c r="AD34" i="4"/>
  <c r="X34" i="4"/>
  <c r="V34" i="4"/>
  <c r="N34" i="4"/>
  <c r="L34" i="4"/>
  <c r="J34" i="4"/>
  <c r="AF36" i="4"/>
  <c r="AD36" i="4"/>
  <c r="X36" i="4"/>
  <c r="V36" i="4"/>
  <c r="N36" i="4"/>
  <c r="L36" i="4"/>
  <c r="J36" i="4"/>
  <c r="AH40" i="4"/>
  <c r="AF40" i="4"/>
  <c r="X40" i="4"/>
  <c r="V40" i="4"/>
  <c r="N40" i="4"/>
  <c r="L40" i="4"/>
  <c r="J40" i="4"/>
  <c r="AJ65" i="4"/>
  <c r="AH65" i="4"/>
  <c r="AF65" i="4"/>
  <c r="AD65" i="4"/>
  <c r="X65" i="4"/>
  <c r="V65" i="4"/>
  <c r="N65" i="4"/>
  <c r="L65" i="4"/>
  <c r="J65" i="4"/>
  <c r="AF37" i="4"/>
  <c r="AD37" i="4"/>
  <c r="X37" i="4"/>
  <c r="V37" i="4"/>
  <c r="P37" i="4"/>
  <c r="N37" i="4"/>
  <c r="L37" i="4"/>
  <c r="J37" i="4"/>
  <c r="AF58" i="4"/>
  <c r="AD58" i="4"/>
  <c r="X58" i="4"/>
  <c r="V58" i="4"/>
  <c r="N58" i="4"/>
  <c r="L58" i="4"/>
  <c r="J58" i="4"/>
  <c r="AJ67" i="4"/>
  <c r="AH67" i="4"/>
  <c r="AF67" i="4"/>
  <c r="AD67" i="4"/>
  <c r="X67" i="4"/>
  <c r="V67" i="4"/>
  <c r="N67" i="4"/>
  <c r="L67" i="4"/>
  <c r="J67" i="4"/>
  <c r="AF55" i="4"/>
  <c r="AD55" i="4"/>
  <c r="X55" i="4"/>
  <c r="V55" i="4"/>
  <c r="N55" i="4"/>
  <c r="L55" i="4"/>
  <c r="J55" i="4"/>
  <c r="AH66" i="4"/>
  <c r="AF66" i="4"/>
  <c r="AD66" i="4"/>
  <c r="X66" i="4"/>
  <c r="V66" i="4"/>
  <c r="N66" i="4"/>
  <c r="L66" i="4"/>
  <c r="J66" i="4"/>
  <c r="AF42" i="4"/>
  <c r="AD42" i="4"/>
  <c r="X42" i="4"/>
  <c r="V42" i="4"/>
  <c r="N42" i="4"/>
  <c r="L42" i="4"/>
  <c r="J42" i="4"/>
  <c r="AH69" i="4"/>
  <c r="AF69" i="4"/>
  <c r="AD69" i="4"/>
  <c r="X69" i="4"/>
  <c r="V69" i="4"/>
  <c r="N69" i="4"/>
  <c r="L69" i="4"/>
  <c r="J69" i="4"/>
  <c r="AF52" i="4"/>
  <c r="AD52" i="4"/>
  <c r="X52" i="4"/>
  <c r="V52" i="4"/>
  <c r="N52" i="4"/>
  <c r="L52" i="4"/>
  <c r="J52" i="4"/>
  <c r="AF44" i="4"/>
  <c r="AD44" i="4"/>
  <c r="X44" i="4"/>
  <c r="V44" i="4"/>
  <c r="N44" i="4"/>
  <c r="L44" i="4"/>
  <c r="J44" i="4"/>
  <c r="AF54" i="4"/>
  <c r="AD54" i="4"/>
  <c r="X54" i="4"/>
  <c r="V54" i="4"/>
  <c r="N54" i="4"/>
  <c r="L54" i="4"/>
  <c r="J54" i="4"/>
  <c r="AD38" i="4"/>
  <c r="X38" i="4"/>
  <c r="V38" i="4"/>
  <c r="N38" i="4"/>
  <c r="L38" i="4"/>
  <c r="J38" i="4"/>
  <c r="AF33" i="4"/>
  <c r="X33" i="4"/>
  <c r="V33" i="4"/>
  <c r="N33" i="4"/>
  <c r="L33" i="4"/>
  <c r="J33" i="4"/>
  <c r="AF43" i="4"/>
  <c r="AD43" i="4"/>
  <c r="X43" i="4"/>
  <c r="V43" i="4"/>
  <c r="N43" i="4"/>
  <c r="L43" i="4"/>
  <c r="J43" i="4"/>
  <c r="AF41" i="4"/>
  <c r="AD41" i="4"/>
  <c r="X41" i="4"/>
  <c r="V41" i="4"/>
  <c r="N41" i="4"/>
  <c r="L41" i="4"/>
  <c r="J41" i="4"/>
  <c r="AD5" i="4"/>
  <c r="V5" i="4"/>
  <c r="N5" i="4"/>
  <c r="L5" i="4"/>
  <c r="J5" i="4"/>
  <c r="AF35" i="4"/>
  <c r="AD35" i="4"/>
  <c r="X35" i="4"/>
  <c r="V35" i="4"/>
  <c r="N35" i="4"/>
  <c r="L35" i="4"/>
  <c r="J35" i="4"/>
  <c r="AF49" i="4"/>
  <c r="AD49" i="4"/>
  <c r="X49" i="4"/>
  <c r="V49" i="4"/>
  <c r="N49" i="4"/>
  <c r="L49" i="4"/>
  <c r="J49" i="4"/>
  <c r="AF6" i="4"/>
  <c r="AD6" i="4"/>
  <c r="V6" i="4"/>
  <c r="N6" i="4"/>
  <c r="L6" i="4"/>
  <c r="J6" i="4"/>
  <c r="AD3" i="4"/>
  <c r="V3" i="4"/>
  <c r="N3" i="4"/>
  <c r="L3" i="4"/>
  <c r="J3" i="4"/>
  <c r="AD4" i="4"/>
  <c r="V4" i="4"/>
  <c r="N4" i="4"/>
  <c r="L4" i="4"/>
  <c r="J4" i="4"/>
  <c r="AF2" i="4"/>
  <c r="V2" i="4"/>
  <c r="N2" i="4"/>
  <c r="L2" i="4"/>
  <c r="J2" i="4"/>
  <c r="AQ307" i="1"/>
  <c r="AP307" i="1"/>
  <c r="AQ305" i="1"/>
  <c r="AP305" i="1"/>
  <c r="AQ311" i="1"/>
  <c r="AP311" i="1"/>
  <c r="AP10" i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P24" i="1"/>
  <c r="AQ24" i="1"/>
  <c r="AP25" i="1"/>
  <c r="AQ25" i="1"/>
  <c r="AP26" i="1"/>
  <c r="AQ26" i="1"/>
  <c r="AP27" i="1"/>
  <c r="AQ27" i="1"/>
  <c r="AP28" i="1"/>
  <c r="AQ28" i="1"/>
  <c r="AP29" i="1"/>
  <c r="AQ29" i="1"/>
  <c r="AP30" i="1"/>
  <c r="AQ30" i="1"/>
  <c r="AP31" i="1"/>
  <c r="AQ31" i="1"/>
  <c r="AP32" i="1"/>
  <c r="AQ32" i="1"/>
  <c r="AP33" i="1"/>
  <c r="AQ33" i="1"/>
  <c r="AP34" i="1"/>
  <c r="AQ34" i="1"/>
  <c r="AP35" i="1"/>
  <c r="AQ35" i="1"/>
  <c r="AP36" i="1"/>
  <c r="AQ36" i="1"/>
  <c r="AP37" i="1"/>
  <c r="AQ37" i="1"/>
  <c r="AP38" i="1"/>
  <c r="AQ38" i="1"/>
  <c r="AP39" i="1"/>
  <c r="AQ39" i="1"/>
  <c r="AP40" i="1"/>
  <c r="AQ40" i="1"/>
  <c r="AP41" i="1"/>
  <c r="AQ41" i="1"/>
  <c r="AP42" i="1"/>
  <c r="AQ42" i="1"/>
  <c r="AP43" i="1"/>
  <c r="AQ43" i="1"/>
  <c r="AP44" i="1"/>
  <c r="AQ44" i="1"/>
  <c r="AP45" i="1"/>
  <c r="AQ45" i="1"/>
  <c r="AP46" i="1"/>
  <c r="AQ46" i="1"/>
  <c r="AP47" i="1"/>
  <c r="AQ47" i="1"/>
  <c r="AP48" i="1"/>
  <c r="AQ48" i="1"/>
  <c r="AP49" i="1"/>
  <c r="AQ49" i="1"/>
  <c r="AP50" i="1"/>
  <c r="AQ50" i="1"/>
  <c r="AP51" i="1"/>
  <c r="AQ51" i="1"/>
  <c r="AP52" i="1"/>
  <c r="AQ52" i="1"/>
  <c r="AP53" i="1"/>
  <c r="AQ53" i="1"/>
  <c r="AP54" i="1"/>
  <c r="AQ54" i="1"/>
  <c r="AP55" i="1"/>
  <c r="AQ55" i="1"/>
  <c r="AP56" i="1"/>
  <c r="AQ56" i="1"/>
  <c r="AP57" i="1"/>
  <c r="AQ57" i="1"/>
  <c r="AP58" i="1"/>
  <c r="AQ58" i="1"/>
  <c r="AP59" i="1"/>
  <c r="AQ59" i="1"/>
  <c r="AP60" i="1"/>
  <c r="AQ60" i="1"/>
  <c r="AP61" i="1"/>
  <c r="AQ61" i="1"/>
  <c r="AP62" i="1"/>
  <c r="AQ62" i="1"/>
  <c r="AP63" i="1"/>
  <c r="AQ63" i="1"/>
  <c r="AP64" i="1"/>
  <c r="AQ64" i="1"/>
  <c r="AP65" i="1"/>
  <c r="AQ65" i="1"/>
  <c r="AP66" i="1"/>
  <c r="AQ66" i="1"/>
  <c r="AP67" i="1"/>
  <c r="AQ67" i="1"/>
  <c r="AP68" i="1"/>
  <c r="AQ68" i="1"/>
  <c r="AP69" i="1"/>
  <c r="AQ69" i="1"/>
  <c r="AP70" i="1"/>
  <c r="AQ70" i="1"/>
  <c r="AP71" i="1"/>
  <c r="AQ71" i="1"/>
  <c r="AP72" i="1"/>
  <c r="AQ72" i="1"/>
  <c r="AP73" i="1"/>
  <c r="AQ73" i="1"/>
  <c r="AP74" i="1"/>
  <c r="AQ74" i="1"/>
  <c r="AP75" i="1"/>
  <c r="AQ75" i="1"/>
  <c r="AP76" i="1"/>
  <c r="AQ76" i="1"/>
  <c r="AP77" i="1"/>
  <c r="AQ77" i="1"/>
  <c r="AP78" i="1"/>
  <c r="AQ78" i="1"/>
  <c r="AP79" i="1"/>
  <c r="AQ79" i="1"/>
  <c r="AP80" i="1"/>
  <c r="AQ80" i="1"/>
  <c r="AP81" i="1"/>
  <c r="AQ81" i="1"/>
  <c r="AP82" i="1"/>
  <c r="AQ82" i="1"/>
  <c r="AP83" i="1"/>
  <c r="AQ83" i="1"/>
  <c r="AP84" i="1"/>
  <c r="AQ84" i="1"/>
  <c r="AP85" i="1"/>
  <c r="AQ85" i="1"/>
  <c r="AP86" i="1"/>
  <c r="AQ86" i="1"/>
  <c r="AP87" i="1"/>
  <c r="AQ87" i="1"/>
  <c r="AP88" i="1"/>
  <c r="AQ88" i="1"/>
  <c r="AP89" i="1"/>
  <c r="AQ89" i="1"/>
  <c r="AP90" i="1"/>
  <c r="AQ90" i="1"/>
  <c r="AP91" i="1"/>
  <c r="AQ91" i="1"/>
  <c r="AP92" i="1"/>
  <c r="AQ92" i="1"/>
  <c r="AP93" i="1"/>
  <c r="AQ93" i="1"/>
  <c r="AP94" i="1"/>
  <c r="AQ94" i="1"/>
  <c r="AP95" i="1"/>
  <c r="AQ95" i="1"/>
  <c r="AP96" i="1"/>
  <c r="AQ96" i="1"/>
  <c r="AP97" i="1"/>
  <c r="AQ97" i="1"/>
  <c r="AP98" i="1"/>
  <c r="AQ98" i="1"/>
  <c r="AP99" i="1"/>
  <c r="AQ99" i="1"/>
  <c r="AP100" i="1"/>
  <c r="AQ100" i="1"/>
  <c r="AP101" i="1"/>
  <c r="AQ101" i="1"/>
  <c r="AP102" i="1"/>
  <c r="AQ102" i="1"/>
  <c r="AP103" i="1"/>
  <c r="AQ103" i="1"/>
  <c r="AP104" i="1"/>
  <c r="AQ104" i="1"/>
  <c r="AP105" i="1"/>
  <c r="AQ105" i="1"/>
  <c r="AP106" i="1"/>
  <c r="AQ106" i="1"/>
  <c r="AP107" i="1"/>
  <c r="AQ107" i="1"/>
  <c r="AP108" i="1"/>
  <c r="AQ108" i="1"/>
  <c r="AP109" i="1"/>
  <c r="AQ109" i="1"/>
  <c r="AP110" i="1"/>
  <c r="AQ110" i="1"/>
  <c r="AP111" i="1"/>
  <c r="AQ111" i="1"/>
  <c r="AP112" i="1"/>
  <c r="AQ112" i="1"/>
  <c r="AP113" i="1"/>
  <c r="AQ113" i="1"/>
  <c r="AP114" i="1"/>
  <c r="AQ114" i="1"/>
  <c r="AP115" i="1"/>
  <c r="AQ115" i="1"/>
  <c r="AP116" i="1"/>
  <c r="AQ116" i="1"/>
  <c r="AP117" i="1"/>
  <c r="AQ117" i="1"/>
  <c r="AP118" i="1"/>
  <c r="AQ118" i="1"/>
  <c r="AP119" i="1"/>
  <c r="AQ119" i="1"/>
  <c r="AP120" i="1"/>
  <c r="AQ120" i="1"/>
  <c r="AP121" i="1"/>
  <c r="AQ121" i="1"/>
  <c r="AP122" i="1"/>
  <c r="AQ122" i="1"/>
  <c r="AP123" i="1"/>
  <c r="AQ123" i="1"/>
  <c r="AP124" i="1"/>
  <c r="AQ124" i="1"/>
  <c r="AP125" i="1"/>
  <c r="AQ125" i="1"/>
  <c r="AP126" i="1"/>
  <c r="AQ126" i="1"/>
  <c r="AP127" i="1"/>
  <c r="AQ127" i="1"/>
  <c r="AP128" i="1"/>
  <c r="AQ128" i="1"/>
  <c r="AP129" i="1"/>
  <c r="AQ129" i="1"/>
  <c r="AP130" i="1"/>
  <c r="AQ130" i="1"/>
  <c r="AP131" i="1"/>
  <c r="AQ131" i="1"/>
  <c r="AP132" i="1"/>
  <c r="AQ132" i="1"/>
  <c r="AP133" i="1"/>
  <c r="AQ133" i="1"/>
  <c r="AP134" i="1"/>
  <c r="AQ134" i="1"/>
  <c r="AP135" i="1"/>
  <c r="AQ135" i="1"/>
  <c r="AP136" i="1"/>
  <c r="AQ136" i="1"/>
  <c r="AP137" i="1"/>
  <c r="AQ137" i="1"/>
  <c r="AP138" i="1"/>
  <c r="AQ138" i="1"/>
  <c r="AP139" i="1"/>
  <c r="AQ139" i="1"/>
  <c r="AP140" i="1"/>
  <c r="AQ140" i="1"/>
  <c r="AP141" i="1"/>
  <c r="AQ141" i="1"/>
  <c r="AP142" i="1"/>
  <c r="AQ142" i="1"/>
  <c r="AP143" i="1"/>
  <c r="AQ143" i="1"/>
  <c r="AP144" i="1"/>
  <c r="AQ144" i="1"/>
  <c r="AP145" i="1"/>
  <c r="AQ145" i="1"/>
  <c r="AP146" i="1"/>
  <c r="AQ146" i="1"/>
  <c r="AP147" i="1"/>
  <c r="AQ147" i="1"/>
  <c r="AP148" i="1"/>
  <c r="AQ148" i="1"/>
  <c r="AP149" i="1"/>
  <c r="AQ149" i="1"/>
  <c r="AP150" i="1"/>
  <c r="AQ150" i="1"/>
  <c r="AP151" i="1"/>
  <c r="AQ151" i="1"/>
  <c r="AP152" i="1"/>
  <c r="AQ152" i="1"/>
  <c r="AP153" i="1"/>
  <c r="AQ153" i="1"/>
  <c r="AP154" i="1"/>
  <c r="AQ154" i="1"/>
  <c r="AP155" i="1"/>
  <c r="AQ155" i="1"/>
  <c r="AP156" i="1"/>
  <c r="AQ156" i="1"/>
  <c r="AP157" i="1"/>
  <c r="AQ157" i="1"/>
  <c r="AP158" i="1"/>
  <c r="AQ158" i="1"/>
  <c r="AP159" i="1"/>
  <c r="AQ159" i="1"/>
  <c r="AP160" i="1"/>
  <c r="AQ160" i="1"/>
  <c r="AP161" i="1"/>
  <c r="AQ161" i="1"/>
  <c r="AP162" i="1"/>
  <c r="AQ162" i="1"/>
  <c r="AP163" i="1"/>
  <c r="AQ163" i="1"/>
  <c r="AP164" i="1"/>
  <c r="AQ164" i="1"/>
  <c r="AP165" i="1"/>
  <c r="AQ165" i="1"/>
  <c r="AP166" i="1"/>
  <c r="AQ166" i="1"/>
  <c r="AP167" i="1"/>
  <c r="AQ167" i="1"/>
  <c r="AP168" i="1"/>
  <c r="AQ168" i="1"/>
  <c r="AP169" i="1"/>
  <c r="AQ169" i="1"/>
  <c r="AP170" i="1"/>
  <c r="AQ170" i="1"/>
  <c r="AP171" i="1"/>
  <c r="AQ171" i="1"/>
  <c r="AP172" i="1"/>
  <c r="AQ172" i="1"/>
  <c r="AP173" i="1"/>
  <c r="AQ173" i="1"/>
  <c r="AP174" i="1"/>
  <c r="AQ174" i="1"/>
  <c r="AP175" i="1"/>
  <c r="AQ175" i="1"/>
  <c r="AP176" i="1"/>
  <c r="AQ176" i="1"/>
  <c r="AP177" i="1"/>
  <c r="AQ177" i="1"/>
  <c r="AP178" i="1"/>
  <c r="AQ178" i="1"/>
  <c r="AP179" i="1"/>
  <c r="AQ179" i="1"/>
  <c r="AP180" i="1"/>
  <c r="AQ180" i="1"/>
  <c r="AP181" i="1"/>
  <c r="AQ181" i="1"/>
  <c r="AP182" i="1"/>
  <c r="AQ182" i="1"/>
  <c r="AP183" i="1"/>
  <c r="AQ183" i="1"/>
  <c r="AP184" i="1"/>
  <c r="AQ184" i="1"/>
  <c r="AP185" i="1"/>
  <c r="AQ185" i="1"/>
  <c r="AP186" i="1"/>
  <c r="AQ186" i="1"/>
  <c r="AP187" i="1"/>
  <c r="AQ187" i="1"/>
  <c r="AP188" i="1"/>
  <c r="AQ188" i="1"/>
  <c r="AP189" i="1"/>
  <c r="AQ189" i="1"/>
  <c r="AP190" i="1"/>
  <c r="AQ190" i="1"/>
  <c r="AP191" i="1"/>
  <c r="AQ191" i="1"/>
  <c r="AP192" i="1"/>
  <c r="AQ192" i="1"/>
  <c r="AP193" i="1"/>
  <c r="AQ193" i="1"/>
  <c r="AP194" i="1"/>
  <c r="AQ194" i="1"/>
  <c r="AP195" i="1"/>
  <c r="AQ195" i="1"/>
  <c r="AP196" i="1"/>
  <c r="AQ196" i="1"/>
  <c r="AP197" i="1"/>
  <c r="AQ197" i="1"/>
  <c r="AP198" i="1"/>
  <c r="AQ198" i="1"/>
  <c r="AP199" i="1"/>
  <c r="AQ199" i="1"/>
  <c r="AP200" i="1"/>
  <c r="AQ200" i="1"/>
  <c r="AP201" i="1"/>
  <c r="AQ201" i="1"/>
  <c r="AP202" i="1"/>
  <c r="AQ202" i="1"/>
  <c r="AP203" i="1"/>
  <c r="AQ203" i="1"/>
  <c r="AP204" i="1"/>
  <c r="AQ204" i="1"/>
  <c r="AP205" i="1"/>
  <c r="AQ205" i="1"/>
  <c r="AP206" i="1"/>
  <c r="AQ206" i="1"/>
  <c r="AP207" i="1"/>
  <c r="AQ207" i="1"/>
  <c r="AP208" i="1"/>
  <c r="AQ208" i="1"/>
  <c r="AP209" i="1"/>
  <c r="AQ209" i="1"/>
  <c r="AP210" i="1"/>
  <c r="AQ210" i="1"/>
  <c r="AP211" i="1"/>
  <c r="AQ211" i="1"/>
  <c r="AP212" i="1"/>
  <c r="AQ212" i="1"/>
  <c r="AP213" i="1"/>
  <c r="AQ213" i="1"/>
  <c r="AP214" i="1"/>
  <c r="AQ214" i="1"/>
  <c r="AP215" i="1"/>
  <c r="AQ215" i="1"/>
  <c r="AP216" i="1"/>
  <c r="AQ216" i="1"/>
  <c r="AP217" i="1"/>
  <c r="AQ217" i="1"/>
  <c r="AP218" i="1"/>
  <c r="AQ218" i="1"/>
  <c r="AP219" i="1"/>
  <c r="AQ219" i="1"/>
  <c r="AP220" i="1"/>
  <c r="AQ220" i="1"/>
  <c r="AP221" i="1"/>
  <c r="AQ221" i="1"/>
  <c r="AP222" i="1"/>
  <c r="AQ222" i="1"/>
  <c r="AP223" i="1"/>
  <c r="AQ223" i="1"/>
  <c r="AP224" i="1"/>
  <c r="AQ224" i="1"/>
  <c r="AP225" i="1"/>
  <c r="AQ225" i="1"/>
  <c r="AP226" i="1"/>
  <c r="AQ226" i="1"/>
  <c r="AP227" i="1"/>
  <c r="AQ227" i="1"/>
  <c r="AP228" i="1"/>
  <c r="AQ228" i="1"/>
  <c r="AP229" i="1"/>
  <c r="AQ229" i="1"/>
  <c r="AP230" i="1"/>
  <c r="AQ230" i="1"/>
  <c r="AP231" i="1"/>
  <c r="AQ231" i="1"/>
  <c r="AP232" i="1"/>
  <c r="AQ232" i="1"/>
  <c r="AP233" i="1"/>
  <c r="AQ233" i="1"/>
  <c r="AP234" i="1"/>
  <c r="AQ234" i="1"/>
  <c r="AP235" i="1"/>
  <c r="AQ235" i="1"/>
  <c r="AP236" i="1"/>
  <c r="AQ236" i="1"/>
  <c r="AP237" i="1"/>
  <c r="AQ237" i="1"/>
  <c r="AP238" i="1"/>
  <c r="AQ238" i="1"/>
  <c r="AP239" i="1"/>
  <c r="AQ239" i="1"/>
  <c r="AP240" i="1"/>
  <c r="AQ240" i="1"/>
  <c r="AP241" i="1"/>
  <c r="AQ241" i="1"/>
  <c r="AP242" i="1"/>
  <c r="AQ242" i="1"/>
  <c r="AP243" i="1"/>
  <c r="AQ243" i="1"/>
  <c r="AP244" i="1"/>
  <c r="AQ244" i="1"/>
  <c r="AP245" i="1"/>
  <c r="AQ245" i="1"/>
  <c r="AP246" i="1"/>
  <c r="AQ246" i="1"/>
  <c r="AP247" i="1"/>
  <c r="AQ247" i="1"/>
  <c r="AP248" i="1"/>
  <c r="AQ248" i="1"/>
  <c r="AP249" i="1"/>
  <c r="AQ249" i="1"/>
  <c r="AP250" i="1"/>
  <c r="AQ250" i="1"/>
  <c r="AP251" i="1"/>
  <c r="AQ251" i="1"/>
  <c r="AP252" i="1"/>
  <c r="AQ252" i="1"/>
  <c r="AP253" i="1"/>
  <c r="AQ253" i="1"/>
  <c r="AP254" i="1"/>
  <c r="AQ254" i="1"/>
  <c r="AP255" i="1"/>
  <c r="AQ255" i="1"/>
  <c r="AP256" i="1"/>
  <c r="AQ256" i="1"/>
  <c r="AP257" i="1"/>
  <c r="AQ257" i="1"/>
  <c r="AP258" i="1"/>
  <c r="AQ258" i="1"/>
  <c r="AP259" i="1"/>
  <c r="AQ259" i="1"/>
  <c r="AP260" i="1"/>
  <c r="AQ260" i="1"/>
  <c r="AP261" i="1"/>
  <c r="AQ261" i="1"/>
  <c r="AP262" i="1"/>
  <c r="AQ262" i="1"/>
  <c r="AP263" i="1"/>
  <c r="AQ263" i="1"/>
  <c r="AP264" i="1"/>
  <c r="AQ264" i="1"/>
  <c r="AP265" i="1"/>
  <c r="AQ265" i="1"/>
  <c r="AP266" i="1"/>
  <c r="AQ266" i="1"/>
  <c r="AP267" i="1"/>
  <c r="AQ267" i="1"/>
  <c r="AP268" i="1"/>
  <c r="AQ268" i="1"/>
  <c r="AP269" i="1"/>
  <c r="AQ269" i="1"/>
  <c r="AP270" i="1"/>
  <c r="AQ270" i="1"/>
  <c r="AP271" i="1"/>
  <c r="AQ271" i="1"/>
  <c r="AP272" i="1"/>
  <c r="AQ272" i="1"/>
  <c r="AP273" i="1"/>
  <c r="AQ273" i="1"/>
  <c r="AP274" i="1"/>
  <c r="AQ274" i="1"/>
  <c r="AP275" i="1"/>
  <c r="AQ275" i="1"/>
  <c r="AP276" i="1"/>
  <c r="AQ276" i="1"/>
  <c r="AP277" i="1"/>
  <c r="AQ277" i="1"/>
  <c r="AP278" i="1"/>
  <c r="AQ278" i="1"/>
  <c r="AP279" i="1"/>
  <c r="AQ279" i="1"/>
  <c r="AP280" i="1"/>
  <c r="AQ280" i="1"/>
  <c r="AP281" i="1"/>
  <c r="AQ281" i="1"/>
  <c r="AP282" i="1"/>
  <c r="AQ282" i="1"/>
  <c r="AP283" i="1"/>
  <c r="AQ283" i="1"/>
  <c r="AP284" i="1"/>
  <c r="AQ284" i="1"/>
  <c r="AP285" i="1"/>
  <c r="AQ285" i="1"/>
  <c r="AP286" i="1"/>
  <c r="AQ286" i="1"/>
  <c r="AP287" i="1"/>
  <c r="AQ287" i="1"/>
  <c r="AP288" i="1"/>
  <c r="AQ288" i="1"/>
  <c r="AP289" i="1"/>
  <c r="AQ289" i="1"/>
  <c r="AP290" i="1"/>
  <c r="AQ290" i="1"/>
  <c r="AP291" i="1"/>
  <c r="AQ291" i="1"/>
  <c r="AP292" i="1"/>
  <c r="AQ292" i="1"/>
  <c r="AP293" i="1"/>
  <c r="AQ293" i="1"/>
  <c r="AP294" i="1"/>
  <c r="AQ294" i="1"/>
  <c r="AP295" i="1"/>
  <c r="AQ295" i="1"/>
  <c r="AP296" i="1"/>
  <c r="AQ296" i="1"/>
  <c r="AP297" i="1"/>
  <c r="AQ297" i="1"/>
  <c r="AP298" i="1"/>
  <c r="AQ298" i="1"/>
  <c r="AP299" i="1"/>
  <c r="AQ299" i="1"/>
  <c r="AP300" i="1"/>
  <c r="AQ300" i="1"/>
  <c r="AP301" i="1"/>
  <c r="AQ301" i="1"/>
  <c r="AP302" i="1"/>
  <c r="AQ302" i="1"/>
  <c r="AP5" i="1"/>
  <c r="AQ5" i="1"/>
  <c r="AP6" i="1"/>
  <c r="AQ6" i="1"/>
  <c r="AP7" i="1"/>
  <c r="AQ7" i="1"/>
  <c r="AP8" i="1"/>
  <c r="AQ8" i="1"/>
  <c r="AP9" i="1"/>
  <c r="AQ9" i="1"/>
  <c r="AQ4" i="1"/>
  <c r="AP4" i="1"/>
  <c r="AR5" i="3"/>
  <c r="D5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302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5" i="1"/>
  <c r="D276" i="1"/>
  <c r="D279" i="1"/>
  <c r="D280" i="1"/>
  <c r="D281" i="1"/>
  <c r="D282" i="1"/>
  <c r="D283" i="1"/>
  <c r="D284" i="1"/>
  <c r="D285" i="1"/>
  <c r="D287" i="1"/>
  <c r="D288" i="1"/>
  <c r="D289" i="1"/>
  <c r="D290" i="1"/>
  <c r="D291" i="1"/>
  <c r="D292" i="1"/>
  <c r="D293" i="1"/>
  <c r="D295" i="1"/>
  <c r="D297" i="1"/>
  <c r="D299" i="1"/>
  <c r="D300" i="1"/>
  <c r="D301" i="1"/>
  <c r="D46" i="1"/>
  <c r="D47" i="1"/>
  <c r="D48" i="1"/>
  <c r="D49" i="1"/>
  <c r="D50" i="1"/>
  <c r="D51" i="1"/>
  <c r="D45" i="1"/>
  <c r="AL124" i="3"/>
  <c r="AF124" i="3"/>
  <c r="AB124" i="3"/>
  <c r="Z124" i="3"/>
  <c r="X124" i="3"/>
  <c r="V124" i="3"/>
  <c r="P124" i="3"/>
  <c r="N124" i="3"/>
  <c r="L124" i="3"/>
  <c r="F124" i="3"/>
  <c r="D124" i="3"/>
  <c r="AL123" i="3"/>
  <c r="AJ123" i="3"/>
  <c r="AH123" i="3"/>
  <c r="AF123" i="3"/>
  <c r="Z123" i="3"/>
  <c r="X123" i="3"/>
  <c r="V123" i="3"/>
  <c r="N123" i="3"/>
  <c r="L123" i="3"/>
  <c r="F123" i="3"/>
  <c r="D123" i="3"/>
  <c r="AS123" i="3" s="1"/>
  <c r="AK122" i="3"/>
  <c r="D122" i="3" s="1"/>
  <c r="AS122" i="3" s="1"/>
  <c r="AH122" i="3"/>
  <c r="AB122" i="3"/>
  <c r="Z122" i="3"/>
  <c r="X122" i="3"/>
  <c r="V122" i="3"/>
  <c r="N122" i="3"/>
  <c r="L122" i="3"/>
  <c r="F122" i="3"/>
  <c r="AL121" i="3"/>
  <c r="AJ121" i="3"/>
  <c r="AH121" i="3"/>
  <c r="AF121" i="3"/>
  <c r="Z121" i="3"/>
  <c r="X121" i="3"/>
  <c r="V121" i="3"/>
  <c r="N121" i="3"/>
  <c r="L121" i="3"/>
  <c r="F121" i="3"/>
  <c r="D121" i="3"/>
  <c r="AS121" i="3" s="1"/>
  <c r="AP120" i="3"/>
  <c r="AL120" i="3"/>
  <c r="AJ120" i="3"/>
  <c r="AH120" i="3"/>
  <c r="AF120" i="3"/>
  <c r="AB120" i="3"/>
  <c r="Z120" i="3"/>
  <c r="X120" i="3"/>
  <c r="V120" i="3"/>
  <c r="N120" i="3"/>
  <c r="L120" i="3"/>
  <c r="F120" i="3"/>
  <c r="D120" i="3"/>
  <c r="AR120" i="3" s="1"/>
  <c r="AP119" i="3"/>
  <c r="AJ119" i="3"/>
  <c r="AH119" i="3"/>
  <c r="AF119" i="3"/>
  <c r="AB119" i="3"/>
  <c r="Z119" i="3"/>
  <c r="X119" i="3"/>
  <c r="V119" i="3"/>
  <c r="T119" i="3"/>
  <c r="N119" i="3"/>
  <c r="L119" i="3"/>
  <c r="F119" i="3"/>
  <c r="D119" i="3"/>
  <c r="AN118" i="3"/>
  <c r="AK118" i="3"/>
  <c r="D118" i="3" s="1"/>
  <c r="AR118" i="3" s="1"/>
  <c r="AH118" i="3"/>
  <c r="AF118" i="3"/>
  <c r="Z118" i="3"/>
  <c r="X118" i="3"/>
  <c r="V118" i="3"/>
  <c r="N118" i="3"/>
  <c r="L118" i="3"/>
  <c r="F118" i="3"/>
  <c r="AP117" i="3"/>
  <c r="AJ117" i="3"/>
  <c r="AH117" i="3"/>
  <c r="Z117" i="3"/>
  <c r="X117" i="3"/>
  <c r="V117" i="3"/>
  <c r="T117" i="3"/>
  <c r="N117" i="3"/>
  <c r="L117" i="3"/>
  <c r="F117" i="3"/>
  <c r="D117" i="3"/>
  <c r="AP116" i="3"/>
  <c r="AH116" i="3"/>
  <c r="AB116" i="3"/>
  <c r="Z116" i="3"/>
  <c r="X116" i="3"/>
  <c r="V116" i="3"/>
  <c r="N116" i="3"/>
  <c r="L116" i="3"/>
  <c r="F116" i="3"/>
  <c r="D116" i="3"/>
  <c r="AP115" i="3"/>
  <c r="AL115" i="3"/>
  <c r="AJ115" i="3"/>
  <c r="AH115" i="3"/>
  <c r="Z115" i="3"/>
  <c r="X115" i="3"/>
  <c r="V115" i="3"/>
  <c r="N115" i="3"/>
  <c r="L115" i="3"/>
  <c r="F115" i="3"/>
  <c r="D115" i="3"/>
  <c r="AR115" i="3" s="1"/>
  <c r="AO114" i="3"/>
  <c r="AP114" i="3" s="1"/>
  <c r="AH114" i="3"/>
  <c r="AF114" i="3"/>
  <c r="Z114" i="3"/>
  <c r="X114" i="3"/>
  <c r="V114" i="3"/>
  <c r="N114" i="3"/>
  <c r="L114" i="3"/>
  <c r="F114" i="3"/>
  <c r="D114" i="3"/>
  <c r="AR114" i="3" s="1"/>
  <c r="AL113" i="3"/>
  <c r="AH113" i="3"/>
  <c r="AE113" i="3"/>
  <c r="D113" i="3" s="1"/>
  <c r="AS113" i="3" s="1"/>
  <c r="Z113" i="3"/>
  <c r="X113" i="3"/>
  <c r="V113" i="3"/>
  <c r="N113" i="3"/>
  <c r="L113" i="3"/>
  <c r="F113" i="3"/>
  <c r="AL112" i="3"/>
  <c r="AJ112" i="3"/>
  <c r="AH112" i="3"/>
  <c r="AF112" i="3"/>
  <c r="Z112" i="3"/>
  <c r="X112" i="3"/>
  <c r="V112" i="3"/>
  <c r="N112" i="3"/>
  <c r="L112" i="3"/>
  <c r="F112" i="3"/>
  <c r="D112" i="3"/>
  <c r="AP111" i="3"/>
  <c r="AH111" i="3"/>
  <c r="Z111" i="3"/>
  <c r="X111" i="3"/>
  <c r="V111" i="3"/>
  <c r="T111" i="3"/>
  <c r="N111" i="3"/>
  <c r="L111" i="3"/>
  <c r="F111" i="3"/>
  <c r="D111" i="3"/>
  <c r="AS111" i="3" s="1"/>
  <c r="AP110" i="3"/>
  <c r="AH110" i="3"/>
  <c r="AF110" i="3"/>
  <c r="Z110" i="3"/>
  <c r="X110" i="3"/>
  <c r="V110" i="3"/>
  <c r="T110" i="3"/>
  <c r="N110" i="3"/>
  <c r="L110" i="3"/>
  <c r="F110" i="3"/>
  <c r="D110" i="3"/>
  <c r="AP109" i="3"/>
  <c r="AJ109" i="3"/>
  <c r="AH109" i="3"/>
  <c r="AF109" i="3"/>
  <c r="X109" i="3"/>
  <c r="V109" i="3"/>
  <c r="N109" i="3"/>
  <c r="L109" i="3"/>
  <c r="F109" i="3"/>
  <c r="D109" i="3"/>
  <c r="AR109" i="3" s="1"/>
  <c r="AJ108" i="3"/>
  <c r="AH108" i="3"/>
  <c r="AF108" i="3"/>
  <c r="AB108" i="3"/>
  <c r="Z108" i="3"/>
  <c r="X108" i="3"/>
  <c r="V108" i="3"/>
  <c r="T108" i="3"/>
  <c r="N108" i="3"/>
  <c r="L108" i="3"/>
  <c r="F108" i="3"/>
  <c r="D108" i="3"/>
  <c r="AP107" i="3"/>
  <c r="AJ107" i="3"/>
  <c r="AH107" i="3"/>
  <c r="Z107" i="3"/>
  <c r="X107" i="3"/>
  <c r="V107" i="3"/>
  <c r="N107" i="3"/>
  <c r="L107" i="3"/>
  <c r="F107" i="3"/>
  <c r="D107" i="3"/>
  <c r="AP106" i="3"/>
  <c r="Z106" i="3"/>
  <c r="X106" i="3"/>
  <c r="V106" i="3"/>
  <c r="N106" i="3"/>
  <c r="L106" i="3"/>
  <c r="F106" i="3"/>
  <c r="D106" i="3"/>
  <c r="AS106" i="3" s="1"/>
  <c r="AJ105" i="3"/>
  <c r="AH105" i="3"/>
  <c r="Z105" i="3"/>
  <c r="X105" i="3"/>
  <c r="V105" i="3"/>
  <c r="N105" i="3"/>
  <c r="L105" i="3"/>
  <c r="F105" i="3"/>
  <c r="D105" i="3"/>
  <c r="AS105" i="3" s="1"/>
  <c r="AH104" i="3"/>
  <c r="AF104" i="3"/>
  <c r="AB104" i="3"/>
  <c r="Z104" i="3"/>
  <c r="X104" i="3"/>
  <c r="V104" i="3"/>
  <c r="L104" i="3"/>
  <c r="F104" i="3"/>
  <c r="D104" i="3"/>
  <c r="AS104" i="3" s="1"/>
  <c r="AP103" i="3"/>
  <c r="AJ103" i="3"/>
  <c r="AF103" i="3"/>
  <c r="Z103" i="3"/>
  <c r="X103" i="3"/>
  <c r="V103" i="3"/>
  <c r="N103" i="3"/>
  <c r="L103" i="3"/>
  <c r="F103" i="3"/>
  <c r="D103" i="3"/>
  <c r="AP102" i="3"/>
  <c r="AJ102" i="3"/>
  <c r="AH102" i="3"/>
  <c r="AF102" i="3"/>
  <c r="Z102" i="3"/>
  <c r="X102" i="3"/>
  <c r="V102" i="3"/>
  <c r="L102" i="3"/>
  <c r="F102" i="3"/>
  <c r="D102" i="3"/>
  <c r="AS102" i="3" s="1"/>
  <c r="Z101" i="3"/>
  <c r="X101" i="3"/>
  <c r="V101" i="3"/>
  <c r="N101" i="3"/>
  <c r="L101" i="3"/>
  <c r="F101" i="3"/>
  <c r="D101" i="3"/>
  <c r="AS101" i="3" s="1"/>
  <c r="AP100" i="3"/>
  <c r="AJ100" i="3"/>
  <c r="AH100" i="3"/>
  <c r="AF100" i="3"/>
  <c r="Z100" i="3"/>
  <c r="X100" i="3"/>
  <c r="V100" i="3"/>
  <c r="N100" i="3"/>
  <c r="L100" i="3"/>
  <c r="F100" i="3"/>
  <c r="D100" i="3"/>
  <c r="AS100" i="3" s="1"/>
  <c r="AO99" i="3"/>
  <c r="AP99" i="3" s="1"/>
  <c r="AJ99" i="3"/>
  <c r="AH99" i="3"/>
  <c r="AF99" i="3"/>
  <c r="Z99" i="3"/>
  <c r="X99" i="3"/>
  <c r="V99" i="3"/>
  <c r="L99" i="3"/>
  <c r="F99" i="3"/>
  <c r="D99" i="3"/>
  <c r="AS99" i="3" s="1"/>
  <c r="AP98" i="3"/>
  <c r="AJ98" i="3"/>
  <c r="AH98" i="3"/>
  <c r="AF98" i="3"/>
  <c r="Z98" i="3"/>
  <c r="X98" i="3"/>
  <c r="V98" i="3"/>
  <c r="N98" i="3"/>
  <c r="L98" i="3"/>
  <c r="F98" i="3"/>
  <c r="D98" i="3"/>
  <c r="AS98" i="3" s="1"/>
  <c r="AO97" i="3"/>
  <c r="AP97" i="3" s="1"/>
  <c r="AH97" i="3"/>
  <c r="Z97" i="3"/>
  <c r="X97" i="3"/>
  <c r="V97" i="3"/>
  <c r="N97" i="3"/>
  <c r="L97" i="3"/>
  <c r="F97" i="3"/>
  <c r="D97" i="3"/>
  <c r="AS97" i="3" s="1"/>
  <c r="AP96" i="3"/>
  <c r="AJ96" i="3"/>
  <c r="AH96" i="3"/>
  <c r="AF96" i="3"/>
  <c r="Z96" i="3"/>
  <c r="X96" i="3"/>
  <c r="V96" i="3"/>
  <c r="N96" i="3"/>
  <c r="L96" i="3"/>
  <c r="F96" i="3"/>
  <c r="D96" i="3"/>
  <c r="AS96" i="3" s="1"/>
  <c r="AP95" i="3"/>
  <c r="AH95" i="3"/>
  <c r="Z95" i="3"/>
  <c r="X95" i="3"/>
  <c r="V95" i="3"/>
  <c r="N95" i="3"/>
  <c r="L95" i="3"/>
  <c r="F95" i="3"/>
  <c r="D95" i="3"/>
  <c r="AP94" i="3"/>
  <c r="AJ94" i="3"/>
  <c r="AH94" i="3"/>
  <c r="AF94" i="3"/>
  <c r="Z94" i="3"/>
  <c r="X94" i="3"/>
  <c r="V94" i="3"/>
  <c r="L94" i="3"/>
  <c r="F94" i="3"/>
  <c r="D94" i="3"/>
  <c r="AR94" i="3" s="1"/>
  <c r="AP93" i="3"/>
  <c r="AH93" i="3"/>
  <c r="Z93" i="3"/>
  <c r="X93" i="3"/>
  <c r="V93" i="3"/>
  <c r="N93" i="3"/>
  <c r="L93" i="3"/>
  <c r="F93" i="3"/>
  <c r="D93" i="3"/>
  <c r="AS93" i="3" s="1"/>
  <c r="AP92" i="3"/>
  <c r="AJ92" i="3"/>
  <c r="AH92" i="3"/>
  <c r="AF92" i="3"/>
  <c r="Z92" i="3"/>
  <c r="X92" i="3"/>
  <c r="V92" i="3"/>
  <c r="L92" i="3"/>
  <c r="F92" i="3"/>
  <c r="D92" i="3"/>
  <c r="AS92" i="3" s="1"/>
  <c r="AO91" i="3"/>
  <c r="AP91" i="3" s="1"/>
  <c r="AJ91" i="3"/>
  <c r="AH91" i="3"/>
  <c r="Z91" i="3"/>
  <c r="X91" i="3"/>
  <c r="V91" i="3"/>
  <c r="N91" i="3"/>
  <c r="L91" i="3"/>
  <c r="F91" i="3"/>
  <c r="D91" i="3"/>
  <c r="AS91" i="3" s="1"/>
  <c r="AP90" i="3"/>
  <c r="AH90" i="3"/>
  <c r="Z90" i="3"/>
  <c r="X90" i="3"/>
  <c r="V90" i="3"/>
  <c r="N90" i="3"/>
  <c r="L90" i="3"/>
  <c r="F90" i="3"/>
  <c r="D90" i="3"/>
  <c r="AR90" i="3" s="1"/>
  <c r="AP89" i="3"/>
  <c r="AH89" i="3"/>
  <c r="Z89" i="3"/>
  <c r="X89" i="3"/>
  <c r="V89" i="3"/>
  <c r="N89" i="3"/>
  <c r="L89" i="3"/>
  <c r="F89" i="3"/>
  <c r="D89" i="3"/>
  <c r="AS89" i="3" s="1"/>
  <c r="AP88" i="3"/>
  <c r="AH88" i="3"/>
  <c r="AF88" i="3"/>
  <c r="Z88" i="3"/>
  <c r="X88" i="3"/>
  <c r="V88" i="3"/>
  <c r="N88" i="3"/>
  <c r="L88" i="3"/>
  <c r="F88" i="3"/>
  <c r="D88" i="3"/>
  <c r="AP87" i="3"/>
  <c r="AH87" i="3"/>
  <c r="AF87" i="3"/>
  <c r="Z87" i="3"/>
  <c r="X87" i="3"/>
  <c r="V87" i="3"/>
  <c r="N87" i="3"/>
  <c r="L87" i="3"/>
  <c r="F87" i="3"/>
  <c r="D87" i="3"/>
  <c r="AS87" i="3" s="1"/>
  <c r="AO86" i="3"/>
  <c r="AP86" i="3" s="1"/>
  <c r="AN86" i="3"/>
  <c r="X86" i="3"/>
  <c r="V86" i="3"/>
  <c r="L86" i="3"/>
  <c r="F86" i="3"/>
  <c r="D86" i="3"/>
  <c r="AS86" i="3" s="1"/>
  <c r="AP85" i="3"/>
  <c r="AH85" i="3"/>
  <c r="AF85" i="3"/>
  <c r="X85" i="3"/>
  <c r="V85" i="3"/>
  <c r="N85" i="3"/>
  <c r="L85" i="3"/>
  <c r="F85" i="3"/>
  <c r="D85" i="3"/>
  <c r="AS85" i="3" s="1"/>
  <c r="AP84" i="3"/>
  <c r="AH84" i="3"/>
  <c r="Z84" i="3"/>
  <c r="X84" i="3"/>
  <c r="V84" i="3"/>
  <c r="N84" i="3"/>
  <c r="L84" i="3"/>
  <c r="F84" i="3"/>
  <c r="D84" i="3"/>
  <c r="AS84" i="3" s="1"/>
  <c r="AJ83" i="3"/>
  <c r="AH83" i="3"/>
  <c r="Z83" i="3"/>
  <c r="X83" i="3"/>
  <c r="V83" i="3"/>
  <c r="L83" i="3"/>
  <c r="F83" i="3"/>
  <c r="D83" i="3"/>
  <c r="AR83" i="3" s="1"/>
  <c r="AP82" i="3"/>
  <c r="AH82" i="3"/>
  <c r="AF82" i="3"/>
  <c r="Z82" i="3"/>
  <c r="X82" i="3"/>
  <c r="V82" i="3"/>
  <c r="N82" i="3"/>
  <c r="L82" i="3"/>
  <c r="F82" i="3"/>
  <c r="D82" i="3"/>
  <c r="AS82" i="3" s="1"/>
  <c r="AP81" i="3"/>
  <c r="AH81" i="3"/>
  <c r="AF81" i="3"/>
  <c r="Z81" i="3"/>
  <c r="X81" i="3"/>
  <c r="V81" i="3"/>
  <c r="N81" i="3"/>
  <c r="L81" i="3"/>
  <c r="F81" i="3"/>
  <c r="D81" i="3"/>
  <c r="AS81" i="3" s="1"/>
  <c r="AP80" i="3"/>
  <c r="AH80" i="3"/>
  <c r="AF80" i="3"/>
  <c r="Z80" i="3"/>
  <c r="X80" i="3"/>
  <c r="V80" i="3"/>
  <c r="L80" i="3"/>
  <c r="F80" i="3"/>
  <c r="D80" i="3"/>
  <c r="AS80" i="3" s="1"/>
  <c r="AJ79" i="3"/>
  <c r="AH79" i="3"/>
  <c r="Z79" i="3"/>
  <c r="X79" i="3"/>
  <c r="V79" i="3"/>
  <c r="L79" i="3"/>
  <c r="F79" i="3"/>
  <c r="D79" i="3"/>
  <c r="AP78" i="3"/>
  <c r="AH78" i="3"/>
  <c r="AF78" i="3"/>
  <c r="Z78" i="3"/>
  <c r="X78" i="3"/>
  <c r="V78" i="3"/>
  <c r="L78" i="3"/>
  <c r="F78" i="3"/>
  <c r="D78" i="3"/>
  <c r="AF77" i="3"/>
  <c r="Z77" i="3"/>
  <c r="X77" i="3"/>
  <c r="V77" i="3"/>
  <c r="N77" i="3"/>
  <c r="L77" i="3"/>
  <c r="F77" i="3"/>
  <c r="D77" i="3"/>
  <c r="AH76" i="3"/>
  <c r="AF76" i="3"/>
  <c r="X76" i="3"/>
  <c r="V76" i="3"/>
  <c r="N76" i="3"/>
  <c r="L76" i="3"/>
  <c r="F76" i="3"/>
  <c r="D76" i="3"/>
  <c r="AS76" i="3" s="1"/>
  <c r="AF75" i="3"/>
  <c r="Z75" i="3"/>
  <c r="X75" i="3"/>
  <c r="V75" i="3"/>
  <c r="L75" i="3"/>
  <c r="F75" i="3"/>
  <c r="D75" i="3"/>
  <c r="AS75" i="3" s="1"/>
  <c r="AP74" i="3"/>
  <c r="X74" i="3"/>
  <c r="V74" i="3"/>
  <c r="N74" i="3"/>
  <c r="L74" i="3"/>
  <c r="F74" i="3"/>
  <c r="D74" i="3"/>
  <c r="AS74" i="3" s="1"/>
  <c r="AJ73" i="3"/>
  <c r="AH73" i="3"/>
  <c r="AF73" i="3"/>
  <c r="X73" i="3"/>
  <c r="V73" i="3"/>
  <c r="N73" i="3"/>
  <c r="L73" i="3"/>
  <c r="F73" i="3"/>
  <c r="D73" i="3"/>
  <c r="AS73" i="3" s="1"/>
  <c r="AP72" i="3"/>
  <c r="AJ72" i="3"/>
  <c r="AH72" i="3"/>
  <c r="AF72" i="3"/>
  <c r="X72" i="3"/>
  <c r="V72" i="3"/>
  <c r="N72" i="3"/>
  <c r="L72" i="3"/>
  <c r="F72" i="3"/>
  <c r="D72" i="3"/>
  <c r="AS72" i="3" s="1"/>
  <c r="AF71" i="3"/>
  <c r="X71" i="3"/>
  <c r="V71" i="3"/>
  <c r="L71" i="3"/>
  <c r="F71" i="3"/>
  <c r="D71" i="3"/>
  <c r="AR71" i="3" s="1"/>
  <c r="AJ70" i="3"/>
  <c r="AH70" i="3"/>
  <c r="AF70" i="3"/>
  <c r="X70" i="3"/>
  <c r="V70" i="3"/>
  <c r="N70" i="3"/>
  <c r="L70" i="3"/>
  <c r="F70" i="3"/>
  <c r="D70" i="3"/>
  <c r="AS70" i="3" s="1"/>
  <c r="AP69" i="3"/>
  <c r="AJ69" i="3"/>
  <c r="AH69" i="3"/>
  <c r="AF69" i="3"/>
  <c r="X69" i="3"/>
  <c r="V69" i="3"/>
  <c r="N69" i="3"/>
  <c r="L69" i="3"/>
  <c r="F69" i="3"/>
  <c r="D69" i="3"/>
  <c r="AR69" i="3" s="1"/>
  <c r="AH68" i="3"/>
  <c r="AF68" i="3"/>
  <c r="X68" i="3"/>
  <c r="V68" i="3"/>
  <c r="N68" i="3"/>
  <c r="L68" i="3"/>
  <c r="F68" i="3"/>
  <c r="D68" i="3"/>
  <c r="AS68" i="3" s="1"/>
  <c r="AP67" i="3"/>
  <c r="AJ67" i="3"/>
  <c r="AH67" i="3"/>
  <c r="AF67" i="3"/>
  <c r="X67" i="3"/>
  <c r="V67" i="3"/>
  <c r="N67" i="3"/>
  <c r="L67" i="3"/>
  <c r="F67" i="3"/>
  <c r="D67" i="3"/>
  <c r="AR67" i="3" s="1"/>
  <c r="AP66" i="3"/>
  <c r="AH66" i="3"/>
  <c r="X66" i="3"/>
  <c r="V66" i="3"/>
  <c r="N66" i="3"/>
  <c r="L66" i="3"/>
  <c r="F66" i="3"/>
  <c r="D66" i="3"/>
  <c r="AS66" i="3" s="1"/>
  <c r="AP65" i="3"/>
  <c r="AH65" i="3"/>
  <c r="AF65" i="3"/>
  <c r="X65" i="3"/>
  <c r="V65" i="3"/>
  <c r="N65" i="3"/>
  <c r="L65" i="3"/>
  <c r="F65" i="3"/>
  <c r="D65" i="3"/>
  <c r="AS65" i="3" s="1"/>
  <c r="AP64" i="3"/>
  <c r="AH64" i="3"/>
  <c r="X64" i="3"/>
  <c r="V64" i="3"/>
  <c r="N64" i="3"/>
  <c r="L64" i="3"/>
  <c r="F64" i="3"/>
  <c r="D64" i="3"/>
  <c r="AS64" i="3" s="1"/>
  <c r="AP63" i="3"/>
  <c r="AH63" i="3"/>
  <c r="AF63" i="3"/>
  <c r="X63" i="3"/>
  <c r="V63" i="3"/>
  <c r="N63" i="3"/>
  <c r="L63" i="3"/>
  <c r="F63" i="3"/>
  <c r="D63" i="3"/>
  <c r="AR63" i="3" s="1"/>
  <c r="AP62" i="3"/>
  <c r="AH62" i="3"/>
  <c r="AF62" i="3"/>
  <c r="X62" i="3"/>
  <c r="V62" i="3"/>
  <c r="N62" i="3"/>
  <c r="L62" i="3"/>
  <c r="F62" i="3"/>
  <c r="D62" i="3"/>
  <c r="AS62" i="3" s="1"/>
  <c r="AJ61" i="3"/>
  <c r="X61" i="3"/>
  <c r="V61" i="3"/>
  <c r="P61" i="3"/>
  <c r="N61" i="3"/>
  <c r="L61" i="3"/>
  <c r="F61" i="3"/>
  <c r="D61" i="3"/>
  <c r="AS61" i="3" s="1"/>
  <c r="AJ60" i="3"/>
  <c r="AH60" i="3"/>
  <c r="X60" i="3"/>
  <c r="V60" i="3"/>
  <c r="N60" i="3"/>
  <c r="L60" i="3"/>
  <c r="F60" i="3"/>
  <c r="D60" i="3"/>
  <c r="AR60" i="3" s="1"/>
  <c r="AO59" i="3"/>
  <c r="AP59" i="3" s="1"/>
  <c r="AF59" i="3"/>
  <c r="X59" i="3"/>
  <c r="V59" i="3"/>
  <c r="N59" i="3"/>
  <c r="L59" i="3"/>
  <c r="F59" i="3"/>
  <c r="D59" i="3"/>
  <c r="AO58" i="3"/>
  <c r="AP58" i="3" s="1"/>
  <c r="AH58" i="3"/>
  <c r="Z58" i="3"/>
  <c r="X58" i="3"/>
  <c r="V58" i="3"/>
  <c r="N58" i="3"/>
  <c r="L58" i="3"/>
  <c r="F58" i="3"/>
  <c r="D58" i="3"/>
  <c r="AS58" i="3" s="1"/>
  <c r="AP57" i="3"/>
  <c r="AH57" i="3"/>
  <c r="X57" i="3"/>
  <c r="V57" i="3"/>
  <c r="N57" i="3"/>
  <c r="L57" i="3"/>
  <c r="F57" i="3"/>
  <c r="D57" i="3"/>
  <c r="AR57" i="3" s="1"/>
  <c r="AO56" i="3"/>
  <c r="AP56" i="3" s="1"/>
  <c r="AH56" i="3"/>
  <c r="X56" i="3"/>
  <c r="V56" i="3"/>
  <c r="N56" i="3"/>
  <c r="L56" i="3"/>
  <c r="F56" i="3"/>
  <c r="D56" i="3"/>
  <c r="AS56" i="3" s="1"/>
  <c r="AJ55" i="3"/>
  <c r="AH55" i="3"/>
  <c r="X55" i="3"/>
  <c r="V55" i="3"/>
  <c r="L55" i="3"/>
  <c r="F55" i="3"/>
  <c r="D55" i="3"/>
  <c r="AR55" i="3" s="1"/>
  <c r="AO54" i="3"/>
  <c r="AP54" i="3" s="1"/>
  <c r="AF54" i="3"/>
  <c r="X54" i="3"/>
  <c r="V54" i="3"/>
  <c r="N54" i="3"/>
  <c r="L54" i="3"/>
  <c r="F54" i="3"/>
  <c r="D54" i="3"/>
  <c r="AS54" i="3" s="1"/>
  <c r="AP53" i="3"/>
  <c r="AH53" i="3"/>
  <c r="X53" i="3"/>
  <c r="V53" i="3"/>
  <c r="N53" i="3"/>
  <c r="L53" i="3"/>
  <c r="F53" i="3"/>
  <c r="D53" i="3"/>
  <c r="AS53" i="3" s="1"/>
  <c r="AH52" i="3"/>
  <c r="X52" i="3"/>
  <c r="V52" i="3"/>
  <c r="L52" i="3"/>
  <c r="F52" i="3"/>
  <c r="D52" i="3"/>
  <c r="AR52" i="3" s="1"/>
  <c r="AP51" i="3"/>
  <c r="AH51" i="3"/>
  <c r="X51" i="3"/>
  <c r="V51" i="3"/>
  <c r="N51" i="3"/>
  <c r="L51" i="3"/>
  <c r="F51" i="3"/>
  <c r="D51" i="3"/>
  <c r="AS51" i="3" s="1"/>
  <c r="AH50" i="3"/>
  <c r="X50" i="3"/>
  <c r="V50" i="3"/>
  <c r="L50" i="3"/>
  <c r="F50" i="3"/>
  <c r="D50" i="3"/>
  <c r="AP49" i="3"/>
  <c r="AH49" i="3"/>
  <c r="X49" i="3"/>
  <c r="V49" i="3"/>
  <c r="N49" i="3"/>
  <c r="L49" i="3"/>
  <c r="F49" i="3"/>
  <c r="D49" i="3"/>
  <c r="AS49" i="3" s="1"/>
  <c r="AF48" i="3"/>
  <c r="X48" i="3"/>
  <c r="V48" i="3"/>
  <c r="L48" i="3"/>
  <c r="F48" i="3"/>
  <c r="D48" i="3"/>
  <c r="AS48" i="3" s="1"/>
  <c r="AH47" i="3"/>
  <c r="X47" i="3"/>
  <c r="V47" i="3"/>
  <c r="N47" i="3"/>
  <c r="L47" i="3"/>
  <c r="F47" i="3"/>
  <c r="D47" i="3"/>
  <c r="AS47" i="3" s="1"/>
  <c r="AP46" i="3"/>
  <c r="AJ46" i="3"/>
  <c r="AH46" i="3"/>
  <c r="AF46" i="3"/>
  <c r="V46" i="3"/>
  <c r="L46" i="3"/>
  <c r="F46" i="3"/>
  <c r="D46" i="3"/>
  <c r="AS46" i="3" s="1"/>
  <c r="AP45" i="3"/>
  <c r="AL45" i="3"/>
  <c r="AJ45" i="3"/>
  <c r="AH45" i="3"/>
  <c r="Z45" i="3"/>
  <c r="X45" i="3"/>
  <c r="V45" i="3"/>
  <c r="N45" i="3"/>
  <c r="L45" i="3"/>
  <c r="F45" i="3"/>
  <c r="D45" i="3"/>
  <c r="AH44" i="3"/>
  <c r="X44" i="3"/>
  <c r="V44" i="3"/>
  <c r="N44" i="3"/>
  <c r="L44" i="3"/>
  <c r="F44" i="3"/>
  <c r="D44" i="3"/>
  <c r="AS44" i="3" s="1"/>
  <c r="AH43" i="3"/>
  <c r="X43" i="3"/>
  <c r="V43" i="3"/>
  <c r="N43" i="3"/>
  <c r="L43" i="3"/>
  <c r="F43" i="3"/>
  <c r="D43" i="3"/>
  <c r="AS43" i="3" s="1"/>
  <c r="AP42" i="3"/>
  <c r="AH42" i="3"/>
  <c r="X42" i="3"/>
  <c r="V42" i="3"/>
  <c r="L42" i="3"/>
  <c r="F42" i="3"/>
  <c r="D42" i="3"/>
  <c r="AS42" i="3" s="1"/>
  <c r="AO41" i="3"/>
  <c r="AP41" i="3" s="1"/>
  <c r="AF41" i="3"/>
  <c r="X41" i="3"/>
  <c r="V41" i="3"/>
  <c r="N41" i="3"/>
  <c r="L41" i="3"/>
  <c r="F41" i="3"/>
  <c r="D41" i="3"/>
  <c r="AS41" i="3" s="1"/>
  <c r="X40" i="3"/>
  <c r="V40" i="3"/>
  <c r="L40" i="3"/>
  <c r="F40" i="3"/>
  <c r="D40" i="3"/>
  <c r="AR40" i="3" s="1"/>
  <c r="AO39" i="3"/>
  <c r="AP39" i="3" s="1"/>
  <c r="AH39" i="3"/>
  <c r="V39" i="3"/>
  <c r="L39" i="3"/>
  <c r="F39" i="3"/>
  <c r="D39" i="3"/>
  <c r="AS39" i="3" s="1"/>
  <c r="AH38" i="3"/>
  <c r="X38" i="3"/>
  <c r="V38" i="3"/>
  <c r="L38" i="3"/>
  <c r="F38" i="3"/>
  <c r="D38" i="3"/>
  <c r="AS38" i="3" s="1"/>
  <c r="V37" i="3"/>
  <c r="L37" i="3"/>
  <c r="F37" i="3"/>
  <c r="D37" i="3"/>
  <c r="AR37" i="3" s="1"/>
  <c r="AH36" i="3"/>
  <c r="X36" i="3"/>
  <c r="V36" i="3"/>
  <c r="L36" i="3"/>
  <c r="F36" i="3"/>
  <c r="D36" i="3"/>
  <c r="AS36" i="3" s="1"/>
  <c r="AH35" i="3"/>
  <c r="X35" i="3"/>
  <c r="V35" i="3"/>
  <c r="L35" i="3"/>
  <c r="F35" i="3"/>
  <c r="D35" i="3"/>
  <c r="AR35" i="3" s="1"/>
  <c r="AO34" i="3"/>
  <c r="AP34" i="3" s="1"/>
  <c r="AH34" i="3"/>
  <c r="AF34" i="3"/>
  <c r="X34" i="3"/>
  <c r="V34" i="3"/>
  <c r="L34" i="3"/>
  <c r="F34" i="3"/>
  <c r="D34" i="3"/>
  <c r="AS34" i="3" s="1"/>
  <c r="AF33" i="3"/>
  <c r="X33" i="3"/>
  <c r="V33" i="3"/>
  <c r="L33" i="3"/>
  <c r="F33" i="3"/>
  <c r="D33" i="3"/>
  <c r="AR33" i="3" s="1"/>
  <c r="AP32" i="3"/>
  <c r="AH32" i="3"/>
  <c r="X32" i="3"/>
  <c r="V32" i="3"/>
  <c r="N32" i="3"/>
  <c r="L32" i="3"/>
  <c r="F32" i="3"/>
  <c r="D32" i="3"/>
  <c r="AS32" i="3" s="1"/>
  <c r="AJ31" i="3"/>
  <c r="AH31" i="3"/>
  <c r="X31" i="3"/>
  <c r="V31" i="3"/>
  <c r="N31" i="3"/>
  <c r="L31" i="3"/>
  <c r="F31" i="3"/>
  <c r="D31" i="3"/>
  <c r="AS31" i="3" s="1"/>
  <c r="AP30" i="3"/>
  <c r="AH30" i="3"/>
  <c r="X30" i="3"/>
  <c r="V30" i="3"/>
  <c r="N30" i="3"/>
  <c r="L30" i="3"/>
  <c r="F30" i="3"/>
  <c r="D30" i="3"/>
  <c r="AR30" i="3" s="1"/>
  <c r="AP29" i="3"/>
  <c r="AJ29" i="3"/>
  <c r="AH29" i="3"/>
  <c r="X29" i="3"/>
  <c r="V29" i="3"/>
  <c r="N29" i="3"/>
  <c r="L29" i="3"/>
  <c r="F29" i="3"/>
  <c r="D29" i="3"/>
  <c r="AS29" i="3" s="1"/>
  <c r="AH28" i="3"/>
  <c r="X28" i="3"/>
  <c r="V28" i="3"/>
  <c r="L28" i="3"/>
  <c r="F28" i="3"/>
  <c r="D28" i="3"/>
  <c r="AO27" i="3"/>
  <c r="AP27" i="3" s="1"/>
  <c r="AF27" i="3"/>
  <c r="X27" i="3"/>
  <c r="V27" i="3"/>
  <c r="N27" i="3"/>
  <c r="L27" i="3"/>
  <c r="F27" i="3"/>
  <c r="D27" i="3"/>
  <c r="AS27" i="3" s="1"/>
  <c r="AP26" i="3"/>
  <c r="AH26" i="3"/>
  <c r="X26" i="3"/>
  <c r="V26" i="3"/>
  <c r="N26" i="3"/>
  <c r="L26" i="3"/>
  <c r="F26" i="3"/>
  <c r="D26" i="3"/>
  <c r="AS26" i="3" s="1"/>
  <c r="AF25" i="3"/>
  <c r="X25" i="3"/>
  <c r="V25" i="3"/>
  <c r="L25" i="3"/>
  <c r="F25" i="3"/>
  <c r="D25" i="3"/>
  <c r="X24" i="3"/>
  <c r="V24" i="3"/>
  <c r="L24" i="3"/>
  <c r="F24" i="3"/>
  <c r="D24" i="3"/>
  <c r="V23" i="3"/>
  <c r="L23" i="3"/>
  <c r="F23" i="3"/>
  <c r="D23" i="3"/>
  <c r="AS23" i="3" s="1"/>
  <c r="AO22" i="3"/>
  <c r="AP22" i="3" s="1"/>
  <c r="AF22" i="3"/>
  <c r="V22" i="3"/>
  <c r="L22" i="3"/>
  <c r="F22" i="3"/>
  <c r="D22" i="3"/>
  <c r="AS22" i="3" s="1"/>
  <c r="AP21" i="3"/>
  <c r="AH21" i="3"/>
  <c r="AF21" i="3"/>
  <c r="X21" i="3"/>
  <c r="V21" i="3"/>
  <c r="L21" i="3"/>
  <c r="F21" i="3"/>
  <c r="D21" i="3"/>
  <c r="AS21" i="3" s="1"/>
  <c r="V20" i="3"/>
  <c r="L20" i="3"/>
  <c r="F20" i="3"/>
  <c r="D20" i="3"/>
  <c r="AS20" i="3" s="1"/>
  <c r="AJ19" i="3"/>
  <c r="AH19" i="3"/>
  <c r="AF19" i="3"/>
  <c r="V19" i="3"/>
  <c r="L19" i="3"/>
  <c r="F19" i="3"/>
  <c r="D19" i="3"/>
  <c r="AS19" i="3" s="1"/>
  <c r="AP18" i="3"/>
  <c r="V18" i="3"/>
  <c r="L18" i="3"/>
  <c r="F18" i="3"/>
  <c r="D18" i="3"/>
  <c r="AR18" i="3" s="1"/>
  <c r="AP17" i="3"/>
  <c r="AF17" i="3"/>
  <c r="V17" i="3"/>
  <c r="L17" i="3"/>
  <c r="F17" i="3"/>
  <c r="D17" i="3"/>
  <c r="V16" i="3"/>
  <c r="L16" i="3"/>
  <c r="F16" i="3"/>
  <c r="D16" i="3"/>
  <c r="X15" i="3"/>
  <c r="V15" i="3"/>
  <c r="L15" i="3"/>
  <c r="F15" i="3"/>
  <c r="D15" i="3"/>
  <c r="AP14" i="3"/>
  <c r="V14" i="3"/>
  <c r="L14" i="3"/>
  <c r="F14" i="3"/>
  <c r="D14" i="3"/>
  <c r="AR14" i="3" s="1"/>
  <c r="AH13" i="3"/>
  <c r="X13" i="3"/>
  <c r="V13" i="3"/>
  <c r="L13" i="3"/>
  <c r="F13" i="3"/>
  <c r="D13" i="3"/>
  <c r="AP12" i="3"/>
  <c r="V12" i="3"/>
  <c r="L12" i="3"/>
  <c r="F12" i="3"/>
  <c r="D12" i="3"/>
  <c r="AJ11" i="3"/>
  <c r="AH11" i="3"/>
  <c r="V11" i="3"/>
  <c r="L11" i="3"/>
  <c r="E11" i="3"/>
  <c r="AF10" i="3"/>
  <c r="V10" i="3"/>
  <c r="L10" i="3"/>
  <c r="F10" i="3"/>
  <c r="D10" i="3"/>
  <c r="AS10" i="3" s="1"/>
  <c r="AP9" i="3"/>
  <c r="V9" i="3"/>
  <c r="L9" i="3"/>
  <c r="F9" i="3"/>
  <c r="D9" i="3"/>
  <c r="AR9" i="3" s="1"/>
  <c r="V8" i="3"/>
  <c r="L8" i="3"/>
  <c r="F8" i="3"/>
  <c r="D8" i="3"/>
  <c r="AP7" i="3"/>
  <c r="V7" i="3"/>
  <c r="L7" i="3"/>
  <c r="F7" i="3"/>
  <c r="D7" i="3"/>
  <c r="AR7" i="3" s="1"/>
  <c r="V6" i="3"/>
  <c r="L6" i="3"/>
  <c r="F6" i="3"/>
  <c r="D6" i="3"/>
  <c r="AR6" i="3" s="1"/>
  <c r="AF5" i="3"/>
  <c r="V5" i="3"/>
  <c r="L5" i="3"/>
  <c r="F5" i="3"/>
  <c r="D5" i="3"/>
  <c r="AS5" i="3" s="1"/>
  <c r="E216" i="4" l="1"/>
  <c r="E215" i="4"/>
  <c r="E101" i="4"/>
  <c r="E99" i="4"/>
  <c r="AO67" i="4"/>
  <c r="AO61" i="4"/>
  <c r="AO218" i="4"/>
  <c r="AO34" i="4"/>
  <c r="AO152" i="4"/>
  <c r="AT152" i="4" s="1"/>
  <c r="AO137" i="4"/>
  <c r="AT137" i="4" s="1"/>
  <c r="AO147" i="4"/>
  <c r="AT147" i="4" s="1"/>
  <c r="AO136" i="4"/>
  <c r="AT136" i="4" s="1"/>
  <c r="AO70" i="4"/>
  <c r="AT70" i="4" s="1"/>
  <c r="AO19" i="4"/>
  <c r="AT19" i="4" s="1"/>
  <c r="AO14" i="4"/>
  <c r="AT14" i="4" s="1"/>
  <c r="AO182" i="4"/>
  <c r="AT182" i="4" s="1"/>
  <c r="AO163" i="4"/>
  <c r="AT163" i="4" s="1"/>
  <c r="AO89" i="4"/>
  <c r="AT89" i="4" s="1"/>
  <c r="AO116" i="4"/>
  <c r="AT116" i="4" s="1"/>
  <c r="AO252" i="4"/>
  <c r="AT252" i="4" s="1"/>
  <c r="AO212" i="4"/>
  <c r="AT212" i="4" s="1"/>
  <c r="AO207" i="4"/>
  <c r="AT207" i="4" s="1"/>
  <c r="AO200" i="4"/>
  <c r="AT200" i="4" s="1"/>
  <c r="AO255" i="4"/>
  <c r="AO5" i="4"/>
  <c r="AT5" i="4" s="1"/>
  <c r="AO191" i="4"/>
  <c r="AT191" i="4" s="1"/>
  <c r="AO195" i="4"/>
  <c r="AT195" i="4" s="1"/>
  <c r="AO230" i="4"/>
  <c r="AT230" i="4" s="1"/>
  <c r="AN89" i="4"/>
  <c r="AS89" i="4" s="1"/>
  <c r="AN61" i="4"/>
  <c r="AS61" i="4" s="1"/>
  <c r="AO63" i="4"/>
  <c r="AT63" i="4" s="1"/>
  <c r="AT34" i="4"/>
  <c r="AO177" i="4"/>
  <c r="AT177" i="4" s="1"/>
  <c r="AO65" i="4"/>
  <c r="AT65" i="4" s="1"/>
  <c r="AO36" i="4"/>
  <c r="AT36" i="4" s="1"/>
  <c r="AO30" i="4"/>
  <c r="AT30" i="4" s="1"/>
  <c r="AO134" i="4"/>
  <c r="AT134" i="4" s="1"/>
  <c r="AO170" i="4"/>
  <c r="AT170" i="4" s="1"/>
  <c r="AO175" i="4"/>
  <c r="AT175" i="4" s="1"/>
  <c r="AO24" i="4"/>
  <c r="AT24" i="4" s="1"/>
  <c r="AO101" i="4"/>
  <c r="AT101" i="4" s="1"/>
  <c r="AO237" i="4"/>
  <c r="AT237" i="4" s="1"/>
  <c r="AO92" i="4"/>
  <c r="AT92" i="4" s="1"/>
  <c r="AO236" i="4"/>
  <c r="AT236" i="4" s="1"/>
  <c r="AO227" i="4"/>
  <c r="AT227" i="4" s="1"/>
  <c r="AO222" i="4"/>
  <c r="AT222" i="4" s="1"/>
  <c r="AT255" i="4"/>
  <c r="AO118" i="4"/>
  <c r="AT118" i="4" s="1"/>
  <c r="AL99" i="4"/>
  <c r="AO228" i="4"/>
  <c r="AT228" i="4" s="1"/>
  <c r="AO9" i="4"/>
  <c r="AT9" i="4" s="1"/>
  <c r="AT61" i="4"/>
  <c r="AO54" i="4"/>
  <c r="AT54" i="4" s="1"/>
  <c r="AO45" i="4"/>
  <c r="AT45" i="4" s="1"/>
  <c r="AN47" i="4"/>
  <c r="AS47" i="4" s="1"/>
  <c r="AO64" i="4"/>
  <c r="AT64" i="4" s="1"/>
  <c r="AO72" i="4"/>
  <c r="AT72" i="4" s="1"/>
  <c r="AO144" i="4"/>
  <c r="AT144" i="4" s="1"/>
  <c r="AO138" i="4"/>
  <c r="AT138" i="4" s="1"/>
  <c r="AO176" i="4"/>
  <c r="AT176" i="4" s="1"/>
  <c r="AO128" i="4"/>
  <c r="AT128" i="4" s="1"/>
  <c r="AO161" i="4"/>
  <c r="AT161" i="4" s="1"/>
  <c r="AO157" i="4"/>
  <c r="AT157" i="4" s="1"/>
  <c r="AO83" i="4"/>
  <c r="AT83" i="4" s="1"/>
  <c r="AO73" i="4"/>
  <c r="AT73" i="4" s="1"/>
  <c r="AO23" i="4"/>
  <c r="AT23" i="4" s="1"/>
  <c r="AO190" i="4"/>
  <c r="AT190" i="4" s="1"/>
  <c r="AO187" i="4"/>
  <c r="AT187" i="4" s="1"/>
  <c r="AO192" i="4"/>
  <c r="AT192" i="4" s="1"/>
  <c r="AO93" i="4"/>
  <c r="AT93" i="4" s="1"/>
  <c r="AO220" i="4"/>
  <c r="AT220" i="4" s="1"/>
  <c r="AO253" i="4"/>
  <c r="AT253" i="4" s="1"/>
  <c r="AN22" i="4"/>
  <c r="AS22" i="4" s="1"/>
  <c r="AO58" i="4"/>
  <c r="AT58" i="4" s="1"/>
  <c r="AO13" i="4"/>
  <c r="AT13" i="4" s="1"/>
  <c r="AL216" i="4"/>
  <c r="AO17" i="4"/>
  <c r="AT17" i="4" s="1"/>
  <c r="AN9" i="4"/>
  <c r="AS9" i="4" s="1"/>
  <c r="AO22" i="4"/>
  <c r="AT22" i="4" s="1"/>
  <c r="AN45" i="4"/>
  <c r="AS45" i="4" s="1"/>
  <c r="AO75" i="4"/>
  <c r="AT75" i="4" s="1"/>
  <c r="AO122" i="4"/>
  <c r="AT122" i="4" s="1"/>
  <c r="AN190" i="4"/>
  <c r="AS190" i="4" s="1"/>
  <c r="AO31" i="4"/>
  <c r="AT31" i="4" s="1"/>
  <c r="AO69" i="4"/>
  <c r="AT69" i="4" s="1"/>
  <c r="AO153" i="4"/>
  <c r="AT153" i="4" s="1"/>
  <c r="AO124" i="4"/>
  <c r="AT124" i="4" s="1"/>
  <c r="AO119" i="4"/>
  <c r="AT119" i="4" s="1"/>
  <c r="AO80" i="4"/>
  <c r="AT80" i="4" s="1"/>
  <c r="AO99" i="4"/>
  <c r="AT99" i="4" s="1"/>
  <c r="AO208" i="4"/>
  <c r="AT208" i="4" s="1"/>
  <c r="AO226" i="4"/>
  <c r="AT226" i="4" s="1"/>
  <c r="AL215" i="4"/>
  <c r="AL101" i="4"/>
  <c r="AO210" i="4"/>
  <c r="AT210" i="4" s="1"/>
  <c r="AN27" i="4"/>
  <c r="AS27" i="4" s="1"/>
  <c r="AL96" i="4"/>
  <c r="AO44" i="4"/>
  <c r="AT44" i="4" s="1"/>
  <c r="AO46" i="4"/>
  <c r="AT46" i="4" s="1"/>
  <c r="AO39" i="4"/>
  <c r="AT39" i="4" s="1"/>
  <c r="AO62" i="4"/>
  <c r="AT62" i="4" s="1"/>
  <c r="AO59" i="4"/>
  <c r="AT59" i="4" s="1"/>
  <c r="AO12" i="4"/>
  <c r="AT12" i="4" s="1"/>
  <c r="AO189" i="4"/>
  <c r="AT189" i="4" s="1"/>
  <c r="AO135" i="4"/>
  <c r="AT135" i="4" s="1"/>
  <c r="AO86" i="4"/>
  <c r="AT86" i="4" s="1"/>
  <c r="AO231" i="4"/>
  <c r="AT231" i="4" s="1"/>
  <c r="AO233" i="4"/>
  <c r="AT233" i="4" s="1"/>
  <c r="AO193" i="4"/>
  <c r="AT193" i="4" s="1"/>
  <c r="AT218" i="4"/>
  <c r="AL21" i="4"/>
  <c r="AN55" i="4"/>
  <c r="AS55" i="4" s="1"/>
  <c r="AN58" i="4"/>
  <c r="AS58" i="4" s="1"/>
  <c r="AN68" i="4"/>
  <c r="AS68" i="4" s="1"/>
  <c r="AN185" i="4"/>
  <c r="AS185" i="4" s="1"/>
  <c r="AN179" i="4"/>
  <c r="AS179" i="4" s="1"/>
  <c r="AN77" i="4"/>
  <c r="AS77" i="4" s="1"/>
  <c r="AN173" i="4"/>
  <c r="AN13" i="4"/>
  <c r="AS13" i="4" s="1"/>
  <c r="AO196" i="4"/>
  <c r="AT196" i="4" s="1"/>
  <c r="AN171" i="4"/>
  <c r="AS171" i="4" s="1"/>
  <c r="AN108" i="4"/>
  <c r="AS108" i="4" s="1"/>
  <c r="AN117" i="4"/>
  <c r="AS117" i="4" s="1"/>
  <c r="AN199" i="4"/>
  <c r="AS199" i="4" s="1"/>
  <c r="AN98" i="4"/>
  <c r="AS98" i="4" s="1"/>
  <c r="AO234" i="4"/>
  <c r="AT234" i="4" s="1"/>
  <c r="AO229" i="4"/>
  <c r="AT229" i="4" s="1"/>
  <c r="AN225" i="4"/>
  <c r="AS225" i="4" s="1"/>
  <c r="AO4" i="4"/>
  <c r="AT4" i="4" s="1"/>
  <c r="AN11" i="4"/>
  <c r="AS11" i="4" s="1"/>
  <c r="AN243" i="4"/>
  <c r="AS243" i="4" s="1"/>
  <c r="AN2" i="4"/>
  <c r="AS2" i="4" s="1"/>
  <c r="AO6" i="4"/>
  <c r="AT6" i="4" s="1"/>
  <c r="AO43" i="4"/>
  <c r="AT43" i="4" s="1"/>
  <c r="AN52" i="4"/>
  <c r="AS52" i="4" s="1"/>
  <c r="AO42" i="4"/>
  <c r="AT42" i="4" s="1"/>
  <c r="AO57" i="4"/>
  <c r="AT57" i="4" s="1"/>
  <c r="AN71" i="4"/>
  <c r="AS71" i="4" s="1"/>
  <c r="AN8" i="4"/>
  <c r="AS8" i="4" s="1"/>
  <c r="AN48" i="4"/>
  <c r="AS48" i="4" s="1"/>
  <c r="AN16" i="4"/>
  <c r="AS16" i="4" s="1"/>
  <c r="AO60" i="4"/>
  <c r="AT60" i="4" s="1"/>
  <c r="AO186" i="4"/>
  <c r="AT186" i="4" s="1"/>
  <c r="AN17" i="4"/>
  <c r="AS17" i="4" s="1"/>
  <c r="AO130" i="4"/>
  <c r="AT130" i="4" s="1"/>
  <c r="AN74" i="4"/>
  <c r="AS74" i="4" s="1"/>
  <c r="AO11" i="4"/>
  <c r="AT11" i="4" s="1"/>
  <c r="AN7" i="4"/>
  <c r="AS7" i="4" s="1"/>
  <c r="AO77" i="4"/>
  <c r="AT77" i="4" s="1"/>
  <c r="AO149" i="4"/>
  <c r="AT149" i="4" s="1"/>
  <c r="AO18" i="4"/>
  <c r="AT18" i="4" s="1"/>
  <c r="AO104" i="4"/>
  <c r="AT104" i="4" s="1"/>
  <c r="AN178" i="4"/>
  <c r="AS178" i="4" s="1"/>
  <c r="AO32" i="4"/>
  <c r="AT32" i="4" s="1"/>
  <c r="AO171" i="4"/>
  <c r="AT171" i="4" s="1"/>
  <c r="AO84" i="4"/>
  <c r="AT84" i="4" s="1"/>
  <c r="AO109" i="4"/>
  <c r="AT109" i="4" s="1"/>
  <c r="AN115" i="4"/>
  <c r="AS115" i="4" s="1"/>
  <c r="AN154" i="4"/>
  <c r="AS154" i="4" s="1"/>
  <c r="AN246" i="4"/>
  <c r="AS246" i="4" s="1"/>
  <c r="AO245" i="4"/>
  <c r="AT245" i="4" s="1"/>
  <c r="AN91" i="4"/>
  <c r="AS91" i="4" s="1"/>
  <c r="AO243" i="4"/>
  <c r="AT243" i="4" s="1"/>
  <c r="AN254" i="4"/>
  <c r="AS254" i="4" s="1"/>
  <c r="AO214" i="4"/>
  <c r="AT214" i="4" s="1"/>
  <c r="AL249" i="4"/>
  <c r="AN5" i="4"/>
  <c r="AS5" i="4" s="1"/>
  <c r="AN57" i="4"/>
  <c r="AS57" i="4" s="1"/>
  <c r="AO8" i="4"/>
  <c r="AT8" i="4" s="1"/>
  <c r="AO123" i="4"/>
  <c r="AT123" i="4" s="1"/>
  <c r="AO121" i="4"/>
  <c r="AT121" i="4" s="1"/>
  <c r="AO49" i="4"/>
  <c r="AT49" i="4" s="1"/>
  <c r="AO2" i="4"/>
  <c r="AT2" i="4" s="1"/>
  <c r="AO52" i="4"/>
  <c r="AT52" i="4" s="1"/>
  <c r="AO71" i="4"/>
  <c r="AT71" i="4" s="1"/>
  <c r="AO48" i="4"/>
  <c r="AT48" i="4" s="1"/>
  <c r="AO74" i="4"/>
  <c r="AT74" i="4" s="1"/>
  <c r="AO7" i="4"/>
  <c r="AT7" i="4" s="1"/>
  <c r="AO178" i="4"/>
  <c r="AT178" i="4" s="1"/>
  <c r="AO154" i="4"/>
  <c r="AT154" i="4" s="1"/>
  <c r="AO91" i="4"/>
  <c r="AT91" i="4" s="1"/>
  <c r="AO172" i="4"/>
  <c r="AT172" i="4" s="1"/>
  <c r="AO81" i="4"/>
  <c r="AT81" i="4" s="1"/>
  <c r="AO202" i="4"/>
  <c r="AT202" i="4" s="1"/>
  <c r="AS173" i="4"/>
  <c r="AO140" i="4"/>
  <c r="AT140" i="4" s="1"/>
  <c r="AN148" i="4"/>
  <c r="AS148" i="4" s="1"/>
  <c r="AN20" i="4"/>
  <c r="AS20" i="4" s="1"/>
  <c r="AT67" i="4"/>
  <c r="AN6" i="4"/>
  <c r="AS6" i="4" s="1"/>
  <c r="AN43" i="4"/>
  <c r="AS43" i="4" s="1"/>
  <c r="AN42" i="4"/>
  <c r="AS42" i="4" s="1"/>
  <c r="AO55" i="4"/>
  <c r="AT55" i="4" s="1"/>
  <c r="AO68" i="4"/>
  <c r="AT68" i="4" s="1"/>
  <c r="AN60" i="4"/>
  <c r="AS60" i="4" s="1"/>
  <c r="AO185" i="4"/>
  <c r="AT185" i="4" s="1"/>
  <c r="AN186" i="4"/>
  <c r="AS186" i="4" s="1"/>
  <c r="AN130" i="4"/>
  <c r="AS130" i="4" s="1"/>
  <c r="AO179" i="4"/>
  <c r="AT179" i="4" s="1"/>
  <c r="AN149" i="4"/>
  <c r="AS149" i="4" s="1"/>
  <c r="AO173" i="4"/>
  <c r="AT173" i="4" s="1"/>
  <c r="AN18" i="4"/>
  <c r="AS18" i="4" s="1"/>
  <c r="AN104" i="4"/>
  <c r="AS104" i="4" s="1"/>
  <c r="AN32" i="4"/>
  <c r="AS32" i="4" s="1"/>
  <c r="AN84" i="4"/>
  <c r="AS84" i="4" s="1"/>
  <c r="AN109" i="4"/>
  <c r="AS109" i="4" s="1"/>
  <c r="AO108" i="4"/>
  <c r="AT108" i="4" s="1"/>
  <c r="AO117" i="4"/>
  <c r="AT117" i="4" s="1"/>
  <c r="AN245" i="4"/>
  <c r="AS245" i="4" s="1"/>
  <c r="AO98" i="4"/>
  <c r="AT98" i="4" s="1"/>
  <c r="AN214" i="4"/>
  <c r="AS214" i="4" s="1"/>
  <c r="AO225" i="4"/>
  <c r="AT225" i="4" s="1"/>
  <c r="AO16" i="4"/>
  <c r="AT16" i="4" s="1"/>
  <c r="AO159" i="4"/>
  <c r="AT159" i="4" s="1"/>
  <c r="AO167" i="4"/>
  <c r="AT167" i="4" s="1"/>
  <c r="AO169" i="4"/>
  <c r="AT169" i="4" s="1"/>
  <c r="AO115" i="4"/>
  <c r="AT115" i="4" s="1"/>
  <c r="AO246" i="4"/>
  <c r="AT246" i="4" s="1"/>
  <c r="AO248" i="4"/>
  <c r="AT248" i="4" s="1"/>
  <c r="AO254" i="4"/>
  <c r="AT254" i="4" s="1"/>
  <c r="AO47" i="4"/>
  <c r="AT47" i="4" s="1"/>
  <c r="AO184" i="4"/>
  <c r="AT184" i="4" s="1"/>
  <c r="AO102" i="4"/>
  <c r="AT102" i="4" s="1"/>
  <c r="AO235" i="4"/>
  <c r="AT235" i="4" s="1"/>
  <c r="AO78" i="4"/>
  <c r="AT78" i="4" s="1"/>
  <c r="AO238" i="4"/>
  <c r="AT238" i="4" s="1"/>
  <c r="AO114" i="4"/>
  <c r="AT114" i="4" s="1"/>
  <c r="AO256" i="4"/>
  <c r="AT256" i="4" s="1"/>
  <c r="AN67" i="4"/>
  <c r="AS67" i="4" s="1"/>
  <c r="AO37" i="4"/>
  <c r="AT37" i="4" s="1"/>
  <c r="AO40" i="4"/>
  <c r="AT40" i="4" s="1"/>
  <c r="AN34" i="4"/>
  <c r="AS34" i="4" s="1"/>
  <c r="AN64" i="4"/>
  <c r="AS64" i="4" s="1"/>
  <c r="AO10" i="4"/>
  <c r="AT10" i="4" s="1"/>
  <c r="AN72" i="4"/>
  <c r="AS72" i="4" s="1"/>
  <c r="AO56" i="4"/>
  <c r="AT56" i="4" s="1"/>
  <c r="AN75" i="4"/>
  <c r="AS75" i="4" s="1"/>
  <c r="AO181" i="4"/>
  <c r="AT181" i="4" s="1"/>
  <c r="AO76" i="4"/>
  <c r="AT76" i="4" s="1"/>
  <c r="AN184" i="4"/>
  <c r="AS184" i="4" s="1"/>
  <c r="AN14" i="4"/>
  <c r="AS14" i="4" s="1"/>
  <c r="AO131" i="4"/>
  <c r="AT131" i="4" s="1"/>
  <c r="AO164" i="4"/>
  <c r="AT164" i="4" s="1"/>
  <c r="AN123" i="4"/>
  <c r="AS123" i="4" s="1"/>
  <c r="AO103" i="4"/>
  <c r="AT103" i="4" s="1"/>
  <c r="AN121" i="4"/>
  <c r="AS121" i="4" s="1"/>
  <c r="AN157" i="4"/>
  <c r="AS157" i="4" s="1"/>
  <c r="AO188" i="4"/>
  <c r="AT188" i="4" s="1"/>
  <c r="AN23" i="4"/>
  <c r="AS23" i="4" s="1"/>
  <c r="AN191" i="4"/>
  <c r="AS191" i="4" s="1"/>
  <c r="AN118" i="4"/>
  <c r="AS118" i="4" s="1"/>
  <c r="AN122" i="4"/>
  <c r="AS122" i="4" s="1"/>
  <c r="AN238" i="4"/>
  <c r="AS238" i="4" s="1"/>
  <c r="AO197" i="4"/>
  <c r="AT197" i="4" s="1"/>
  <c r="AN114" i="4"/>
  <c r="AS114" i="4" s="1"/>
  <c r="AN244" i="4"/>
  <c r="AS244" i="4" s="1"/>
  <c r="AO90" i="4"/>
  <c r="AT90" i="4" s="1"/>
  <c r="AN255" i="4"/>
  <c r="AS255" i="4" s="1"/>
  <c r="AO206" i="4"/>
  <c r="AT206" i="4" s="1"/>
  <c r="AN59" i="4"/>
  <c r="AS59" i="4" s="1"/>
  <c r="AN142" i="4"/>
  <c r="AS142" i="4" s="1"/>
  <c r="AN189" i="4"/>
  <c r="AS189" i="4" s="1"/>
  <c r="AN103" i="4"/>
  <c r="AS103" i="4" s="1"/>
  <c r="AO29" i="4"/>
  <c r="AT29" i="4" s="1"/>
  <c r="AN188" i="4"/>
  <c r="AS188" i="4" s="1"/>
  <c r="AO106" i="4"/>
  <c r="AT106" i="4" s="1"/>
  <c r="AN63" i="4"/>
  <c r="AS63" i="4" s="1"/>
  <c r="AN10" i="4"/>
  <c r="AS10" i="4" s="1"/>
  <c r="AN31" i="4"/>
  <c r="AS31" i="4" s="1"/>
  <c r="AN124" i="4"/>
  <c r="AS124" i="4" s="1"/>
  <c r="AN166" i="4"/>
  <c r="AS166" i="4" s="1"/>
  <c r="AN158" i="4"/>
  <c r="AS158" i="4" s="1"/>
  <c r="AN141" i="4"/>
  <c r="AS141" i="4" s="1"/>
  <c r="AN21" i="4"/>
  <c r="AN111" i="4"/>
  <c r="AS111" i="4" s="1"/>
  <c r="AN242" i="4"/>
  <c r="AS242" i="4" s="1"/>
  <c r="AN105" i="4"/>
  <c r="AS105" i="4" s="1"/>
  <c r="AN218" i="4"/>
  <c r="AS218" i="4" s="1"/>
  <c r="AN241" i="4"/>
  <c r="AS241" i="4" s="1"/>
  <c r="AO199" i="4"/>
  <c r="AT199" i="4" s="1"/>
  <c r="AN251" i="4"/>
  <c r="AS251" i="4" s="1"/>
  <c r="AN194" i="4"/>
  <c r="AS194" i="4" s="1"/>
  <c r="AN207" i="4"/>
  <c r="AS207" i="4" s="1"/>
  <c r="AN220" i="4"/>
  <c r="AS220" i="4" s="1"/>
  <c r="AO219" i="4"/>
  <c r="AT219" i="4" s="1"/>
  <c r="AN210" i="4"/>
  <c r="AS210" i="4" s="1"/>
  <c r="AO223" i="4"/>
  <c r="AT223" i="4" s="1"/>
  <c r="AN53" i="4"/>
  <c r="AS53" i="4" s="1"/>
  <c r="AN153" i="4"/>
  <c r="AS153" i="4" s="1"/>
  <c r="AO21" i="4"/>
  <c r="AT21" i="4" s="1"/>
  <c r="AO105" i="4"/>
  <c r="AT105" i="4" s="1"/>
  <c r="AN250" i="4"/>
  <c r="AS250" i="4" s="1"/>
  <c r="AN217" i="4"/>
  <c r="AS217" i="4" s="1"/>
  <c r="AO215" i="4"/>
  <c r="AT215" i="4" s="1"/>
  <c r="AN35" i="4"/>
  <c r="AS35" i="4" s="1"/>
  <c r="AN38" i="4"/>
  <c r="AS38" i="4" s="1"/>
  <c r="AO53" i="4"/>
  <c r="AT53" i="4" s="1"/>
  <c r="AN51" i="4"/>
  <c r="AS51" i="4" s="1"/>
  <c r="AN62" i="4"/>
  <c r="AS62" i="4" s="1"/>
  <c r="AO150" i="4"/>
  <c r="AT150" i="4" s="1"/>
  <c r="AO156" i="4"/>
  <c r="AT156" i="4" s="1"/>
  <c r="AN25" i="4"/>
  <c r="AS25" i="4" s="1"/>
  <c r="AO27" i="4"/>
  <c r="AT27" i="4" s="1"/>
  <c r="AO141" i="4"/>
  <c r="AT141" i="4" s="1"/>
  <c r="AN180" i="4"/>
  <c r="AS180" i="4" s="1"/>
  <c r="AO126" i="4"/>
  <c r="AT126" i="4" s="1"/>
  <c r="AN127" i="4"/>
  <c r="AS127" i="4" s="1"/>
  <c r="AO148" i="4"/>
  <c r="AT148" i="4" s="1"/>
  <c r="AN131" i="4"/>
  <c r="AS131" i="4" s="1"/>
  <c r="AO20" i="4"/>
  <c r="AT20" i="4" s="1"/>
  <c r="AN125" i="4"/>
  <c r="AS125" i="4" s="1"/>
  <c r="AN133" i="4"/>
  <c r="AS133" i="4" s="1"/>
  <c r="AN82" i="4"/>
  <c r="AS82" i="4" s="1"/>
  <c r="AO120" i="4"/>
  <c r="AT120" i="4" s="1"/>
  <c r="AN196" i="4"/>
  <c r="AS196" i="4" s="1"/>
  <c r="AN231" i="4"/>
  <c r="AS231" i="4" s="1"/>
  <c r="AN240" i="4"/>
  <c r="AS240" i="4" s="1"/>
  <c r="AN80" i="4"/>
  <c r="AS80" i="4" s="1"/>
  <c r="AN87" i="4"/>
  <c r="AS87" i="4" s="1"/>
  <c r="AN203" i="4"/>
  <c r="AS203" i="4" s="1"/>
  <c r="AO100" i="4"/>
  <c r="AT100" i="4" s="1"/>
  <c r="AN232" i="4"/>
  <c r="AS232" i="4" s="1"/>
  <c r="AN85" i="4"/>
  <c r="AS85" i="4" s="1"/>
  <c r="AO209" i="4"/>
  <c r="AT209" i="4" s="1"/>
  <c r="AN208" i="4"/>
  <c r="AS208" i="4" s="1"/>
  <c r="AN193" i="4"/>
  <c r="AS193" i="4" s="1"/>
  <c r="AN107" i="4"/>
  <c r="AS107" i="4" s="1"/>
  <c r="AO250" i="4"/>
  <c r="AT250" i="4" s="1"/>
  <c r="AN221" i="4"/>
  <c r="AS221" i="4" s="1"/>
  <c r="AN226" i="4"/>
  <c r="AS226" i="4" s="1"/>
  <c r="AO201" i="4"/>
  <c r="AT201" i="4" s="1"/>
  <c r="AO217" i="4"/>
  <c r="AT217" i="4" s="1"/>
  <c r="AO35" i="4"/>
  <c r="AT35" i="4" s="1"/>
  <c r="AO38" i="4"/>
  <c r="AT38" i="4" s="1"/>
  <c r="AN65" i="4"/>
  <c r="AS65" i="4" s="1"/>
  <c r="AN36" i="4"/>
  <c r="AS36" i="4" s="1"/>
  <c r="AO51" i="4"/>
  <c r="AT51" i="4" s="1"/>
  <c r="AN30" i="4"/>
  <c r="AS30" i="4" s="1"/>
  <c r="AN134" i="4"/>
  <c r="AS134" i="4" s="1"/>
  <c r="AO25" i="4"/>
  <c r="AT25" i="4" s="1"/>
  <c r="AN140" i="4"/>
  <c r="AS140" i="4" s="1"/>
  <c r="AN170" i="4"/>
  <c r="AS170" i="4" s="1"/>
  <c r="AO180" i="4"/>
  <c r="AT180" i="4" s="1"/>
  <c r="AO127" i="4"/>
  <c r="AT127" i="4" s="1"/>
  <c r="AN175" i="4"/>
  <c r="AS175" i="4" s="1"/>
  <c r="AN172" i="4"/>
  <c r="AS172" i="4" s="1"/>
  <c r="AO125" i="4"/>
  <c r="AT125" i="4" s="1"/>
  <c r="AN24" i="4"/>
  <c r="AS24" i="4" s="1"/>
  <c r="AO133" i="4"/>
  <c r="AT133" i="4" s="1"/>
  <c r="AO82" i="4"/>
  <c r="AT82" i="4" s="1"/>
  <c r="AO240" i="4"/>
  <c r="AT240" i="4" s="1"/>
  <c r="AN101" i="4"/>
  <c r="AN237" i="4"/>
  <c r="AS237" i="4" s="1"/>
  <c r="AN81" i="4"/>
  <c r="AS81" i="4" s="1"/>
  <c r="AN92" i="4"/>
  <c r="AS92" i="4" s="1"/>
  <c r="AO87" i="4"/>
  <c r="AT87" i="4" s="1"/>
  <c r="AO232" i="4"/>
  <c r="AT232" i="4" s="1"/>
  <c r="AO85" i="4"/>
  <c r="AT85" i="4" s="1"/>
  <c r="AO96" i="4"/>
  <c r="AT96" i="4" s="1"/>
  <c r="AN236" i="4"/>
  <c r="AS236" i="4" s="1"/>
  <c r="AN202" i="4"/>
  <c r="AS202" i="4" s="1"/>
  <c r="AO107" i="4"/>
  <c r="AT107" i="4" s="1"/>
  <c r="AN234" i="4"/>
  <c r="AS234" i="4" s="1"/>
  <c r="AO221" i="4"/>
  <c r="AT221" i="4" s="1"/>
  <c r="AN227" i="4"/>
  <c r="AS227" i="4" s="1"/>
  <c r="AN229" i="4"/>
  <c r="AS229" i="4" s="1"/>
  <c r="AN222" i="4"/>
  <c r="AS222" i="4" s="1"/>
  <c r="AN223" i="4"/>
  <c r="AS223" i="4" s="1"/>
  <c r="AO110" i="4"/>
  <c r="AT110" i="4" s="1"/>
  <c r="AO97" i="4"/>
  <c r="AT97" i="4" s="1"/>
  <c r="AO244" i="4"/>
  <c r="AT244" i="4" s="1"/>
  <c r="AO112" i="4"/>
  <c r="AT112" i="4" s="1"/>
  <c r="AO205" i="4"/>
  <c r="AT205" i="4" s="1"/>
  <c r="AN159" i="4"/>
  <c r="AS159" i="4" s="1"/>
  <c r="AN167" i="4"/>
  <c r="AS167" i="4" s="1"/>
  <c r="AN169" i="4"/>
  <c r="AS169" i="4" s="1"/>
  <c r="AN248" i="4"/>
  <c r="AS248" i="4" s="1"/>
  <c r="AN228" i="4"/>
  <c r="AS228" i="4" s="1"/>
  <c r="AN110" i="4"/>
  <c r="AS110" i="4" s="1"/>
  <c r="AN97" i="4"/>
  <c r="AS97" i="4" s="1"/>
  <c r="AN112" i="4"/>
  <c r="AS112" i="4" s="1"/>
  <c r="AN205" i="4"/>
  <c r="AS205" i="4" s="1"/>
  <c r="AN54" i="4"/>
  <c r="AS54" i="4" s="1"/>
  <c r="AN144" i="4"/>
  <c r="AS144" i="4" s="1"/>
  <c r="AN138" i="4"/>
  <c r="AS138" i="4" s="1"/>
  <c r="AN128" i="4"/>
  <c r="AS128" i="4" s="1"/>
  <c r="AN161" i="4"/>
  <c r="AS161" i="4" s="1"/>
  <c r="AN83" i="4"/>
  <c r="AS83" i="4" s="1"/>
  <c r="AN73" i="4"/>
  <c r="AS73" i="4" s="1"/>
  <c r="AN187" i="4"/>
  <c r="AS187" i="4" s="1"/>
  <c r="AN192" i="4"/>
  <c r="AS192" i="4" s="1"/>
  <c r="AN93" i="4"/>
  <c r="AS93" i="4" s="1"/>
  <c r="AN253" i="4"/>
  <c r="AS253" i="4" s="1"/>
  <c r="AN4" i="4"/>
  <c r="AS4" i="4" s="1"/>
  <c r="AN49" i="4"/>
  <c r="AS49" i="4" s="1"/>
  <c r="AN15" i="4"/>
  <c r="AS15" i="4" s="1"/>
  <c r="AN197" i="4"/>
  <c r="AS197" i="4" s="1"/>
  <c r="AO224" i="4"/>
  <c r="AT224" i="4" s="1"/>
  <c r="AN163" i="4"/>
  <c r="AS163" i="4" s="1"/>
  <c r="AN33" i="4"/>
  <c r="AS33" i="4" s="1"/>
  <c r="AN56" i="4"/>
  <c r="AS56" i="4" s="1"/>
  <c r="AO15" i="4"/>
  <c r="AT15" i="4" s="1"/>
  <c r="AN165" i="4"/>
  <c r="AS165" i="4" s="1"/>
  <c r="AN76" i="4"/>
  <c r="AS76" i="4" s="1"/>
  <c r="AO142" i="4"/>
  <c r="AT142" i="4" s="1"/>
  <c r="AN143" i="4"/>
  <c r="AS143" i="4" s="1"/>
  <c r="AN145" i="4"/>
  <c r="AS145" i="4" s="1"/>
  <c r="AN168" i="4"/>
  <c r="AS168" i="4" s="1"/>
  <c r="AN160" i="4"/>
  <c r="AS160" i="4" s="1"/>
  <c r="AN239" i="4"/>
  <c r="AS239" i="4" s="1"/>
  <c r="AN95" i="4"/>
  <c r="AS95" i="4" s="1"/>
  <c r="AN204" i="4"/>
  <c r="AS204" i="4" s="1"/>
  <c r="AN102" i="4"/>
  <c r="AS102" i="4" s="1"/>
  <c r="AN78" i="4"/>
  <c r="AS78" i="4" s="1"/>
  <c r="AN230" i="4"/>
  <c r="AS230" i="4" s="1"/>
  <c r="AN256" i="4"/>
  <c r="AS256" i="4" s="1"/>
  <c r="AN152" i="4"/>
  <c r="AS152" i="4" s="1"/>
  <c r="AN137" i="4"/>
  <c r="AS137" i="4" s="1"/>
  <c r="AN136" i="4"/>
  <c r="AS136" i="4" s="1"/>
  <c r="AN70" i="4"/>
  <c r="AS70" i="4" s="1"/>
  <c r="AN19" i="4"/>
  <c r="AS19" i="4" s="1"/>
  <c r="AN182" i="4"/>
  <c r="AS182" i="4" s="1"/>
  <c r="AN116" i="4"/>
  <c r="AS116" i="4" s="1"/>
  <c r="AN212" i="4"/>
  <c r="AS212" i="4" s="1"/>
  <c r="AN200" i="4"/>
  <c r="AS200" i="4" s="1"/>
  <c r="AN224" i="4"/>
  <c r="AS224" i="4" s="1"/>
  <c r="AN40" i="4"/>
  <c r="AS40" i="4" s="1"/>
  <c r="AO33" i="4"/>
  <c r="AT33" i="4" s="1"/>
  <c r="AN69" i="4"/>
  <c r="AS69" i="4" s="1"/>
  <c r="AO66" i="4"/>
  <c r="AT66" i="4" s="1"/>
  <c r="AO158" i="4"/>
  <c r="AT158" i="4" s="1"/>
  <c r="AO165" i="4"/>
  <c r="AT165" i="4" s="1"/>
  <c r="AN155" i="4"/>
  <c r="AS155" i="4" s="1"/>
  <c r="AO143" i="4"/>
  <c r="AT143" i="4" s="1"/>
  <c r="AO145" i="4"/>
  <c r="AT145" i="4" s="1"/>
  <c r="AO168" i="4"/>
  <c r="AT168" i="4" s="1"/>
  <c r="AO160" i="4"/>
  <c r="AT160" i="4" s="1"/>
  <c r="AO151" i="4"/>
  <c r="AT151" i="4" s="1"/>
  <c r="AO239" i="4"/>
  <c r="AT239" i="4" s="1"/>
  <c r="AN99" i="4"/>
  <c r="AO95" i="4"/>
  <c r="AT95" i="4" s="1"/>
  <c r="AN94" i="4"/>
  <c r="AS94" i="4" s="1"/>
  <c r="AN113" i="4"/>
  <c r="AS113" i="4" s="1"/>
  <c r="AO204" i="4"/>
  <c r="AT204" i="4" s="1"/>
  <c r="AN213" i="4"/>
  <c r="AS213" i="4" s="1"/>
  <c r="AN41" i="4"/>
  <c r="AS41" i="4" s="1"/>
  <c r="AN139" i="4"/>
  <c r="AS139" i="4" s="1"/>
  <c r="AN147" i="4"/>
  <c r="AS147" i="4" s="1"/>
  <c r="AN50" i="4"/>
  <c r="AS50" i="4" s="1"/>
  <c r="AO155" i="4"/>
  <c r="AT155" i="4" s="1"/>
  <c r="AN176" i="4"/>
  <c r="AS176" i="4" s="1"/>
  <c r="AN177" i="4"/>
  <c r="AS177" i="4" s="1"/>
  <c r="AN29" i="4"/>
  <c r="AS29" i="4" s="1"/>
  <c r="AN79" i="4"/>
  <c r="AS79" i="4" s="1"/>
  <c r="AN235" i="4"/>
  <c r="AS235" i="4" s="1"/>
  <c r="AN106" i="4"/>
  <c r="AS106" i="4" s="1"/>
  <c r="AN195" i="4"/>
  <c r="AS195" i="4" s="1"/>
  <c r="AO203" i="4"/>
  <c r="AT203" i="4" s="1"/>
  <c r="AO198" i="4"/>
  <c r="AT198" i="4" s="1"/>
  <c r="AN252" i="4"/>
  <c r="AS252" i="4" s="1"/>
  <c r="AO94" i="4"/>
  <c r="AT94" i="4" s="1"/>
  <c r="AO113" i="4"/>
  <c r="AT113" i="4" s="1"/>
  <c r="AO211" i="4"/>
  <c r="AT211" i="4" s="1"/>
  <c r="AN216" i="4"/>
  <c r="AO213" i="4"/>
  <c r="AT213" i="4" s="1"/>
  <c r="AO41" i="4"/>
  <c r="AT41" i="4" s="1"/>
  <c r="AN44" i="4"/>
  <c r="AS44" i="4" s="1"/>
  <c r="AN66" i="4"/>
  <c r="AS66" i="4" s="1"/>
  <c r="AN37" i="4"/>
  <c r="AS37" i="4" s="1"/>
  <c r="AN46" i="4"/>
  <c r="AS46" i="4" s="1"/>
  <c r="AN39" i="4"/>
  <c r="AS39" i="4" s="1"/>
  <c r="AN26" i="4"/>
  <c r="AS26" i="4" s="1"/>
  <c r="AN132" i="4"/>
  <c r="AS132" i="4" s="1"/>
  <c r="AO139" i="4"/>
  <c r="AT139" i="4" s="1"/>
  <c r="AO50" i="4"/>
  <c r="AT50" i="4" s="1"/>
  <c r="AN12" i="4"/>
  <c r="AS12" i="4" s="1"/>
  <c r="AN129" i="4"/>
  <c r="AS129" i="4" s="1"/>
  <c r="AN146" i="4"/>
  <c r="AS146" i="4" s="1"/>
  <c r="AN162" i="4"/>
  <c r="AS162" i="4" s="1"/>
  <c r="AN135" i="4"/>
  <c r="AS135" i="4" s="1"/>
  <c r="AN86" i="4"/>
  <c r="AS86" i="4" s="1"/>
  <c r="AN183" i="4"/>
  <c r="AS183" i="4" s="1"/>
  <c r="AO79" i="4"/>
  <c r="AT79" i="4" s="1"/>
  <c r="AN151" i="4"/>
  <c r="AS151" i="4" s="1"/>
  <c r="AN233" i="4"/>
  <c r="AS233" i="4" s="1"/>
  <c r="AN247" i="4"/>
  <c r="AS247" i="4" s="1"/>
  <c r="AO216" i="4"/>
  <c r="AT216" i="4" s="1"/>
  <c r="AN206" i="4"/>
  <c r="AS206" i="4" s="1"/>
  <c r="AN28" i="4"/>
  <c r="AS28" i="4" s="1"/>
  <c r="AO132" i="4"/>
  <c r="AT132" i="4" s="1"/>
  <c r="AO129" i="4"/>
  <c r="AT129" i="4" s="1"/>
  <c r="AO162" i="4"/>
  <c r="AT162" i="4" s="1"/>
  <c r="AN164" i="4"/>
  <c r="AS164" i="4" s="1"/>
  <c r="AN119" i="4"/>
  <c r="AS119" i="4" s="1"/>
  <c r="AN3" i="4"/>
  <c r="AS3" i="4" s="1"/>
  <c r="AO26" i="4"/>
  <c r="AT26" i="4" s="1"/>
  <c r="AN181" i="4"/>
  <c r="AS181" i="4" s="1"/>
  <c r="AO146" i="4"/>
  <c r="AT146" i="4" s="1"/>
  <c r="AO183" i="4"/>
  <c r="AT183" i="4" s="1"/>
  <c r="AN174" i="4"/>
  <c r="AS174" i="4" s="1"/>
  <c r="AN88" i="4"/>
  <c r="AS88" i="4" s="1"/>
  <c r="AO247" i="4"/>
  <c r="AT247" i="4" s="1"/>
  <c r="AN90" i="4"/>
  <c r="AS90" i="4" s="1"/>
  <c r="AO249" i="4"/>
  <c r="AT249" i="4" s="1"/>
  <c r="AO3" i="4"/>
  <c r="AT3" i="4" s="1"/>
  <c r="AO28" i="4"/>
  <c r="AT28" i="4" s="1"/>
  <c r="AN150" i="4"/>
  <c r="AS150" i="4" s="1"/>
  <c r="AN156" i="4"/>
  <c r="AS156" i="4" s="1"/>
  <c r="AO166" i="4"/>
  <c r="AT166" i="4" s="1"/>
  <c r="AN126" i="4"/>
  <c r="AS126" i="4" s="1"/>
  <c r="AN120" i="4"/>
  <c r="AS120" i="4" s="1"/>
  <c r="AO174" i="4"/>
  <c r="AT174" i="4" s="1"/>
  <c r="AO111" i="4"/>
  <c r="AT111" i="4" s="1"/>
  <c r="AO242" i="4"/>
  <c r="AT242" i="4" s="1"/>
  <c r="AO88" i="4"/>
  <c r="AT88" i="4" s="1"/>
  <c r="AN100" i="4"/>
  <c r="AS100" i="4" s="1"/>
  <c r="AN198" i="4"/>
  <c r="AS198" i="4" s="1"/>
  <c r="AO241" i="4"/>
  <c r="AT241" i="4" s="1"/>
  <c r="AN209" i="4"/>
  <c r="AS209" i="4" s="1"/>
  <c r="AO251" i="4"/>
  <c r="AT251" i="4" s="1"/>
  <c r="AO194" i="4"/>
  <c r="AT194" i="4" s="1"/>
  <c r="AN211" i="4"/>
  <c r="AS211" i="4" s="1"/>
  <c r="AN219" i="4"/>
  <c r="AS219" i="4" s="1"/>
  <c r="AP255" i="4"/>
  <c r="AP7" i="4"/>
  <c r="AP57" i="4"/>
  <c r="AP172" i="4"/>
  <c r="AP234" i="4"/>
  <c r="AQ82" i="4"/>
  <c r="AQ140" i="4"/>
  <c r="AQ88" i="4"/>
  <c r="AQ211" i="4"/>
  <c r="AP254" i="4"/>
  <c r="AP160" i="4"/>
  <c r="AQ233" i="4"/>
  <c r="AP235" i="4"/>
  <c r="AP118" i="4"/>
  <c r="AP126" i="4"/>
  <c r="AP37" i="4"/>
  <c r="AQ184" i="4"/>
  <c r="AQ229" i="4"/>
  <c r="AQ56" i="4"/>
  <c r="D21" i="4"/>
  <c r="AQ164" i="4"/>
  <c r="AP225" i="4"/>
  <c r="AQ28" i="4"/>
  <c r="AQ45" i="4"/>
  <c r="AQ65" i="4"/>
  <c r="AP171" i="4"/>
  <c r="AQ32" i="4"/>
  <c r="AP163" i="4"/>
  <c r="AQ22" i="4"/>
  <c r="AQ2" i="4"/>
  <c r="AP72" i="4"/>
  <c r="AP241" i="4"/>
  <c r="AQ155" i="4"/>
  <c r="AQ256" i="4"/>
  <c r="AP213" i="4"/>
  <c r="AQ49" i="4"/>
  <c r="AQ105" i="4"/>
  <c r="AP178" i="4"/>
  <c r="AP194" i="4"/>
  <c r="AQ193" i="4"/>
  <c r="AP138" i="4"/>
  <c r="AQ219" i="4"/>
  <c r="AQ100" i="4"/>
  <c r="AQ195" i="4"/>
  <c r="AP218" i="4"/>
  <c r="AP6" i="4"/>
  <c r="AP103" i="4"/>
  <c r="AQ116" i="4"/>
  <c r="AQ36" i="4"/>
  <c r="AQ203" i="4"/>
  <c r="AP77" i="4"/>
  <c r="AP41" i="4"/>
  <c r="AQ181" i="4"/>
  <c r="AP81" i="4"/>
  <c r="AQ147" i="4"/>
  <c r="AQ13" i="4"/>
  <c r="AP210" i="4"/>
  <c r="AP121" i="4"/>
  <c r="AQ55" i="4"/>
  <c r="AQ175" i="4"/>
  <c r="AP86" i="4"/>
  <c r="AQ168" i="4"/>
  <c r="AQ104" i="4"/>
  <c r="AP202" i="4"/>
  <c r="AQ220" i="4"/>
  <c r="AQ205" i="4"/>
  <c r="AQ176" i="4"/>
  <c r="AP89" i="4"/>
  <c r="AQ252" i="4"/>
  <c r="AP180" i="4"/>
  <c r="AQ17" i="4"/>
  <c r="AP208" i="4"/>
  <c r="AP130" i="4"/>
  <c r="AQ62" i="4"/>
  <c r="AP40" i="4"/>
  <c r="AP111" i="4"/>
  <c r="AQ153" i="4"/>
  <c r="H41" i="4"/>
  <c r="AP222" i="4"/>
  <c r="AP197" i="4"/>
  <c r="AP139" i="4"/>
  <c r="H38" i="4"/>
  <c r="AP64" i="4"/>
  <c r="AP52" i="4"/>
  <c r="AP128" i="4"/>
  <c r="AQ71" i="4"/>
  <c r="H120" i="4"/>
  <c r="H207" i="4"/>
  <c r="H229" i="4"/>
  <c r="AP248" i="4"/>
  <c r="AP4" i="4"/>
  <c r="AQ191" i="4"/>
  <c r="AQ246" i="4"/>
  <c r="AQ170" i="4"/>
  <c r="AQ152" i="4"/>
  <c r="AQ38" i="4"/>
  <c r="AP115" i="4"/>
  <c r="AQ129" i="4"/>
  <c r="AQ5" i="4"/>
  <c r="H59" i="4"/>
  <c r="AP187" i="4"/>
  <c r="AP179" i="4"/>
  <c r="AP87" i="4"/>
  <c r="AQ10" i="4"/>
  <c r="AQ245" i="4"/>
  <c r="AQ169" i="4"/>
  <c r="AQ151" i="4"/>
  <c r="AP63" i="4"/>
  <c r="H5" i="4"/>
  <c r="H47" i="4"/>
  <c r="AP177" i="4"/>
  <c r="AP157" i="4"/>
  <c r="AP148" i="4"/>
  <c r="AP102" i="4"/>
  <c r="AP113" i="4"/>
  <c r="AQ73" i="4"/>
  <c r="AQ78" i="4"/>
  <c r="AQ76" i="4"/>
  <c r="AQ136" i="4"/>
  <c r="AQ123" i="4"/>
  <c r="AP161" i="4"/>
  <c r="AP196" i="4"/>
  <c r="H70" i="4"/>
  <c r="H19" i="4"/>
  <c r="H14" i="4"/>
  <c r="H182" i="4"/>
  <c r="H163" i="4"/>
  <c r="H89" i="4"/>
  <c r="H116" i="4"/>
  <c r="AP70" i="4"/>
  <c r="AP24" i="4"/>
  <c r="AP134" i="4"/>
  <c r="AP85" i="4"/>
  <c r="AQ188" i="4"/>
  <c r="AQ26" i="4"/>
  <c r="AQ146" i="4"/>
  <c r="AQ232" i="4"/>
  <c r="AP106" i="4"/>
  <c r="AQ80" i="4"/>
  <c r="AP74" i="4"/>
  <c r="AP31" i="4"/>
  <c r="AP226" i="4"/>
  <c r="AP124" i="4"/>
  <c r="AQ51" i="4"/>
  <c r="AQ239" i="4"/>
  <c r="AQ133" i="4"/>
  <c r="AQ110" i="4"/>
  <c r="AP240" i="4"/>
  <c r="AP150" i="4"/>
  <c r="AP30" i="4"/>
  <c r="AQ145" i="4"/>
  <c r="AQ108" i="4"/>
  <c r="AP192" i="4"/>
  <c r="AP14" i="4"/>
  <c r="AP75" i="4"/>
  <c r="AP47" i="4"/>
  <c r="AP122" i="4"/>
  <c r="AQ224" i="4"/>
  <c r="AQ198" i="4"/>
  <c r="AQ156" i="4"/>
  <c r="AQ46" i="4"/>
  <c r="AP231" i="4"/>
  <c r="AQ231" i="4"/>
  <c r="AP54" i="4"/>
  <c r="AQ54" i="4"/>
  <c r="AP183" i="4"/>
  <c r="AQ183" i="4"/>
  <c r="AP91" i="4"/>
  <c r="AQ91" i="4"/>
  <c r="AP199" i="4"/>
  <c r="AQ199" i="4"/>
  <c r="AQ206" i="4"/>
  <c r="AP251" i="4"/>
  <c r="AQ251" i="4"/>
  <c r="AP182" i="4"/>
  <c r="AQ182" i="4"/>
  <c r="AP35" i="4"/>
  <c r="AQ35" i="4"/>
  <c r="AP127" i="4"/>
  <c r="AQ127" i="4"/>
  <c r="AP190" i="4"/>
  <c r="AQ190" i="4"/>
  <c r="AP48" i="4"/>
  <c r="AQ48" i="4"/>
  <c r="AP200" i="4"/>
  <c r="AQ200" i="4"/>
  <c r="AP50" i="4"/>
  <c r="AP29" i="4"/>
  <c r="AP43" i="4"/>
  <c r="AP120" i="4"/>
  <c r="AQ66" i="4"/>
  <c r="AP167" i="4"/>
  <c r="AQ167" i="4"/>
  <c r="AP53" i="4"/>
  <c r="AQ53" i="4"/>
  <c r="AP93" i="4"/>
  <c r="AQ93" i="4"/>
  <c r="AQ79" i="4"/>
  <c r="AQ90" i="4"/>
  <c r="AQ141" i="4"/>
  <c r="AP58" i="4"/>
  <c r="AQ58" i="4"/>
  <c r="AP207" i="4"/>
  <c r="AQ207" i="4"/>
  <c r="AP69" i="4"/>
  <c r="AQ69" i="4"/>
  <c r="H227" i="4"/>
  <c r="H65" i="4"/>
  <c r="H8" i="4"/>
  <c r="AP214" i="4"/>
  <c r="H34" i="4"/>
  <c r="H152" i="4"/>
  <c r="H137" i="4"/>
  <c r="H147" i="4"/>
  <c r="H136" i="4"/>
  <c r="H252" i="4"/>
  <c r="AP96" i="4"/>
  <c r="H212" i="4"/>
  <c r="H200" i="4"/>
  <c r="H224" i="4"/>
  <c r="H255" i="4"/>
  <c r="H206" i="4"/>
  <c r="AP33" i="4"/>
  <c r="AQ33" i="4"/>
  <c r="AP137" i="4"/>
  <c r="AQ137" i="4"/>
  <c r="AP173" i="4"/>
  <c r="AQ173" i="4"/>
  <c r="AP98" i="4"/>
  <c r="AQ98" i="4"/>
  <c r="AP154" i="4"/>
  <c r="AQ154" i="4"/>
  <c r="D201" i="4"/>
  <c r="AP92" i="4"/>
  <c r="AQ92" i="4"/>
  <c r="AP114" i="4"/>
  <c r="AQ114" i="4"/>
  <c r="AP215" i="4"/>
  <c r="AQ20" i="4"/>
  <c r="AQ250" i="4"/>
  <c r="AQ227" i="4"/>
  <c r="AP132" i="4"/>
  <c r="AQ132" i="4"/>
  <c r="AP94" i="4"/>
  <c r="AQ94" i="4"/>
  <c r="H43" i="4"/>
  <c r="H58" i="4"/>
  <c r="H4" i="4"/>
  <c r="H49" i="4"/>
  <c r="H67" i="4"/>
  <c r="H37" i="4"/>
  <c r="H61" i="4"/>
  <c r="H15" i="4"/>
  <c r="H142" i="4"/>
  <c r="H118" i="4"/>
  <c r="H218" i="4"/>
  <c r="H197" i="4"/>
  <c r="AP34" i="4"/>
  <c r="AQ34" i="4"/>
  <c r="AP142" i="4"/>
  <c r="AQ142" i="4"/>
  <c r="AP143" i="4"/>
  <c r="AQ143" i="4"/>
  <c r="AP221" i="4"/>
  <c r="AQ221" i="4"/>
  <c r="AP253" i="4"/>
  <c r="AQ253" i="4"/>
  <c r="AP117" i="4"/>
  <c r="AQ117" i="4"/>
  <c r="AQ9" i="4"/>
  <c r="H236" i="4"/>
  <c r="AP189" i="4"/>
  <c r="AQ189" i="4"/>
  <c r="AP204" i="4"/>
  <c r="AQ204" i="4"/>
  <c r="AP23" i="4"/>
  <c r="AQ23" i="4"/>
  <c r="H2" i="4"/>
  <c r="H42" i="4"/>
  <c r="AQ237" i="4"/>
  <c r="H33" i="4"/>
  <c r="H40" i="4"/>
  <c r="H63" i="4"/>
  <c r="H10" i="4"/>
  <c r="H31" i="4"/>
  <c r="H56" i="4"/>
  <c r="H158" i="4"/>
  <c r="H165" i="4"/>
  <c r="AP228" i="4"/>
  <c r="AQ249" i="4"/>
  <c r="AQ243" i="4"/>
  <c r="AQ3" i="4"/>
  <c r="H54" i="4"/>
  <c r="H69" i="4"/>
  <c r="H153" i="4"/>
  <c r="AQ19" i="4"/>
  <c r="AQ119" i="4"/>
  <c r="AP112" i="4"/>
  <c r="AQ112" i="4"/>
  <c r="H52" i="4"/>
  <c r="H64" i="4"/>
  <c r="H29" i="4"/>
  <c r="AP131" i="4"/>
  <c r="AP230" i="4"/>
  <c r="AQ18" i="4"/>
  <c r="AQ247" i="4"/>
  <c r="AP166" i="4"/>
  <c r="AQ166" i="4"/>
  <c r="H68" i="4"/>
  <c r="AQ162" i="4"/>
  <c r="H39" i="4"/>
  <c r="H26" i="4"/>
  <c r="AQ217" i="4"/>
  <c r="AP44" i="4"/>
  <c r="AQ44" i="4"/>
  <c r="AP238" i="4"/>
  <c r="AQ238" i="4"/>
  <c r="AP59" i="4"/>
  <c r="AQ59" i="4"/>
  <c r="AP95" i="4"/>
  <c r="AQ95" i="4"/>
  <c r="AP60" i="4"/>
  <c r="AQ60" i="4"/>
  <c r="AP15" i="4"/>
  <c r="AQ15" i="4"/>
  <c r="AP212" i="4"/>
  <c r="AQ212" i="4"/>
  <c r="AP67" i="4"/>
  <c r="AP242" i="4"/>
  <c r="AP244" i="4"/>
  <c r="AQ244" i="4"/>
  <c r="H66" i="4"/>
  <c r="AQ97" i="4"/>
  <c r="AQ16" i="4"/>
  <c r="H30" i="4"/>
  <c r="H72" i="4"/>
  <c r="H134" i="4"/>
  <c r="H159" i="4"/>
  <c r="H25" i="4"/>
  <c r="H17" i="4"/>
  <c r="H75" i="4"/>
  <c r="H130" i="4"/>
  <c r="H74" i="4"/>
  <c r="H170" i="4"/>
  <c r="H11" i="4"/>
  <c r="H22" i="4"/>
  <c r="H176" i="4"/>
  <c r="H184" i="4"/>
  <c r="H127" i="4"/>
  <c r="H169" i="4"/>
  <c r="H172" i="4"/>
  <c r="H173" i="4"/>
  <c r="H18" i="4"/>
  <c r="H102" i="4"/>
  <c r="H24" i="4"/>
  <c r="H178" i="4"/>
  <c r="H32" i="4"/>
  <c r="H73" i="4"/>
  <c r="H191" i="4"/>
  <c r="H196" i="4"/>
  <c r="H171" i="4"/>
  <c r="H235" i="4"/>
  <c r="H240" i="4"/>
  <c r="H190" i="4"/>
  <c r="H78" i="4"/>
  <c r="H81" i="4"/>
  <c r="H238" i="4"/>
  <c r="H154" i="4"/>
  <c r="H195" i="4"/>
  <c r="H187" i="4"/>
  <c r="H230" i="4"/>
  <c r="H232" i="4"/>
  <c r="H97" i="4"/>
  <c r="H241" i="4"/>
  <c r="H117" i="4"/>
  <c r="H114" i="4"/>
  <c r="H93" i="4"/>
  <c r="H243" i="4"/>
  <c r="H256" i="4"/>
  <c r="H234" i="4"/>
  <c r="H221" i="4"/>
  <c r="H210" i="4"/>
  <c r="H222" i="4"/>
  <c r="H214" i="4"/>
  <c r="H205" i="4"/>
  <c r="H225" i="4"/>
  <c r="H181" i="4"/>
  <c r="H76" i="4"/>
  <c r="H131" i="4"/>
  <c r="H143" i="4"/>
  <c r="H164" i="4"/>
  <c r="H103" i="4"/>
  <c r="H188" i="4"/>
  <c r="H145" i="4"/>
  <c r="H168" i="4"/>
  <c r="H160" i="4"/>
  <c r="H151" i="4"/>
  <c r="H239" i="4"/>
  <c r="H198" i="4"/>
  <c r="H95" i="4"/>
  <c r="H90" i="4"/>
  <c r="H204" i="4"/>
  <c r="AQ107" i="4"/>
  <c r="AQ174" i="4"/>
  <c r="AQ144" i="4"/>
  <c r="AQ25" i="4"/>
  <c r="AQ135" i="4"/>
  <c r="AQ39" i="4"/>
  <c r="AQ109" i="4"/>
  <c r="H155" i="4"/>
  <c r="H119" i="4"/>
  <c r="H80" i="4"/>
  <c r="H99" i="4"/>
  <c r="H203" i="4"/>
  <c r="H208" i="4"/>
  <c r="H94" i="4"/>
  <c r="H113" i="4"/>
  <c r="H211" i="4"/>
  <c r="H226" i="4"/>
  <c r="H219" i="4"/>
  <c r="H129" i="4"/>
  <c r="H86" i="4"/>
  <c r="AQ186" i="4"/>
  <c r="AQ209" i="4"/>
  <c r="AQ84" i="4"/>
  <c r="AQ165" i="4"/>
  <c r="AQ159" i="4"/>
  <c r="AQ83" i="4"/>
  <c r="AQ12" i="4"/>
  <c r="H21" i="4"/>
  <c r="AQ68" i="4"/>
  <c r="AQ185" i="4"/>
  <c r="AQ61" i="4"/>
  <c r="AQ27" i="4"/>
  <c r="AQ158" i="4"/>
  <c r="AQ236" i="4"/>
  <c r="AQ125" i="4"/>
  <c r="AQ11" i="4"/>
  <c r="H53" i="4"/>
  <c r="H12" i="4"/>
  <c r="H27" i="4"/>
  <c r="H231" i="4"/>
  <c r="H233" i="4"/>
  <c r="AQ8" i="4"/>
  <c r="AQ223" i="4"/>
  <c r="AQ149" i="4"/>
  <c r="AQ42" i="4"/>
  <c r="H139" i="4"/>
  <c r="H177" i="4"/>
  <c r="H79" i="4"/>
  <c r="H216" i="4"/>
  <c r="H44" i="4"/>
  <c r="H46" i="4"/>
  <c r="H62" i="4"/>
  <c r="H132" i="4"/>
  <c r="H146" i="4"/>
  <c r="H162" i="4"/>
  <c r="H189" i="4"/>
  <c r="H135" i="4"/>
  <c r="H183" i="4"/>
  <c r="H247" i="4"/>
  <c r="H213" i="4"/>
  <c r="H50" i="4"/>
  <c r="H106" i="4"/>
  <c r="H193" i="4"/>
  <c r="H3" i="4"/>
  <c r="H28" i="4"/>
  <c r="H166" i="4"/>
  <c r="H111" i="4"/>
  <c r="H88" i="4"/>
  <c r="H105" i="4"/>
  <c r="H194" i="4"/>
  <c r="H124" i="4"/>
  <c r="H174" i="4"/>
  <c r="H199" i="4"/>
  <c r="H250" i="4"/>
  <c r="H217" i="4"/>
  <c r="H35" i="4"/>
  <c r="H51" i="4"/>
  <c r="H180" i="4"/>
  <c r="H125" i="4"/>
  <c r="H133" i="4"/>
  <c r="H82" i="4"/>
  <c r="H87" i="4"/>
  <c r="H85" i="4"/>
  <c r="H107" i="4"/>
  <c r="H209" i="4"/>
  <c r="H251" i="4"/>
  <c r="H36" i="4"/>
  <c r="H140" i="4"/>
  <c r="H175" i="4"/>
  <c r="H101" i="4"/>
  <c r="H237" i="4"/>
  <c r="H92" i="4"/>
  <c r="H202" i="4"/>
  <c r="H148" i="4"/>
  <c r="H55" i="4"/>
  <c r="H185" i="4"/>
  <c r="H179" i="4"/>
  <c r="H77" i="4"/>
  <c r="H13" i="4"/>
  <c r="H108" i="4"/>
  <c r="H98" i="4"/>
  <c r="H6" i="4"/>
  <c r="H57" i="4"/>
  <c r="H60" i="4"/>
  <c r="H186" i="4"/>
  <c r="H149" i="4"/>
  <c r="H104" i="4"/>
  <c r="H84" i="4"/>
  <c r="H109" i="4"/>
  <c r="H245" i="4"/>
  <c r="H150" i="4"/>
  <c r="H126" i="4"/>
  <c r="H242" i="4"/>
  <c r="H71" i="4"/>
  <c r="H48" i="4"/>
  <c r="H16" i="4"/>
  <c r="H167" i="4"/>
  <c r="H7" i="4"/>
  <c r="H115" i="4"/>
  <c r="H246" i="4"/>
  <c r="H248" i="4"/>
  <c r="H91" i="4"/>
  <c r="H228" i="4"/>
  <c r="H254" i="4"/>
  <c r="H156" i="4"/>
  <c r="H141" i="4"/>
  <c r="H20" i="4"/>
  <c r="H100" i="4"/>
  <c r="H223" i="4"/>
  <c r="H9" i="4"/>
  <c r="H123" i="4"/>
  <c r="H121" i="4"/>
  <c r="H122" i="4"/>
  <c r="H110" i="4"/>
  <c r="H244" i="4"/>
  <c r="H112" i="4"/>
  <c r="H45" i="4"/>
  <c r="H144" i="4"/>
  <c r="H138" i="4"/>
  <c r="H128" i="4"/>
  <c r="H161" i="4"/>
  <c r="H157" i="4"/>
  <c r="H83" i="4"/>
  <c r="H23" i="4"/>
  <c r="H192" i="4"/>
  <c r="H220" i="4"/>
  <c r="H253" i="4"/>
  <c r="D216" i="4"/>
  <c r="D99" i="4"/>
  <c r="D101" i="4"/>
  <c r="V215" i="4"/>
  <c r="H215" i="4" s="1"/>
  <c r="AF201" i="4"/>
  <c r="H201" i="4" s="1"/>
  <c r="AF96" i="4"/>
  <c r="H96" i="4" s="1"/>
  <c r="AH249" i="4"/>
  <c r="H249" i="4" s="1"/>
  <c r="AR36" i="3"/>
  <c r="AT36" i="3" s="1"/>
  <c r="AR10" i="3"/>
  <c r="AT10" i="3" s="1"/>
  <c r="AS37" i="3"/>
  <c r="AT37" i="3" s="1"/>
  <c r="AS94" i="3"/>
  <c r="AT94" i="3" s="1"/>
  <c r="AR121" i="3"/>
  <c r="AT121" i="3" s="1"/>
  <c r="AS109" i="3"/>
  <c r="AT109" i="3" s="1"/>
  <c r="AS55" i="3"/>
  <c r="AT55" i="3" s="1"/>
  <c r="AR64" i="3"/>
  <c r="AT64" i="3" s="1"/>
  <c r="AR80" i="3"/>
  <c r="AT80" i="3" s="1"/>
  <c r="AS115" i="3"/>
  <c r="AT115" i="3" s="1"/>
  <c r="AR62" i="3"/>
  <c r="AT62" i="3" s="1"/>
  <c r="AR102" i="3"/>
  <c r="AT102" i="3" s="1"/>
  <c r="AS114" i="3"/>
  <c r="AT114" i="3" s="1"/>
  <c r="AS120" i="3"/>
  <c r="AT120" i="3" s="1"/>
  <c r="AR104" i="3"/>
  <c r="AT104" i="3" s="1"/>
  <c r="AR91" i="3"/>
  <c r="AT91" i="3" s="1"/>
  <c r="AR92" i="3"/>
  <c r="AT92" i="3" s="1"/>
  <c r="AR99" i="3"/>
  <c r="AT99" i="3" s="1"/>
  <c r="AR34" i="3"/>
  <c r="AT34" i="3" s="1"/>
  <c r="AS67" i="3"/>
  <c r="AT67" i="3" s="1"/>
  <c r="AR32" i="3"/>
  <c r="AT32" i="3" s="1"/>
  <c r="AS83" i="3"/>
  <c r="AT83" i="3" s="1"/>
  <c r="AR42" i="3"/>
  <c r="AT42" i="3" s="1"/>
  <c r="AR76" i="3"/>
  <c r="AT76" i="3" s="1"/>
  <c r="AR81" i="3"/>
  <c r="AT81" i="3" s="1"/>
  <c r="AR84" i="3"/>
  <c r="AT84" i="3" s="1"/>
  <c r="AR96" i="3"/>
  <c r="AT96" i="3" s="1"/>
  <c r="AR97" i="3"/>
  <c r="AT97" i="3" s="1"/>
  <c r="AR26" i="3"/>
  <c r="AT26" i="3" s="1"/>
  <c r="AR49" i="3"/>
  <c r="AT49" i="3" s="1"/>
  <c r="AR44" i="3"/>
  <c r="AT44" i="3" s="1"/>
  <c r="AR46" i="3"/>
  <c r="AT46" i="3" s="1"/>
  <c r="AR23" i="3"/>
  <c r="AT23" i="3" s="1"/>
  <c r="AS6" i="3"/>
  <c r="AT6" i="3" s="1"/>
  <c r="AS69" i="3"/>
  <c r="AT69" i="3" s="1"/>
  <c r="AR48" i="3"/>
  <c r="AT48" i="3" s="1"/>
  <c r="AS118" i="3"/>
  <c r="AT118" i="3" s="1"/>
  <c r="AR100" i="3"/>
  <c r="AT100" i="3" s="1"/>
  <c r="AR106" i="3"/>
  <c r="AT106" i="3" s="1"/>
  <c r="AR98" i="3"/>
  <c r="AT98" i="3" s="1"/>
  <c r="AR111" i="3"/>
  <c r="AT111" i="3" s="1"/>
  <c r="AR20" i="3"/>
  <c r="AT20" i="3" s="1"/>
  <c r="AR74" i="3"/>
  <c r="AT74" i="3" s="1"/>
  <c r="AR38" i="3"/>
  <c r="AT38" i="3" s="1"/>
  <c r="AT5" i="3"/>
  <c r="AR86" i="3"/>
  <c r="AT86" i="3" s="1"/>
  <c r="AR87" i="3"/>
  <c r="AT87" i="3" s="1"/>
  <c r="AR93" i="3"/>
  <c r="AT93" i="3" s="1"/>
  <c r="AR123" i="3"/>
  <c r="AT123" i="3" s="1"/>
  <c r="AR19" i="3"/>
  <c r="AT19" i="3" s="1"/>
  <c r="AS30" i="3"/>
  <c r="AT30" i="3" s="1"/>
  <c r="AR39" i="3"/>
  <c r="AT39" i="3" s="1"/>
  <c r="AR61" i="3"/>
  <c r="AT61" i="3" s="1"/>
  <c r="AS63" i="3"/>
  <c r="AT63" i="3" s="1"/>
  <c r="AR70" i="3"/>
  <c r="AT70" i="3" s="1"/>
  <c r="AS90" i="3"/>
  <c r="AT90" i="3" s="1"/>
  <c r="AS60" i="3"/>
  <c r="AT60" i="3" s="1"/>
  <c r="AR89" i="3"/>
  <c r="AT89" i="3" s="1"/>
  <c r="AS112" i="3"/>
  <c r="AR112" i="3"/>
  <c r="AS107" i="3"/>
  <c r="AR107" i="3"/>
  <c r="AS124" i="3"/>
  <c r="AR124" i="3"/>
  <c r="AS13" i="3"/>
  <c r="AR13" i="3"/>
  <c r="AR113" i="3"/>
  <c r="AT113" i="3" s="1"/>
  <c r="AS116" i="3"/>
  <c r="AR116" i="3"/>
  <c r="D11" i="3"/>
  <c r="AS11" i="3" s="1"/>
  <c r="F11" i="3"/>
  <c r="AS18" i="3"/>
  <c r="AT18" i="3" s="1"/>
  <c r="AS35" i="3"/>
  <c r="AT35" i="3" s="1"/>
  <c r="AR56" i="3"/>
  <c r="AT56" i="3" s="1"/>
  <c r="AS17" i="3"/>
  <c r="AR17" i="3"/>
  <c r="AS108" i="3"/>
  <c r="AR108" i="3"/>
  <c r="AS117" i="3"/>
  <c r="AR117" i="3"/>
  <c r="AT117" i="3" s="1"/>
  <c r="AS7" i="3"/>
  <c r="AS14" i="3"/>
  <c r="AR22" i="3"/>
  <c r="AT22" i="3" s="1"/>
  <c r="AR47" i="3"/>
  <c r="AT47" i="3" s="1"/>
  <c r="AS8" i="3"/>
  <c r="AR8" i="3"/>
  <c r="AR43" i="3"/>
  <c r="AT43" i="3" s="1"/>
  <c r="AS52" i="3"/>
  <c r="AT52" i="3" s="1"/>
  <c r="AS57" i="3"/>
  <c r="AT57" i="3" s="1"/>
  <c r="AS95" i="3"/>
  <c r="AR95" i="3"/>
  <c r="AR59" i="3"/>
  <c r="AS59" i="3"/>
  <c r="AS78" i="3"/>
  <c r="AR78" i="3"/>
  <c r="AR103" i="3"/>
  <c r="AS103" i="3"/>
  <c r="AS9" i="3"/>
  <c r="AT9" i="3" s="1"/>
  <c r="AS71" i="3"/>
  <c r="AT71" i="3" s="1"/>
  <c r="AS45" i="3"/>
  <c r="AR45" i="3"/>
  <c r="AR65" i="3"/>
  <c r="AT65" i="3" s="1"/>
  <c r="AS33" i="3"/>
  <c r="AT33" i="3" s="1"/>
  <c r="AS15" i="3"/>
  <c r="AR15" i="3"/>
  <c r="AR31" i="3"/>
  <c r="AT31" i="3" s="1"/>
  <c r="AS24" i="3"/>
  <c r="AR24" i="3"/>
  <c r="AS88" i="3"/>
  <c r="AR88" i="3"/>
  <c r="AF113" i="3"/>
  <c r="AS16" i="3"/>
  <c r="AR16" i="3"/>
  <c r="AS25" i="3"/>
  <c r="AR25" i="3"/>
  <c r="AS40" i="3"/>
  <c r="AT40" i="3" s="1"/>
  <c r="AR54" i="3"/>
  <c r="AT54" i="3" s="1"/>
  <c r="AS12" i="3"/>
  <c r="AR12" i="3"/>
  <c r="AR51" i="3"/>
  <c r="AT51" i="3" s="1"/>
  <c r="AS50" i="3"/>
  <c r="AR50" i="3"/>
  <c r="AT50" i="3" s="1"/>
  <c r="AR29" i="3"/>
  <c r="AT29" i="3" s="1"/>
  <c r="AS28" i="3"/>
  <c r="AR28" i="3"/>
  <c r="AR68" i="3"/>
  <c r="AT68" i="3" s="1"/>
  <c r="AR73" i="3"/>
  <c r="AT73" i="3" s="1"/>
  <c r="AR21" i="3"/>
  <c r="AT21" i="3" s="1"/>
  <c r="AR41" i="3"/>
  <c r="AT41" i="3" s="1"/>
  <c r="AR53" i="3"/>
  <c r="AT53" i="3" s="1"/>
  <c r="AR58" i="3"/>
  <c r="AT58" i="3" s="1"/>
  <c r="AR75" i="3"/>
  <c r="AT75" i="3" s="1"/>
  <c r="AS79" i="3"/>
  <c r="AR79" i="3"/>
  <c r="AS110" i="3"/>
  <c r="AR110" i="3"/>
  <c r="AS119" i="3"/>
  <c r="AR119" i="3"/>
  <c r="AR122" i="3"/>
  <c r="AT122" i="3" s="1"/>
  <c r="AL122" i="3"/>
  <c r="AR27" i="3"/>
  <c r="AT27" i="3" s="1"/>
  <c r="AR66" i="3"/>
  <c r="AT66" i="3" s="1"/>
  <c r="AR72" i="3"/>
  <c r="AT72" i="3" s="1"/>
  <c r="AR85" i="3"/>
  <c r="AT85" i="3" s="1"/>
  <c r="AR105" i="3"/>
  <c r="AT105" i="3" s="1"/>
  <c r="AR82" i="3"/>
  <c r="AT82" i="3" s="1"/>
  <c r="AS77" i="3"/>
  <c r="AR77" i="3"/>
  <c r="AL118" i="3"/>
  <c r="AR101" i="3"/>
  <c r="AT101" i="3" s="1"/>
  <c r="AS99" i="4" l="1"/>
  <c r="AU237" i="4"/>
  <c r="AV237" i="4"/>
  <c r="AV99" i="4"/>
  <c r="AU99" i="4"/>
  <c r="AR78" i="4"/>
  <c r="AU78" i="4"/>
  <c r="AV78" i="4"/>
  <c r="AR255" i="4"/>
  <c r="AV255" i="4"/>
  <c r="AU255" i="4"/>
  <c r="AW255" i="4" s="1"/>
  <c r="AX255" i="4" s="1"/>
  <c r="AR249" i="4"/>
  <c r="AU249" i="4"/>
  <c r="AV249" i="4"/>
  <c r="AR149" i="4"/>
  <c r="AV149" i="4"/>
  <c r="AU149" i="4"/>
  <c r="AV66" i="4"/>
  <c r="AU66" i="4"/>
  <c r="AR224" i="4"/>
  <c r="AU224" i="4"/>
  <c r="AV224" i="4"/>
  <c r="AR186" i="4"/>
  <c r="AU186" i="4"/>
  <c r="AV186" i="4"/>
  <c r="AR135" i="4"/>
  <c r="AU135" i="4"/>
  <c r="AV135" i="4"/>
  <c r="AU63" i="4"/>
  <c r="AV63" i="4"/>
  <c r="AR70" i="4"/>
  <c r="AV70" i="4"/>
  <c r="AU70" i="4"/>
  <c r="AR112" i="4"/>
  <c r="AU112" i="4"/>
  <c r="AV112" i="4"/>
  <c r="AU60" i="4"/>
  <c r="AV60" i="4"/>
  <c r="AR174" i="4"/>
  <c r="AU174" i="4"/>
  <c r="AV174" i="4"/>
  <c r="AR231" i="4"/>
  <c r="AU231" i="4"/>
  <c r="AV231" i="4"/>
  <c r="AR155" i="4"/>
  <c r="AU155" i="4"/>
  <c r="AV155" i="4"/>
  <c r="AV243" i="4"/>
  <c r="AU243" i="4"/>
  <c r="AR22" i="4"/>
  <c r="AV22" i="4"/>
  <c r="AU22" i="4"/>
  <c r="AR244" i="4"/>
  <c r="AU244" i="4"/>
  <c r="AV244" i="4"/>
  <c r="AV115" i="4"/>
  <c r="AU115" i="4"/>
  <c r="AR36" i="4"/>
  <c r="AV36" i="4"/>
  <c r="AU36" i="4"/>
  <c r="AV162" i="4"/>
  <c r="AU162" i="4"/>
  <c r="AR188" i="4"/>
  <c r="AV188" i="4"/>
  <c r="AU188" i="4"/>
  <c r="AU171" i="4"/>
  <c r="AV171" i="4"/>
  <c r="AR33" i="4"/>
  <c r="AV33" i="4"/>
  <c r="AU33" i="4"/>
  <c r="AV49" i="4"/>
  <c r="AU49" i="4"/>
  <c r="AW49" i="4" s="1"/>
  <c r="AX49" i="4" s="1"/>
  <c r="AV229" i="4"/>
  <c r="AU229" i="4"/>
  <c r="AU7" i="4"/>
  <c r="AV7" i="4"/>
  <c r="AR251" i="4"/>
  <c r="AV251" i="4"/>
  <c r="AU251" i="4"/>
  <c r="AW251" i="4" s="1"/>
  <c r="AX251" i="4" s="1"/>
  <c r="AR146" i="4"/>
  <c r="AV146" i="4"/>
  <c r="AU146" i="4"/>
  <c r="AR12" i="4"/>
  <c r="AU12" i="4"/>
  <c r="AV12" i="4"/>
  <c r="AV103" i="4"/>
  <c r="AU103" i="4"/>
  <c r="AR114" i="4"/>
  <c r="AV114" i="4"/>
  <c r="AU114" i="4"/>
  <c r="AV196" i="4"/>
  <c r="AU196" i="4"/>
  <c r="AW196" i="4" s="1"/>
  <c r="AX196" i="4" s="1"/>
  <c r="AR170" i="4"/>
  <c r="AV170" i="4"/>
  <c r="AU170" i="4"/>
  <c r="AW170" i="4" s="1"/>
  <c r="AX170" i="4" s="1"/>
  <c r="AR26" i="4"/>
  <c r="AV26" i="4"/>
  <c r="AU26" i="4"/>
  <c r="AR4" i="4"/>
  <c r="AV4" i="4"/>
  <c r="AU4" i="4"/>
  <c r="AU252" i="4"/>
  <c r="AV252" i="4"/>
  <c r="AR207" i="4"/>
  <c r="AU207" i="4"/>
  <c r="AV207" i="4"/>
  <c r="AV217" i="4"/>
  <c r="AU217" i="4"/>
  <c r="AW217" i="4" s="1"/>
  <c r="AX217" i="4" s="1"/>
  <c r="AR151" i="4"/>
  <c r="AV151" i="4"/>
  <c r="AU151" i="4"/>
  <c r="AW151" i="4" s="1"/>
  <c r="AX151" i="4" s="1"/>
  <c r="AR127" i="4"/>
  <c r="AU127" i="4"/>
  <c r="AV127" i="4"/>
  <c r="AV31" i="4"/>
  <c r="AU31" i="4"/>
  <c r="AW31" i="4" s="1"/>
  <c r="AX31" i="4" s="1"/>
  <c r="AV101" i="4"/>
  <c r="AU101" i="4"/>
  <c r="AR184" i="4"/>
  <c r="AU184" i="4"/>
  <c r="AV184" i="4"/>
  <c r="AU19" i="4"/>
  <c r="AV19" i="4"/>
  <c r="AR96" i="4"/>
  <c r="AU96" i="4"/>
  <c r="AV96" i="4"/>
  <c r="AR175" i="4"/>
  <c r="AV175" i="4"/>
  <c r="AU175" i="4"/>
  <c r="AR240" i="4"/>
  <c r="AU240" i="4"/>
  <c r="AV240" i="4"/>
  <c r="AU37" i="4"/>
  <c r="AV37" i="4"/>
  <c r="AR200" i="4"/>
  <c r="AU200" i="4"/>
  <c r="AV200" i="4"/>
  <c r="AU201" i="4"/>
  <c r="AV201" i="4"/>
  <c r="AR246" i="4"/>
  <c r="AV246" i="4"/>
  <c r="AU246" i="4"/>
  <c r="AR140" i="4"/>
  <c r="AU140" i="4"/>
  <c r="AV140" i="4"/>
  <c r="AR189" i="4"/>
  <c r="AV189" i="4"/>
  <c r="AU189" i="4"/>
  <c r="AW189" i="4" s="1"/>
  <c r="AX189" i="4" s="1"/>
  <c r="AR145" i="4"/>
  <c r="AV145" i="4"/>
  <c r="AU145" i="4"/>
  <c r="AR235" i="4"/>
  <c r="AU235" i="4"/>
  <c r="AV235" i="4"/>
  <c r="AV40" i="4"/>
  <c r="AU40" i="4"/>
  <c r="AW40" i="4" s="1"/>
  <c r="AX40" i="4" s="1"/>
  <c r="AU67" i="4"/>
  <c r="AV67" i="4"/>
  <c r="AU212" i="4"/>
  <c r="AV212" i="4"/>
  <c r="AV215" i="4"/>
  <c r="AU215" i="4"/>
  <c r="AR57" i="4"/>
  <c r="AV57" i="4"/>
  <c r="AU57" i="4"/>
  <c r="AU124" i="4"/>
  <c r="AV124" i="4"/>
  <c r="AR27" i="4"/>
  <c r="AU27" i="4"/>
  <c r="AV27" i="4"/>
  <c r="AU93" i="4"/>
  <c r="AV93" i="4"/>
  <c r="AR11" i="4"/>
  <c r="AU11" i="4"/>
  <c r="AV11" i="4"/>
  <c r="AR110" i="4"/>
  <c r="AV110" i="4"/>
  <c r="AU110" i="4"/>
  <c r="AR6" i="4"/>
  <c r="AU6" i="4"/>
  <c r="AV6" i="4"/>
  <c r="AR194" i="4"/>
  <c r="AU194" i="4"/>
  <c r="AV194" i="4"/>
  <c r="AU122" i="4"/>
  <c r="AV122" i="4"/>
  <c r="AU167" i="4"/>
  <c r="AV167" i="4"/>
  <c r="AR98" i="4"/>
  <c r="AU98" i="4"/>
  <c r="AV98" i="4"/>
  <c r="AR209" i="4"/>
  <c r="AU209" i="4"/>
  <c r="AV209" i="4"/>
  <c r="AV105" i="4"/>
  <c r="AU105" i="4"/>
  <c r="AW105" i="4" s="1"/>
  <c r="AX105" i="4" s="1"/>
  <c r="AR132" i="4"/>
  <c r="AU132" i="4"/>
  <c r="AV132" i="4"/>
  <c r="AR53" i="4"/>
  <c r="AV53" i="4"/>
  <c r="AU53" i="4"/>
  <c r="AR164" i="4"/>
  <c r="AV164" i="4"/>
  <c r="AU164" i="4"/>
  <c r="AR117" i="4"/>
  <c r="AU117" i="4"/>
  <c r="AV117" i="4"/>
  <c r="AV191" i="4"/>
  <c r="AU191" i="4"/>
  <c r="AR74" i="4"/>
  <c r="AV74" i="4"/>
  <c r="AU74" i="4"/>
  <c r="AU39" i="4"/>
  <c r="AV39" i="4"/>
  <c r="AV153" i="4"/>
  <c r="AU153" i="4"/>
  <c r="AR42" i="4"/>
  <c r="AV42" i="4"/>
  <c r="AU42" i="4"/>
  <c r="AW42" i="4" s="1"/>
  <c r="AX42" i="4" s="1"/>
  <c r="AR58" i="4"/>
  <c r="AV58" i="4"/>
  <c r="AU58" i="4"/>
  <c r="AW58" i="4" s="1"/>
  <c r="AX58" i="4" s="1"/>
  <c r="AR136" i="4"/>
  <c r="AU136" i="4"/>
  <c r="AV136" i="4"/>
  <c r="AU120" i="4"/>
  <c r="AV120" i="4"/>
  <c r="AV247" i="4"/>
  <c r="AU247" i="4"/>
  <c r="AV80" i="4"/>
  <c r="AU80" i="4"/>
  <c r="AW80" i="4" s="1"/>
  <c r="AX80" i="4" s="1"/>
  <c r="AR73" i="4"/>
  <c r="AV73" i="4"/>
  <c r="AU73" i="4"/>
  <c r="AW73" i="4" s="1"/>
  <c r="AX73" i="4" s="1"/>
  <c r="AV131" i="4"/>
  <c r="AU131" i="4"/>
  <c r="AR54" i="4"/>
  <c r="AU54" i="4"/>
  <c r="AV54" i="4"/>
  <c r="AV14" i="4"/>
  <c r="AU14" i="4"/>
  <c r="AV168" i="4"/>
  <c r="AU168" i="4"/>
  <c r="AW168" i="4" s="1"/>
  <c r="AX168" i="4" s="1"/>
  <c r="AR108" i="4"/>
  <c r="AU108" i="4"/>
  <c r="AV108" i="4"/>
  <c r="AR2" i="4"/>
  <c r="AV2" i="4"/>
  <c r="AU2" i="4"/>
  <c r="AR111" i="4"/>
  <c r="AU111" i="4"/>
  <c r="AV111" i="4"/>
  <c r="AR44" i="4"/>
  <c r="AU44" i="4"/>
  <c r="AV44" i="4"/>
  <c r="AR91" i="4"/>
  <c r="AV91" i="4"/>
  <c r="AU91" i="4"/>
  <c r="AR61" i="4"/>
  <c r="AU61" i="4"/>
  <c r="AV61" i="4"/>
  <c r="AR233" i="4"/>
  <c r="AV233" i="4"/>
  <c r="AU233" i="4"/>
  <c r="AU241" i="4"/>
  <c r="AV241" i="4"/>
  <c r="AR46" i="4"/>
  <c r="AU46" i="4"/>
  <c r="AV46" i="4"/>
  <c r="AU9" i="4"/>
  <c r="AV9" i="4"/>
  <c r="AR223" i="4"/>
  <c r="AV223" i="4"/>
  <c r="AU223" i="4"/>
  <c r="AU242" i="4"/>
  <c r="AV242" i="4"/>
  <c r="AR179" i="4"/>
  <c r="AU179" i="4"/>
  <c r="AV179" i="4"/>
  <c r="AU82" i="4"/>
  <c r="AV82" i="4"/>
  <c r="AR28" i="4"/>
  <c r="AU28" i="4"/>
  <c r="AV28" i="4"/>
  <c r="AU216" i="4"/>
  <c r="AV216" i="4"/>
  <c r="AV226" i="4"/>
  <c r="AU226" i="4"/>
  <c r="AR181" i="4"/>
  <c r="AU181" i="4"/>
  <c r="AV181" i="4"/>
  <c r="AV230" i="4"/>
  <c r="AU230" i="4"/>
  <c r="AU24" i="4"/>
  <c r="AV24" i="4"/>
  <c r="AU25" i="4"/>
  <c r="AV25" i="4"/>
  <c r="AR34" i="4"/>
  <c r="AV34" i="4"/>
  <c r="AU34" i="4"/>
  <c r="AR190" i="4"/>
  <c r="AU190" i="4"/>
  <c r="AV190" i="4"/>
  <c r="AR256" i="4"/>
  <c r="AU256" i="4"/>
  <c r="AV256" i="4"/>
  <c r="AR107" i="4"/>
  <c r="AU107" i="4"/>
  <c r="AV107" i="4"/>
  <c r="AR13" i="4"/>
  <c r="AU13" i="4"/>
  <c r="AV13" i="4"/>
  <c r="AR219" i="4"/>
  <c r="AU219" i="4"/>
  <c r="AV219" i="4"/>
  <c r="AR133" i="4"/>
  <c r="AU133" i="4"/>
  <c r="AV133" i="4"/>
  <c r="AU204" i="4"/>
  <c r="AV204" i="4"/>
  <c r="AR102" i="4"/>
  <c r="AV102" i="4"/>
  <c r="AU102" i="4"/>
  <c r="AW102" i="4" s="1"/>
  <c r="AX102" i="4" s="1"/>
  <c r="AR159" i="4"/>
  <c r="AU159" i="4"/>
  <c r="AV159" i="4"/>
  <c r="AV38" i="4"/>
  <c r="AU38" i="4"/>
  <c r="AR104" i="4"/>
  <c r="AU104" i="4"/>
  <c r="AV104" i="4"/>
  <c r="AR160" i="4"/>
  <c r="AV160" i="4"/>
  <c r="AU160" i="4"/>
  <c r="AW160" i="4" s="1"/>
  <c r="AX160" i="4" s="1"/>
  <c r="AV119" i="4"/>
  <c r="AU119" i="4"/>
  <c r="AV62" i="4"/>
  <c r="AU62" i="4"/>
  <c r="AV43" i="4"/>
  <c r="AU43" i="4"/>
  <c r="AR48" i="4"/>
  <c r="AU48" i="4"/>
  <c r="AV48" i="4"/>
  <c r="AR137" i="4"/>
  <c r="AU137" i="4"/>
  <c r="AV137" i="4"/>
  <c r="AR76" i="4"/>
  <c r="AU76" i="4"/>
  <c r="AV76" i="4"/>
  <c r="AU152" i="4"/>
  <c r="AV152" i="4"/>
  <c r="AR100" i="4"/>
  <c r="AV100" i="4"/>
  <c r="AU100" i="4"/>
  <c r="AV211" i="4"/>
  <c r="AU211" i="4"/>
  <c r="AR83" i="4"/>
  <c r="AU83" i="4"/>
  <c r="AV83" i="4"/>
  <c r="AU20" i="4"/>
  <c r="AV20" i="4"/>
  <c r="AR150" i="4"/>
  <c r="AV150" i="4"/>
  <c r="AU150" i="4"/>
  <c r="AR55" i="4"/>
  <c r="AU55" i="4"/>
  <c r="AV55" i="4"/>
  <c r="AR125" i="4"/>
  <c r="AU125" i="4"/>
  <c r="AV125" i="4"/>
  <c r="AU193" i="4"/>
  <c r="AV193" i="4"/>
  <c r="AR177" i="4"/>
  <c r="AV177" i="4"/>
  <c r="AU177" i="4"/>
  <c r="AW177" i="4" s="1"/>
  <c r="AX177" i="4" s="1"/>
  <c r="AR113" i="4"/>
  <c r="AU113" i="4"/>
  <c r="AV113" i="4"/>
  <c r="AU90" i="4"/>
  <c r="AV90" i="4"/>
  <c r="AU205" i="4"/>
  <c r="AV205" i="4"/>
  <c r="AU195" i="4"/>
  <c r="AV195" i="4"/>
  <c r="AV18" i="4"/>
  <c r="AU18" i="4"/>
  <c r="AR134" i="4"/>
  <c r="AU134" i="4"/>
  <c r="AV134" i="4"/>
  <c r="AR197" i="4"/>
  <c r="AU197" i="4"/>
  <c r="AV197" i="4"/>
  <c r="AR8" i="4"/>
  <c r="AV8" i="4"/>
  <c r="AU8" i="4"/>
  <c r="AW8" i="4" s="1"/>
  <c r="AX8" i="4" s="1"/>
  <c r="AR116" i="4"/>
  <c r="AV116" i="4"/>
  <c r="AU116" i="4"/>
  <c r="AW116" i="4" s="1"/>
  <c r="AX116" i="4" s="1"/>
  <c r="AV228" i="4"/>
  <c r="AU228" i="4"/>
  <c r="AU5" i="4"/>
  <c r="AV5" i="4"/>
  <c r="AR183" i="4"/>
  <c r="AU183" i="4"/>
  <c r="AV183" i="4"/>
  <c r="AR176" i="4"/>
  <c r="AV176" i="4"/>
  <c r="AU176" i="4"/>
  <c r="AR143" i="4"/>
  <c r="AU143" i="4"/>
  <c r="AV143" i="4"/>
  <c r="AR253" i="4"/>
  <c r="AU253" i="4"/>
  <c r="AV253" i="4"/>
  <c r="AR129" i="4"/>
  <c r="AV129" i="4"/>
  <c r="AU129" i="4"/>
  <c r="AV77" i="4"/>
  <c r="AU77" i="4"/>
  <c r="AW77" i="4" s="1"/>
  <c r="AX77" i="4" s="1"/>
  <c r="AU17" i="4"/>
  <c r="AV17" i="4"/>
  <c r="AR180" i="4"/>
  <c r="AU180" i="4"/>
  <c r="AV180" i="4"/>
  <c r="AU214" i="4"/>
  <c r="AV214" i="4"/>
  <c r="AR165" i="4"/>
  <c r="AU165" i="4"/>
  <c r="AV165" i="4"/>
  <c r="AR65" i="4"/>
  <c r="AV65" i="4"/>
  <c r="AU65" i="4"/>
  <c r="AR89" i="4"/>
  <c r="AV89" i="4"/>
  <c r="AU89" i="4"/>
  <c r="AW89" i="4" s="1"/>
  <c r="AX89" i="4" s="1"/>
  <c r="AR64" i="4"/>
  <c r="AU64" i="4"/>
  <c r="AV64" i="4"/>
  <c r="AV10" i="4"/>
  <c r="AU10" i="4"/>
  <c r="AV45" i="4"/>
  <c r="AU45" i="4"/>
  <c r="AW45" i="4" s="1"/>
  <c r="AX45" i="4" s="1"/>
  <c r="AU16" i="4"/>
  <c r="AV16" i="4"/>
  <c r="AR166" i="4"/>
  <c r="AU166" i="4"/>
  <c r="AV166" i="4"/>
  <c r="AR59" i="4"/>
  <c r="AU59" i="4"/>
  <c r="AV59" i="4"/>
  <c r="AR185" i="4"/>
  <c r="AU185" i="4"/>
  <c r="AV185" i="4"/>
  <c r="AR225" i="4"/>
  <c r="AV225" i="4"/>
  <c r="AU225" i="4"/>
  <c r="AR245" i="4"/>
  <c r="AV245" i="4"/>
  <c r="AU245" i="4"/>
  <c r="AW245" i="4" s="1"/>
  <c r="AX245" i="4" s="1"/>
  <c r="AR173" i="4"/>
  <c r="AV173" i="4"/>
  <c r="AU173" i="4"/>
  <c r="AW173" i="4" s="1"/>
  <c r="AX173" i="4" s="1"/>
  <c r="AR156" i="4"/>
  <c r="AV156" i="4"/>
  <c r="AU156" i="4"/>
  <c r="AV208" i="4"/>
  <c r="AU208" i="4"/>
  <c r="AW208" i="4" s="1"/>
  <c r="AX208" i="4" s="1"/>
  <c r="AU163" i="4"/>
  <c r="AV163" i="4"/>
  <c r="AR138" i="4"/>
  <c r="AU138" i="4"/>
  <c r="AV138" i="4"/>
  <c r="AR221" i="4"/>
  <c r="AU221" i="4"/>
  <c r="AV221" i="4"/>
  <c r="AU15" i="4"/>
  <c r="AV15" i="4"/>
  <c r="AR144" i="4"/>
  <c r="AU144" i="4"/>
  <c r="AV144" i="4"/>
  <c r="AU250" i="4"/>
  <c r="AV250" i="4"/>
  <c r="AU234" i="4"/>
  <c r="AV234" i="4"/>
  <c r="AR52" i="4"/>
  <c r="AV52" i="4"/>
  <c r="AU52" i="4"/>
  <c r="AW52" i="4" s="1"/>
  <c r="AX52" i="4" s="1"/>
  <c r="AR248" i="4"/>
  <c r="AU248" i="4"/>
  <c r="AV248" i="4"/>
  <c r="AR199" i="4"/>
  <c r="AV199" i="4"/>
  <c r="AU199" i="4"/>
  <c r="AR121" i="4"/>
  <c r="AU121" i="4"/>
  <c r="AV121" i="4"/>
  <c r="AU88" i="4"/>
  <c r="AV88" i="4"/>
  <c r="AR86" i="4"/>
  <c r="AU86" i="4"/>
  <c r="AV86" i="4"/>
  <c r="AU130" i="4"/>
  <c r="AV130" i="4"/>
  <c r="AR69" i="4"/>
  <c r="AU69" i="4"/>
  <c r="AV69" i="4"/>
  <c r="AU147" i="4"/>
  <c r="AV147" i="4"/>
  <c r="AV123" i="4"/>
  <c r="AU123" i="4"/>
  <c r="AW123" i="4" s="1"/>
  <c r="AX123" i="4" s="1"/>
  <c r="AU85" i="4"/>
  <c r="AV85" i="4"/>
  <c r="AR97" i="4"/>
  <c r="AU97" i="4"/>
  <c r="AV97" i="4"/>
  <c r="AU32" i="4"/>
  <c r="AV32" i="4"/>
  <c r="AU75" i="4"/>
  <c r="AV75" i="4"/>
  <c r="AR68" i="4"/>
  <c r="AU68" i="4"/>
  <c r="AV68" i="4"/>
  <c r="AR220" i="4"/>
  <c r="AV220" i="4"/>
  <c r="AU220" i="4"/>
  <c r="AR71" i="4"/>
  <c r="AU71" i="4"/>
  <c r="AV71" i="4"/>
  <c r="AU87" i="4"/>
  <c r="AV87" i="4"/>
  <c r="AU232" i="4"/>
  <c r="AV232" i="4"/>
  <c r="AR178" i="4"/>
  <c r="AV178" i="4"/>
  <c r="AU178" i="4"/>
  <c r="AW178" i="4" s="1"/>
  <c r="AX178" i="4" s="1"/>
  <c r="AR192" i="4"/>
  <c r="AV192" i="4"/>
  <c r="AU192" i="4"/>
  <c r="AW192" i="4" s="1"/>
  <c r="AX192" i="4" s="1"/>
  <c r="AR23" i="4"/>
  <c r="AU23" i="4"/>
  <c r="AV23" i="4"/>
  <c r="AU126" i="4"/>
  <c r="AV126" i="4"/>
  <c r="AV3" i="4"/>
  <c r="AU3" i="4"/>
  <c r="AU79" i="4"/>
  <c r="AV79" i="4"/>
  <c r="AU187" i="4"/>
  <c r="AV187" i="4"/>
  <c r="AR157" i="4"/>
  <c r="AV157" i="4"/>
  <c r="AU157" i="4"/>
  <c r="AU141" i="4"/>
  <c r="AV141" i="4"/>
  <c r="AR148" i="4"/>
  <c r="AV148" i="4"/>
  <c r="AU148" i="4"/>
  <c r="AU106" i="4"/>
  <c r="AV106" i="4"/>
  <c r="AU139" i="4"/>
  <c r="AV139" i="4"/>
  <c r="AU94" i="4"/>
  <c r="AV94" i="4"/>
  <c r="AR95" i="4"/>
  <c r="AU95" i="4"/>
  <c r="AV95" i="4"/>
  <c r="AR154" i="4"/>
  <c r="AU154" i="4"/>
  <c r="AV154" i="4"/>
  <c r="AR72" i="4"/>
  <c r="AU72" i="4"/>
  <c r="AV72" i="4"/>
  <c r="AR218" i="4"/>
  <c r="AV218" i="4"/>
  <c r="AU218" i="4"/>
  <c r="AW218" i="4" s="1"/>
  <c r="AX218" i="4" s="1"/>
  <c r="AV161" i="4"/>
  <c r="AU161" i="4"/>
  <c r="AR109" i="4"/>
  <c r="AU109" i="4"/>
  <c r="AV109" i="4"/>
  <c r="AR202" i="4"/>
  <c r="AU202" i="4"/>
  <c r="AV202" i="4"/>
  <c r="AU51" i="4"/>
  <c r="AV51" i="4"/>
  <c r="AU50" i="4"/>
  <c r="AV50" i="4"/>
  <c r="AU198" i="4"/>
  <c r="AV198" i="4"/>
  <c r="AV222" i="4"/>
  <c r="AU222" i="4"/>
  <c r="AW222" i="4" s="1"/>
  <c r="AX222" i="4" s="1"/>
  <c r="AR238" i="4"/>
  <c r="AV238" i="4"/>
  <c r="AU238" i="4"/>
  <c r="AU172" i="4"/>
  <c r="AV172" i="4"/>
  <c r="AU30" i="4"/>
  <c r="AV30" i="4"/>
  <c r="AR158" i="4"/>
  <c r="AU158" i="4"/>
  <c r="AV158" i="4"/>
  <c r="AR236" i="4"/>
  <c r="AU236" i="4"/>
  <c r="AV236" i="4"/>
  <c r="AR118" i="4"/>
  <c r="AV118" i="4"/>
  <c r="AU118" i="4"/>
  <c r="AW118" i="4" s="1"/>
  <c r="AX118" i="4" s="1"/>
  <c r="AV227" i="4"/>
  <c r="AU227" i="4"/>
  <c r="AR128" i="4"/>
  <c r="AV128" i="4"/>
  <c r="AU128" i="4"/>
  <c r="AR254" i="4"/>
  <c r="AU254" i="4"/>
  <c r="AV254" i="4"/>
  <c r="AR84" i="4"/>
  <c r="AU84" i="4"/>
  <c r="AV84" i="4"/>
  <c r="AR92" i="4"/>
  <c r="AV92" i="4"/>
  <c r="AU92" i="4"/>
  <c r="AU35" i="4"/>
  <c r="AV35" i="4"/>
  <c r="AR213" i="4"/>
  <c r="AU213" i="4"/>
  <c r="AV213" i="4"/>
  <c r="AV21" i="4"/>
  <c r="AU21" i="4"/>
  <c r="AR203" i="4"/>
  <c r="AV203" i="4"/>
  <c r="AU203" i="4"/>
  <c r="AW203" i="4" s="1"/>
  <c r="AX203" i="4" s="1"/>
  <c r="AR239" i="4"/>
  <c r="AU239" i="4"/>
  <c r="AV239" i="4"/>
  <c r="AU210" i="4"/>
  <c r="AV210" i="4"/>
  <c r="AV81" i="4"/>
  <c r="AU81" i="4"/>
  <c r="AW81" i="4" s="1"/>
  <c r="AX81" i="4" s="1"/>
  <c r="AR169" i="4"/>
  <c r="AU169" i="4"/>
  <c r="AV169" i="4"/>
  <c r="AU29" i="4"/>
  <c r="AV29" i="4"/>
  <c r="AU56" i="4"/>
  <c r="AV56" i="4"/>
  <c r="AR142" i="4"/>
  <c r="AU142" i="4"/>
  <c r="AV142" i="4"/>
  <c r="AU206" i="4"/>
  <c r="AV206" i="4"/>
  <c r="AR182" i="4"/>
  <c r="AV182" i="4"/>
  <c r="AU182" i="4"/>
  <c r="AR47" i="4"/>
  <c r="AV47" i="4"/>
  <c r="AU47" i="4"/>
  <c r="AU41" i="4"/>
  <c r="AV41" i="4"/>
  <c r="AR191" i="4"/>
  <c r="AR32" i="4"/>
  <c r="AR17" i="4"/>
  <c r="AR204" i="4"/>
  <c r="AR247" i="4"/>
  <c r="AR18" i="4"/>
  <c r="AR163" i="4"/>
  <c r="AR153" i="4"/>
  <c r="AQ216" i="4"/>
  <c r="AR130" i="4"/>
  <c r="AR43" i="4"/>
  <c r="AR75" i="4"/>
  <c r="AR232" i="4"/>
  <c r="AR152" i="4"/>
  <c r="AR82" i="4"/>
  <c r="AR226" i="4"/>
  <c r="AR25" i="4"/>
  <c r="AR3" i="4"/>
  <c r="AR38" i="4"/>
  <c r="AR94" i="4"/>
  <c r="AR222" i="4"/>
  <c r="AR210" i="4"/>
  <c r="AR228" i="4"/>
  <c r="AR5" i="4"/>
  <c r="AR66" i="4"/>
  <c r="AR45" i="4"/>
  <c r="AR119" i="4"/>
  <c r="AR168" i="4"/>
  <c r="AR63" i="4"/>
  <c r="AR37" i="4"/>
  <c r="AR122" i="4"/>
  <c r="AR105" i="4"/>
  <c r="AR39" i="4"/>
  <c r="AR120" i="4"/>
  <c r="AR88" i="4"/>
  <c r="AR77" i="4"/>
  <c r="AQ21" i="4"/>
  <c r="AR126" i="4"/>
  <c r="AR79" i="4"/>
  <c r="AR187" i="4"/>
  <c r="AR195" i="4"/>
  <c r="AR161" i="4"/>
  <c r="AR51" i="4"/>
  <c r="AR208" i="4"/>
  <c r="AR172" i="4"/>
  <c r="AR56" i="4"/>
  <c r="AR206" i="4"/>
  <c r="AR41" i="4"/>
  <c r="AR237" i="4"/>
  <c r="AR15" i="4"/>
  <c r="AR14" i="4"/>
  <c r="AR250" i="4"/>
  <c r="AR80" i="4"/>
  <c r="AR19" i="4"/>
  <c r="AR60" i="4"/>
  <c r="AR243" i="4"/>
  <c r="AR40" i="4"/>
  <c r="AR67" i="4"/>
  <c r="AR212" i="4"/>
  <c r="AR167" i="4"/>
  <c r="AR123" i="4"/>
  <c r="AR131" i="4"/>
  <c r="AR9" i="4"/>
  <c r="AR87" i="4"/>
  <c r="AR242" i="4"/>
  <c r="AR230" i="4"/>
  <c r="AR20" i="4"/>
  <c r="AR205" i="4"/>
  <c r="AR139" i="4"/>
  <c r="AR214" i="4"/>
  <c r="AR227" i="4"/>
  <c r="AR35" i="4"/>
  <c r="AR29" i="4"/>
  <c r="AR217" i="4"/>
  <c r="AR10" i="4"/>
  <c r="AR124" i="4"/>
  <c r="AR162" i="4"/>
  <c r="AR93" i="4"/>
  <c r="AR171" i="4"/>
  <c r="AR49" i="4"/>
  <c r="AQ201" i="4"/>
  <c r="AR229" i="4"/>
  <c r="AR16" i="4"/>
  <c r="AR62" i="4"/>
  <c r="AR241" i="4"/>
  <c r="AR147" i="4"/>
  <c r="AR85" i="4"/>
  <c r="AR24" i="4"/>
  <c r="AR211" i="4"/>
  <c r="AR193" i="4"/>
  <c r="AR90" i="4"/>
  <c r="AR141" i="4"/>
  <c r="AR106" i="4"/>
  <c r="AR50" i="4"/>
  <c r="AR198" i="4"/>
  <c r="AR30" i="4"/>
  <c r="AR81" i="4"/>
  <c r="AR31" i="4"/>
  <c r="AR234" i="4"/>
  <c r="AR215" i="4"/>
  <c r="AR115" i="4"/>
  <c r="AR7" i="4"/>
  <c r="AR103" i="4"/>
  <c r="AR196" i="4"/>
  <c r="AR252" i="4"/>
  <c r="AS101" i="4"/>
  <c r="AS216" i="4"/>
  <c r="AN201" i="4"/>
  <c r="AS201" i="4" s="1"/>
  <c r="AS21" i="4"/>
  <c r="BF20" i="4" a="1"/>
  <c r="BF20" i="4" s="1"/>
  <c r="BF21" i="4" s="1" a="1"/>
  <c r="BF21" i="4" s="1"/>
  <c r="BF30" i="4" a="1"/>
  <c r="BF30" i="4" s="1"/>
  <c r="BF10" i="4"/>
  <c r="BF15" i="4"/>
  <c r="BF28" i="4" a="1"/>
  <c r="BF28" i="4" s="1"/>
  <c r="BF24" i="4" a="1"/>
  <c r="BF24" i="4" s="1"/>
  <c r="BF25" i="4" s="1" a="1"/>
  <c r="BF25" i="4" s="1"/>
  <c r="BF5" i="4"/>
  <c r="BF29" i="4" a="1"/>
  <c r="BF29" i="4" s="1"/>
  <c r="BF22" i="4" a="1"/>
  <c r="BF22" i="4" s="1"/>
  <c r="BF23" i="4" s="1" a="1"/>
  <c r="BF23" i="4" s="1"/>
  <c r="AN96" i="4"/>
  <c r="AS96" i="4" s="1"/>
  <c r="AN249" i="4"/>
  <c r="AS249" i="4" s="1"/>
  <c r="AN215" i="4"/>
  <c r="AS215" i="4" s="1"/>
  <c r="AP21" i="4"/>
  <c r="AR21" i="4"/>
  <c r="AR201" i="4"/>
  <c r="AQ101" i="4"/>
  <c r="AP101" i="4"/>
  <c r="AP216" i="4"/>
  <c r="AP99" i="4"/>
  <c r="AQ99" i="4"/>
  <c r="AP201" i="4"/>
  <c r="AR99" i="4"/>
  <c r="AR101" i="4"/>
  <c r="AR216" i="4"/>
  <c r="AT88" i="3"/>
  <c r="AT124" i="3"/>
  <c r="AR11" i="3"/>
  <c r="AT11" i="3" s="1"/>
  <c r="AT25" i="3"/>
  <c r="AT28" i="3"/>
  <c r="AT110" i="3"/>
  <c r="AT79" i="3"/>
  <c r="AT8" i="3"/>
  <c r="AT112" i="3"/>
  <c r="AT17" i="3"/>
  <c r="AT116" i="3"/>
  <c r="AT16" i="3"/>
  <c r="AT78" i="3"/>
  <c r="AT77" i="3"/>
  <c r="AT95" i="3"/>
  <c r="AT108" i="3"/>
  <c r="AT107" i="3"/>
  <c r="AT12" i="3"/>
  <c r="AT45" i="3"/>
  <c r="AT119" i="3"/>
  <c r="AT13" i="3"/>
  <c r="AT59" i="3"/>
  <c r="AT103" i="3"/>
  <c r="AS136" i="3"/>
  <c r="AT7" i="3"/>
  <c r="AT24" i="3"/>
  <c r="AT15" i="3"/>
  <c r="AT14" i="3"/>
  <c r="AW36" i="4" l="1"/>
  <c r="AX36" i="4" s="1"/>
  <c r="AW230" i="4"/>
  <c r="AX230" i="4" s="1"/>
  <c r="AW247" i="4"/>
  <c r="AX247" i="4" s="1"/>
  <c r="AW101" i="4"/>
  <c r="AX101" i="4" s="1"/>
  <c r="AW33" i="4"/>
  <c r="AX33" i="4" s="1"/>
  <c r="AW2" i="4"/>
  <c r="AX2" i="4" s="1"/>
  <c r="AW53" i="4"/>
  <c r="AX53" i="4" s="1"/>
  <c r="AW114" i="4"/>
  <c r="AX114" i="4" s="1"/>
  <c r="AW229" i="4"/>
  <c r="AX229" i="4" s="1"/>
  <c r="AW238" i="4"/>
  <c r="AX238" i="4" s="1"/>
  <c r="AW18" i="4"/>
  <c r="AX18" i="4" s="1"/>
  <c r="AW100" i="4"/>
  <c r="AX100" i="4" s="1"/>
  <c r="AW62" i="4"/>
  <c r="AX62" i="4" s="1"/>
  <c r="AW223" i="4"/>
  <c r="AX223" i="4" s="1"/>
  <c r="AW91" i="4"/>
  <c r="AX91" i="4" s="1"/>
  <c r="AW66" i="4"/>
  <c r="AX66" i="4" s="1"/>
  <c r="AW150" i="4"/>
  <c r="AX150" i="4" s="1"/>
  <c r="AW34" i="4"/>
  <c r="AX34" i="4" s="1"/>
  <c r="AW131" i="4"/>
  <c r="AX131" i="4" s="1"/>
  <c r="AW164" i="4"/>
  <c r="AX164" i="4" s="1"/>
  <c r="AW145" i="4"/>
  <c r="AX145" i="4" s="1"/>
  <c r="AW103" i="4"/>
  <c r="AX103" i="4" s="1"/>
  <c r="AW169" i="4"/>
  <c r="AX169" i="4" s="1"/>
  <c r="AW139" i="4"/>
  <c r="AX139" i="4" s="1"/>
  <c r="AW136" i="4"/>
  <c r="AX136" i="4" s="1"/>
  <c r="AW209" i="4"/>
  <c r="AX209" i="4" s="1"/>
  <c r="AW127" i="4"/>
  <c r="AX127" i="4" s="1"/>
  <c r="AW157" i="4"/>
  <c r="AX157" i="4" s="1"/>
  <c r="AW225" i="4"/>
  <c r="AX225" i="4" s="1"/>
  <c r="AW10" i="4"/>
  <c r="AX10" i="4" s="1"/>
  <c r="AW176" i="4"/>
  <c r="AX176" i="4" s="1"/>
  <c r="AW38" i="4"/>
  <c r="AX38" i="4" s="1"/>
  <c r="AW233" i="4"/>
  <c r="AX233" i="4" s="1"/>
  <c r="AW153" i="4"/>
  <c r="AX153" i="4" s="1"/>
  <c r="AW115" i="4"/>
  <c r="AX115" i="4" s="1"/>
  <c r="AW47" i="4"/>
  <c r="AX47" i="4" s="1"/>
  <c r="AW65" i="4"/>
  <c r="AX65" i="4" s="1"/>
  <c r="AW228" i="4"/>
  <c r="AX228" i="4" s="1"/>
  <c r="AW119" i="4"/>
  <c r="AX119" i="4" s="1"/>
  <c r="AW226" i="4"/>
  <c r="AX226" i="4" s="1"/>
  <c r="AW175" i="4"/>
  <c r="AX175" i="4" s="1"/>
  <c r="AW188" i="4"/>
  <c r="AX188" i="4" s="1"/>
  <c r="AW243" i="4"/>
  <c r="AX243" i="4" s="1"/>
  <c r="AW70" i="4"/>
  <c r="AX70" i="4" s="1"/>
  <c r="AW149" i="4"/>
  <c r="AX149" i="4" s="1"/>
  <c r="AW182" i="4"/>
  <c r="AX182" i="4" s="1"/>
  <c r="AW92" i="4"/>
  <c r="AX92" i="4" s="1"/>
  <c r="AW148" i="4"/>
  <c r="AX148" i="4" s="1"/>
  <c r="AW220" i="4"/>
  <c r="AX220" i="4" s="1"/>
  <c r="AW199" i="4"/>
  <c r="AX199" i="4" s="1"/>
  <c r="AW246" i="4"/>
  <c r="AX246" i="4" s="1"/>
  <c r="AW162" i="4"/>
  <c r="AX162" i="4" s="1"/>
  <c r="AW21" i="4"/>
  <c r="AX21" i="4" s="1"/>
  <c r="AW128" i="4"/>
  <c r="AX128" i="4" s="1"/>
  <c r="AW211" i="4"/>
  <c r="AX211" i="4" s="1"/>
  <c r="AW43" i="4"/>
  <c r="AX43" i="4" s="1"/>
  <c r="AW74" i="4"/>
  <c r="AX74" i="4" s="1"/>
  <c r="AW57" i="4"/>
  <c r="AX57" i="4" s="1"/>
  <c r="AW4" i="4"/>
  <c r="AX4" i="4" s="1"/>
  <c r="AW99" i="4"/>
  <c r="AX99" i="4" s="1"/>
  <c r="AW22" i="4"/>
  <c r="AX22" i="4" s="1"/>
  <c r="AW71" i="4"/>
  <c r="AX71" i="4" s="1"/>
  <c r="AW85" i="4"/>
  <c r="AX85" i="4" s="1"/>
  <c r="AW121" i="4"/>
  <c r="AX121" i="4" s="1"/>
  <c r="AW144" i="4"/>
  <c r="AX144" i="4" s="1"/>
  <c r="AW195" i="4"/>
  <c r="AX195" i="4" s="1"/>
  <c r="AW204" i="4"/>
  <c r="AX204" i="4" s="1"/>
  <c r="AW140" i="4"/>
  <c r="AX140" i="4" s="1"/>
  <c r="AW35" i="4"/>
  <c r="AX35" i="4" s="1"/>
  <c r="AW106" i="4"/>
  <c r="AX106" i="4" s="1"/>
  <c r="AW166" i="4"/>
  <c r="AX166" i="4" s="1"/>
  <c r="AW55" i="4"/>
  <c r="AX55" i="4" s="1"/>
  <c r="AW44" i="4"/>
  <c r="AX44" i="4" s="1"/>
  <c r="AW117" i="4"/>
  <c r="AX117" i="4" s="1"/>
  <c r="AW212" i="4"/>
  <c r="AX212" i="4" s="1"/>
  <c r="AW253" i="4"/>
  <c r="AX253" i="4" s="1"/>
  <c r="AW205" i="4"/>
  <c r="AX205" i="4" s="1"/>
  <c r="AW216" i="4"/>
  <c r="AX216" i="4" s="1"/>
  <c r="AW98" i="4"/>
  <c r="AX98" i="4" s="1"/>
  <c r="AW11" i="4"/>
  <c r="AX11" i="4" s="1"/>
  <c r="AW155" i="4"/>
  <c r="AX155" i="4" s="1"/>
  <c r="AW63" i="4"/>
  <c r="AX63" i="4" s="1"/>
  <c r="AW158" i="4"/>
  <c r="AX158" i="4" s="1"/>
  <c r="AW51" i="4"/>
  <c r="AX51" i="4" s="1"/>
  <c r="AW154" i="4"/>
  <c r="AX154" i="4" s="1"/>
  <c r="AW20" i="4"/>
  <c r="AX20" i="4" s="1"/>
  <c r="AW25" i="4"/>
  <c r="AX25" i="4" s="1"/>
  <c r="AW82" i="4"/>
  <c r="AX82" i="4" s="1"/>
  <c r="AW122" i="4"/>
  <c r="AX122" i="4" s="1"/>
  <c r="AW27" i="4"/>
  <c r="AX27" i="4" s="1"/>
  <c r="AW235" i="4"/>
  <c r="AX235" i="4" s="1"/>
  <c r="AW207" i="4"/>
  <c r="AX207" i="4" s="1"/>
  <c r="AW142" i="4"/>
  <c r="AX142" i="4" s="1"/>
  <c r="AW138" i="4"/>
  <c r="AX138" i="4" s="1"/>
  <c r="AW180" i="4"/>
  <c r="AX180" i="4" s="1"/>
  <c r="AW197" i="4"/>
  <c r="AX197" i="4" s="1"/>
  <c r="AW13" i="4"/>
  <c r="AX13" i="4" s="1"/>
  <c r="AW200" i="4"/>
  <c r="AX200" i="4" s="1"/>
  <c r="AW184" i="4"/>
  <c r="AX184" i="4" s="1"/>
  <c r="AW174" i="4"/>
  <c r="AX174" i="4" s="1"/>
  <c r="AW186" i="4"/>
  <c r="AX186" i="4" s="1"/>
  <c r="AW254" i="4"/>
  <c r="AX254" i="4" s="1"/>
  <c r="AW202" i="4"/>
  <c r="AX202" i="4" s="1"/>
  <c r="AW75" i="4"/>
  <c r="AX75" i="4" s="1"/>
  <c r="AW130" i="4"/>
  <c r="AX130" i="4" s="1"/>
  <c r="AW83" i="4"/>
  <c r="AX83" i="4" s="1"/>
  <c r="AW48" i="4"/>
  <c r="AX48" i="4" s="1"/>
  <c r="AW24" i="4"/>
  <c r="AX24" i="4" s="1"/>
  <c r="AW179" i="4"/>
  <c r="AX179" i="4" s="1"/>
  <c r="AW194" i="4"/>
  <c r="AX194" i="4" s="1"/>
  <c r="AW78" i="4"/>
  <c r="AX78" i="4" s="1"/>
  <c r="AW56" i="4"/>
  <c r="AX56" i="4" s="1"/>
  <c r="AW187" i="4"/>
  <c r="AX187" i="4" s="1"/>
  <c r="AW32" i="4"/>
  <c r="AX32" i="4" s="1"/>
  <c r="AW86" i="4"/>
  <c r="AX86" i="4" s="1"/>
  <c r="AW163" i="4"/>
  <c r="AX163" i="4" s="1"/>
  <c r="AW185" i="4"/>
  <c r="AX185" i="4" s="1"/>
  <c r="AW17" i="4"/>
  <c r="AX17" i="4" s="1"/>
  <c r="AW183" i="4"/>
  <c r="AX183" i="4" s="1"/>
  <c r="AW134" i="4"/>
  <c r="AX134" i="4" s="1"/>
  <c r="AW107" i="4"/>
  <c r="AX107" i="4" s="1"/>
  <c r="AW61" i="4"/>
  <c r="AX61" i="4" s="1"/>
  <c r="AW37" i="4"/>
  <c r="AX37" i="4" s="1"/>
  <c r="AW60" i="4"/>
  <c r="AX60" i="4" s="1"/>
  <c r="AW224" i="4"/>
  <c r="AX224" i="4" s="1"/>
  <c r="AW172" i="4"/>
  <c r="AX172" i="4" s="1"/>
  <c r="AW109" i="4"/>
  <c r="AX109" i="4" s="1"/>
  <c r="AW232" i="4"/>
  <c r="AX232" i="4" s="1"/>
  <c r="AW234" i="4"/>
  <c r="AX234" i="4" s="1"/>
  <c r="AW193" i="4"/>
  <c r="AX193" i="4" s="1"/>
  <c r="AW242" i="4"/>
  <c r="AX242" i="4" s="1"/>
  <c r="AW6" i="4"/>
  <c r="AX6" i="4" s="1"/>
  <c r="AW12" i="4"/>
  <c r="AX12" i="4" s="1"/>
  <c r="AW29" i="4"/>
  <c r="AX29" i="4" s="1"/>
  <c r="AW94" i="4"/>
  <c r="AX94" i="4" s="1"/>
  <c r="AW79" i="4"/>
  <c r="AX79" i="4" s="1"/>
  <c r="AW97" i="4"/>
  <c r="AX97" i="4" s="1"/>
  <c r="AW181" i="4"/>
  <c r="AX181" i="4" s="1"/>
  <c r="AW120" i="4"/>
  <c r="AX120" i="4" s="1"/>
  <c r="AW240" i="4"/>
  <c r="AX240" i="4" s="1"/>
  <c r="AW112" i="4"/>
  <c r="AX112" i="4" s="1"/>
  <c r="AW126" i="4"/>
  <c r="AX126" i="4" s="1"/>
  <c r="AW152" i="4"/>
  <c r="AX152" i="4" s="1"/>
  <c r="AW190" i="4"/>
  <c r="AX190" i="4" s="1"/>
  <c r="AW9" i="4"/>
  <c r="AX9" i="4" s="1"/>
  <c r="AW54" i="4"/>
  <c r="AX54" i="4" s="1"/>
  <c r="AW133" i="4"/>
  <c r="AX133" i="4" s="1"/>
  <c r="AW198" i="4"/>
  <c r="AX198" i="4" s="1"/>
  <c r="AW23" i="4"/>
  <c r="AX23" i="4" s="1"/>
  <c r="AW15" i="4"/>
  <c r="AX15" i="4" s="1"/>
  <c r="AW165" i="4"/>
  <c r="AX165" i="4" s="1"/>
  <c r="AW76" i="4"/>
  <c r="AX76" i="4" s="1"/>
  <c r="AW46" i="4"/>
  <c r="AX46" i="4" s="1"/>
  <c r="AW67" i="4"/>
  <c r="AX67" i="4" s="1"/>
  <c r="AW96" i="4"/>
  <c r="AX96" i="4" s="1"/>
  <c r="AW249" i="4"/>
  <c r="AX249" i="4" s="1"/>
  <c r="AW210" i="4"/>
  <c r="AX210" i="4" s="1"/>
  <c r="AW236" i="4"/>
  <c r="AX236" i="4" s="1"/>
  <c r="AW72" i="4"/>
  <c r="AX72" i="4" s="1"/>
  <c r="AW147" i="4"/>
  <c r="AX147" i="4" s="1"/>
  <c r="AW16" i="4"/>
  <c r="AX16" i="4" s="1"/>
  <c r="AW90" i="4"/>
  <c r="AX90" i="4" s="1"/>
  <c r="AW28" i="4"/>
  <c r="AX28" i="4" s="1"/>
  <c r="AW111" i="4"/>
  <c r="AX111" i="4" s="1"/>
  <c r="AW50" i="4"/>
  <c r="AX50" i="4" s="1"/>
  <c r="AW221" i="4"/>
  <c r="AX221" i="4" s="1"/>
  <c r="AW143" i="4"/>
  <c r="AX143" i="4" s="1"/>
  <c r="AW104" i="4"/>
  <c r="AX104" i="4" s="1"/>
  <c r="AW219" i="4"/>
  <c r="AX219" i="4" s="1"/>
  <c r="AW167" i="4"/>
  <c r="AX167" i="4" s="1"/>
  <c r="AW93" i="4"/>
  <c r="AX93" i="4" s="1"/>
  <c r="AW7" i="4"/>
  <c r="AX7" i="4" s="1"/>
  <c r="AW231" i="4"/>
  <c r="AX231" i="4" s="1"/>
  <c r="AW135" i="4"/>
  <c r="AX135" i="4" s="1"/>
  <c r="AW206" i="4"/>
  <c r="AX206" i="4" s="1"/>
  <c r="AW239" i="4"/>
  <c r="AX239" i="4" s="1"/>
  <c r="AW84" i="4"/>
  <c r="AX84" i="4" s="1"/>
  <c r="AW141" i="4"/>
  <c r="AX141" i="4" s="1"/>
  <c r="AW68" i="4"/>
  <c r="AX68" i="4" s="1"/>
  <c r="AW69" i="4"/>
  <c r="AX69" i="4" s="1"/>
  <c r="AW248" i="4"/>
  <c r="AX248" i="4" s="1"/>
  <c r="AW214" i="4"/>
  <c r="AX214" i="4" s="1"/>
  <c r="AW113" i="4"/>
  <c r="AX113" i="4" s="1"/>
  <c r="AW137" i="4"/>
  <c r="AX137" i="4" s="1"/>
  <c r="AW241" i="4"/>
  <c r="AX241" i="4" s="1"/>
  <c r="AW201" i="4"/>
  <c r="AX201" i="4" s="1"/>
  <c r="AW19" i="4"/>
  <c r="AX19" i="4" s="1"/>
  <c r="AW30" i="4"/>
  <c r="AX30" i="4" s="1"/>
  <c r="AW95" i="4"/>
  <c r="AX95" i="4" s="1"/>
  <c r="AW64" i="4"/>
  <c r="AX64" i="4" s="1"/>
  <c r="AW159" i="4"/>
  <c r="AX159" i="4" s="1"/>
  <c r="AW108" i="4"/>
  <c r="AX108" i="4" s="1"/>
  <c r="AW39" i="4"/>
  <c r="AX39" i="4" s="1"/>
  <c r="AW132" i="4"/>
  <c r="AX132" i="4" s="1"/>
  <c r="AW124" i="4"/>
  <c r="AX124" i="4" s="1"/>
  <c r="AW252" i="4"/>
  <c r="AX252" i="4" s="1"/>
  <c r="AW244" i="4"/>
  <c r="AX244" i="4" s="1"/>
  <c r="AW41" i="4"/>
  <c r="AX41" i="4" s="1"/>
  <c r="AW213" i="4"/>
  <c r="AX213" i="4" s="1"/>
  <c r="AW227" i="4"/>
  <c r="AX227" i="4" s="1"/>
  <c r="AW161" i="4"/>
  <c r="AX161" i="4" s="1"/>
  <c r="AW3" i="4"/>
  <c r="AX3" i="4" s="1"/>
  <c r="AW87" i="4"/>
  <c r="AX87" i="4" s="1"/>
  <c r="AW88" i="4"/>
  <c r="AX88" i="4" s="1"/>
  <c r="AW250" i="4"/>
  <c r="AX250" i="4" s="1"/>
  <c r="AW156" i="4"/>
  <c r="AX156" i="4" s="1"/>
  <c r="AW59" i="4"/>
  <c r="AX59" i="4" s="1"/>
  <c r="AW129" i="4"/>
  <c r="AX129" i="4" s="1"/>
  <c r="AW5" i="4"/>
  <c r="AX5" i="4" s="1"/>
  <c r="AW125" i="4"/>
  <c r="AX125" i="4" s="1"/>
  <c r="AW256" i="4"/>
  <c r="AX256" i="4" s="1"/>
  <c r="AW14" i="4"/>
  <c r="AX14" i="4" s="1"/>
  <c r="AW191" i="4"/>
  <c r="AX191" i="4" s="1"/>
  <c r="AW110" i="4"/>
  <c r="AX110" i="4" s="1"/>
  <c r="AW215" i="4"/>
  <c r="AX215" i="4" s="1"/>
  <c r="AW26" i="4"/>
  <c r="AX26" i="4" s="1"/>
  <c r="AW146" i="4"/>
  <c r="AX146" i="4" s="1"/>
  <c r="AW171" i="4"/>
  <c r="AX171" i="4" s="1"/>
  <c r="AW237" i="4"/>
  <c r="AX237" i="4" s="1"/>
  <c r="BE20" i="4" a="1"/>
  <c r="BE20" i="4" s="1"/>
  <c r="BE21" i="4" s="1" a="1"/>
  <c r="BE21" i="4" s="1"/>
  <c r="BE24" i="4" a="1"/>
  <c r="BE24" i="4" s="1"/>
  <c r="BE25" i="4" s="1" a="1"/>
  <c r="BE25" i="4" s="1"/>
  <c r="BC5" i="4"/>
  <c r="BC8" i="4" s="1" a="1"/>
  <c r="BC8" i="4" s="1"/>
  <c r="BD29" i="4" a="1"/>
  <c r="BD29" i="4" s="1"/>
  <c r="BE22" i="4" a="1"/>
  <c r="BE22" i="4" s="1"/>
  <c r="BE23" i="4" s="1" a="1"/>
  <c r="BE23" i="4" s="1"/>
  <c r="BF16" i="4" a="1"/>
  <c r="BF16" i="4" s="1"/>
  <c r="BF18" i="4" a="1"/>
  <c r="BF18" i="4" s="1"/>
  <c r="BF17" i="4" a="1"/>
  <c r="BF17" i="4" s="1"/>
  <c r="BF6" i="4" a="1"/>
  <c r="BF6" i="4" s="1"/>
  <c r="BF8" i="4" a="1"/>
  <c r="BF8" i="4" s="1"/>
  <c r="BF7" i="4" a="1"/>
  <c r="BF7" i="4" s="1"/>
  <c r="BE29" i="4" a="1"/>
  <c r="BE29" i="4" s="1"/>
  <c r="BE5" i="4"/>
  <c r="BF13" i="4" a="1"/>
  <c r="BF13" i="4" s="1"/>
  <c r="BF12" i="4" a="1"/>
  <c r="BF12" i="4" s="1"/>
  <c r="BF11" i="4" a="1"/>
  <c r="BF11" i="4" s="1"/>
  <c r="BE10" i="4"/>
  <c r="BE28" i="4" a="1"/>
  <c r="BE28" i="4" s="1"/>
  <c r="BE15" i="4"/>
  <c r="BE30" i="4" a="1"/>
  <c r="BE30" i="4" s="1"/>
  <c r="BD30" i="4" a="1"/>
  <c r="BD30" i="4" s="1"/>
  <c r="BB28" i="4" a="1"/>
  <c r="BB28" i="4" s="1"/>
  <c r="BC30" i="4" a="1"/>
  <c r="BC30" i="4" s="1"/>
  <c r="BB29" i="4" a="1"/>
  <c r="BB29" i="4" s="1"/>
  <c r="BD28" i="4" a="1"/>
  <c r="BD28" i="4" s="1"/>
  <c r="BB30" i="4" a="1"/>
  <c r="BB30" i="4" s="1"/>
  <c r="BD24" i="4" a="1"/>
  <c r="BD24" i="4" s="1"/>
  <c r="BD25" i="4" s="1" a="1"/>
  <c r="BD25" i="4" s="1"/>
  <c r="BC29" i="4" a="1"/>
  <c r="BC29" i="4" s="1"/>
  <c r="BB20" i="4" a="1"/>
  <c r="BB20" i="4" s="1"/>
  <c r="BB21" i="4" s="1" a="1"/>
  <c r="BB21" i="4" s="1"/>
  <c r="BC28" i="4" a="1"/>
  <c r="BC28" i="4" s="1"/>
  <c r="BC24" i="4" a="1"/>
  <c r="BC24" i="4" s="1"/>
  <c r="BC25" i="4" s="1" a="1"/>
  <c r="BC25" i="4" s="1"/>
  <c r="BB22" i="4" a="1"/>
  <c r="BB22" i="4" s="1"/>
  <c r="BB23" i="4" s="1" a="1"/>
  <c r="BB23" i="4" s="1"/>
  <c r="BB24" i="4" a="1"/>
  <c r="BB24" i="4" s="1"/>
  <c r="BB25" i="4" s="1" a="1"/>
  <c r="BB25" i="4" s="1"/>
  <c r="BC20" i="4" a="1"/>
  <c r="BC20" i="4" s="1"/>
  <c r="BC21" i="4" s="1" a="1"/>
  <c r="BC21" i="4" s="1"/>
  <c r="BD22" i="4" a="1"/>
  <c r="BD22" i="4" s="1"/>
  <c r="BD23" i="4" s="1" a="1"/>
  <c r="BD23" i="4" s="1"/>
  <c r="BD20" i="4" a="1"/>
  <c r="BD20" i="4" s="1"/>
  <c r="BD21" i="4" s="1" a="1"/>
  <c r="BD21" i="4" s="1"/>
  <c r="BC22" i="4" a="1"/>
  <c r="BC22" i="4" s="1"/>
  <c r="BC23" i="4" s="1" a="1"/>
  <c r="BC23" i="4" s="1"/>
  <c r="BD10" i="4"/>
  <c r="BD13" i="4" s="1" a="1"/>
  <c r="BD13" i="4" s="1"/>
  <c r="BD15" i="4"/>
  <c r="BD5" i="4"/>
  <c r="BC10" i="4"/>
  <c r="BB5" i="4"/>
  <c r="BB15" i="4"/>
  <c r="BB10" i="4"/>
  <c r="BC15" i="4"/>
  <c r="AR140" i="3"/>
  <c r="AS128" i="3"/>
  <c r="AS138" i="3"/>
  <c r="AR130" i="3"/>
  <c r="AR132" i="3"/>
  <c r="AS130" i="3"/>
  <c r="AR134" i="3"/>
  <c r="AR126" i="3"/>
  <c r="AR138" i="3"/>
  <c r="AS126" i="3"/>
  <c r="AR128" i="3"/>
  <c r="AS132" i="3"/>
  <c r="AS134" i="3"/>
  <c r="AS140" i="3"/>
  <c r="AR136" i="3"/>
  <c r="BC6" i="4" l="1" a="1"/>
  <c r="BC6" i="4" s="1"/>
  <c r="BC7" i="4" a="1"/>
  <c r="BC7" i="4" s="1"/>
  <c r="BE11" i="4" a="1"/>
  <c r="BE11" i="4" s="1"/>
  <c r="BE12" i="4" a="1"/>
  <c r="BE12" i="4" s="1"/>
  <c r="BE13" i="4" a="1"/>
  <c r="BE13" i="4" s="1"/>
  <c r="BE8" i="4" a="1"/>
  <c r="BE8" i="4" s="1"/>
  <c r="BE6" i="4" a="1"/>
  <c r="BE6" i="4" s="1"/>
  <c r="BE7" i="4" a="1"/>
  <c r="BE7" i="4" s="1"/>
  <c r="BE17" i="4" a="1"/>
  <c r="BE17" i="4" s="1"/>
  <c r="BE18" i="4" a="1"/>
  <c r="BE18" i="4" s="1"/>
  <c r="BE16" i="4" a="1"/>
  <c r="BE16" i="4" s="1"/>
  <c r="BD11" i="4" a="1"/>
  <c r="BD11" i="4" s="1"/>
  <c r="BD12" i="4" a="1"/>
  <c r="BD12" i="4" s="1"/>
  <c r="BC18" i="4" a="1"/>
  <c r="BC18" i="4" s="1"/>
  <c r="BC17" i="4" a="1"/>
  <c r="BC17" i="4" s="1"/>
  <c r="BC16" i="4" a="1"/>
  <c r="BC16" i="4" s="1"/>
  <c r="BB17" i="4" a="1"/>
  <c r="BB17" i="4" s="1"/>
  <c r="BB16" i="4" a="1"/>
  <c r="BB16" i="4" s="1"/>
  <c r="BB18" i="4" a="1"/>
  <c r="BB18" i="4" s="1"/>
  <c r="BD18" i="4" a="1"/>
  <c r="BD18" i="4" s="1"/>
  <c r="BD16" i="4" a="1"/>
  <c r="BD16" i="4" s="1"/>
  <c r="BD17" i="4" a="1"/>
  <c r="BD17" i="4" s="1"/>
  <c r="BB13" i="4" a="1"/>
  <c r="BB13" i="4" s="1"/>
  <c r="BB12" i="4" a="1"/>
  <c r="BB12" i="4" s="1"/>
  <c r="BB11" i="4" a="1"/>
  <c r="BB11" i="4" s="1"/>
  <c r="BC13" i="4" a="1"/>
  <c r="BC13" i="4" s="1"/>
  <c r="BC11" i="4" a="1"/>
  <c r="BC11" i="4" s="1"/>
  <c r="BC12" i="4" a="1"/>
  <c r="BC12" i="4" s="1"/>
  <c r="BB7" i="4" a="1"/>
  <c r="BB7" i="4" s="1"/>
  <c r="BB6" i="4" a="1"/>
  <c r="BB6" i="4" s="1"/>
  <c r="BB8" i="4" a="1"/>
  <c r="BB8" i="4" s="1"/>
  <c r="BD7" i="4" a="1"/>
  <c r="BD7" i="4" s="1"/>
  <c r="BD8" i="4" a="1"/>
  <c r="BD8" i="4" s="1"/>
  <c r="BD6" i="4" a="1"/>
  <c r="BD6" i="4" s="1"/>
  <c r="AN299" i="1"/>
  <c r="AN295" i="1"/>
  <c r="AN293" i="1"/>
  <c r="AN291" i="1"/>
  <c r="AN289" i="1"/>
  <c r="AN282" i="1"/>
  <c r="AN281" i="1"/>
  <c r="AN280" i="1"/>
  <c r="AN277" i="1"/>
  <c r="AN270" i="1"/>
  <c r="AN268" i="1"/>
  <c r="AN262" i="1"/>
  <c r="AN261" i="1"/>
  <c r="AN260" i="1"/>
  <c r="AN257" i="1"/>
  <c r="AN255" i="1"/>
  <c r="AN253" i="1"/>
  <c r="AN251" i="1"/>
  <c r="AN250" i="1"/>
  <c r="AN248" i="1"/>
  <c r="AN244" i="1"/>
  <c r="AN237" i="1"/>
  <c r="AN236" i="1"/>
  <c r="AN235" i="1"/>
  <c r="AN234" i="1"/>
  <c r="AN231" i="1"/>
  <c r="AN230" i="1"/>
  <c r="AN229" i="1"/>
  <c r="AN225" i="1"/>
  <c r="AN221" i="1"/>
  <c r="AN220" i="1"/>
  <c r="AN219" i="1"/>
  <c r="AN216" i="1"/>
  <c r="AN215" i="1"/>
  <c r="AN214" i="1"/>
  <c r="AN213" i="1"/>
  <c r="AN211" i="1"/>
  <c r="AN205" i="1"/>
  <c r="AN203" i="1"/>
  <c r="AN199" i="1"/>
  <c r="AN198" i="1"/>
  <c r="AN197" i="1"/>
  <c r="AN192" i="1"/>
  <c r="AN187" i="1"/>
  <c r="AN186" i="1"/>
  <c r="AN184" i="1"/>
  <c r="AN178" i="1"/>
  <c r="AN176" i="1"/>
  <c r="AN169" i="1"/>
  <c r="AN168" i="1"/>
  <c r="AN164" i="1"/>
  <c r="AN159" i="1"/>
  <c r="AN155" i="1"/>
  <c r="AN154" i="1"/>
  <c r="AN152" i="1"/>
  <c r="AN148" i="1"/>
  <c r="AN147" i="1"/>
  <c r="AN146" i="1"/>
  <c r="AN144" i="1"/>
  <c r="AN143" i="1"/>
  <c r="AN142" i="1"/>
  <c r="AN140" i="1"/>
  <c r="AN138" i="1"/>
  <c r="AN135" i="1"/>
  <c r="AN133" i="1"/>
  <c r="AN118" i="1"/>
  <c r="AN117" i="1"/>
  <c r="AN112" i="1"/>
  <c r="AN111" i="1"/>
  <c r="AN105" i="1"/>
  <c r="AN104" i="1"/>
  <c r="AN97" i="1"/>
  <c r="AN96" i="1"/>
  <c r="AN95" i="1"/>
  <c r="AN92" i="1"/>
  <c r="AN83" i="1"/>
  <c r="AN81" i="1"/>
  <c r="AN75" i="1"/>
  <c r="AN70" i="1"/>
  <c r="AN64" i="1"/>
  <c r="AN61" i="1"/>
  <c r="AN59" i="1"/>
  <c r="AN55" i="1"/>
  <c r="AN50" i="1"/>
  <c r="AN49" i="1"/>
  <c r="AN46" i="1"/>
  <c r="AN45" i="1"/>
  <c r="AN44" i="1"/>
  <c r="AN41" i="1"/>
  <c r="AN27" i="1"/>
  <c r="AN24" i="1"/>
  <c r="AN12" i="1"/>
  <c r="AL299" i="1"/>
  <c r="AL253" i="1"/>
  <c r="AJ301" i="1"/>
  <c r="AJ300" i="1"/>
  <c r="AJ299" i="1"/>
  <c r="AJ294" i="1"/>
  <c r="AJ289" i="1"/>
  <c r="AJ279" i="1"/>
  <c r="AJ273" i="1"/>
  <c r="AJ265" i="1"/>
  <c r="AJ239" i="1"/>
  <c r="AJ207" i="1"/>
  <c r="AH301" i="1"/>
  <c r="AH300" i="1"/>
  <c r="AH297" i="1"/>
  <c r="AH295" i="1"/>
  <c r="AH293" i="1"/>
  <c r="AH291" i="1"/>
  <c r="AH288" i="1"/>
  <c r="AH286" i="1"/>
  <c r="AH284" i="1"/>
  <c r="AH283" i="1"/>
  <c r="AH280" i="1"/>
  <c r="AH275" i="1"/>
  <c r="AH273" i="1"/>
  <c r="AH259" i="1"/>
  <c r="AH255" i="1"/>
  <c r="AH254" i="1"/>
  <c r="AH248" i="1"/>
  <c r="AH246" i="1"/>
  <c r="AH239" i="1"/>
  <c r="AH238" i="1"/>
  <c r="AH234" i="1"/>
  <c r="AH232" i="1"/>
  <c r="AH230" i="1"/>
  <c r="AH229" i="1"/>
  <c r="AH228" i="1"/>
  <c r="AH227" i="1"/>
  <c r="AH226" i="1"/>
  <c r="AH222" i="1"/>
  <c r="AH220" i="1"/>
  <c r="AH213" i="1"/>
  <c r="AH209" i="1"/>
  <c r="AH207" i="1"/>
  <c r="AH200" i="1"/>
  <c r="AH197" i="1"/>
  <c r="AH195" i="1"/>
  <c r="AH168" i="1"/>
  <c r="AH164" i="1"/>
  <c r="AH162" i="1"/>
  <c r="AH155" i="1"/>
  <c r="AH154" i="1"/>
  <c r="AH151" i="1"/>
  <c r="AH148" i="1"/>
  <c r="AH147" i="1"/>
  <c r="AH137" i="1"/>
  <c r="AH133" i="1"/>
  <c r="AH126" i="1"/>
  <c r="AH118" i="1"/>
  <c r="AH112" i="1"/>
  <c r="AH111" i="1"/>
  <c r="AH109" i="1"/>
  <c r="AH92" i="1"/>
  <c r="AH83" i="1"/>
  <c r="AH61" i="1"/>
  <c r="AH55" i="1"/>
  <c r="AH50" i="1"/>
  <c r="AH46" i="1"/>
  <c r="AH45" i="1"/>
  <c r="AH41" i="1"/>
  <c r="AH35" i="1"/>
  <c r="AH28" i="1"/>
  <c r="AH27" i="1"/>
  <c r="AH24" i="1"/>
  <c r="AH22" i="1"/>
  <c r="AH20" i="1"/>
  <c r="AH12" i="1"/>
  <c r="AD302" i="1"/>
  <c r="AD301" i="1"/>
  <c r="AD300" i="1"/>
  <c r="AD298" i="1"/>
  <c r="AD297" i="1"/>
  <c r="AD295" i="1"/>
  <c r="AD293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2" i="1"/>
  <c r="AD251" i="1"/>
  <c r="AD249" i="1"/>
  <c r="AD248" i="1"/>
  <c r="AD247" i="1"/>
  <c r="AD244" i="1"/>
  <c r="AD243" i="1"/>
  <c r="AD241" i="1"/>
  <c r="AD240" i="1"/>
  <c r="AD239" i="1"/>
  <c r="AD238" i="1"/>
  <c r="AD237" i="1"/>
  <c r="AD236" i="1"/>
  <c r="AD235" i="1"/>
  <c r="AD234" i="1"/>
  <c r="AD233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4" i="1"/>
  <c r="AD213" i="1"/>
  <c r="AD212" i="1"/>
  <c r="AD211" i="1"/>
  <c r="AD210" i="1"/>
  <c r="AD206" i="1"/>
  <c r="AD205" i="1"/>
  <c r="AD203" i="1"/>
  <c r="AD202" i="1"/>
  <c r="AD201" i="1"/>
  <c r="AD200" i="1"/>
  <c r="AD199" i="1"/>
  <c r="AD198" i="1"/>
  <c r="AD197" i="1"/>
  <c r="AD196" i="1"/>
  <c r="AD195" i="1"/>
  <c r="AD194" i="1"/>
  <c r="AD193" i="1"/>
  <c r="AD191" i="1"/>
  <c r="AD190" i="1"/>
  <c r="AD189" i="1"/>
  <c r="AD188" i="1"/>
  <c r="AD187" i="1"/>
  <c r="AD186" i="1"/>
  <c r="AD185" i="1"/>
  <c r="AD184" i="1"/>
  <c r="AD182" i="1"/>
  <c r="AD180" i="1"/>
  <c r="AD179" i="1"/>
  <c r="AD178" i="1"/>
  <c r="AD176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8" i="1"/>
  <c r="AD107" i="1"/>
  <c r="AD106" i="1"/>
  <c r="AD105" i="1"/>
  <c r="AD104" i="1"/>
  <c r="AD103" i="1"/>
  <c r="AD102" i="1"/>
  <c r="AD100" i="1"/>
  <c r="AD99" i="1"/>
  <c r="AD98" i="1"/>
  <c r="AD97" i="1"/>
  <c r="AD96" i="1"/>
  <c r="AD95" i="1"/>
  <c r="AD93" i="1"/>
  <c r="AD92" i="1"/>
  <c r="AD90" i="1"/>
  <c r="AD89" i="1"/>
  <c r="AD88" i="1"/>
  <c r="AD87" i="1"/>
  <c r="AD86" i="1"/>
  <c r="AD85" i="1"/>
  <c r="AD84" i="1"/>
  <c r="AD83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4" i="1"/>
  <c r="AD13" i="1"/>
  <c r="AD12" i="1"/>
  <c r="AD11" i="1"/>
  <c r="AD10" i="1"/>
  <c r="AD9" i="1"/>
  <c r="AD7" i="1"/>
  <c r="AD6" i="1"/>
  <c r="AD5" i="1"/>
  <c r="AF302" i="1"/>
  <c r="AF301" i="1"/>
  <c r="AF300" i="1"/>
  <c r="AF299" i="1"/>
  <c r="AF298" i="1"/>
  <c r="AF297" i="1"/>
  <c r="AF296" i="1"/>
  <c r="AF295" i="1"/>
  <c r="AF294" i="1"/>
  <c r="AF293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5" i="1"/>
  <c r="AF223" i="1"/>
  <c r="AF222" i="1"/>
  <c r="AF221" i="1"/>
  <c r="AF220" i="1"/>
  <c r="AF219" i="1"/>
  <c r="AF218" i="1"/>
  <c r="AF217" i="1"/>
  <c r="AF216" i="1"/>
  <c r="AF215" i="1"/>
  <c r="AF213" i="1"/>
  <c r="AF212" i="1"/>
  <c r="AF211" i="1"/>
  <c r="AF210" i="1"/>
  <c r="AF209" i="1"/>
  <c r="AF208" i="1"/>
  <c r="AF207" i="1"/>
  <c r="AF206" i="1"/>
  <c r="AF204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6" i="1"/>
  <c r="AF135" i="1"/>
  <c r="AF134" i="1"/>
  <c r="AF133" i="1"/>
  <c r="AF132" i="1"/>
  <c r="AF129" i="1"/>
  <c r="AF128" i="1"/>
  <c r="AF127" i="1"/>
  <c r="AF126" i="1"/>
  <c r="AF125" i="1"/>
  <c r="AF124" i="1"/>
  <c r="AF123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2" i="1"/>
  <c r="AF41" i="1"/>
  <c r="AF39" i="1"/>
  <c r="AF38" i="1"/>
  <c r="AF37" i="1"/>
  <c r="AF36" i="1"/>
  <c r="AF35" i="1"/>
  <c r="AF34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5" i="1"/>
  <c r="AF14" i="1"/>
  <c r="AF13" i="1"/>
  <c r="AF12" i="1"/>
  <c r="AF10" i="1"/>
  <c r="AF9" i="1"/>
  <c r="AF8" i="1"/>
  <c r="AF7" i="1"/>
  <c r="AF4" i="1"/>
  <c r="AB301" i="1"/>
  <c r="AB73" i="1"/>
  <c r="Z302" i="1"/>
  <c r="Z301" i="1"/>
  <c r="Z300" i="1"/>
  <c r="Z299" i="1"/>
  <c r="Z298" i="1"/>
  <c r="Z297" i="1"/>
  <c r="Z296" i="1"/>
  <c r="Z295" i="1"/>
  <c r="Z294" i="1"/>
  <c r="Z293" i="1"/>
  <c r="Z291" i="1"/>
  <c r="Z290" i="1"/>
  <c r="Z289" i="1"/>
  <c r="Z287" i="1"/>
  <c r="Z285" i="1"/>
  <c r="Z284" i="1"/>
  <c r="Z283" i="1"/>
  <c r="Z282" i="1"/>
  <c r="Z281" i="1"/>
  <c r="Z280" i="1"/>
  <c r="Z279" i="1"/>
  <c r="Z277" i="1"/>
  <c r="Z276" i="1"/>
  <c r="Z275" i="1"/>
  <c r="Z274" i="1"/>
  <c r="Z271" i="1"/>
  <c r="Z270" i="1"/>
  <c r="Z269" i="1"/>
  <c r="Z268" i="1"/>
  <c r="Z266" i="1"/>
  <c r="Z264" i="1"/>
  <c r="Z263" i="1"/>
  <c r="Z262" i="1"/>
  <c r="Z261" i="1"/>
  <c r="Z260" i="1"/>
  <c r="Z259" i="1"/>
  <c r="Z258" i="1"/>
  <c r="Z257" i="1"/>
  <c r="Z256" i="1"/>
  <c r="Z255" i="1"/>
  <c r="Z254" i="1"/>
  <c r="Z249" i="1"/>
  <c r="Z245" i="1"/>
  <c r="Z243" i="1"/>
  <c r="Z242" i="1"/>
  <c r="Z235" i="1"/>
  <c r="Z234" i="1"/>
  <c r="Z232" i="1"/>
  <c r="Z230" i="1"/>
  <c r="Z229" i="1"/>
  <c r="Z228" i="1"/>
  <c r="Z224" i="1"/>
  <c r="Z223" i="1"/>
  <c r="Z222" i="1"/>
  <c r="Z218" i="1"/>
  <c r="Z217" i="1"/>
  <c r="Z210" i="1"/>
  <c r="Z209" i="1"/>
  <c r="Z205" i="1"/>
  <c r="Z203" i="1"/>
  <c r="Z200" i="1"/>
  <c r="Z194" i="1"/>
  <c r="Z188" i="1"/>
  <c r="Z186" i="1"/>
  <c r="Z185" i="1"/>
  <c r="Z180" i="1"/>
  <c r="Z171" i="1"/>
  <c r="Z170" i="1"/>
  <c r="Z169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0" i="1"/>
  <c r="X158" i="1"/>
  <c r="X156" i="1"/>
  <c r="X155" i="1"/>
  <c r="X154" i="1"/>
  <c r="X153" i="1"/>
  <c r="X152" i="1"/>
  <c r="X151" i="1"/>
  <c r="X149" i="1"/>
  <c r="X148" i="1"/>
  <c r="X147" i="1"/>
  <c r="X146" i="1"/>
  <c r="X145" i="1"/>
  <c r="X143" i="1"/>
  <c r="X142" i="1"/>
  <c r="X140" i="1"/>
  <c r="X139" i="1"/>
  <c r="X138" i="1"/>
  <c r="X136" i="1"/>
  <c r="X135" i="1"/>
  <c r="X134" i="1"/>
  <c r="X132" i="1"/>
  <c r="X131" i="1"/>
  <c r="X130" i="1"/>
  <c r="X129" i="1"/>
  <c r="X128" i="1"/>
  <c r="X127" i="1"/>
  <c r="X125" i="1"/>
  <c r="X124" i="1"/>
  <c r="X123" i="1"/>
  <c r="X122" i="1"/>
  <c r="X121" i="1"/>
  <c r="X120" i="1"/>
  <c r="X119" i="1"/>
  <c r="X118" i="1"/>
  <c r="X116" i="1"/>
  <c r="X115" i="1"/>
  <c r="X114" i="1"/>
  <c r="X113" i="1"/>
  <c r="X112" i="1"/>
  <c r="X110" i="1"/>
  <c r="X109" i="1"/>
  <c r="X108" i="1"/>
  <c r="X107" i="1"/>
  <c r="X106" i="1"/>
  <c r="X105" i="1"/>
  <c r="X103" i="1"/>
  <c r="X102" i="1"/>
  <c r="X100" i="1"/>
  <c r="X99" i="1"/>
  <c r="X97" i="1"/>
  <c r="X96" i="1"/>
  <c r="X95" i="1"/>
  <c r="X93" i="1"/>
  <c r="X92" i="1"/>
  <c r="X90" i="1"/>
  <c r="X89" i="1"/>
  <c r="X88" i="1"/>
  <c r="X86" i="1"/>
  <c r="X85" i="1"/>
  <c r="X84" i="1"/>
  <c r="X79" i="1"/>
  <c r="X78" i="1"/>
  <c r="X77" i="1"/>
  <c r="X76" i="1"/>
  <c r="X75" i="1"/>
  <c r="X70" i="1"/>
  <c r="X69" i="1"/>
  <c r="X68" i="1"/>
  <c r="X67" i="1"/>
  <c r="X64" i="1"/>
  <c r="X63" i="1"/>
  <c r="X62" i="1"/>
  <c r="X58" i="1"/>
  <c r="X57" i="1"/>
  <c r="X56" i="1"/>
  <c r="X52" i="1"/>
  <c r="X48" i="1"/>
  <c r="X47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0" i="1"/>
  <c r="V9" i="1"/>
  <c r="V8" i="1"/>
  <c r="T302" i="1"/>
  <c r="T301" i="1"/>
  <c r="T300" i="1"/>
  <c r="T299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R302" i="1"/>
  <c r="R301" i="1"/>
  <c r="R300" i="1"/>
  <c r="R295" i="1"/>
  <c r="R293" i="1"/>
  <c r="R288" i="1"/>
  <c r="R287" i="1"/>
  <c r="R286" i="1"/>
  <c r="R280" i="1"/>
  <c r="R279" i="1"/>
  <c r="R277" i="1"/>
  <c r="R275" i="1"/>
  <c r="R273" i="1"/>
  <c r="R272" i="1"/>
  <c r="R271" i="1"/>
  <c r="R267" i="1"/>
  <c r="R266" i="1"/>
  <c r="R260" i="1"/>
  <c r="R255" i="1"/>
  <c r="R246" i="1"/>
  <c r="R245" i="1"/>
  <c r="R221" i="1"/>
  <c r="R216" i="1"/>
  <c r="R212" i="1"/>
  <c r="R205" i="1"/>
  <c r="R127" i="1"/>
  <c r="R122" i="1"/>
  <c r="R118" i="1"/>
  <c r="R116" i="1"/>
  <c r="R110" i="1"/>
  <c r="R97" i="1"/>
  <c r="R92" i="1"/>
  <c r="R86" i="1"/>
  <c r="R77" i="1"/>
  <c r="R56" i="1"/>
  <c r="R52" i="1"/>
  <c r="R48" i="1"/>
  <c r="R47" i="1"/>
  <c r="P292" i="1"/>
  <c r="N301" i="1"/>
  <c r="N298" i="1"/>
  <c r="N297" i="1"/>
  <c r="N292" i="1"/>
  <c r="N291" i="1"/>
  <c r="N290" i="1"/>
  <c r="N286" i="1"/>
  <c r="N278" i="1"/>
  <c r="N274" i="1"/>
  <c r="N257" i="1"/>
  <c r="N246" i="1"/>
  <c r="N207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0" i="1"/>
  <c r="L208" i="1"/>
  <c r="L207" i="1"/>
  <c r="L205" i="1"/>
  <c r="L204" i="1"/>
  <c r="L194" i="1"/>
  <c r="L192" i="1"/>
  <c r="L191" i="1"/>
  <c r="L190" i="1"/>
  <c r="L188" i="1"/>
  <c r="L187" i="1"/>
  <c r="L184" i="1"/>
  <c r="L183" i="1"/>
  <c r="L181" i="1"/>
  <c r="L177" i="1"/>
  <c r="L175" i="1"/>
  <c r="L166" i="1"/>
  <c r="L163" i="1"/>
  <c r="L159" i="1"/>
  <c r="L158" i="1"/>
  <c r="L157" i="1"/>
  <c r="L156" i="1"/>
  <c r="L153" i="1"/>
  <c r="L144" i="1"/>
  <c r="L141" i="1"/>
  <c r="L137" i="1"/>
  <c r="L133" i="1"/>
  <c r="L132" i="1"/>
  <c r="L131" i="1"/>
  <c r="L130" i="1"/>
  <c r="L129" i="1"/>
  <c r="L128" i="1"/>
  <c r="L126" i="1"/>
  <c r="L125" i="1"/>
  <c r="L124" i="1"/>
  <c r="L123" i="1"/>
  <c r="L121" i="1"/>
  <c r="L120" i="1"/>
  <c r="L119" i="1"/>
  <c r="L117" i="1"/>
  <c r="L115" i="1"/>
  <c r="L114" i="1"/>
  <c r="L113" i="1"/>
  <c r="L112" i="1"/>
  <c r="L111" i="1"/>
  <c r="L108" i="1"/>
  <c r="L106" i="1"/>
  <c r="L105" i="1"/>
  <c r="L104" i="1"/>
  <c r="L103" i="1"/>
  <c r="L102" i="1"/>
  <c r="L100" i="1"/>
  <c r="L99" i="1"/>
  <c r="L98" i="1"/>
  <c r="L96" i="1"/>
  <c r="L95" i="1"/>
  <c r="L94" i="1"/>
  <c r="L93" i="1"/>
  <c r="L90" i="1"/>
  <c r="L89" i="1"/>
  <c r="L88" i="1"/>
  <c r="L87" i="1"/>
  <c r="L85" i="1"/>
  <c r="L84" i="1"/>
  <c r="L81" i="1"/>
  <c r="L80" i="1"/>
  <c r="L79" i="1"/>
  <c r="L78" i="1"/>
  <c r="L76" i="1"/>
  <c r="L75" i="1"/>
  <c r="L74" i="1"/>
  <c r="L73" i="1"/>
  <c r="L72" i="1"/>
  <c r="L70" i="1"/>
  <c r="L67" i="1"/>
  <c r="L66" i="1"/>
  <c r="L65" i="1"/>
  <c r="L64" i="1"/>
  <c r="L63" i="1"/>
  <c r="L62" i="1"/>
  <c r="L61" i="1"/>
  <c r="L59" i="1"/>
  <c r="L58" i="1"/>
  <c r="L57" i="1"/>
  <c r="L54" i="1"/>
  <c r="L53" i="1"/>
  <c r="L50" i="1"/>
  <c r="L49" i="1"/>
  <c r="L44" i="1"/>
  <c r="L43" i="1"/>
  <c r="L26" i="1"/>
  <c r="L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H4" i="1"/>
  <c r="S25" i="2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4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S6" i="2"/>
  <c r="S7" i="2"/>
  <c r="S8" i="2"/>
  <c r="S9" i="2"/>
  <c r="S11" i="2"/>
  <c r="S12" i="2"/>
  <c r="S15" i="2"/>
  <c r="S17" i="2"/>
  <c r="S18" i="2"/>
  <c r="S22" i="2"/>
  <c r="S4" i="2"/>
  <c r="R6" i="2"/>
  <c r="R7" i="2"/>
  <c r="R8" i="2"/>
  <c r="R9" i="2"/>
  <c r="R11" i="2"/>
  <c r="R12" i="2"/>
  <c r="R15" i="2"/>
  <c r="R17" i="2"/>
  <c r="R18" i="2"/>
  <c r="R22" i="2"/>
  <c r="R4" i="2"/>
  <c r="AR284" i="1" l="1"/>
  <c r="AR297" i="1"/>
  <c r="AR275" i="1"/>
  <c r="AM269" i="1" l="1"/>
  <c r="AN269" i="1" s="1"/>
  <c r="AM259" i="1"/>
  <c r="AN259" i="1" s="1"/>
  <c r="AM287" i="1"/>
  <c r="AN287" i="1" s="1"/>
  <c r="AM141" i="1"/>
  <c r="AN141" i="1" s="1"/>
  <c r="AM290" i="1"/>
  <c r="AN290" i="1" s="1"/>
  <c r="AR248" i="1" l="1"/>
  <c r="AR18" i="1"/>
  <c r="AR291" i="1"/>
  <c r="AR141" i="1" l="1"/>
  <c r="AR287" i="1"/>
  <c r="AR269" i="1"/>
  <c r="AR259" i="1"/>
  <c r="AR249" i="1"/>
  <c r="AR290" i="1"/>
  <c r="AR257" i="1" l="1"/>
  <c r="AR4" i="1"/>
  <c r="AG294" i="1" l="1"/>
  <c r="D294" i="1" s="1"/>
  <c r="AR260" i="1" l="1"/>
  <c r="AH294" i="1"/>
  <c r="AR262" i="1"/>
  <c r="AI286" i="1"/>
  <c r="D286" i="1" s="1"/>
  <c r="AJ286" i="1" l="1"/>
  <c r="AR266" i="1"/>
  <c r="AR294" i="1"/>
  <c r="AR254" i="1"/>
  <c r="AR263" i="1"/>
  <c r="AI296" i="1"/>
  <c r="D296" i="1" s="1"/>
  <c r="AJ296" i="1" l="1"/>
  <c r="AR286" i="1"/>
  <c r="AR207" i="1"/>
  <c r="AR181" i="1" l="1"/>
  <c r="AR279" i="1"/>
  <c r="AR296" i="1"/>
  <c r="AR300" i="1"/>
  <c r="AE278" i="1"/>
  <c r="D278" i="1" s="1"/>
  <c r="AF278" i="1" l="1"/>
  <c r="AR292" i="1"/>
  <c r="AR289" i="1"/>
  <c r="AR288" i="1"/>
  <c r="AR246" i="1" l="1"/>
  <c r="AR278" i="1"/>
  <c r="AR273" i="1"/>
  <c r="AR8" i="1" l="1"/>
  <c r="AM183" i="1"/>
  <c r="AN183" i="1" s="1"/>
  <c r="AM204" i="1"/>
  <c r="AN204" i="1" s="1"/>
  <c r="AM177" i="1"/>
  <c r="AN177" i="1" s="1"/>
  <c r="AM157" i="1"/>
  <c r="AN157" i="1" s="1"/>
  <c r="AM252" i="1" l="1"/>
  <c r="AN252" i="1" s="1"/>
  <c r="AR183" i="1" l="1"/>
  <c r="AM239" i="1"/>
  <c r="AN239" i="1" s="1"/>
  <c r="AM301" i="1"/>
  <c r="AN301" i="1" s="1"/>
  <c r="AR43" i="1" l="1"/>
  <c r="AR219" i="1"/>
  <c r="AR177" i="1"/>
  <c r="AR157" i="1"/>
  <c r="AR49" i="1"/>
  <c r="AR220" i="1"/>
  <c r="AR144" i="1"/>
  <c r="AR204" i="1"/>
  <c r="AR192" i="1"/>
  <c r="AR265" i="1"/>
  <c r="AR187" i="1"/>
  <c r="AR231" i="1"/>
  <c r="AR244" i="1"/>
  <c r="AR252" i="1"/>
  <c r="AR59" i="1"/>
  <c r="AR251" i="1"/>
  <c r="AM247" i="1"/>
  <c r="AN247" i="1" s="1"/>
  <c r="AM285" i="1"/>
  <c r="AN285" i="1" s="1"/>
  <c r="AM276" i="1"/>
  <c r="AN276" i="1" s="1"/>
  <c r="AE277" i="1"/>
  <c r="D277" i="1" s="1"/>
  <c r="AM283" i="1"/>
  <c r="AN283" i="1" s="1"/>
  <c r="AF277" i="1" l="1"/>
  <c r="AR112" i="1"/>
  <c r="AR208" i="1"/>
  <c r="AR239" i="1"/>
  <c r="AR235" i="1"/>
  <c r="AR255" i="1"/>
  <c r="AR301" i="1"/>
  <c r="AR95" i="1"/>
  <c r="AR205" i="1"/>
  <c r="AR250" i="1"/>
  <c r="AR44" i="1"/>
  <c r="AR184" i="1"/>
  <c r="AM191" i="1"/>
  <c r="AN191" i="1" s="1"/>
  <c r="AM190" i="1"/>
  <c r="AN190" i="1" s="1"/>
  <c r="AM158" i="1"/>
  <c r="AN158" i="1" s="1"/>
  <c r="AR92" i="1" l="1"/>
  <c r="AR77" i="1"/>
  <c r="AR16" i="1"/>
  <c r="AR14" i="1"/>
  <c r="AR148" i="1"/>
  <c r="AR22" i="1"/>
  <c r="AR131" i="1"/>
  <c r="AR9" i="1"/>
  <c r="AR199" i="1"/>
  <c r="AR225" i="1"/>
  <c r="AR240" i="1"/>
  <c r="AR123" i="1"/>
  <c r="AR202" i="1"/>
  <c r="AR135" i="1"/>
  <c r="AR271" i="1"/>
  <c r="AR52" i="1"/>
  <c r="AR166" i="1"/>
  <c r="AR90" i="1"/>
  <c r="AR203" i="1"/>
  <c r="AR185" i="1"/>
  <c r="AR190" i="1"/>
  <c r="AR130" i="1"/>
  <c r="AR5" i="1"/>
  <c r="AR276" i="1"/>
  <c r="AR105" i="1"/>
  <c r="AR15" i="1"/>
  <c r="AR122" i="1"/>
  <c r="AR281" i="1"/>
  <c r="AR107" i="1"/>
  <c r="AR145" i="1"/>
  <c r="AR267" i="1"/>
  <c r="AR180" i="1"/>
  <c r="AR214" i="1"/>
  <c r="AR162" i="1"/>
  <c r="AR283" i="1"/>
  <c r="AR20" i="1"/>
  <c r="AR191" i="1"/>
  <c r="AR232" i="1"/>
  <c r="AR242" i="1"/>
  <c r="AR117" i="1"/>
  <c r="AR218" i="1"/>
  <c r="AR63" i="1"/>
  <c r="AR75" i="1"/>
  <c r="AR152" i="1"/>
  <c r="AR277" i="1"/>
  <c r="AR76" i="1"/>
  <c r="AR30" i="1"/>
  <c r="AR176" i="1"/>
  <c r="AR58" i="1"/>
  <c r="AR295" i="1"/>
  <c r="AR60" i="1"/>
  <c r="AR62" i="1"/>
  <c r="AR175" i="1"/>
  <c r="AR34" i="1"/>
  <c r="AR216" i="1"/>
  <c r="AR189" i="1"/>
  <c r="AR71" i="1"/>
  <c r="AR72" i="1"/>
  <c r="AR61" i="1"/>
  <c r="AR228" i="1"/>
  <c r="AR206" i="1"/>
  <c r="AR172" i="1"/>
  <c r="AR116" i="1"/>
  <c r="AR7" i="1"/>
  <c r="AR253" i="1"/>
  <c r="AR156" i="1"/>
  <c r="AR268" i="1"/>
  <c r="AR32" i="1"/>
  <c r="AR146" i="1"/>
  <c r="AR119" i="1"/>
  <c r="AR167" i="1"/>
  <c r="AR89" i="1"/>
  <c r="AR50" i="1"/>
  <c r="AR245" i="1"/>
  <c r="AR91" i="1"/>
  <c r="AR188" i="1"/>
  <c r="AR178" i="1"/>
  <c r="AR19" i="1"/>
  <c r="AR169" i="1"/>
  <c r="AR142" i="1"/>
  <c r="AR193" i="1"/>
  <c r="AR126" i="1"/>
  <c r="AR45" i="1"/>
  <c r="AR110" i="1"/>
  <c r="AR128" i="1"/>
  <c r="AR65" i="1"/>
  <c r="AR223" i="1"/>
  <c r="AR46" i="1"/>
  <c r="AR37" i="1"/>
  <c r="AR224" i="1"/>
  <c r="AR74" i="1"/>
  <c r="AR261" i="1"/>
  <c r="AR221" i="1"/>
  <c r="AR11" i="1"/>
  <c r="AR67" i="1"/>
  <c r="AR159" i="1"/>
  <c r="AR96" i="1"/>
  <c r="AR168" i="1"/>
  <c r="AR114" i="1"/>
  <c r="AR104" i="1"/>
  <c r="AR101" i="1"/>
  <c r="AR234" i="1"/>
  <c r="AR70" i="1"/>
  <c r="AR93" i="1"/>
  <c r="AR140" i="1"/>
  <c r="AR40" i="1"/>
  <c r="AR247" i="1"/>
  <c r="AR13" i="1"/>
  <c r="AR118" i="1"/>
  <c r="AR229" i="1"/>
  <c r="AR84" i="1"/>
  <c r="AR280" i="1"/>
  <c r="AR227" i="1"/>
  <c r="AR24" i="1"/>
  <c r="AR25" i="1"/>
  <c r="AR121" i="1"/>
  <c r="AR293" i="1"/>
  <c r="AR38" i="1"/>
  <c r="AR151" i="1"/>
  <c r="AR171" i="1"/>
  <c r="AR153" i="1"/>
  <c r="AR33" i="1"/>
  <c r="AR147" i="1"/>
  <c r="AR134" i="1"/>
  <c r="AR125" i="1"/>
  <c r="AR230" i="1"/>
  <c r="AR21" i="1"/>
  <c r="AR200" i="1"/>
  <c r="AR201" i="1"/>
  <c r="AR236" i="1"/>
  <c r="AR109" i="1"/>
  <c r="AR113" i="1"/>
  <c r="AR81" i="1"/>
  <c r="AR211" i="1"/>
  <c r="AR54" i="1"/>
  <c r="AR158" i="1"/>
  <c r="AR82" i="1"/>
  <c r="AR212" i="1"/>
  <c r="AR39" i="1"/>
  <c r="AR42" i="1"/>
  <c r="AR99" i="1"/>
  <c r="AR264" i="1"/>
  <c r="AR100" i="1"/>
  <c r="AR233" i="1"/>
  <c r="AR241" i="1"/>
  <c r="AR299" i="1"/>
  <c r="AR48" i="1"/>
  <c r="AR186" i="1"/>
  <c r="AR51" i="1"/>
  <c r="AR282" i="1"/>
  <c r="AR163" i="1"/>
  <c r="AR120" i="1"/>
  <c r="AR155" i="1"/>
  <c r="AR270" i="1"/>
  <c r="AR108" i="1"/>
  <c r="AR170" i="1"/>
  <c r="AR27" i="1"/>
  <c r="AR139" i="1"/>
  <c r="AR23" i="1"/>
  <c r="AR132" i="1"/>
  <c r="AR215" i="1"/>
  <c r="AR102" i="1"/>
  <c r="AR31" i="1"/>
  <c r="AR35" i="1"/>
  <c r="AR36" i="1"/>
  <c r="AR26" i="1"/>
  <c r="AR136" i="1"/>
  <c r="AR302" i="1"/>
  <c r="AR66" i="1"/>
  <c r="AR133" i="1"/>
  <c r="AR256" i="1"/>
  <c r="AR165" i="1"/>
  <c r="AR154" i="1"/>
  <c r="AR150" i="1"/>
  <c r="AR127" i="1"/>
  <c r="AR86" i="1"/>
  <c r="AR138" i="1"/>
  <c r="AR79" i="1"/>
  <c r="AR47" i="1"/>
  <c r="AR78" i="1"/>
  <c r="AR182" i="1"/>
  <c r="AR17" i="1"/>
  <c r="AR64" i="1"/>
  <c r="AR68" i="1"/>
  <c r="AR53" i="1"/>
  <c r="AR272" i="1"/>
  <c r="AR210" i="1"/>
  <c r="AR115" i="1"/>
  <c r="AR173" i="1"/>
  <c r="AR161" i="1"/>
  <c r="AR237" i="1"/>
  <c r="AR198" i="1"/>
  <c r="AR238" i="1"/>
  <c r="AR10" i="1"/>
  <c r="AR98" i="1"/>
  <c r="AR56" i="1"/>
  <c r="AR149" i="1"/>
  <c r="AR111" i="1"/>
  <c r="AR222" i="1"/>
  <c r="AR55" i="1"/>
  <c r="AR217" i="1"/>
  <c r="AR103" i="1"/>
  <c r="AR85" i="1"/>
  <c r="AR73" i="1"/>
  <c r="AR88" i="1"/>
  <c r="AR41" i="1"/>
  <c r="AR209" i="1"/>
  <c r="AR97" i="1"/>
  <c r="AR124" i="1"/>
  <c r="AR80" i="1"/>
  <c r="AR12" i="1"/>
  <c r="AR195" i="1"/>
  <c r="AR197" i="1"/>
  <c r="AR160" i="1"/>
  <c r="AR129" i="1"/>
  <c r="AR6" i="1"/>
  <c r="AR194" i="1"/>
  <c r="AR143" i="1"/>
  <c r="AR94" i="1"/>
  <c r="AR69" i="1"/>
  <c r="AR83" i="1"/>
  <c r="AR213" i="1"/>
  <c r="AR164" i="1"/>
  <c r="AR57" i="1"/>
  <c r="AR179" i="1"/>
  <c r="AR87" i="1"/>
  <c r="AR285" i="1"/>
  <c r="AR106" i="1"/>
  <c r="AR243" i="1"/>
  <c r="AR28" i="1"/>
  <c r="AR29" i="1"/>
  <c r="AE226" i="1"/>
  <c r="D226" i="1" s="1"/>
  <c r="AE137" i="1"/>
  <c r="D137" i="1" s="1"/>
  <c r="AM175" i="1"/>
  <c r="AN175" i="1" s="1"/>
  <c r="AF226" i="1" l="1"/>
  <c r="AF137" i="1"/>
  <c r="AM212" i="1"/>
  <c r="AN212" i="1" s="1"/>
  <c r="AR137" i="1" l="1"/>
  <c r="AR226" i="1"/>
  <c r="AM256" i="1"/>
  <c r="AN256" i="1" s="1"/>
  <c r="AM263" i="1"/>
  <c r="AN263" i="1" s="1"/>
  <c r="AM151" i="1" l="1"/>
  <c r="AN151" i="1" s="1"/>
  <c r="AM161" i="1"/>
  <c r="AN161" i="1" s="1"/>
  <c r="AM272" i="1"/>
  <c r="AN272" i="1" s="1"/>
  <c r="AM101" i="1" l="1"/>
  <c r="AN101" i="1" s="1"/>
  <c r="AM298" i="1"/>
  <c r="AN298" i="1" s="1"/>
  <c r="S298" i="1"/>
  <c r="D298" i="1" s="1"/>
  <c r="AM274" i="1"/>
  <c r="AN274" i="1" s="1"/>
  <c r="S274" i="1"/>
  <c r="D274" i="1" s="1"/>
  <c r="AM174" i="1"/>
  <c r="AN174" i="1" s="1"/>
  <c r="S174" i="1"/>
  <c r="D174" i="1" s="1"/>
  <c r="S196" i="1"/>
  <c r="D196" i="1" s="1"/>
  <c r="AM196" i="1"/>
  <c r="AN196" i="1" s="1"/>
  <c r="T196" i="1" l="1"/>
  <c r="T174" i="1"/>
  <c r="T274" i="1"/>
  <c r="T298" i="1"/>
  <c r="AM91" i="1"/>
  <c r="AN91" i="1" s="1"/>
  <c r="AR174" i="1" l="1"/>
  <c r="AR196" i="1"/>
  <c r="AR274" i="1"/>
  <c r="AR298" i="1"/>
  <c r="AM74" i="1"/>
  <c r="AN74" i="1" s="1"/>
  <c r="AM245" i="1" l="1"/>
  <c r="AN245" i="1" s="1"/>
  <c r="AM80" i="1"/>
  <c r="AN80" i="1" s="1"/>
  <c r="AM242" i="1"/>
  <c r="AN242" i="1" s="1"/>
  <c r="AM206" i="1"/>
  <c r="AN206" i="1" s="1"/>
  <c r="AG258" i="1"/>
  <c r="D258" i="1" s="1"/>
  <c r="AM65" i="1"/>
  <c r="AN65" i="1" s="1"/>
  <c r="AM87" i="1"/>
  <c r="AN87" i="1" s="1"/>
  <c r="AM54" i="1"/>
  <c r="AN54" i="1" s="1"/>
  <c r="AH258" i="1" l="1"/>
  <c r="AM193" i="1"/>
  <c r="AN193" i="1" s="1"/>
  <c r="AM195" i="1"/>
  <c r="AN195" i="1" s="1"/>
  <c r="AM189" i="1"/>
  <c r="AN189" i="1" s="1"/>
  <c r="AR258" i="1" l="1"/>
  <c r="AM243" i="1"/>
  <c r="AN243" i="1" s="1"/>
  <c r="AM150" i="1"/>
  <c r="AN150" i="1" s="1"/>
  <c r="AM53" i="1"/>
  <c r="AN53" i="1" s="1"/>
  <c r="AM201" i="1"/>
  <c r="AN201" i="1" s="1"/>
  <c r="AM233" i="1"/>
  <c r="AN233" i="1" s="1"/>
  <c r="AM240" i="1"/>
  <c r="AN240" i="1" s="1"/>
  <c r="AM241" i="1"/>
  <c r="AN241" i="1" s="1"/>
  <c r="AM66" i="1"/>
  <c r="AN66" i="1" s="1"/>
  <c r="AM82" i="1"/>
  <c r="AN82" i="1" s="1"/>
  <c r="T22" i="2" l="1"/>
  <c r="T21" i="2"/>
  <c r="T20" i="2"/>
  <c r="T19" i="2"/>
  <c r="T18" i="2"/>
  <c r="T17" i="2"/>
  <c r="T16" i="2"/>
  <c r="T15" i="2"/>
  <c r="T14" i="2"/>
  <c r="T13" i="2"/>
  <c r="T12" i="2"/>
  <c r="T11" i="2"/>
  <c r="T9" i="2"/>
  <c r="T8" i="2"/>
  <c r="T7" i="2"/>
  <c r="T6" i="2"/>
  <c r="T4" i="2"/>
  <c r="AP312" i="1" l="1"/>
  <c r="AQ308" i="1"/>
  <c r="AP304" i="1"/>
  <c r="AQ304" i="1"/>
  <c r="AP308" i="1"/>
  <c r="AQ306" i="1"/>
  <c r="AQ310" i="1"/>
  <c r="AQ312" i="1"/>
  <c r="AP310" i="1"/>
  <c r="AP3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<sst xmlns="http://schemas.openxmlformats.org/spreadsheetml/2006/main" count="1539" uniqueCount="242">
  <si>
    <t>DEPENDENCIAS</t>
  </si>
  <si>
    <t>SUPERFICIE TOTAL</t>
  </si>
  <si>
    <t>TIPO DEPENDENCIA</t>
  </si>
  <si>
    <t xml:space="preserve">SUPERFICIE </t>
  </si>
  <si>
    <t>ALTURA SUELO TECHO</t>
  </si>
  <si>
    <t>SUPERFICIE PAREDES</t>
  </si>
  <si>
    <t>SUPERFICIE TECHO</t>
  </si>
  <si>
    <t>SUPERFICIE SUELO</t>
  </si>
  <si>
    <t>Nº PUERTAS</t>
  </si>
  <si>
    <t>Nº VENTANAS</t>
  </si>
  <si>
    <t>ML RODAPIE</t>
  </si>
  <si>
    <t>Nº ENCHUFES</t>
  </si>
  <si>
    <t>Nº TECLAS LUZ</t>
  </si>
  <si>
    <t>Nº PUNTOS LUZ</t>
  </si>
  <si>
    <t>BAÑO</t>
  </si>
  <si>
    <t>LAVABO</t>
  </si>
  <si>
    <t>INODORO</t>
  </si>
  <si>
    <t>DUCHA / BAÑERA</t>
  </si>
  <si>
    <t>BIDÉ</t>
  </si>
  <si>
    <t>ASEO</t>
  </si>
  <si>
    <t>COCINA</t>
  </si>
  <si>
    <t>SALÓN-COMEDOR-COCINA</t>
  </si>
  <si>
    <t>SALÓN - COMEDOR</t>
  </si>
  <si>
    <t>BAÑO 1</t>
  </si>
  <si>
    <t>BAÑO 2</t>
  </si>
  <si>
    <t>DORMITORIO 1</t>
  </si>
  <si>
    <t>DORMITORIO 2</t>
  </si>
  <si>
    <t>DORMITORIO 3</t>
  </si>
  <si>
    <t>DORMITORIO 4</t>
  </si>
  <si>
    <t>DORMITORIO 5</t>
  </si>
  <si>
    <t>PASILLO</t>
  </si>
  <si>
    <t>ENTRADA</t>
  </si>
  <si>
    <t>BAÑO 3</t>
  </si>
  <si>
    <t>BAÑO 4</t>
  </si>
  <si>
    <t>Relacion m2 suelo/m2 paredes</t>
  </si>
  <si>
    <t>%Pintura</t>
  </si>
  <si>
    <t>%Alicatados</t>
  </si>
  <si>
    <t>LAVADERO</t>
  </si>
  <si>
    <t>TERRAZA</t>
  </si>
  <si>
    <t>ZONA</t>
  </si>
  <si>
    <t>Málaga</t>
  </si>
  <si>
    <t>Granada</t>
  </si>
  <si>
    <t>Sevilla</t>
  </si>
  <si>
    <t>Córdoba</t>
  </si>
  <si>
    <t>PROMOT.</t>
  </si>
  <si>
    <t>Zitizen</t>
  </si>
  <si>
    <t>Torremagna</t>
  </si>
  <si>
    <t>Alma F2</t>
  </si>
  <si>
    <t>Terrazas de Sta. Rosa / Insur</t>
  </si>
  <si>
    <t>Bermes II / Insur</t>
  </si>
  <si>
    <t>Guadiaro</t>
  </si>
  <si>
    <t>Essencia de Sabadell / Realia</t>
  </si>
  <si>
    <t>Patraix / Realia</t>
  </si>
  <si>
    <t>Sedalis Resid. / Realia</t>
  </si>
  <si>
    <t>Macarena 40 / Aniceto</t>
  </si>
  <si>
    <t>SUNP-AE-1</t>
  </si>
  <si>
    <t>Palmas Altas Sur</t>
  </si>
  <si>
    <t>Aniceto Sáez</t>
  </si>
  <si>
    <t>Aniceto Sáenz</t>
  </si>
  <si>
    <t>Cros Pirotecnia</t>
  </si>
  <si>
    <t>Minusválido</t>
  </si>
  <si>
    <t>OBSERVAC.</t>
  </si>
  <si>
    <t>Madrid</t>
  </si>
  <si>
    <t>Borea Arroyo Fresno Portablanca / Fcc</t>
  </si>
  <si>
    <t>Taormina / Pryconsa Cantalejo</t>
  </si>
  <si>
    <t>Cisneo Alto</t>
  </si>
  <si>
    <t>Hespérides</t>
  </si>
  <si>
    <t>Uralita</t>
  </si>
  <si>
    <t xml:space="preserve">Pino Montano </t>
  </si>
  <si>
    <t>San Jerónimo</t>
  </si>
  <si>
    <t>Torreblanca / Alberchigo</t>
  </si>
  <si>
    <t>M10 Bermejales</t>
  </si>
  <si>
    <t>Navarra</t>
  </si>
  <si>
    <t>Optima / Ardoi</t>
  </si>
  <si>
    <t>Valladolid</t>
  </si>
  <si>
    <t>Resid. Castilla</t>
  </si>
  <si>
    <t>Coca Cola</t>
  </si>
  <si>
    <t>Pino Montano Emvisesa</t>
  </si>
  <si>
    <t>Pol. Aerpuerto</t>
  </si>
  <si>
    <t>Zaragoza</t>
  </si>
  <si>
    <t>Adarve</t>
  </si>
  <si>
    <t>Albacete</t>
  </si>
  <si>
    <t>Santa Quiteria</t>
  </si>
  <si>
    <t>ESTANCIA EXTRA</t>
  </si>
  <si>
    <t>VESTIDOR</t>
  </si>
  <si>
    <t>Habitat - Torre Amura</t>
  </si>
  <si>
    <t>La Coruña</t>
  </si>
  <si>
    <t>Caleida - Metrovacesa</t>
  </si>
  <si>
    <t>Bilbao</t>
  </si>
  <si>
    <t>Luz Enea - Pryconsa</t>
  </si>
  <si>
    <t>Valencia</t>
  </si>
  <si>
    <t>Font de San Lluis - Aproperties</t>
  </si>
  <si>
    <t>Taverne Blanques - AProperties</t>
  </si>
  <si>
    <t>Alicante</t>
  </si>
  <si>
    <t>Guadarmar del Segura - Aproperties</t>
  </si>
  <si>
    <t>Oviedo</t>
  </si>
  <si>
    <t>Alveum III - Arqura Homes</t>
  </si>
  <si>
    <t>Avilés</t>
  </si>
  <si>
    <t>Aralis II - Arqura Homes</t>
  </si>
  <si>
    <t>Teruel</t>
  </si>
  <si>
    <t>Las Dalias</t>
  </si>
  <si>
    <t>Cuenca</t>
  </si>
  <si>
    <t>Villa Roman</t>
  </si>
  <si>
    <t xml:space="preserve">Murcia </t>
  </si>
  <si>
    <t>Balcon del Norte - Condestable</t>
  </si>
  <si>
    <t>El Pinar Caleruega - Proceparsa</t>
  </si>
  <si>
    <t>Barcelona</t>
  </si>
  <si>
    <t>AQ Llevant</t>
  </si>
  <si>
    <t>Oslo Bulding</t>
  </si>
  <si>
    <t>AQ Urban Fira</t>
  </si>
  <si>
    <t>Sarriá</t>
  </si>
  <si>
    <t>Esencia Sarriá</t>
  </si>
  <si>
    <t>Themos Riera - Culmia</t>
  </si>
  <si>
    <t>Marcelona Montjuit - Culmia</t>
  </si>
  <si>
    <t>Les Masies - Realia</t>
  </si>
  <si>
    <t>i</t>
  </si>
  <si>
    <t>Gilmar El Retiro</t>
  </si>
  <si>
    <t>Segovia</t>
  </si>
  <si>
    <t>Construmad</t>
  </si>
  <si>
    <t>Pamplona</t>
  </si>
  <si>
    <t>Abaigar Izarra Plaza</t>
  </si>
  <si>
    <t>Altos del Aire - Insur</t>
  </si>
  <si>
    <t>Etna</t>
  </si>
  <si>
    <t>Azaire</t>
  </si>
  <si>
    <t>Gines</t>
  </si>
  <si>
    <t>Suite Mijas</t>
  </si>
  <si>
    <t>Isla Canela</t>
  </si>
  <si>
    <t>Ocean Homes - Pryconsa</t>
  </si>
  <si>
    <t>Himalaya - Palmas Altas Sur</t>
  </si>
  <si>
    <t>Navalcerrada - Palmas Altas</t>
  </si>
  <si>
    <t xml:space="preserve">Jardines de Oriente </t>
  </si>
  <si>
    <t xml:space="preserve">Mesena - Metrovacesa </t>
  </si>
  <si>
    <t xml:space="preserve">Thalassa - Metrovacesa </t>
  </si>
  <si>
    <t>Panorama - Metrovacesa</t>
  </si>
  <si>
    <t>Sabadell</t>
  </si>
  <si>
    <t>Jardins de Can Gambus - Metrovacesa</t>
  </si>
  <si>
    <t>Parque Eiris - Metrovacesa</t>
  </si>
  <si>
    <t>Gasometro - Metrovacesa</t>
  </si>
  <si>
    <t>Terrasa</t>
  </si>
  <si>
    <t>Nova Alcoholera - Metrovacesa</t>
  </si>
  <si>
    <t>Manresa</t>
  </si>
  <si>
    <t>La Llum de Manresa - Metrovacesa</t>
  </si>
  <si>
    <t>Aire de Llevant - Metrovacesa</t>
  </si>
  <si>
    <t>Mallorca</t>
  </si>
  <si>
    <t>Novolerez - Metrovacesa</t>
  </si>
  <si>
    <t>Pontevedra</t>
  </si>
  <si>
    <t>Lyra - Metrovacesa</t>
  </si>
  <si>
    <t>Comprobacion</t>
  </si>
  <si>
    <t>Máximo</t>
  </si>
  <si>
    <t>Mínimo</t>
  </si>
  <si>
    <t>Media</t>
  </si>
  <si>
    <t>Moda</t>
  </si>
  <si>
    <t>Mediana</t>
  </si>
  <si>
    <t>Contador moda</t>
  </si>
  <si>
    <t>Contador Maximo</t>
  </si>
  <si>
    <t>Contador Minimo</t>
  </si>
  <si>
    <t>SUPERFICIE</t>
  </si>
  <si>
    <t>PERÍMETRO</t>
  </si>
  <si>
    <t>Perimetro</t>
  </si>
  <si>
    <t>Perimetro/m2 suelo</t>
  </si>
  <si>
    <t>SCCA</t>
  </si>
  <si>
    <t>SCCB</t>
  </si>
  <si>
    <t>C1A</t>
  </si>
  <si>
    <t>B1A</t>
  </si>
  <si>
    <t>B2A</t>
  </si>
  <si>
    <t>C1B</t>
  </si>
  <si>
    <t>D1A</t>
  </si>
  <si>
    <t>E1A</t>
  </si>
  <si>
    <t>P1A</t>
  </si>
  <si>
    <t>L1A</t>
  </si>
  <si>
    <t>S1A</t>
  </si>
  <si>
    <t>S1B</t>
  </si>
  <si>
    <t>VA A DORMITORIO</t>
  </si>
  <si>
    <t>VCA</t>
  </si>
  <si>
    <t>P (m)</t>
  </si>
  <si>
    <t>A (m2)</t>
  </si>
  <si>
    <t>TOTAL</t>
  </si>
  <si>
    <t>% de Área de Estancias Pintura</t>
  </si>
  <si>
    <t>% de Área de Estancias Alicatadas</t>
  </si>
  <si>
    <t>ocurrencias</t>
  </si>
  <si>
    <t>PROMOTORA</t>
  </si>
  <si>
    <t>A TOTAL (m2)</t>
  </si>
  <si>
    <t>A COCINA</t>
  </si>
  <si>
    <t>P COCINA</t>
  </si>
  <si>
    <t>A BAÑO1</t>
  </si>
  <si>
    <t>P BAÑO1</t>
  </si>
  <si>
    <t>A BAÑO2</t>
  </si>
  <si>
    <t>P BAÑO2</t>
  </si>
  <si>
    <t>A BAÑO3</t>
  </si>
  <si>
    <t>P BAÑO3</t>
  </si>
  <si>
    <t>A ASEO</t>
  </si>
  <si>
    <t>P ASEO</t>
  </si>
  <si>
    <t>A DORM1</t>
  </si>
  <si>
    <t>P DORM1</t>
  </si>
  <si>
    <t>A DORM2</t>
  </si>
  <si>
    <t>P DORM2</t>
  </si>
  <si>
    <t>A DORM3</t>
  </si>
  <si>
    <t>P DORM3</t>
  </si>
  <si>
    <t>A DORM4</t>
  </si>
  <si>
    <t>P DORM4</t>
  </si>
  <si>
    <t>A ENTRADA</t>
  </si>
  <si>
    <t>P ENTRADA</t>
  </si>
  <si>
    <t>A PASILLO</t>
  </si>
  <si>
    <t>P PASILLO</t>
  </si>
  <si>
    <t>A LAVADERO</t>
  </si>
  <si>
    <t>P LAVADERO</t>
  </si>
  <si>
    <t>A TERRAZA</t>
  </si>
  <si>
    <t>P TERRAZA</t>
  </si>
  <si>
    <t>% ESTANCIAS PINTURA</t>
  </si>
  <si>
    <t>% ESTANCIAS ALICATADAS</t>
  </si>
  <si>
    <t>Column1</t>
  </si>
  <si>
    <t>P TOTAL (m)</t>
  </si>
  <si>
    <t>A SALON</t>
  </si>
  <si>
    <t>P SALON</t>
  </si>
  <si>
    <t>RATIO A/P</t>
  </si>
  <si>
    <t>ocurrencias (0,00)</t>
  </si>
  <si>
    <t>ocurrencias (0,000)</t>
  </si>
  <si>
    <t>ocurrencias (0,0)</t>
  </si>
  <si>
    <t>(0,0)</t>
  </si>
  <si>
    <t>(0,00)</t>
  </si>
  <si>
    <t>(0,000)</t>
  </si>
  <si>
    <t>Moda (0,0)</t>
  </si>
  <si>
    <t>Moda (0,00)</t>
  </si>
  <si>
    <t>Moda (0,000)</t>
  </si>
  <si>
    <t>RATIO A/P PINTURA</t>
  </si>
  <si>
    <t>A ESTANCIAS PINTURA</t>
  </si>
  <si>
    <t>P ESTANCIAS PINTURA</t>
  </si>
  <si>
    <t>% PINT</t>
  </si>
  <si>
    <t>% ALIC</t>
  </si>
  <si>
    <t>A/P</t>
  </si>
  <si>
    <t>A/P PINT</t>
  </si>
  <si>
    <t>A/P ALIC</t>
  </si>
  <si>
    <t>A ESTANCIAS ALICATADO</t>
  </si>
  <si>
    <t>P ESTANCIAS ALICATADO</t>
  </si>
  <si>
    <t>RATIO A/P ALICATADO</t>
  </si>
  <si>
    <t>LADO A RECTANGULO TOTAL</t>
  </si>
  <si>
    <t>LADO B RECTANGULO TOTAL</t>
  </si>
  <si>
    <t>A PAREDES CUBO TOTAL</t>
  </si>
  <si>
    <t>A PAREDES/A TOTAL</t>
  </si>
  <si>
    <t>Nº HABITACIONES</t>
  </si>
  <si>
    <t>Nº BAÑOS</t>
  </si>
  <si>
    <t>Nº ASEOS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</si>
</sst>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0" fontId="3" fillId="0" borderId="0" xfId="0" applyFont="1"/>
    <xf numFmtId="0" fontId="1" fillId="3" borderId="0" xfId="0" applyFont="1" applyFill="1"/>
    <xf numFmtId="2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quotePrefix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165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 applyAlignment="1">
      <alignment horizontal="center" wrapText="1"/>
    </xf>
    <xf numFmtId="2" fontId="0" fillId="0" borderId="0" xfId="0" applyNumberFormat="1" applyFill="1"/>
    <xf numFmtId="0" fontId="1" fillId="0" borderId="0" xfId="0" applyFont="1" applyFill="1" applyAlignment="1">
      <alignment horizontal="center" vertical="center"/>
    </xf>
    <xf numFmtId="168" fontId="1" fillId="0" borderId="0" xfId="0" applyNumberFormat="1" applyFont="1"/>
    <xf numFmtId="165" fontId="0" fillId="0" borderId="0" xfId="0" applyNumberForma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0" xfId="0" applyFont="1" applyFill="1"/>
    <xf numFmtId="0" fontId="0" fillId="4" borderId="0" xfId="0" applyFill="1"/>
    <xf numFmtId="2" fontId="0" fillId="0" borderId="0" xfId="0" applyNumberFormat="1" applyFill="1" applyAlignment="1">
      <alignment horizontal="center" vertical="center"/>
    </xf>
    <xf numFmtId="0" fontId="0" fillId="5" borderId="0" xfId="0" applyFill="1"/>
    <xf numFmtId="2" fontId="0" fillId="5" borderId="0" xfId="0" applyNumberFormat="1" applyFill="1"/>
    <xf numFmtId="1" fontId="0" fillId="5" borderId="0" xfId="0" applyNumberFormat="1" applyFill="1"/>
    <xf numFmtId="2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49">
    <dxf>
      <numFmt numFmtId="2" formatCode="0.00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8"/>
        </patternFill>
      </fill>
    </dxf>
    <dxf>
      <numFmt numFmtId="2" formatCode="0.00"/>
      <fill>
        <patternFill patternType="solid">
          <fgColor indexed="64"/>
          <bgColor theme="0" tint="-4.9989318521683403E-2"/>
        </patternFill>
      </fill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65" formatCode="0.0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numFmt numFmtId="165" formatCode="0.000"/>
      <fill>
        <patternFill patternType="none">
          <fgColor indexed="64"/>
          <bgColor indexed="65"/>
        </patternFill>
      </fill>
    </dxf>
    <dxf>
      <numFmt numFmtId="165" formatCode="0.0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165" formatCode="0.000"/>
      <fill>
        <patternFill patternType="none">
          <fgColor indexed="64"/>
          <bgColor indexed="65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B6B41-102F-4E17-AA3D-DE8688EBC476}" name="Table1" displayName="Table1" ref="B1:AX256" totalsRowShown="0">
  <autoFilter ref="B1:AX256" xr:uid="{620B6B41-102F-4E17-AA3D-DE8688EBC476}"/>
  <sortState xmlns:xlrd2="http://schemas.microsoft.com/office/spreadsheetml/2017/richdata2" ref="B2:AX256">
    <sortCondition ref="E1:E256"/>
  </sortState>
  <tableColumns count="49">
    <tableColumn id="1" xr3:uid="{ABE84FDA-4FD7-4331-A011-2A2C3A81AFC0}" name="ZONA" dataDxfId="11"/>
    <tableColumn id="2" xr3:uid="{AD8A7E31-3FF7-46DD-98FE-A63F6C8D719C}" name="PROMOTORA"/>
    <tableColumn id="45" xr3:uid="{E7482B62-EF50-4991-930A-13817ABD7C93}" name="A TOTAL (m2)" dataDxfId="10">
      <calculatedColumnFormula>SUM(I2,K2,M2,O2,Q2,S2,U2,W2,Y2,AA2,AC2,AE2,AG2)</calculatedColumnFormula>
    </tableColumn>
    <tableColumn id="59" xr3:uid="{B6F1AD61-CD31-4FAA-B876-8CB683E78B02}" name="Nº HABITACIONES" dataDxfId="9">
      <calculatedColumnFormula>COUNTA(U2,W2,Y2,AA2)</calculatedColumnFormula>
    </tableColumn>
    <tableColumn id="58" xr3:uid="{789469BD-9747-4116-9CDB-823327327635}" name="Nº BAÑOS" dataDxfId="8">
      <calculatedColumnFormula>COUNTA(M2,O2,Q2)</calculatedColumnFormula>
    </tableColumn>
    <tableColumn id="60" xr3:uid="{72AFA5C9-5CC8-4137-BAC2-E99DF31199FC}" name="Nº ASEOS" dataDxfId="6">
      <calculatedColumnFormula>COUNTA(Table1[[#This Row],[A ASEO]])</calculatedColumnFormula>
    </tableColumn>
    <tableColumn id="3" xr3:uid="{370B9922-8941-4B25-99DA-8A715F7FC204}" name="P TOTAL (m)" dataDxfId="5">
      <calculatedColumnFormula>SUM(J2,L2,N2,P2,R2,T2,V2,X2,Z2,AB2,AD2,AF2,AH2)</calculatedColumnFormula>
    </tableColumn>
    <tableColumn id="4" xr3:uid="{D42F7D6E-12E3-4F8B-BEA2-5304DFCF420C}" name="A SALON" dataDxfId="7"/>
    <tableColumn id="5" xr3:uid="{E5CB6670-3F8B-4C1D-A735-66DF0DBD589A}" name="P SALON" dataDxfId="48">
      <calculatedColumnFormula>I2*1.34</calculatedColumnFormula>
    </tableColumn>
    <tableColumn id="6" xr3:uid="{FF8B33BF-9561-4624-8926-9C1967888827}" name="A COCINA" dataDxfId="47"/>
    <tableColumn id="7" xr3:uid="{1A92EB56-1A9D-4A38-A7ED-C8092A39ACA6}" name="P COCINA" dataDxfId="46">
      <calculatedColumnFormula>K2*1.34</calculatedColumnFormula>
    </tableColumn>
    <tableColumn id="8" xr3:uid="{9D768C15-C2C6-4204-9FDC-D83F4BAA49D4}" name="A BAÑO1" dataDxfId="45"/>
    <tableColumn id="9" xr3:uid="{7FDE1B41-9B81-4F48-8916-7F0F3E8A8417}" name="P BAÑO1" dataDxfId="44">
      <calculatedColumnFormula>M2*2.36</calculatedColumnFormula>
    </tableColumn>
    <tableColumn id="10" xr3:uid="{1BBAF8FD-1D7A-4ACC-B1C3-4AE3B82816BD}" name="A BAÑO2" dataDxfId="43"/>
    <tableColumn id="11" xr3:uid="{BFA769AE-5220-4D79-99B4-CE8E04E7D1A1}" name="P BAÑO2" dataDxfId="42">
      <calculatedColumnFormula>O2*2.36</calculatedColumnFormula>
    </tableColumn>
    <tableColumn id="12" xr3:uid="{AAD79930-07DA-4FA5-B5D7-B77C78159542}" name="A BAÑO3" dataDxfId="41"/>
    <tableColumn id="13" xr3:uid="{98B69C2B-4E49-4308-BE32-5BFC0CC59D60}" name="P BAÑO3" dataDxfId="40"/>
    <tableColumn id="16" xr3:uid="{45AB7565-86FE-4406-8241-FC9EDE3A88B4}" name="A ASEO" dataDxfId="39"/>
    <tableColumn id="17" xr3:uid="{0B823BA5-5029-4D4F-8CC0-9A52574A8E1F}" name="P ASEO" dataDxfId="38"/>
    <tableColumn id="18" xr3:uid="{3AEFCC40-29C4-4F30-8E23-F01BB1AEE32A}" name="A DORM1" dataDxfId="37"/>
    <tableColumn id="19" xr3:uid="{7E7A282C-CBE5-4C8B-A724-71788AA9A767}" name="P DORM1" dataDxfId="36">
      <calculatedColumnFormula>U2*1.34</calculatedColumnFormula>
    </tableColumn>
    <tableColumn id="20" xr3:uid="{5E6D6186-A034-4D18-AF95-EE8D753B8D77}" name="A DORM2" dataDxfId="35"/>
    <tableColumn id="21" xr3:uid="{14F068C3-D492-4E1B-9CD5-0FB53B7065E2}" name="P DORM2" dataDxfId="34">
      <calculatedColumnFormula>W2*1.34</calculatedColumnFormula>
    </tableColumn>
    <tableColumn id="22" xr3:uid="{D317A3AC-8B5D-498F-8D2B-EAAA72E5E066}" name="A DORM3" dataDxfId="33"/>
    <tableColumn id="23" xr3:uid="{EAE5DE30-68A4-412B-8FD7-63A17C32FDCD}" name="P DORM3" dataDxfId="32">
      <calculatedColumnFormula>Y2*1.34</calculatedColumnFormula>
    </tableColumn>
    <tableColumn id="24" xr3:uid="{6A1A499E-E02E-4B86-81A9-3038F6117936}" name="A DORM4" dataDxfId="31"/>
    <tableColumn id="25" xr3:uid="{34FC6DDB-F52A-4079-9415-82F78C1D263A}" name="P DORM4" dataDxfId="30">
      <calculatedColumnFormula>AA2*1.34</calculatedColumnFormula>
    </tableColumn>
    <tableColumn id="28" xr3:uid="{BA51CEF7-F746-4E30-9694-23663CD342FC}" name="A ENTRADA" dataDxfId="29"/>
    <tableColumn id="29" xr3:uid="{80AB62A2-9E77-4FE2-BFF2-5464E535D43D}" name="P ENTRADA" dataDxfId="28">
      <calculatedColumnFormula>AC2*2.75</calculatedColumnFormula>
    </tableColumn>
    <tableColumn id="30" xr3:uid="{45E395FC-14FF-4154-954A-32A31E70AD75}" name="A PASILLO" dataDxfId="27"/>
    <tableColumn id="31" xr3:uid="{20AACC7D-9A3F-4F9B-80F1-95DCBBAE3B9D}" name="P PASILLO" dataDxfId="26">
      <calculatedColumnFormula>AE2*2.75</calculatedColumnFormula>
    </tableColumn>
    <tableColumn id="32" xr3:uid="{E6759084-1290-43E8-ABBA-BA162BCF7D74}" name="A LAVADERO" dataDxfId="25"/>
    <tableColumn id="33" xr3:uid="{E5DA3244-1ABE-4CF6-94AA-3B177A85365B}" name="P LAVADERO" dataDxfId="3"/>
    <tableColumn id="38" xr3:uid="{DAF7CD18-76DD-4563-8D18-00F194E6BB03}" name="A TERRAZA" dataDxfId="2"/>
    <tableColumn id="39" xr3:uid="{CDDE6502-31D6-4406-9A8F-B7F9C5F26C0C}" name="P TERRAZA" dataDxfId="0"/>
    <tableColumn id="40" xr3:uid="{ABDCC4E2-2561-471A-A10D-2ACCD1A312F7}" name="Column1" dataDxfId="1"/>
    <tableColumn id="48" xr3:uid="{130EF43E-C8CF-4D8D-B0B9-7CBAB4961742}" name="A ESTANCIAS PINTURA" dataDxfId="21">
      <calculatedColumnFormula>SUM(I2,U2,W2,Y2,AA2,AC2,AE2,AG2)</calculatedColumnFormula>
    </tableColumn>
    <tableColumn id="49" xr3:uid="{58CDABB1-90FC-4A47-AF84-AD91DB66A246}" name="A ESTANCIAS ALICATADO" dataDxfId="20">
      <calculatedColumnFormula>SUM(K2,M2,O2,Q2,S2)</calculatedColumnFormula>
    </tableColumn>
    <tableColumn id="50" xr3:uid="{AE63612E-E78D-4E41-9C70-EF4383B51AA0}" name="P ESTANCIAS PINTURA" dataDxfId="19">
      <calculatedColumnFormula>SUM(J2,V2,X2,Z2,AB2,AD2,AF2,AH2)</calculatedColumnFormula>
    </tableColumn>
    <tableColumn id="51" xr3:uid="{3CFCCE0B-D5EC-4F89-B086-056E96D6837C}" name="P ESTANCIAS ALICATADO" dataDxfId="18">
      <calculatedColumnFormula>SUM(L2,N2,P2,R2,T2)</calculatedColumnFormula>
    </tableColumn>
    <tableColumn id="41" xr3:uid="{8B56142F-AC5F-4BAD-9C7F-398852171731}" name="% ESTANCIAS PINTURA" dataDxfId="24">
      <calculatedColumnFormula>SUM(AG2,AE2,AC2,AA2,Y2,W2,U2,I2)/D2</calculatedColumnFormula>
    </tableColumn>
    <tableColumn id="42" xr3:uid="{737AECFE-ABEC-424D-89D5-5697B3862F29}" name="% ESTANCIAS ALICATADAS" dataDxfId="23">
      <calculatedColumnFormula>SUM(K2,M2,O2,Q2,S2)/D2</calculatedColumnFormula>
    </tableColumn>
    <tableColumn id="46" xr3:uid="{07952FFF-451D-42F7-8A0A-C1BA94D73A68}" name="RATIO A/P" dataDxfId="22">
      <calculatedColumnFormula>D2/H2</calculatedColumnFormula>
    </tableColumn>
    <tableColumn id="47" xr3:uid="{A598179A-F0EC-4B6F-8406-536E6EA0C6E0}" name="RATIO A/P PINTURA" dataDxfId="17">
      <calculatedColumnFormula>AL2/AN2</calculatedColumnFormula>
    </tableColumn>
    <tableColumn id="52" xr3:uid="{0087A266-F7D6-4040-BE83-3F26E3251E7D}" name="RATIO A/P ALICATADO" dataDxfId="16">
      <calculatedColumnFormula>AM2/AO2</calculatedColumnFormula>
    </tableColumn>
    <tableColumn id="53" xr3:uid="{9FAB03B9-F153-479A-B43E-99303093B16B}" name="LADO A RECTANGULO TOTAL" dataDxfId="15">
      <calculatedColumnFormula>(((H2/2) - SQRT((H2/2)^2 - 4 * D2)) / 2)</calculatedColumnFormula>
    </tableColumn>
    <tableColumn id="54" xr3:uid="{4E14DD35-666A-4C81-817F-8A31CC703DEC}" name="LADO B RECTANGULO TOTAL" dataDxfId="14">
      <calculatedColumnFormula>(((H2/2) + SQRT((H2/2)^2 - 4 * D2)) / 2)</calculatedColumnFormula>
    </tableColumn>
    <tableColumn id="55" xr3:uid="{719C794B-DDC6-483E-B50A-33C8672C83BE}" name="A PAREDES CUBO TOTAL" dataDxfId="13">
      <calculatedColumnFormula>AU2*2.7*2+AV2*2.7*2</calculatedColumnFormula>
    </tableColumn>
    <tableColumn id="56" xr3:uid="{32D8D0D1-5A36-4C76-B74B-D8547A1FC975}" name="A PAREDES/A TOTAL" dataDxfId="12">
      <calculatedColumnFormula>AW2/D2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C692-2F3E-4BB2-B445-5FAFFC49FD62}">
  <dimension ref="A1:BF256"/>
  <sheetViews>
    <sheetView tabSelected="1" topLeftCell="B1" zoomScaleNormal="100" workbookViewId="0">
      <pane xSplit="6" ySplit="1" topLeftCell="H2" activePane="bottomRight" state="frozen"/>
      <selection activeCell="B1" sqref="B1"/>
      <selection pane="topRight" activeCell="H1" sqref="H1"/>
      <selection pane="bottomLeft" activeCell="B2" sqref="B2"/>
      <selection pane="bottomRight" activeCell="BC34" sqref="BC34"/>
    </sheetView>
  </sheetViews>
  <sheetFormatPr defaultColWidth="9.28515625" defaultRowHeight="15" x14ac:dyDescent="0.25"/>
  <cols>
    <col min="1" max="1" width="10.7109375" hidden="1" customWidth="1"/>
    <col min="2" max="2" width="15.7109375" customWidth="1"/>
    <col min="3" max="3" width="31" customWidth="1"/>
    <col min="4" max="4" width="16.7109375" customWidth="1"/>
    <col min="6" max="7" width="5" customWidth="1"/>
    <col min="8" max="8" width="11.85546875" customWidth="1"/>
    <col min="9" max="9" width="15" customWidth="1"/>
    <col min="10" max="10" width="13.28515625" customWidth="1"/>
    <col min="11" max="11" width="16.140625" customWidth="1"/>
    <col min="12" max="12" width="11" bestFit="1" customWidth="1"/>
    <col min="13" max="13" width="11.28515625" bestFit="1" customWidth="1"/>
    <col min="14" max="14" width="11" bestFit="1" customWidth="1"/>
    <col min="15" max="15" width="11.28515625" bestFit="1" customWidth="1"/>
    <col min="16" max="16" width="11" bestFit="1" customWidth="1"/>
    <col min="17" max="17" width="11.28515625" bestFit="1" customWidth="1"/>
    <col min="18" max="18" width="11" bestFit="1" customWidth="1"/>
    <col min="19" max="19" width="11.28515625" bestFit="1" customWidth="1"/>
    <col min="20" max="20" width="11" bestFit="1" customWidth="1"/>
    <col min="21" max="21" width="11.28515625" bestFit="1" customWidth="1"/>
    <col min="22" max="22" width="11.42578125" customWidth="1"/>
    <col min="23" max="23" width="11.28515625" bestFit="1" customWidth="1"/>
    <col min="24" max="24" width="14.28515625" customWidth="1"/>
    <col min="25" max="25" width="11.28515625" bestFit="1" customWidth="1"/>
    <col min="26" max="26" width="11.42578125" customWidth="1"/>
    <col min="27" max="27" width="14.28515625" customWidth="1"/>
    <col min="28" max="28" width="11.42578125" customWidth="1"/>
    <col min="29" max="29" width="11.28515625" bestFit="1" customWidth="1"/>
    <col min="30" max="30" width="13.140625" customWidth="1"/>
    <col min="31" max="31" width="13" customWidth="1"/>
    <col min="32" max="32" width="11.5703125" customWidth="1"/>
    <col min="33" max="33" width="11.42578125" customWidth="1"/>
    <col min="34" max="34" width="12.85546875" customWidth="1"/>
    <col min="35" max="35" width="20.42578125" customWidth="1"/>
    <col min="36" max="36" width="11.140625" style="34" customWidth="1"/>
    <col min="37" max="37" width="3.42578125" style="25" customWidth="1"/>
    <col min="38" max="38" width="12.5703125" style="25" customWidth="1"/>
    <col min="39" max="39" width="11.28515625" style="25" customWidth="1"/>
    <col min="40" max="40" width="17" bestFit="1" customWidth="1"/>
    <col min="41" max="41" width="12.42578125" customWidth="1"/>
    <col min="42" max="42" width="10.42578125" customWidth="1"/>
    <col min="43" max="43" width="14.7109375" customWidth="1"/>
    <col min="44" max="45" width="16.140625" customWidth="1"/>
    <col min="46" max="46" width="12.85546875" customWidth="1"/>
    <col min="47" max="47" width="13.5703125" customWidth="1"/>
    <col min="48" max="48" width="11.85546875" customWidth="1"/>
    <col min="49" max="50" width="9.5703125" customWidth="1"/>
    <col min="51" max="51" width="19.5703125" customWidth="1"/>
  </cols>
  <sheetData>
    <row r="1" spans="1:58" s="4" customFormat="1" ht="63" x14ac:dyDescent="0.25">
      <c r="B1" s="17" t="s">
        <v>39</v>
      </c>
      <c r="C1" s="18" t="s">
        <v>180</v>
      </c>
      <c r="D1" s="18" t="s">
        <v>181</v>
      </c>
      <c r="E1" s="31" t="s">
        <v>239</v>
      </c>
      <c r="F1" s="31" t="s">
        <v>240</v>
      </c>
      <c r="G1" s="31" t="s">
        <v>241</v>
      </c>
      <c r="H1" s="18" t="s">
        <v>211</v>
      </c>
      <c r="I1" s="18" t="s">
        <v>212</v>
      </c>
      <c r="J1" s="18" t="s">
        <v>213</v>
      </c>
      <c r="K1" s="18" t="s">
        <v>182</v>
      </c>
      <c r="L1" s="18" t="s">
        <v>183</v>
      </c>
      <c r="M1" s="18" t="s">
        <v>184</v>
      </c>
      <c r="N1" s="18" t="s">
        <v>185</v>
      </c>
      <c r="O1" s="18" t="s">
        <v>186</v>
      </c>
      <c r="P1" s="18" t="s">
        <v>187</v>
      </c>
      <c r="Q1" s="18" t="s">
        <v>188</v>
      </c>
      <c r="R1" s="18" t="s">
        <v>189</v>
      </c>
      <c r="S1" s="18" t="s">
        <v>190</v>
      </c>
      <c r="T1" s="18" t="s">
        <v>191</v>
      </c>
      <c r="U1" s="18" t="s">
        <v>192</v>
      </c>
      <c r="V1" s="18" t="s">
        <v>193</v>
      </c>
      <c r="W1" s="18" t="s">
        <v>194</v>
      </c>
      <c r="X1" s="18" t="s">
        <v>195</v>
      </c>
      <c r="Y1" s="18" t="s">
        <v>196</v>
      </c>
      <c r="Z1" s="18" t="s">
        <v>197</v>
      </c>
      <c r="AA1" s="18" t="s">
        <v>198</v>
      </c>
      <c r="AB1" s="18" t="s">
        <v>199</v>
      </c>
      <c r="AC1" s="18" t="s">
        <v>200</v>
      </c>
      <c r="AD1" s="18" t="s">
        <v>201</v>
      </c>
      <c r="AE1" s="18" t="s">
        <v>202</v>
      </c>
      <c r="AF1" s="18" t="s">
        <v>203</v>
      </c>
      <c r="AG1" s="18" t="s">
        <v>204</v>
      </c>
      <c r="AH1" s="18" t="s">
        <v>205</v>
      </c>
      <c r="AI1" s="18" t="s">
        <v>206</v>
      </c>
      <c r="AJ1" s="18" t="s">
        <v>207</v>
      </c>
      <c r="AK1" s="33" t="s">
        <v>210</v>
      </c>
      <c r="AL1" s="32" t="s">
        <v>225</v>
      </c>
      <c r="AM1" s="32" t="s">
        <v>232</v>
      </c>
      <c r="AN1" s="31" t="s">
        <v>226</v>
      </c>
      <c r="AO1" s="32" t="s">
        <v>233</v>
      </c>
      <c r="AP1" s="26" t="s">
        <v>208</v>
      </c>
      <c r="AQ1" s="26" t="s">
        <v>209</v>
      </c>
      <c r="AR1" s="28" t="s">
        <v>214</v>
      </c>
      <c r="AS1" s="31" t="s">
        <v>224</v>
      </c>
      <c r="AT1" s="31" t="s">
        <v>234</v>
      </c>
      <c r="AU1" s="31" t="s">
        <v>235</v>
      </c>
      <c r="AV1" s="31" t="s">
        <v>236</v>
      </c>
      <c r="AW1" s="31" t="s">
        <v>237</v>
      </c>
      <c r="AX1" s="31" t="s">
        <v>238</v>
      </c>
      <c r="AY1" s="31"/>
    </row>
    <row r="2" spans="1:58" x14ac:dyDescent="0.25">
      <c r="B2" s="36" t="s">
        <v>42</v>
      </c>
      <c r="C2" t="s">
        <v>130</v>
      </c>
      <c r="D2" s="37">
        <f>SUM(I2,K2,M2,O2,Q2,S2,U2,W2,Y2,AA2,AC2,AE2,AG2)</f>
        <v>43.1</v>
      </c>
      <c r="E2" s="38">
        <f>COUNTA(U2,W2,Y2,AA2)</f>
        <v>1</v>
      </c>
      <c r="F2" s="38">
        <f>COUNTA(M2,O2,Q2)</f>
        <v>1</v>
      </c>
      <c r="G2" s="38">
        <f>COUNTA(Table1[[#This Row],[A ASEO]])</f>
        <v>0</v>
      </c>
      <c r="H2" s="1">
        <f>SUM(J2,L2,N2,P2,R2,T2,V2,X2,Z2,AB2,AD2,AF2,AH2)</f>
        <v>66.432999999999993</v>
      </c>
      <c r="I2" s="1">
        <v>15.5</v>
      </c>
      <c r="J2" s="1">
        <f>I2*1.34</f>
        <v>20.77</v>
      </c>
      <c r="K2" s="1">
        <v>7.7</v>
      </c>
      <c r="L2" s="1">
        <f>K2*1.34</f>
        <v>10.318000000000001</v>
      </c>
      <c r="M2" s="1">
        <v>4.5</v>
      </c>
      <c r="N2" s="1">
        <f>M2*2.36</f>
        <v>10.62</v>
      </c>
      <c r="O2" s="1"/>
      <c r="P2" s="1"/>
      <c r="Q2" s="1"/>
      <c r="R2" s="1"/>
      <c r="S2" s="1"/>
      <c r="T2" s="1"/>
      <c r="U2" s="1">
        <v>12.5</v>
      </c>
      <c r="V2" s="1">
        <f>U2*1.34</f>
        <v>16.75</v>
      </c>
      <c r="W2" s="1"/>
      <c r="X2" s="1"/>
      <c r="Y2" s="1"/>
      <c r="Z2" s="1"/>
      <c r="AA2" s="1"/>
      <c r="AB2" s="1"/>
      <c r="AC2" s="1"/>
      <c r="AD2" s="1"/>
      <c r="AE2" s="1">
        <v>2.9</v>
      </c>
      <c r="AF2" s="1">
        <f>AE2*2.75</f>
        <v>7.9749999999999996</v>
      </c>
      <c r="AG2" s="1"/>
      <c r="AH2" s="1"/>
      <c r="AI2" s="39"/>
      <c r="AJ2" s="39"/>
      <c r="AK2" s="34"/>
      <c r="AL2" s="27">
        <f>SUM(I2,U2,W2,Y2,AA2,AC2,AE2,AG2)</f>
        <v>30.9</v>
      </c>
      <c r="AM2" s="27">
        <f>SUM(K2,M2,O2,Q2,S2)</f>
        <v>12.2</v>
      </c>
      <c r="AN2" s="27">
        <f>SUM(J2,V2,X2,Z2,AB2,AD2,AF2,AH2)</f>
        <v>45.494999999999997</v>
      </c>
      <c r="AO2" s="27">
        <f>SUM(L2,N2,P2,R2,T2)</f>
        <v>20.938000000000002</v>
      </c>
      <c r="AP2" s="30">
        <f>SUM(AG2,AE2,AC2,AA2,Y2,W2,U2,I2)/D2</f>
        <v>0.71693735498839906</v>
      </c>
      <c r="AQ2" s="30">
        <f>SUM(K2,M2,O2,Q2,S2)/D2</f>
        <v>0.28306264501160089</v>
      </c>
      <c r="AR2" s="30">
        <f>D2/H2</f>
        <v>0.64877395270422844</v>
      </c>
      <c r="AS2" s="30">
        <f>AL2/AN2</f>
        <v>0.67919551599076822</v>
      </c>
      <c r="AT2" s="30">
        <f>AM2/AO2</f>
        <v>0.58267265259337075</v>
      </c>
      <c r="AU2" s="35">
        <f>(((H2/2) - SQRT((H2/2)^2 - 4 * D2)) / 2)</f>
        <v>1.3526291321854096</v>
      </c>
      <c r="AV2" s="27">
        <f>(((H2/2) + SQRT((H2/2)^2 - 4 * D2)) / 2)</f>
        <v>31.863870867814587</v>
      </c>
      <c r="AW2" s="27">
        <f>AU2*2.7*2+AV2*2.7*2</f>
        <v>179.3691</v>
      </c>
      <c r="AX2" s="30">
        <f>AW2/D2</f>
        <v>4.1616960556844544</v>
      </c>
      <c r="AY2" s="30"/>
    </row>
    <row r="3" spans="1:58" x14ac:dyDescent="0.25">
      <c r="B3" s="36" t="s">
        <v>42</v>
      </c>
      <c r="C3" t="s">
        <v>54</v>
      </c>
      <c r="D3" s="37">
        <f>SUM(I3,K3,M3,O3,Q3,S3,U3,W3,Y3,AA3,AC3,AE3,AG3)</f>
        <v>45.97</v>
      </c>
      <c r="E3" s="38">
        <f>COUNTA(U3,W3,Y3,AA3)</f>
        <v>1</v>
      </c>
      <c r="F3" s="38">
        <f>COUNTA(M3,O3,Q3)</f>
        <v>1</v>
      </c>
      <c r="G3" s="38">
        <f>COUNTA(Table1[[#This Row],[A ASEO]])</f>
        <v>0</v>
      </c>
      <c r="H3" s="1">
        <f>SUM(J3,L3,N3,P3,R3,T3,V3,X3,Z3,AB3,AD3,AF3,AH3)</f>
        <v>70.865600000000001</v>
      </c>
      <c r="I3" s="1">
        <v>18.260000000000002</v>
      </c>
      <c r="J3" s="1">
        <f>I3*1.34</f>
        <v>24.468400000000003</v>
      </c>
      <c r="K3" s="1">
        <v>7.86</v>
      </c>
      <c r="L3" s="1">
        <f>K3*1.34</f>
        <v>10.532400000000001</v>
      </c>
      <c r="M3" s="1">
        <v>4.55</v>
      </c>
      <c r="N3" s="1">
        <f>M3*2.36</f>
        <v>10.738</v>
      </c>
      <c r="O3" s="1"/>
      <c r="P3" s="1"/>
      <c r="Q3" s="1"/>
      <c r="R3" s="1"/>
      <c r="S3" s="1"/>
      <c r="T3" s="1"/>
      <c r="U3" s="1">
        <v>12.02</v>
      </c>
      <c r="V3" s="1">
        <f>U3*1.34</f>
        <v>16.1068</v>
      </c>
      <c r="W3" s="1"/>
      <c r="X3" s="1"/>
      <c r="Y3" s="1"/>
      <c r="Z3" s="1"/>
      <c r="AA3" s="1"/>
      <c r="AB3" s="1"/>
      <c r="AC3" s="1">
        <v>3.28</v>
      </c>
      <c r="AD3" s="1">
        <f>AC3*2.75</f>
        <v>9.02</v>
      </c>
      <c r="AE3" s="1"/>
      <c r="AF3" s="1"/>
      <c r="AG3" s="1"/>
      <c r="AH3" s="1"/>
      <c r="AI3" s="39"/>
      <c r="AJ3" s="39"/>
      <c r="AK3" s="34"/>
      <c r="AL3" s="27">
        <f>SUM(I3,U3,W3,Y3,AA3,AC3,AE3,AG3)</f>
        <v>33.56</v>
      </c>
      <c r="AM3" s="27">
        <f>SUM(K3,M3,O3,Q3,S3)</f>
        <v>12.41</v>
      </c>
      <c r="AN3" s="27">
        <f>SUM(J3,V3,X3,Z3,AB3,AD3,AF3,AH3)</f>
        <v>49.595200000000006</v>
      </c>
      <c r="AO3" s="27">
        <f>SUM(L3,N3,P3,R3,T3)</f>
        <v>21.270400000000002</v>
      </c>
      <c r="AP3" s="30">
        <f>SUM(AG3,AE3,AC3,AA3,Y3,W3,U3,I3)/D3</f>
        <v>0.73004133130302373</v>
      </c>
      <c r="AQ3" s="30">
        <f>SUM(K3,M3,O3,Q3,S3)/D3</f>
        <v>0.26995866869697632</v>
      </c>
      <c r="AR3" s="30">
        <f>D3/H3</f>
        <v>0.6486927366733648</v>
      </c>
      <c r="AS3" s="30">
        <f>AL3/AN3</f>
        <v>0.67667838823111914</v>
      </c>
      <c r="AT3" s="30">
        <f>AM3/AO3</f>
        <v>0.5834398976982097</v>
      </c>
      <c r="AU3" s="35">
        <f>(((H3/2) - SQRT((H3/2)^2 - 4 * D3)) / 2)</f>
        <v>1.3487236542262977</v>
      </c>
      <c r="AV3" s="27">
        <f>(((H3/2) + SQRT((H3/2)^2 - 4 * D3)) / 2)</f>
        <v>34.084076345773703</v>
      </c>
      <c r="AW3" s="27">
        <f>AU3*2.7*2+AV3*2.7*2</f>
        <v>191.33712</v>
      </c>
      <c r="AX3" s="30">
        <f>AW3/D3</f>
        <v>4.1622170981074618</v>
      </c>
      <c r="AY3" s="30"/>
    </row>
    <row r="4" spans="1:58" x14ac:dyDescent="0.25">
      <c r="B4" s="36" t="s">
        <v>42</v>
      </c>
      <c r="C4" t="s">
        <v>68</v>
      </c>
      <c r="D4" s="37">
        <f>SUM(I4,K4,M4,O4,Q4,S4,U4,W4,Y4,AA4,AC4,AE4,AG4)</f>
        <v>44.699999999999996</v>
      </c>
      <c r="E4" s="38">
        <f>COUNTA(U4,W4,Y4,AA4)</f>
        <v>1</v>
      </c>
      <c r="F4" s="38">
        <f>COUNTA(M4,O4,Q4)</f>
        <v>1</v>
      </c>
      <c r="G4" s="38">
        <f>COUNTA(Table1[[#This Row],[A ASEO]])</f>
        <v>0</v>
      </c>
      <c r="H4" s="1">
        <f>SUM(J4,L4,N4,P4,R4,T4,V4,X4,Z4,AB4,AD4,AF4,AH4)</f>
        <v>69.734999999999999</v>
      </c>
      <c r="I4" s="1">
        <v>16.2</v>
      </c>
      <c r="J4" s="1">
        <f>I4*1.34</f>
        <v>21.708000000000002</v>
      </c>
      <c r="K4" s="1">
        <v>7.15</v>
      </c>
      <c r="L4" s="1">
        <f>K4*1.34</f>
        <v>9.5810000000000013</v>
      </c>
      <c r="M4" s="1">
        <v>3.7</v>
      </c>
      <c r="N4" s="1">
        <f>M4*2.36</f>
        <v>8.7319999999999993</v>
      </c>
      <c r="O4" s="1"/>
      <c r="P4" s="1"/>
      <c r="Q4" s="1"/>
      <c r="R4" s="1"/>
      <c r="S4" s="1"/>
      <c r="T4" s="1"/>
      <c r="U4" s="1">
        <v>13.35</v>
      </c>
      <c r="V4" s="1">
        <f>U4*1.34</f>
        <v>17.888999999999999</v>
      </c>
      <c r="W4" s="1"/>
      <c r="X4" s="1"/>
      <c r="Y4" s="1"/>
      <c r="Z4" s="1"/>
      <c r="AA4" s="1"/>
      <c r="AB4" s="1"/>
      <c r="AC4" s="1">
        <v>4.3</v>
      </c>
      <c r="AD4" s="1">
        <f>AC4*2.75</f>
        <v>11.824999999999999</v>
      </c>
      <c r="AE4" s="1"/>
      <c r="AF4" s="1"/>
      <c r="AG4" s="1"/>
      <c r="AH4" s="1"/>
      <c r="AI4" s="39"/>
      <c r="AJ4" s="39"/>
      <c r="AK4" s="34"/>
      <c r="AL4" s="27">
        <f>SUM(I4,U4,W4,Y4,AA4,AC4,AE4,AG4)</f>
        <v>33.849999999999994</v>
      </c>
      <c r="AM4" s="27">
        <f>SUM(K4,M4,O4,Q4,S4)</f>
        <v>10.850000000000001</v>
      </c>
      <c r="AN4" s="27">
        <f>SUM(J4,V4,X4,Z4,AB4,AD4,AF4,AH4)</f>
        <v>51.421999999999997</v>
      </c>
      <c r="AO4" s="27">
        <f>SUM(L4,N4,P4,R4,T4)</f>
        <v>18.313000000000002</v>
      </c>
      <c r="AP4" s="30">
        <f>SUM(AG4,AE4,AC4,AA4,Y4,W4,U4,I4)/D4</f>
        <v>0.75727069351230425</v>
      </c>
      <c r="AQ4" s="30">
        <f>SUM(K4,M4,O4,Q4,S4)/D4</f>
        <v>0.24272930648769581</v>
      </c>
      <c r="AR4" s="30">
        <f>D4/H4</f>
        <v>0.64099806409980631</v>
      </c>
      <c r="AS4" s="30">
        <f>AL4/AN4</f>
        <v>0.65827855781572087</v>
      </c>
      <c r="AT4" s="30">
        <f>AM4/AO4</f>
        <v>0.59247529077704364</v>
      </c>
      <c r="AU4" s="35">
        <f>(((H4/2) - SQRT((H4/2)^2 - 4 * D4)) / 2)</f>
        <v>1.3329537755115979</v>
      </c>
      <c r="AV4" s="27">
        <f>(((H4/2) + SQRT((H4/2)^2 - 4 * D4)) / 2)</f>
        <v>33.534546224488402</v>
      </c>
      <c r="AW4" s="27">
        <f>AU4*2.7*2+AV4*2.7*2</f>
        <v>188.28450000000001</v>
      </c>
      <c r="AX4" s="30">
        <f>AW4/D4</f>
        <v>4.2121812080536918</v>
      </c>
      <c r="AY4" s="30"/>
      <c r="BB4" t="s">
        <v>227</v>
      </c>
      <c r="BC4" t="s">
        <v>228</v>
      </c>
      <c r="BD4" t="s">
        <v>229</v>
      </c>
      <c r="BE4" t="s">
        <v>230</v>
      </c>
      <c r="BF4" t="s">
        <v>231</v>
      </c>
    </row>
    <row r="5" spans="1:58" x14ac:dyDescent="0.25">
      <c r="B5" s="36" t="s">
        <v>42</v>
      </c>
      <c r="C5" t="s">
        <v>68</v>
      </c>
      <c r="D5" s="37">
        <f>SUM(I5,K5,M5,O5,Q5,S5,U5,W5,Y5,AA5,AC5,AE5,AG5)</f>
        <v>52.85</v>
      </c>
      <c r="E5" s="38">
        <f>COUNTA(U5,W5,Y5,AA5)</f>
        <v>1</v>
      </c>
      <c r="F5" s="38">
        <f>COUNTA(M5,O5,Q5)</f>
        <v>1</v>
      </c>
      <c r="G5" s="38">
        <f>COUNTA(Table1[[#This Row],[A ASEO]])</f>
        <v>0</v>
      </c>
      <c r="H5" s="1">
        <f>SUM(J5,L5,N5,P5,R5,T5,V5,X5,Z5,AB5,AD5,AF5,AH5)</f>
        <v>85.672000000000011</v>
      </c>
      <c r="I5" s="1">
        <v>18.55</v>
      </c>
      <c r="J5" s="1">
        <f>I5*1.34</f>
        <v>24.857000000000003</v>
      </c>
      <c r="K5" s="1">
        <v>8.1</v>
      </c>
      <c r="L5" s="1">
        <f>K5*1.34</f>
        <v>10.854000000000001</v>
      </c>
      <c r="M5" s="1">
        <v>5.3</v>
      </c>
      <c r="N5" s="1">
        <f>M5*2.36</f>
        <v>12.507999999999999</v>
      </c>
      <c r="O5" s="1"/>
      <c r="P5" s="1"/>
      <c r="Q5" s="1"/>
      <c r="R5" s="1"/>
      <c r="S5" s="1"/>
      <c r="T5" s="1"/>
      <c r="U5" s="1">
        <v>14.2</v>
      </c>
      <c r="V5" s="1">
        <f>U5*1.34</f>
        <v>19.027999999999999</v>
      </c>
      <c r="W5" s="1"/>
      <c r="X5" s="1"/>
      <c r="Y5" s="1"/>
      <c r="Z5" s="1"/>
      <c r="AA5" s="1"/>
      <c r="AB5" s="1"/>
      <c r="AC5" s="1">
        <v>6.7</v>
      </c>
      <c r="AD5" s="1">
        <f>AC5*2.75</f>
        <v>18.425000000000001</v>
      </c>
      <c r="AE5" s="1"/>
      <c r="AF5" s="1"/>
      <c r="AG5" s="1"/>
      <c r="AH5" s="1"/>
      <c r="AI5" s="39"/>
      <c r="AJ5" s="39"/>
      <c r="AK5" s="34"/>
      <c r="AL5" s="27">
        <f>SUM(I5,U5,W5,Y5,AA5,AC5,AE5,AG5)</f>
        <v>39.450000000000003</v>
      </c>
      <c r="AM5" s="27">
        <f>SUM(K5,M5,O5,Q5,S5)</f>
        <v>13.399999999999999</v>
      </c>
      <c r="AN5" s="27">
        <f>SUM(J5,V5,X5,Z5,AB5,AD5,AF5,AH5)</f>
        <v>62.31</v>
      </c>
      <c r="AO5" s="27">
        <f>SUM(L5,N5,P5,R5,T5)</f>
        <v>23.362000000000002</v>
      </c>
      <c r="AP5" s="30">
        <f>SUM(AG5,AE5,AC5,AA5,Y5,W5,U5,I5)/D5</f>
        <v>0.74645222327341532</v>
      </c>
      <c r="AQ5" s="30">
        <f>SUM(K5,M5,O5,Q5,S5)/D5</f>
        <v>0.25354777672658463</v>
      </c>
      <c r="AR5" s="30">
        <f>D5/H5</f>
        <v>0.61688766458119337</v>
      </c>
      <c r="AS5" s="30">
        <f>AL5/AN5</f>
        <v>0.63312469908521907</v>
      </c>
      <c r="AT5" s="30">
        <f>AM5/AO5</f>
        <v>0.57358102902148778</v>
      </c>
      <c r="AU5" s="35">
        <f>(((H5/2) - SQRT((H5/2)^2 - 4 * D5)) / 2)</f>
        <v>1.2715183220493813</v>
      </c>
      <c r="AV5" s="27">
        <f>(((H5/2) + SQRT((H5/2)^2 - 4 * D5)) / 2)</f>
        <v>41.564481677950624</v>
      </c>
      <c r="AW5" s="27">
        <f>AU5*2.7*2+AV5*2.7*2</f>
        <v>231.31440000000006</v>
      </c>
      <c r="AX5" s="30">
        <f>AW5/D5</f>
        <v>4.3768098391674561</v>
      </c>
      <c r="AY5" s="30"/>
      <c r="AZ5" s="4" t="s">
        <v>148</v>
      </c>
      <c r="BA5" s="25"/>
      <c r="BB5" s="22">
        <f>MAX(Table1[% ESTANCIAS PINTURA])</f>
        <v>0.85352006056018181</v>
      </c>
      <c r="BC5" s="22">
        <f>MAX(Table1[% ESTANCIAS ALICATADAS])</f>
        <v>0.30267959545407153</v>
      </c>
      <c r="BD5" s="29">
        <f>MAX(Table1[RATIO A/P])</f>
        <v>0.68951334873649706</v>
      </c>
      <c r="BE5" s="29">
        <f>MAX(Table1[RATIO A/P PINTURA])</f>
        <v>0.72427117683950726</v>
      </c>
      <c r="BF5" s="29">
        <f>MAX(Table1[RATIO A/P ALICATADO])</f>
        <v>0.64023130937629069</v>
      </c>
    </row>
    <row r="6" spans="1:58" x14ac:dyDescent="0.25">
      <c r="B6" s="36" t="s">
        <v>42</v>
      </c>
      <c r="C6" t="s">
        <v>77</v>
      </c>
      <c r="D6" s="37">
        <f>SUM(I6,K6,M6,O6,Q6,S6,U6,W6,Y6,AA6,AC6,AE6,AG6)</f>
        <v>47.650000000000006</v>
      </c>
      <c r="E6" s="38">
        <f>COUNTA(U6,W6,Y6,AA6)</f>
        <v>1</v>
      </c>
      <c r="F6" s="38">
        <f>COUNTA(M6,O6,Q6)</f>
        <v>1</v>
      </c>
      <c r="G6" s="38">
        <f>COUNTA(Table1[[#This Row],[A ASEO]])</f>
        <v>0</v>
      </c>
      <c r="H6" s="1">
        <f>SUM(J6,L6,N6,P6,R6,T6,V6,X6,Z6,AB6,AD6,AF6,AH6)</f>
        <v>77.713999999999999</v>
      </c>
      <c r="I6" s="1">
        <v>18</v>
      </c>
      <c r="J6" s="1">
        <f>I6*1.34</f>
        <v>24.12</v>
      </c>
      <c r="K6" s="1">
        <v>7.8</v>
      </c>
      <c r="L6" s="1">
        <f>K6*1.34</f>
        <v>10.452</v>
      </c>
      <c r="M6" s="1">
        <v>3.5</v>
      </c>
      <c r="N6" s="1">
        <f>M6*2.36</f>
        <v>8.26</v>
      </c>
      <c r="O6" s="1"/>
      <c r="P6" s="1"/>
      <c r="Q6" s="1"/>
      <c r="R6" s="1"/>
      <c r="S6" s="1"/>
      <c r="T6" s="1"/>
      <c r="U6" s="1">
        <v>11.05</v>
      </c>
      <c r="V6" s="1">
        <f>U6*1.34</f>
        <v>14.807000000000002</v>
      </c>
      <c r="W6" s="1"/>
      <c r="X6" s="1"/>
      <c r="Y6" s="1"/>
      <c r="Z6" s="1"/>
      <c r="AA6" s="1"/>
      <c r="AB6" s="1"/>
      <c r="AC6" s="1">
        <v>3.85</v>
      </c>
      <c r="AD6" s="1">
        <f>AC6*2.75</f>
        <v>10.5875</v>
      </c>
      <c r="AE6" s="1">
        <v>3.45</v>
      </c>
      <c r="AF6" s="1">
        <f>AE6*2.75</f>
        <v>9.4875000000000007</v>
      </c>
      <c r="AG6" s="1"/>
      <c r="AH6" s="1"/>
      <c r="AI6" s="39"/>
      <c r="AJ6" s="39"/>
      <c r="AK6" s="34"/>
      <c r="AL6" s="27">
        <f>SUM(I6,U6,W6,Y6,AA6,AC6,AE6,AG6)</f>
        <v>36.35</v>
      </c>
      <c r="AM6" s="27">
        <f>SUM(K6,M6,O6,Q6,S6)</f>
        <v>11.3</v>
      </c>
      <c r="AN6" s="27">
        <f>SUM(J6,V6,X6,Z6,AB6,AD6,AF6,AH6)</f>
        <v>59.00200000000001</v>
      </c>
      <c r="AO6" s="27">
        <f>SUM(L6,N6,P6,R6,T6)</f>
        <v>18.712</v>
      </c>
      <c r="AP6" s="30">
        <f>SUM(AG6,AE6,AC6,AA6,Y6,W6,U6,I6)/D6</f>
        <v>0.7628541448058761</v>
      </c>
      <c r="AQ6" s="30">
        <f>SUM(K6,M6,O6,Q6,S6)/D6</f>
        <v>0.23714585519412382</v>
      </c>
      <c r="AR6" s="30">
        <f>D6/H6</f>
        <v>0.61314563656484045</v>
      </c>
      <c r="AS6" s="30">
        <f>AL6/AN6</f>
        <v>0.61608081081997212</v>
      </c>
      <c r="AT6" s="30">
        <f>AM6/AO6</f>
        <v>0.60389055151774262</v>
      </c>
      <c r="AU6" s="35">
        <f>(((H6/2) - SQRT((H6/2)^2 - 4 * D6)) / 2)</f>
        <v>1.2676461585640197</v>
      </c>
      <c r="AV6" s="27">
        <f>(((H6/2) + SQRT((H6/2)^2 - 4 * D6)) / 2)</f>
        <v>37.58935384143598</v>
      </c>
      <c r="AW6" s="27">
        <f>AU6*2.7*2+AV6*2.7*2</f>
        <v>209.8278</v>
      </c>
      <c r="AX6" s="30">
        <f>AW6/D6</f>
        <v>4.4035215110178374</v>
      </c>
      <c r="AY6" s="30"/>
      <c r="AZ6" s="24" t="s">
        <v>217</v>
      </c>
      <c r="BA6" s="25"/>
      <c r="BB6" s="21">
        <f t="array" ref="BB6">SUM(IF(ROUND(Table1[% ESTANCIAS PINTURA], 1) = ROUND(BB5, 1), 1, 0))</f>
        <v>2</v>
      </c>
      <c r="BC6" s="21">
        <f t="array" ref="BC6">SUM(IF(ROUND(Table1[% ESTANCIAS ALICATADAS], 1) = ROUND(BC5, 1), 1, 0))</f>
        <v>15</v>
      </c>
      <c r="BD6" s="21">
        <f t="array" ref="BD6">SUM(IF(ROUND(Table1[RATIO A/P], 1) = ROUND(BD5, 1), 1, 0))</f>
        <v>36</v>
      </c>
      <c r="BE6" s="21">
        <f t="array" ref="BE6">SUM(IF(ROUND(Table1[RATIO A/P PINTURA], 1) = ROUND(BE5, 1), 1, 0))</f>
        <v>136</v>
      </c>
      <c r="BF6" s="21">
        <f t="array" ref="BF6">SUM(IF(ROUND(Table1[RATIO A/P ALICATADO], 1) = ROUND(BF5, 1), 1, 0))</f>
        <v>178</v>
      </c>
    </row>
    <row r="7" spans="1:58" x14ac:dyDescent="0.25">
      <c r="B7" s="36" t="s">
        <v>97</v>
      </c>
      <c r="C7" t="s">
        <v>98</v>
      </c>
      <c r="D7" s="37">
        <f>SUM(I7,K7,M7,O7,Q7,S7,U7,W7,Y7,AA7,AC7,AE7,AG7)</f>
        <v>69.150000000000006</v>
      </c>
      <c r="E7" s="38">
        <f>COUNTA(U7,W7,Y7,AA7)</f>
        <v>2</v>
      </c>
      <c r="F7" s="38">
        <f>COUNTA(M7,O7,Q7)</f>
        <v>2</v>
      </c>
      <c r="G7" s="38">
        <f>COUNTA(Table1[[#This Row],[A ASEO]])</f>
        <v>0</v>
      </c>
      <c r="H7" s="1">
        <f>SUM(J7,L7,N7,P7,R7,T7,V7,X7,Z7,AB7,AD7,AF7,AH7)</f>
        <v>111.49680000000001</v>
      </c>
      <c r="I7" s="1">
        <v>17.27</v>
      </c>
      <c r="J7" s="1">
        <f>I7*1.34</f>
        <v>23.1418</v>
      </c>
      <c r="K7" s="1">
        <v>9.06</v>
      </c>
      <c r="L7" s="1">
        <f>K7*1.34</f>
        <v>12.140400000000001</v>
      </c>
      <c r="M7" s="1">
        <v>4.3099999999999996</v>
      </c>
      <c r="N7" s="1">
        <f>M7*2.36</f>
        <v>10.171599999999998</v>
      </c>
      <c r="O7" s="1">
        <v>4.01</v>
      </c>
      <c r="P7" s="1">
        <f>O7*2.36</f>
        <v>9.4635999999999996</v>
      </c>
      <c r="Q7" s="1"/>
      <c r="R7" s="1"/>
      <c r="S7" s="1"/>
      <c r="T7" s="1"/>
      <c r="U7" s="1">
        <v>16.34</v>
      </c>
      <c r="V7" s="1">
        <f>U7*1.34</f>
        <v>21.895600000000002</v>
      </c>
      <c r="W7" s="1">
        <v>10.82</v>
      </c>
      <c r="X7" s="1">
        <f>W7*1.34</f>
        <v>14.498800000000001</v>
      </c>
      <c r="Y7" s="1"/>
      <c r="Z7" s="1"/>
      <c r="AA7" s="1"/>
      <c r="AB7" s="1"/>
      <c r="AC7" s="1">
        <v>2.97</v>
      </c>
      <c r="AD7" s="1">
        <f>AC7*2.75</f>
        <v>8.1675000000000004</v>
      </c>
      <c r="AE7" s="1">
        <v>4.37</v>
      </c>
      <c r="AF7" s="1">
        <f>AE7*2.75</f>
        <v>12.0175</v>
      </c>
      <c r="AG7" s="1"/>
      <c r="AH7" s="1"/>
      <c r="AI7" s="39">
        <v>10.220000000000001</v>
      </c>
      <c r="AJ7" s="39">
        <f>AI7*0.6</f>
        <v>6.1320000000000006</v>
      </c>
      <c r="AK7" s="34"/>
      <c r="AL7" s="27">
        <f>SUM(I7,U7,W7,Y7,AA7,AC7,AE7,AG7)</f>
        <v>51.769999999999996</v>
      </c>
      <c r="AM7" s="27">
        <f>SUM(K7,M7,O7,Q7,S7)</f>
        <v>17.380000000000003</v>
      </c>
      <c r="AN7" s="27">
        <f>SUM(J7,V7,X7,Z7,AB7,AD7,AF7,AH7)</f>
        <v>79.72120000000001</v>
      </c>
      <c r="AO7" s="27">
        <f>SUM(L7,N7,P7,R7,T7)</f>
        <v>31.775599999999997</v>
      </c>
      <c r="AP7" s="30">
        <f>SUM(AG7,AE7,AC7,AA7,Y7,W7,U7,I7)/D7</f>
        <v>0.74866232827187262</v>
      </c>
      <c r="AQ7" s="30">
        <f>SUM(K7,M7,O7,Q7,S7)/D7</f>
        <v>0.25133767172812727</v>
      </c>
      <c r="AR7" s="30">
        <f>D7/H7</f>
        <v>0.62019717157801835</v>
      </c>
      <c r="AS7" s="30">
        <f>AL7/AN7</f>
        <v>0.64938811758980031</v>
      </c>
      <c r="AT7" s="30">
        <f>AM7/AO7</f>
        <v>0.54696056093354661</v>
      </c>
      <c r="AU7" s="35">
        <f>(((H7/2) - SQRT((H7/2)^2 - 4 * D7)) / 2)</f>
        <v>1.2692939554374654</v>
      </c>
      <c r="AV7" s="27">
        <f>(((H7/2) + SQRT((H7/2)^2 - 4 * D7)) / 2)</f>
        <v>54.479106044562542</v>
      </c>
      <c r="AW7" s="27">
        <f>AU7*2.7*2+AV7*2.7*2</f>
        <v>301.04136000000005</v>
      </c>
      <c r="AX7" s="30">
        <f>AW7/D7</f>
        <v>4.3534542299349246</v>
      </c>
      <c r="AY7" s="30"/>
      <c r="AZ7" s="24" t="s">
        <v>215</v>
      </c>
      <c r="BA7" s="25"/>
      <c r="BB7" s="4">
        <f t="array" ref="BB7">SUM(IF(ROUND(Table1[% ESTANCIAS PINTURA], 2) = ROUND(BB5, 2), 1, 0))</f>
        <v>6</v>
      </c>
      <c r="BC7" s="4">
        <f t="array" ref="BC7">SUM(IF(ROUND(Table1[% ESTANCIAS ALICATADAS], 2) = ROUND(BC5, 2), 1, 0))</f>
        <v>1</v>
      </c>
      <c r="BD7" s="4">
        <f t="array" ref="BD7">SUM(IF(ROUND(Table1[RATIO A/P], 2) = ROUND(BD5, 2), 1, 0))</f>
        <v>4</v>
      </c>
      <c r="BE7" s="4">
        <f t="array" ref="BE7">SUM(IF(ROUND(Table1[RATIO A/P PINTURA], 2) = ROUND(BE5, 2), 1, 0))</f>
        <v>4</v>
      </c>
      <c r="BF7" s="4">
        <f t="array" ref="BF7">SUM(IF(ROUND(Table1[RATIO A/P ALICATADO], 2) = ROUND(BF5, 2), 1, 0))</f>
        <v>2</v>
      </c>
    </row>
    <row r="8" spans="1:58" x14ac:dyDescent="0.25">
      <c r="B8" s="36" t="s">
        <v>106</v>
      </c>
      <c r="C8" t="s">
        <v>112</v>
      </c>
      <c r="D8" s="37">
        <f>SUM(I8,K8,M8,O8,Q8,S8,U8,W8,Y8,AA8,AC8,AE8,AG8)</f>
        <v>61.79</v>
      </c>
      <c r="E8" s="38">
        <f>COUNTA(U8,W8,Y8,AA8)</f>
        <v>2</v>
      </c>
      <c r="F8" s="38">
        <f>COUNTA(M8,O8,Q8)</f>
        <v>2</v>
      </c>
      <c r="G8" s="38">
        <f>COUNTA(Table1[[#This Row],[A ASEO]])</f>
        <v>0</v>
      </c>
      <c r="H8" s="1">
        <f>SUM(J8,L8,N8,P8,R8,T8,V8,X8,Z8,AB8,AD8,AF8,AH8)</f>
        <v>99.805000000000007</v>
      </c>
      <c r="I8" s="1">
        <v>20.34</v>
      </c>
      <c r="J8" s="1">
        <f>I8*1.34</f>
        <v>27.255600000000001</v>
      </c>
      <c r="K8" s="1">
        <v>8.27</v>
      </c>
      <c r="L8" s="1">
        <f>K8*1.34</f>
        <v>11.081799999999999</v>
      </c>
      <c r="M8" s="1">
        <v>3.6</v>
      </c>
      <c r="N8" s="1">
        <f>M8*2.36</f>
        <v>8.4960000000000004</v>
      </c>
      <c r="O8" s="1">
        <v>3.12</v>
      </c>
      <c r="P8" s="1">
        <f>O8*2.36</f>
        <v>7.3632</v>
      </c>
      <c r="Q8" s="1"/>
      <c r="R8" s="1"/>
      <c r="S8" s="1"/>
      <c r="T8" s="1"/>
      <c r="U8" s="1">
        <v>10.33</v>
      </c>
      <c r="V8" s="1">
        <f>U8*1.34</f>
        <v>13.8422</v>
      </c>
      <c r="W8" s="1">
        <v>8.93</v>
      </c>
      <c r="X8" s="1">
        <f>W8*1.34</f>
        <v>11.966200000000001</v>
      </c>
      <c r="Y8" s="1"/>
      <c r="Z8" s="1"/>
      <c r="AA8" s="1"/>
      <c r="AB8" s="1"/>
      <c r="AC8" s="1">
        <v>4.7</v>
      </c>
      <c r="AD8" s="1">
        <f>AC8*2.75</f>
        <v>12.925000000000001</v>
      </c>
      <c r="AE8" s="1">
        <v>2.5</v>
      </c>
      <c r="AF8" s="1">
        <f>AE8*2.75</f>
        <v>6.875</v>
      </c>
      <c r="AG8" s="1"/>
      <c r="AH8" s="1"/>
      <c r="AI8" s="39">
        <v>9.2899999999999991</v>
      </c>
      <c r="AJ8" s="39">
        <f>AI8*0.6</f>
        <v>5.573999999999999</v>
      </c>
      <c r="AK8" s="34"/>
      <c r="AL8" s="27">
        <f>SUM(I8,U8,W8,Y8,AA8,AC8,AE8,AG8)</f>
        <v>46.800000000000004</v>
      </c>
      <c r="AM8" s="27">
        <f>SUM(K8,M8,O8,Q8,S8)</f>
        <v>14.989999999999998</v>
      </c>
      <c r="AN8" s="27">
        <f>SUM(J8,V8,X8,Z8,AB8,AD8,AF8,AH8)</f>
        <v>72.864000000000004</v>
      </c>
      <c r="AO8" s="27">
        <f>SUM(L8,N8,P8,R8,T8)</f>
        <v>26.940999999999999</v>
      </c>
      <c r="AP8" s="30">
        <f>SUM(AG8,AE8,AC8,AA8,Y8,W8,U8,I8)/D8</f>
        <v>0.75740411069752378</v>
      </c>
      <c r="AQ8" s="30">
        <f>SUM(K8,M8,O8,Q8,S8)/D8</f>
        <v>0.24259588930247611</v>
      </c>
      <c r="AR8" s="30">
        <f>D8/H8</f>
        <v>0.61910725915535292</v>
      </c>
      <c r="AS8" s="30">
        <f>AL8/AN8</f>
        <v>0.64229249011857714</v>
      </c>
      <c r="AT8" s="30">
        <f>AM8/AO8</f>
        <v>0.55640102446085893</v>
      </c>
      <c r="AU8" s="35">
        <f>(((H8/2) - SQRT((H8/2)^2 - 4 * D8)) / 2)</f>
        <v>1.2705642717002377</v>
      </c>
      <c r="AV8" s="27">
        <f>(((H8/2) + SQRT((H8/2)^2 - 4 * D8)) / 2)</f>
        <v>48.631935728299766</v>
      </c>
      <c r="AW8" s="27">
        <f>AU8*2.7*2+AV8*2.7*2</f>
        <v>269.47350000000006</v>
      </c>
      <c r="AX8" s="30">
        <f>AW8/D8</f>
        <v>4.3611183039326766</v>
      </c>
      <c r="AY8" s="30"/>
      <c r="AZ8" s="24" t="s">
        <v>216</v>
      </c>
      <c r="BA8" s="25"/>
      <c r="BB8" s="4">
        <f t="array" ref="BB8">SUM(IF(ROUND(Table1[% ESTANCIAS PINTURA], 3) = ROUND(BB5, 3), 1, 0))</f>
        <v>1</v>
      </c>
      <c r="BC8" s="4">
        <f t="array" ref="BC8">SUM(IF(ROUND(Table1[% ESTANCIAS ALICATADAS], 3) = ROUND(BC5, 3), 1, 0))</f>
        <v>1</v>
      </c>
      <c r="BD8" s="4">
        <f t="array" ref="BD8">SUM(IF(ROUND(Table1[RATIO A/P], 3) = ROUND(BD5, 3), 1, 0))</f>
        <v>1</v>
      </c>
      <c r="BE8" s="4">
        <f t="array" ref="BE8">SUM(IF(ROUND(Table1[RATIO A/P PINTURA], 3) = ROUND(BE5, 3), 1, 0))</f>
        <v>2</v>
      </c>
      <c r="BF8" s="4">
        <f t="array" ref="BF8">SUM(IF(ROUND(Table1[RATIO A/P ALICATADO], 3) = ROUND(BF5, 3), 1, 0))</f>
        <v>1</v>
      </c>
    </row>
    <row r="9" spans="1:58" x14ac:dyDescent="0.25">
      <c r="A9" t="s">
        <v>60</v>
      </c>
      <c r="B9" s="36" t="s">
        <v>43</v>
      </c>
      <c r="C9" t="s">
        <v>48</v>
      </c>
      <c r="D9" s="37">
        <f>SUM(I9,K9,M9,O9,Q9,S9,U9,W9,Y9,AA9,AC9,AE9,AG9)</f>
        <v>68.009999999999991</v>
      </c>
      <c r="E9" s="38">
        <f>COUNTA(U9,W9,Y9,AA9)</f>
        <v>2</v>
      </c>
      <c r="F9" s="38">
        <f>COUNTA(M9,O9,Q9)</f>
        <v>2</v>
      </c>
      <c r="G9" s="38">
        <f>COUNTA(Table1[[#This Row],[A ASEO]])</f>
        <v>0</v>
      </c>
      <c r="H9" s="1">
        <f>SUM(J9,L9,N9,P9,R9,T9,V9,X9,Z9,AB9,AD9,AF9,AH9)</f>
        <v>109.73699999999999</v>
      </c>
      <c r="I9" s="1">
        <v>18.91</v>
      </c>
      <c r="J9" s="1">
        <f>I9*1.34</f>
        <v>25.339400000000001</v>
      </c>
      <c r="K9" s="1">
        <v>8.39</v>
      </c>
      <c r="L9" s="1">
        <f>K9*1.34</f>
        <v>11.242600000000001</v>
      </c>
      <c r="M9" s="1">
        <v>4.3099999999999996</v>
      </c>
      <c r="N9" s="1">
        <f>M9*2.36</f>
        <v>10.171599999999998</v>
      </c>
      <c r="O9" s="1">
        <v>3.81</v>
      </c>
      <c r="P9" s="1">
        <f>O9*2.36</f>
        <v>8.9916</v>
      </c>
      <c r="Q9" s="1"/>
      <c r="R9" s="1"/>
      <c r="S9" s="1"/>
      <c r="T9" s="1"/>
      <c r="U9" s="1">
        <v>14.62</v>
      </c>
      <c r="V9" s="1">
        <f>U9*1.34</f>
        <v>19.590800000000002</v>
      </c>
      <c r="W9" s="1">
        <v>10.65</v>
      </c>
      <c r="X9" s="1">
        <f>W9*1.34</f>
        <v>14.271000000000001</v>
      </c>
      <c r="Y9" s="1"/>
      <c r="Z9" s="1"/>
      <c r="AA9" s="1"/>
      <c r="AB9" s="1"/>
      <c r="AC9" s="1">
        <v>7.32</v>
      </c>
      <c r="AD9" s="1">
        <f>AC9*2.75</f>
        <v>20.130000000000003</v>
      </c>
      <c r="AE9" s="1"/>
      <c r="AF9" s="1"/>
      <c r="AG9" s="1"/>
      <c r="AH9" s="1"/>
      <c r="AI9" s="39">
        <v>4</v>
      </c>
      <c r="AJ9" s="39">
        <f>AI9*0.6</f>
        <v>2.4</v>
      </c>
      <c r="AK9" s="34"/>
      <c r="AL9" s="27">
        <f>SUM(I9,U9,W9,Y9,AA9,AC9,AE9,AG9)</f>
        <v>51.5</v>
      </c>
      <c r="AM9" s="27">
        <f>SUM(K9,M9,O9,Q9,S9)</f>
        <v>16.509999999999998</v>
      </c>
      <c r="AN9" s="27">
        <f>SUM(J9,V9,X9,Z9,AB9,AD9,AF9,AH9)</f>
        <v>79.331199999999995</v>
      </c>
      <c r="AO9" s="27">
        <f>SUM(L9,N9,P9,R9,T9)</f>
        <v>30.405799999999999</v>
      </c>
      <c r="AP9" s="30">
        <f>SUM(AG9,AE9,AC9,AA9,Y9,W9,U9,I9)/D9</f>
        <v>0.75724158212027648</v>
      </c>
      <c r="AQ9" s="30">
        <f>SUM(K9,M9,O9,Q9,S9)/D9</f>
        <v>0.24275841787972358</v>
      </c>
      <c r="AR9" s="30">
        <f>D9/H9</f>
        <v>0.61975450395035403</v>
      </c>
      <c r="AS9" s="30">
        <f>AL9/AN9</f>
        <v>0.64917712072929701</v>
      </c>
      <c r="AT9" s="30">
        <f>AM9/AO9</f>
        <v>0.54298850877135274</v>
      </c>
      <c r="AU9" s="35">
        <f>(((H9/2) - SQRT((H9/2)^2 - 4 * D9)) / 2)</f>
        <v>1.2688516070364386</v>
      </c>
      <c r="AV9" s="27">
        <f>(((H9/2) + SQRT((H9/2)^2 - 4 * D9)) / 2)</f>
        <v>53.599648392963559</v>
      </c>
      <c r="AW9" s="27">
        <f>AU9*2.7*2+AV9*2.7*2</f>
        <v>296.28990000000005</v>
      </c>
      <c r="AX9" s="30">
        <f>AW9/D9</f>
        <v>4.3565637406263793</v>
      </c>
      <c r="AY9" s="30"/>
      <c r="AZ9" s="24"/>
      <c r="BA9" s="25"/>
      <c r="BB9" s="4"/>
      <c r="BC9" s="4"/>
      <c r="BD9" s="4"/>
    </row>
    <row r="10" spans="1:58" x14ac:dyDescent="0.25">
      <c r="B10" s="36" t="s">
        <v>43</v>
      </c>
      <c r="C10" t="s">
        <v>48</v>
      </c>
      <c r="D10" s="37">
        <f>SUM(I10,K10,M10,O10,Q10,S10,U10,W10,Y10,AA10,AC10,AE10,AG10)</f>
        <v>64.41</v>
      </c>
      <c r="E10" s="38">
        <f>COUNTA(U10,W10,Y10,AA10)</f>
        <v>2</v>
      </c>
      <c r="F10" s="38">
        <f>COUNTA(M10,O10,Q10)</f>
        <v>2</v>
      </c>
      <c r="G10" s="38">
        <f>COUNTA(Table1[[#This Row],[A ASEO]])</f>
        <v>0</v>
      </c>
      <c r="H10" s="1">
        <f>SUM(J10,L10,N10,P10,R10,T10,V10,X10,Z10,AB10,AD10,AF10,AH10)</f>
        <v>106.53900000000002</v>
      </c>
      <c r="I10" s="1">
        <v>17.78</v>
      </c>
      <c r="J10" s="1">
        <f>I10*1.34</f>
        <v>23.825200000000002</v>
      </c>
      <c r="K10" s="1">
        <v>6.92</v>
      </c>
      <c r="L10" s="1">
        <f>K10*1.34</f>
        <v>9.2728000000000002</v>
      </c>
      <c r="M10" s="1">
        <v>4.9000000000000004</v>
      </c>
      <c r="N10" s="1">
        <f>M10*2.36</f>
        <v>11.564</v>
      </c>
      <c r="O10" s="1">
        <v>2.99</v>
      </c>
      <c r="P10" s="1">
        <f>O10*2.36</f>
        <v>7.0564</v>
      </c>
      <c r="Q10" s="1"/>
      <c r="R10" s="1"/>
      <c r="S10" s="1"/>
      <c r="T10" s="1"/>
      <c r="U10" s="1">
        <v>12.66</v>
      </c>
      <c r="V10" s="1">
        <f>U10*1.34</f>
        <v>16.964400000000001</v>
      </c>
      <c r="W10" s="1">
        <v>9.9700000000000006</v>
      </c>
      <c r="X10" s="1">
        <f>W10*1.34</f>
        <v>13.359800000000002</v>
      </c>
      <c r="Y10" s="1"/>
      <c r="Z10" s="1"/>
      <c r="AA10" s="1"/>
      <c r="AB10" s="1"/>
      <c r="AC10" s="1">
        <v>3.35</v>
      </c>
      <c r="AD10" s="1">
        <f>AC10*2.75</f>
        <v>9.2125000000000004</v>
      </c>
      <c r="AE10" s="1">
        <v>3.85</v>
      </c>
      <c r="AF10" s="1">
        <f>AE10*2.75</f>
        <v>10.5875</v>
      </c>
      <c r="AG10" s="1">
        <v>1.99</v>
      </c>
      <c r="AH10" s="1">
        <f>AG10*2.36</f>
        <v>4.6963999999999997</v>
      </c>
      <c r="AI10" s="39">
        <v>5.65</v>
      </c>
      <c r="AJ10" s="39">
        <f>AI10*0.6</f>
        <v>3.39</v>
      </c>
      <c r="AK10" s="34"/>
      <c r="AL10" s="27">
        <f>SUM(I10,U10,W10,Y10,AA10,AC10,AE10,AG10)</f>
        <v>49.600000000000009</v>
      </c>
      <c r="AM10" s="27">
        <f>SUM(K10,M10,O10,Q10,S10)</f>
        <v>14.81</v>
      </c>
      <c r="AN10" s="27">
        <f>SUM(J10,V10,X10,Z10,AB10,AD10,AF10,AH10)</f>
        <v>78.645800000000008</v>
      </c>
      <c r="AO10" s="27">
        <f>SUM(L10,N10,P10,R10,T10)</f>
        <v>27.8932</v>
      </c>
      <c r="AP10" s="30">
        <f>SUM(AG10,AE10,AC10,AA10,Y10,W10,U10,I10)/D10</f>
        <v>0.7700667598199038</v>
      </c>
      <c r="AQ10" s="30">
        <f>SUM(K10,M10,O10,Q10,S10)/D10</f>
        <v>0.22993324018009628</v>
      </c>
      <c r="AR10" s="30">
        <f>D10/H10</f>
        <v>0.60456734153690184</v>
      </c>
      <c r="AS10" s="30">
        <f>AL10/AN10</f>
        <v>0.6306757639950259</v>
      </c>
      <c r="AT10" s="30">
        <f>AM10/AO10</f>
        <v>0.53095378084981282</v>
      </c>
      <c r="AU10" s="35">
        <f>(((H10/2) - SQRT((H10/2)^2 - 4 * D10)) / 2)</f>
        <v>1.2379016214609813</v>
      </c>
      <c r="AV10" s="27">
        <f>(((H10/2) + SQRT((H10/2)^2 - 4 * D10)) / 2)</f>
        <v>52.03159837853903</v>
      </c>
      <c r="AW10" s="27">
        <f>AU10*2.7*2+AV10*2.7*2</f>
        <v>287.65530000000007</v>
      </c>
      <c r="AX10" s="30">
        <f>AW10/D10</f>
        <v>4.4660037261294843</v>
      </c>
      <c r="AY10" s="30"/>
      <c r="AZ10" s="4" t="s">
        <v>149</v>
      </c>
      <c r="BA10" s="25"/>
      <c r="BB10" s="22">
        <f>MIN(Table1[% ESTANCIAS PINTURA])</f>
        <v>0.69732040454592858</v>
      </c>
      <c r="BC10" s="22">
        <f>MIN(Table1[% ESTANCIAS ALICATADAS])</f>
        <v>0.14647993943981832</v>
      </c>
      <c r="BD10" s="22">
        <f>MIN(Table1[RATIO A/P])</f>
        <v>0.57469882415177809</v>
      </c>
      <c r="BE10" s="22">
        <f>MIN(Table1[RATIO A/P PINTURA])</f>
        <v>0.58836301686365988</v>
      </c>
      <c r="BF10" s="22">
        <f>MIN(Table1[RATIO A/P ALICATADO])</f>
        <v>0.51411069787792607</v>
      </c>
    </row>
    <row r="11" spans="1:58" x14ac:dyDescent="0.25">
      <c r="B11" s="36" t="s">
        <v>41</v>
      </c>
      <c r="C11" t="s">
        <v>47</v>
      </c>
      <c r="D11" s="37">
        <f>SUM(I11,K11,M11,O11,Q11,S11,U11,W11,Y11,AA11,AC11,AE11,AG11)</f>
        <v>68.599999999999994</v>
      </c>
      <c r="E11" s="38">
        <f>COUNTA(U11,W11,Y11,AA11)</f>
        <v>2</v>
      </c>
      <c r="F11" s="38">
        <f>COUNTA(M11,O11,Q11)</f>
        <v>1</v>
      </c>
      <c r="G11" s="38">
        <f>COUNTA(Table1[[#This Row],[A ASEO]])</f>
        <v>0</v>
      </c>
      <c r="H11" s="1">
        <f>SUM(J11,L11,N11,P11,R11,T11,V11,X11,Z11,AB11,AD11,AF11,AH11)</f>
        <v>99.67</v>
      </c>
      <c r="I11" s="1">
        <v>26.6</v>
      </c>
      <c r="J11" s="1">
        <f>I11*1.34</f>
        <v>35.644000000000005</v>
      </c>
      <c r="K11" s="1">
        <v>9.1999999999999993</v>
      </c>
      <c r="L11" s="1">
        <f>K11*1.34</f>
        <v>12.327999999999999</v>
      </c>
      <c r="M11" s="1">
        <v>4</v>
      </c>
      <c r="N11" s="1">
        <f>M11*2.36</f>
        <v>9.44</v>
      </c>
      <c r="O11" s="1"/>
      <c r="P11" s="1"/>
      <c r="Q11" s="1"/>
      <c r="R11" s="1"/>
      <c r="S11" s="1"/>
      <c r="T11" s="1"/>
      <c r="U11" s="1">
        <v>15.5</v>
      </c>
      <c r="V11" s="1">
        <f>U11*1.34</f>
        <v>20.77</v>
      </c>
      <c r="W11" s="1">
        <v>10.7</v>
      </c>
      <c r="X11" s="1">
        <f>W11*1.34</f>
        <v>14.337999999999999</v>
      </c>
      <c r="Y11" s="1"/>
      <c r="Z11" s="1"/>
      <c r="AA11" s="1"/>
      <c r="AB11" s="1"/>
      <c r="AC11" s="1"/>
      <c r="AD11" s="1"/>
      <c r="AE11" s="1">
        <v>2.6</v>
      </c>
      <c r="AF11" s="1">
        <f>AE11*2.75</f>
        <v>7.15</v>
      </c>
      <c r="AG11" s="1"/>
      <c r="AH11" s="1"/>
      <c r="AI11" s="39">
        <f>6.8+1.1</f>
        <v>7.9</v>
      </c>
      <c r="AJ11" s="39">
        <f>AI11*0.6</f>
        <v>4.74</v>
      </c>
      <c r="AK11" s="34"/>
      <c r="AL11" s="27">
        <f>SUM(I11,U11,W11,Y11,AA11,AC11,AE11,AG11)</f>
        <v>55.4</v>
      </c>
      <c r="AM11" s="27">
        <f>SUM(K11,M11,O11,Q11,S11)</f>
        <v>13.2</v>
      </c>
      <c r="AN11" s="27">
        <f>SUM(J11,V11,X11,Z11,AB11,AD11,AF11,AH11)</f>
        <v>77.902000000000001</v>
      </c>
      <c r="AO11" s="27">
        <f>SUM(L11,N11,P11,R11,T11)</f>
        <v>21.768000000000001</v>
      </c>
      <c r="AP11" s="30">
        <f>SUM(AG11,AE11,AC11,AA11,Y11,W11,U11,I11)/D11</f>
        <v>0.80758017492711376</v>
      </c>
      <c r="AQ11" s="30">
        <f>SUM(K11,M11,O11,Q11,S11)/D11</f>
        <v>0.1924198250728863</v>
      </c>
      <c r="AR11" s="30">
        <f>D11/H11</f>
        <v>0.68827129527440545</v>
      </c>
      <c r="AS11" s="30">
        <f>AL11/AN11</f>
        <v>0.71114990629252139</v>
      </c>
      <c r="AT11" s="30">
        <f>AM11/AO11</f>
        <v>0.60639470782800431</v>
      </c>
      <c r="AU11" s="35">
        <f>(((H11/2) - SQRT((H11/2)^2 - 4 * D11)) / 2)</f>
        <v>1.4168232810201822</v>
      </c>
      <c r="AV11" s="27">
        <f>(((H11/2) + SQRT((H11/2)^2 - 4 * D11)) / 2)</f>
        <v>48.418176718979822</v>
      </c>
      <c r="AW11" s="27">
        <f>AU11*2.7*2+AV11*2.7*2</f>
        <v>269.10900000000004</v>
      </c>
      <c r="AX11" s="30">
        <f>AW11/D11</f>
        <v>3.922871720116619</v>
      </c>
      <c r="AY11" s="30"/>
      <c r="AZ11" s="24" t="s">
        <v>217</v>
      </c>
      <c r="BA11" s="25"/>
      <c r="BB11" s="21">
        <f t="array" ref="BB11">SUM(IF(ROUND(Table1[% ESTANCIAS PINTURA], 1) = ROUND(BB10, 1), 1, 0))</f>
        <v>14</v>
      </c>
      <c r="BC11" s="21">
        <f t="array" ref="BC11">SUM(IF(ROUND(Table1[% ESTANCIAS ALICATADAS], 1) = ROUND(BC10, 1), 1, 0))</f>
        <v>2</v>
      </c>
      <c r="BD11" s="21">
        <f t="array" ref="BD11">SUM(IF(ROUND(Table1[RATIO A/P], 1) = ROUND(BD10, 1), 1, 0))</f>
        <v>219</v>
      </c>
      <c r="BE11" s="21">
        <f t="array" ref="BE11">SUM(IF(ROUND(Table1[RATIO A/P PINTURA], 1) = ROUND(BE10, 1), 1, 0))</f>
        <v>119</v>
      </c>
      <c r="BF11" s="21">
        <f t="array" ref="BF11">SUM(IF(ROUND(Table1[RATIO A/P ALICATADO], 1) = ROUND(BF10, 1), 1, 0))</f>
        <v>77</v>
      </c>
    </row>
    <row r="12" spans="1:58" x14ac:dyDescent="0.25">
      <c r="B12" s="36" t="s">
        <v>41</v>
      </c>
      <c r="C12" t="s">
        <v>47</v>
      </c>
      <c r="D12" s="37">
        <f>SUM(I12,K12,M12,O12,Q12,S12,U12,W12,Y12,AA12,AC12,AE12,AG12)</f>
        <v>68.099999999999994</v>
      </c>
      <c r="E12" s="38">
        <f>COUNTA(U12,W12,Y12,AA12)</f>
        <v>2</v>
      </c>
      <c r="F12" s="38">
        <f>COUNTA(M12,O12,Q12)</f>
        <v>1</v>
      </c>
      <c r="G12" s="38">
        <f>COUNTA(Table1[[#This Row],[A ASEO]])</f>
        <v>0</v>
      </c>
      <c r="H12" s="1">
        <f>SUM(J12,L12,N12,P12,R12,T12,V12,X12,Z12,AB12,AD12,AF12,AH12)</f>
        <v>99.000000000000014</v>
      </c>
      <c r="I12" s="1">
        <v>26.6</v>
      </c>
      <c r="J12" s="1">
        <f>I12*1.34</f>
        <v>35.644000000000005</v>
      </c>
      <c r="K12" s="1">
        <v>9</v>
      </c>
      <c r="L12" s="1">
        <f>K12*1.34</f>
        <v>12.06</v>
      </c>
      <c r="M12" s="1">
        <v>4</v>
      </c>
      <c r="N12" s="1">
        <f>M12*2.36</f>
        <v>9.44</v>
      </c>
      <c r="O12" s="1"/>
      <c r="P12" s="1"/>
      <c r="Q12" s="1"/>
      <c r="R12" s="1"/>
      <c r="S12" s="1"/>
      <c r="T12" s="1"/>
      <c r="U12" s="1">
        <v>15.5</v>
      </c>
      <c r="V12" s="1">
        <f>U12*1.34</f>
        <v>20.77</v>
      </c>
      <c r="W12" s="1">
        <v>10.4</v>
      </c>
      <c r="X12" s="1">
        <f>W12*1.34</f>
        <v>13.936000000000002</v>
      </c>
      <c r="Y12" s="1"/>
      <c r="Z12" s="1"/>
      <c r="AA12" s="1"/>
      <c r="AB12" s="1"/>
      <c r="AC12" s="1"/>
      <c r="AD12" s="1"/>
      <c r="AE12" s="1">
        <v>2.6</v>
      </c>
      <c r="AF12" s="1">
        <f>AE12*2.75</f>
        <v>7.15</v>
      </c>
      <c r="AG12" s="1"/>
      <c r="AH12" s="1"/>
      <c r="AI12" s="39">
        <f>7.4+1.4</f>
        <v>8.8000000000000007</v>
      </c>
      <c r="AJ12" s="39">
        <f>AI12*0.6</f>
        <v>5.28</v>
      </c>
      <c r="AK12" s="34"/>
      <c r="AL12" s="27">
        <f>SUM(I12,U12,W12,Y12,AA12,AC12,AE12,AG12)</f>
        <v>55.1</v>
      </c>
      <c r="AM12" s="27">
        <f>SUM(K12,M12,O12,Q12,S12)</f>
        <v>13</v>
      </c>
      <c r="AN12" s="27">
        <f>SUM(J12,V12,X12,Z12,AB12,AD12,AF12,AH12)</f>
        <v>77.500000000000014</v>
      </c>
      <c r="AO12" s="27">
        <f>SUM(L12,N12,P12,R12,T12)</f>
        <v>21.5</v>
      </c>
      <c r="AP12" s="30">
        <f>SUM(AG12,AE12,AC12,AA12,Y12,W12,U12,I12)/D12</f>
        <v>0.80910425844346556</v>
      </c>
      <c r="AQ12" s="30">
        <f>SUM(K12,M12,O12,Q12,S12)/D12</f>
        <v>0.19089574155653452</v>
      </c>
      <c r="AR12" s="30">
        <f>D12/H12</f>
        <v>0.68787878787878776</v>
      </c>
      <c r="AS12" s="30">
        <f>AL12/AN12</f>
        <v>0.71096774193548373</v>
      </c>
      <c r="AT12" s="30">
        <f>AM12/AO12</f>
        <v>0.60465116279069764</v>
      </c>
      <c r="AU12" s="35">
        <f>(((H12/2) - SQRT((H12/2)^2 - 4 * D12)) / 2)</f>
        <v>1.4162797651124635</v>
      </c>
      <c r="AV12" s="27">
        <f>(((H12/2) + SQRT((H12/2)^2 - 4 * D12)) / 2)</f>
        <v>48.083720234887544</v>
      </c>
      <c r="AW12" s="27">
        <f>AU12*2.7*2+AV12*2.7*2</f>
        <v>267.3</v>
      </c>
      <c r="AX12" s="30">
        <f>AW12/D12</f>
        <v>3.9251101321585908</v>
      </c>
      <c r="AY12" s="30"/>
      <c r="AZ12" s="24" t="s">
        <v>215</v>
      </c>
      <c r="BA12" s="25"/>
      <c r="BB12" s="4">
        <f t="array" ref="BB12">SUM(IF(ROUND(Table1[% ESTANCIAS PINTURA], 2) = ROUND(BB10, 2), 1, 0))</f>
        <v>1</v>
      </c>
      <c r="BC12" s="4">
        <f t="array" ref="BC12">SUM(IF(ROUND(Table1[% ESTANCIAS ALICATADAS], 2) = ROUND(BC10, 2), 1, 0))</f>
        <v>6</v>
      </c>
      <c r="BD12" s="4">
        <f t="array" ref="BD12">SUM(IF(ROUND(Table1[RATIO A/P], 2) = ROUND(BD10, 2), 1, 0))</f>
        <v>1</v>
      </c>
      <c r="BE12" s="4">
        <f t="array" ref="BE12">SUM(IF(ROUND(Table1[RATIO A/P PINTURA], 2) = ROUND(BE10, 2), 1, 0))</f>
        <v>2</v>
      </c>
      <c r="BF12" s="4">
        <f t="array" ref="BF12">SUM(IF(ROUND(Table1[RATIO A/P ALICATADO], 2) = ROUND(BF10, 2), 1, 0))</f>
        <v>1</v>
      </c>
    </row>
    <row r="13" spans="1:58" x14ac:dyDescent="0.25">
      <c r="B13" s="36" t="s">
        <v>41</v>
      </c>
      <c r="C13" t="s">
        <v>47</v>
      </c>
      <c r="D13" s="37">
        <f>SUM(I13,K13,M13,O13,Q13,S13,U13,W13,Y13,AA13,AC13,AE13,AG13)</f>
        <v>74.8</v>
      </c>
      <c r="E13" s="38">
        <f>COUNTA(U13,W13,Y13,AA13)</f>
        <v>2</v>
      </c>
      <c r="F13" s="38">
        <f>COUNTA(M13,O13,Q13)</f>
        <v>1</v>
      </c>
      <c r="G13" s="38">
        <f>COUNTA(Table1[[#This Row],[A ASEO]])</f>
        <v>0</v>
      </c>
      <c r="H13" s="1">
        <f>SUM(J13,L13,N13,P13,R13,T13,V13,X13,Z13,AB13,AD13,AF13,AH13)</f>
        <v>113.87</v>
      </c>
      <c r="I13" s="1">
        <v>31.9</v>
      </c>
      <c r="J13" s="1">
        <f>I13*1.34</f>
        <v>42.746000000000002</v>
      </c>
      <c r="K13" s="1">
        <v>8.8000000000000007</v>
      </c>
      <c r="L13" s="1">
        <f>K13*1.34</f>
        <v>11.792000000000002</v>
      </c>
      <c r="M13" s="1">
        <v>4.8</v>
      </c>
      <c r="N13" s="1">
        <f>M13*2.36</f>
        <v>11.327999999999999</v>
      </c>
      <c r="O13" s="1"/>
      <c r="P13" s="1"/>
      <c r="Q13" s="1"/>
      <c r="R13" s="1"/>
      <c r="S13" s="1"/>
      <c r="T13" s="1"/>
      <c r="U13" s="1">
        <v>13.5</v>
      </c>
      <c r="V13" s="1">
        <f>U13*1.34</f>
        <v>18.09</v>
      </c>
      <c r="W13" s="1">
        <v>9.6</v>
      </c>
      <c r="X13" s="1">
        <f>W13*1.34</f>
        <v>12.864000000000001</v>
      </c>
      <c r="Y13" s="1"/>
      <c r="Z13" s="1"/>
      <c r="AA13" s="1"/>
      <c r="AB13" s="1"/>
      <c r="AC13" s="1">
        <v>2.4</v>
      </c>
      <c r="AD13" s="1">
        <f>AC13*2.75</f>
        <v>6.6</v>
      </c>
      <c r="AE13" s="1">
        <v>3.8</v>
      </c>
      <c r="AF13" s="1">
        <f>AE13*2.75</f>
        <v>10.45</v>
      </c>
      <c r="AG13" s="1"/>
      <c r="AH13" s="1"/>
      <c r="AI13" s="39">
        <f>17.3+16.6+8.5</f>
        <v>42.400000000000006</v>
      </c>
      <c r="AJ13" s="39">
        <f>AI13*0.6</f>
        <v>25.44</v>
      </c>
      <c r="AK13" s="34"/>
      <c r="AL13" s="27">
        <f>SUM(I13,U13,W13,Y13,AA13,AC13,AE13,AG13)</f>
        <v>61.199999999999996</v>
      </c>
      <c r="AM13" s="27">
        <f>SUM(K13,M13,O13,Q13,S13)</f>
        <v>13.600000000000001</v>
      </c>
      <c r="AN13" s="27">
        <f>SUM(J13,V13,X13,Z13,AB13,AD13,AF13,AH13)</f>
        <v>90.75</v>
      </c>
      <c r="AO13" s="27">
        <f>SUM(L13,N13,P13,R13,T13)</f>
        <v>23.12</v>
      </c>
      <c r="AP13" s="30">
        <f>SUM(AG13,AE13,AC13,AA13,Y13,W13,U13,I13)/D13</f>
        <v>0.81818181818181812</v>
      </c>
      <c r="AQ13" s="30">
        <f>SUM(K13,M13,O13,Q13,S13)/D13</f>
        <v>0.18181818181818185</v>
      </c>
      <c r="AR13" s="30">
        <f>D13/H13</f>
        <v>0.65688943532097999</v>
      </c>
      <c r="AS13" s="30">
        <f>AL13/AN13</f>
        <v>0.67438016528925615</v>
      </c>
      <c r="AT13" s="30">
        <f>AM13/AO13</f>
        <v>0.58823529411764708</v>
      </c>
      <c r="AU13" s="35">
        <f>(((H13/2) - SQRT((H13/2)^2 - 4 * D13)) / 2)</f>
        <v>1.3455797831348235</v>
      </c>
      <c r="AV13" s="27">
        <f>(((H13/2) + SQRT((H13/2)^2 - 4 * D13)) / 2)</f>
        <v>55.589420216865179</v>
      </c>
      <c r="AW13" s="27">
        <f>AU13*2.7*2+AV13*2.7*2</f>
        <v>307.44900000000001</v>
      </c>
      <c r="AX13" s="30">
        <f>AW13/D13</f>
        <v>4.1102807486631017</v>
      </c>
      <c r="AY13" s="30"/>
      <c r="AZ13" s="24" t="s">
        <v>216</v>
      </c>
      <c r="BA13" s="25"/>
      <c r="BB13" s="4">
        <f t="array" ref="BB13">SUM(IF(ROUND(Table1[% ESTANCIAS PINTURA], 3) = ROUND(BB10, 3), 1, 0))</f>
        <v>1</v>
      </c>
      <c r="BC13" s="4">
        <f t="array" ref="BC13">SUM(IF(ROUND(Table1[% ESTANCIAS ALICATADAS], 3) = ROUND(BC10, 3), 1, 0))</f>
        <v>1</v>
      </c>
      <c r="BD13" s="4">
        <f t="array" ref="BD13">SUM(IF(ROUND(Table1[RATIO A/P], 3) = ROUND(BD10, 3), 1, 0))</f>
        <v>1</v>
      </c>
      <c r="BE13" s="4">
        <f t="array" ref="BE13">SUM(IF(ROUND(Table1[RATIO A/P PINTURA], 3) = ROUND(BE10, 3), 1, 0))</f>
        <v>1</v>
      </c>
      <c r="BF13" s="4">
        <f t="array" ref="BF13">SUM(IF(ROUND(Table1[RATIO A/P ALICATADO], 3) = ROUND(BF10, 3), 1, 0))</f>
        <v>1</v>
      </c>
    </row>
    <row r="14" spans="1:58" x14ac:dyDescent="0.25">
      <c r="B14" s="36" t="s">
        <v>41</v>
      </c>
      <c r="C14" t="s">
        <v>47</v>
      </c>
      <c r="D14" s="37">
        <f>SUM(I14,K14,M14,O14,Q14,S14,U14,W14,Y14,AA14,AC14,AE14,AG14)</f>
        <v>69.8</v>
      </c>
      <c r="E14" s="38">
        <f>COUNTA(U14,W14,Y14,AA14)</f>
        <v>2</v>
      </c>
      <c r="F14" s="38">
        <f>COUNTA(M14,O14,Q14)</f>
        <v>2</v>
      </c>
      <c r="G14" s="38">
        <f>COUNTA(Table1[[#This Row],[A ASEO]])</f>
        <v>0</v>
      </c>
      <c r="H14" s="1">
        <f>SUM(J14,L14,N14,P14,R14,T14,V14,X14,Z14,AB14,AD14,AF14,AH14)</f>
        <v>112.11100000000002</v>
      </c>
      <c r="I14" s="1">
        <v>21.9</v>
      </c>
      <c r="J14" s="1">
        <f>I14*1.34</f>
        <v>29.346</v>
      </c>
      <c r="K14" s="1">
        <v>8.6</v>
      </c>
      <c r="L14" s="1">
        <f>K14*1.34</f>
        <v>11.524000000000001</v>
      </c>
      <c r="M14" s="1">
        <v>4.4000000000000004</v>
      </c>
      <c r="N14" s="1">
        <f>M14*2.36</f>
        <v>10.384</v>
      </c>
      <c r="O14" s="1">
        <v>4</v>
      </c>
      <c r="P14" s="1">
        <f>O14*2.36</f>
        <v>9.44</v>
      </c>
      <c r="Q14" s="1"/>
      <c r="R14" s="1"/>
      <c r="S14" s="1"/>
      <c r="T14" s="1"/>
      <c r="U14" s="1">
        <v>13.7</v>
      </c>
      <c r="V14" s="1">
        <f>U14*1.34</f>
        <v>18.358000000000001</v>
      </c>
      <c r="W14" s="1">
        <v>10.1</v>
      </c>
      <c r="X14" s="1">
        <f>W14*1.34</f>
        <v>13.534000000000001</v>
      </c>
      <c r="Y14" s="1"/>
      <c r="Z14" s="1"/>
      <c r="AA14" s="1"/>
      <c r="AB14" s="1"/>
      <c r="AC14" s="1">
        <v>2.2000000000000002</v>
      </c>
      <c r="AD14" s="1">
        <f>AC14*2.75</f>
        <v>6.0500000000000007</v>
      </c>
      <c r="AE14" s="1">
        <v>4.9000000000000004</v>
      </c>
      <c r="AF14" s="1">
        <f>AE14*2.75</f>
        <v>13.475000000000001</v>
      </c>
      <c r="AG14" s="1"/>
      <c r="AH14" s="1"/>
      <c r="AI14" s="39">
        <v>10.1</v>
      </c>
      <c r="AJ14" s="39">
        <f>AI14*0.6</f>
        <v>6.06</v>
      </c>
      <c r="AK14" s="34"/>
      <c r="AL14" s="27">
        <f>SUM(I14,U14,W14,Y14,AA14,AC14,AE14,AG14)</f>
        <v>52.8</v>
      </c>
      <c r="AM14" s="27">
        <f>SUM(K14,M14,O14,Q14,S14)</f>
        <v>17</v>
      </c>
      <c r="AN14" s="27">
        <f>SUM(J14,V14,X14,Z14,AB14,AD14,AF14,AH14)</f>
        <v>80.763000000000005</v>
      </c>
      <c r="AO14" s="27">
        <f>SUM(L14,N14,P14,R14,T14)</f>
        <v>31.347999999999999</v>
      </c>
      <c r="AP14" s="30">
        <f>SUM(AG14,AE14,AC14,AA14,Y14,W14,U14,I14)/D14</f>
        <v>0.7564469914040115</v>
      </c>
      <c r="AQ14" s="30">
        <f>SUM(K14,M14,O14,Q14,S14)/D14</f>
        <v>0.24355300859598855</v>
      </c>
      <c r="AR14" s="30">
        <f>D14/H14</f>
        <v>0.62259724737090905</v>
      </c>
      <c r="AS14" s="30">
        <f>AL14/AN14</f>
        <v>0.65376471899260791</v>
      </c>
      <c r="AT14" s="30">
        <f>AM14/AO14</f>
        <v>0.54229934924078094</v>
      </c>
      <c r="AU14" s="35">
        <f>(((H14/2) - SQRT((H14/2)^2 - 4 * D14)) / 2)</f>
        <v>1.2741564084373884</v>
      </c>
      <c r="AV14" s="27">
        <f>(((H14/2) + SQRT((H14/2)^2 - 4 * D14)) / 2)</f>
        <v>54.781343591562617</v>
      </c>
      <c r="AW14" s="27">
        <f>AU14*2.7*2+AV14*2.7*2</f>
        <v>302.69970000000001</v>
      </c>
      <c r="AX14" s="30">
        <f>AW14/D14</f>
        <v>4.3366719197707742</v>
      </c>
      <c r="AY14" s="30"/>
      <c r="AZ14" s="24"/>
      <c r="BA14" s="25"/>
      <c r="BB14" s="4"/>
      <c r="BC14" s="4"/>
      <c r="BD14" s="4"/>
    </row>
    <row r="15" spans="1:58" x14ac:dyDescent="0.25">
      <c r="B15" s="36" t="s">
        <v>41</v>
      </c>
      <c r="C15" t="s">
        <v>47</v>
      </c>
      <c r="D15" s="37">
        <f>SUM(I15,K15,M15,O15,Q15,S15,U15,W15,Y15,AA15,AC15,AE15,AG15)</f>
        <v>67</v>
      </c>
      <c r="E15" s="38">
        <f>COUNTA(U15,W15,Y15,AA15)</f>
        <v>2</v>
      </c>
      <c r="F15" s="38">
        <f>COUNTA(M15,O15,Q15)</f>
        <v>2</v>
      </c>
      <c r="G15" s="38">
        <f>COUNTA(Table1[[#This Row],[A ASEO]])</f>
        <v>0</v>
      </c>
      <c r="H15" s="1">
        <f>SUM(J15,L15,N15,P15,R15,T15,V15,X15,Z15,AB15,AD15,AF15,AH15)</f>
        <v>109.12700000000001</v>
      </c>
      <c r="I15" s="1">
        <v>20.3</v>
      </c>
      <c r="J15" s="1">
        <f>I15*1.34</f>
        <v>27.202000000000002</v>
      </c>
      <c r="K15" s="1">
        <v>6.1</v>
      </c>
      <c r="L15" s="1">
        <f>K15*1.34</f>
        <v>8.1739999999999995</v>
      </c>
      <c r="M15" s="1">
        <v>4.4000000000000004</v>
      </c>
      <c r="N15" s="1">
        <f>M15*2.36</f>
        <v>10.384</v>
      </c>
      <c r="O15" s="1">
        <v>4.2</v>
      </c>
      <c r="P15" s="1">
        <f>O15*2.36</f>
        <v>9.911999999999999</v>
      </c>
      <c r="Q15" s="1"/>
      <c r="R15" s="1"/>
      <c r="S15" s="1"/>
      <c r="T15" s="1"/>
      <c r="U15" s="1">
        <v>13.4</v>
      </c>
      <c r="V15" s="1">
        <f>U15*1.34</f>
        <v>17.956000000000003</v>
      </c>
      <c r="W15" s="1">
        <v>11.1</v>
      </c>
      <c r="X15" s="1">
        <f>W15*1.34</f>
        <v>14.874000000000001</v>
      </c>
      <c r="Y15" s="1"/>
      <c r="Z15" s="1"/>
      <c r="AA15" s="1"/>
      <c r="AB15" s="1"/>
      <c r="AC15" s="1">
        <v>5.2</v>
      </c>
      <c r="AD15" s="1">
        <f>AC15*2.75</f>
        <v>14.3</v>
      </c>
      <c r="AE15" s="1">
        <v>2.2999999999999998</v>
      </c>
      <c r="AF15" s="1">
        <f>AE15*2.75</f>
        <v>6.3249999999999993</v>
      </c>
      <c r="AG15" s="1"/>
      <c r="AH15" s="1"/>
      <c r="AI15" s="39">
        <f>8.3+1.4</f>
        <v>9.7000000000000011</v>
      </c>
      <c r="AJ15" s="39">
        <f>AI15*0.6</f>
        <v>5.82</v>
      </c>
      <c r="AK15" s="34"/>
      <c r="AL15" s="27">
        <f>SUM(I15,U15,W15,Y15,AA15,AC15,AE15,AG15)</f>
        <v>52.300000000000004</v>
      </c>
      <c r="AM15" s="27">
        <f>SUM(K15,M15,O15,Q15,S15)</f>
        <v>14.7</v>
      </c>
      <c r="AN15" s="27">
        <f>SUM(J15,V15,X15,Z15,AB15,AD15,AF15,AH15)</f>
        <v>80.657000000000011</v>
      </c>
      <c r="AO15" s="27">
        <f>SUM(L15,N15,P15,R15,T15)</f>
        <v>28.47</v>
      </c>
      <c r="AP15" s="30">
        <f>SUM(AG15,AE15,AC15,AA15,Y15,W15,U15,I15)/D15</f>
        <v>0.78059701492537314</v>
      </c>
      <c r="AQ15" s="30">
        <f>SUM(K15,M15,O15,Q15,S15)/D15</f>
        <v>0.21940298507462686</v>
      </c>
      <c r="AR15" s="30">
        <f>D15/H15</f>
        <v>0.61396354705984768</v>
      </c>
      <c r="AS15" s="30">
        <f>AL15/AN15</f>
        <v>0.64842481123771023</v>
      </c>
      <c r="AT15" s="30">
        <f>AM15/AO15</f>
        <v>0.51633298208640677</v>
      </c>
      <c r="AU15" s="35">
        <f>(((H15/2) - SQRT((H15/2)^2 - 4 * D15)) / 2)</f>
        <v>1.2568795284203169</v>
      </c>
      <c r="AV15" s="27">
        <f>(((H15/2) + SQRT((H15/2)^2 - 4 * D15)) / 2)</f>
        <v>53.306620471579691</v>
      </c>
      <c r="AW15" s="27">
        <f>AU15*2.7*2+AV15*2.7*2</f>
        <v>294.64290000000011</v>
      </c>
      <c r="AX15" s="30">
        <f>AW15/D15</f>
        <v>4.3976552238805988</v>
      </c>
      <c r="AY15" s="30"/>
      <c r="AZ15" s="4" t="s">
        <v>150</v>
      </c>
      <c r="BA15" s="25"/>
      <c r="BB15" s="22">
        <f>AVERAGE(Table1[% ESTANCIAS PINTURA])</f>
        <v>0.79633284648127001</v>
      </c>
      <c r="BC15" s="22">
        <f>AVERAGE(Table1[% ESTANCIAS ALICATADAS])</f>
        <v>0.20366715351873005</v>
      </c>
      <c r="BD15" s="22">
        <f>AVERAGE(Table1[RATIO A/P])</f>
        <v>0.63179139239694782</v>
      </c>
      <c r="BE15" s="22">
        <f>AVERAGE(Table1[RATIO A/P PINTURA])</f>
        <v>0.6512491935368806</v>
      </c>
      <c r="BF15" s="22">
        <f>AVERAGE(Table1[RATIO A/P ALICATADO])</f>
        <v>0.56805463822901026</v>
      </c>
    </row>
    <row r="16" spans="1:58" x14ac:dyDescent="0.25">
      <c r="B16" s="36" t="s">
        <v>41</v>
      </c>
      <c r="C16" t="s">
        <v>47</v>
      </c>
      <c r="D16" s="37">
        <f>SUM(I16,K16,M16,O16,Q16,S16,U16,W16,Y16,AA16,AC16,AE16,AG16)</f>
        <v>66</v>
      </c>
      <c r="E16" s="38">
        <f>COUNTA(U16,W16,Y16,AA16)</f>
        <v>2</v>
      </c>
      <c r="F16" s="38">
        <f>COUNTA(M16,O16,Q16)</f>
        <v>2</v>
      </c>
      <c r="G16" s="38">
        <f>COUNTA(Table1[[#This Row],[A ASEO]])</f>
        <v>0</v>
      </c>
      <c r="H16" s="1">
        <f>SUM(J16,L16,N16,P16,R16,T16,V16,X16,Z16,AB16,AD16,AF16,AH16)</f>
        <v>107.583</v>
      </c>
      <c r="I16" s="1">
        <v>19.5</v>
      </c>
      <c r="J16" s="1">
        <f>I16*1.34</f>
        <v>26.130000000000003</v>
      </c>
      <c r="K16" s="1">
        <v>6.1</v>
      </c>
      <c r="L16" s="1">
        <f>K16*1.34</f>
        <v>8.1739999999999995</v>
      </c>
      <c r="M16" s="1">
        <v>4.2</v>
      </c>
      <c r="N16" s="1">
        <f>M16*2.36</f>
        <v>9.911999999999999</v>
      </c>
      <c r="O16" s="1">
        <v>4.2</v>
      </c>
      <c r="P16" s="1">
        <f>O16*2.36</f>
        <v>9.911999999999999</v>
      </c>
      <c r="Q16" s="1"/>
      <c r="R16" s="1"/>
      <c r="S16" s="1"/>
      <c r="T16" s="1"/>
      <c r="U16" s="1">
        <v>13.4</v>
      </c>
      <c r="V16" s="1">
        <f>U16*1.34</f>
        <v>17.956000000000003</v>
      </c>
      <c r="W16" s="1">
        <v>11.1</v>
      </c>
      <c r="X16" s="1">
        <f>W16*1.34</f>
        <v>14.874000000000001</v>
      </c>
      <c r="Y16" s="1"/>
      <c r="Z16" s="1"/>
      <c r="AA16" s="1"/>
      <c r="AB16" s="1"/>
      <c r="AC16" s="1">
        <v>5.2</v>
      </c>
      <c r="AD16" s="1">
        <f>AC16*2.75</f>
        <v>14.3</v>
      </c>
      <c r="AE16" s="1">
        <v>2.2999999999999998</v>
      </c>
      <c r="AF16" s="1">
        <f>AE16*2.75</f>
        <v>6.3249999999999993</v>
      </c>
      <c r="AG16" s="1"/>
      <c r="AH16" s="1"/>
      <c r="AI16" s="39">
        <f>8.2+1.4</f>
        <v>9.6</v>
      </c>
      <c r="AJ16" s="39">
        <f>AI16*0.6</f>
        <v>5.76</v>
      </c>
      <c r="AK16" s="34"/>
      <c r="AL16" s="27">
        <f>SUM(I16,U16,W16,Y16,AA16,AC16,AE16,AG16)</f>
        <v>51.5</v>
      </c>
      <c r="AM16" s="27">
        <f>SUM(K16,M16,O16,Q16,S16)</f>
        <v>14.5</v>
      </c>
      <c r="AN16" s="27">
        <f>SUM(J16,V16,X16,Z16,AB16,AD16,AF16,AH16)</f>
        <v>79.585000000000008</v>
      </c>
      <c r="AO16" s="27">
        <f>SUM(L16,N16,P16,R16,T16)</f>
        <v>27.997999999999998</v>
      </c>
      <c r="AP16" s="30">
        <f>SUM(AG16,AE16,AC16,AA16,Y16,W16,U16,I16)/D16</f>
        <v>0.78030303030303028</v>
      </c>
      <c r="AQ16" s="30">
        <f>SUM(K16,M16,O16,Q16,S16)/D16</f>
        <v>0.2196969696969697</v>
      </c>
      <c r="AR16" s="30">
        <f>D16/H16</f>
        <v>0.61347982487939545</v>
      </c>
      <c r="AS16" s="30">
        <f>AL16/AN16</f>
        <v>0.64710686687189789</v>
      </c>
      <c r="AT16" s="30">
        <f>AM16/AO16</f>
        <v>0.51789413529537831</v>
      </c>
      <c r="AU16" s="35">
        <f>(((H16/2) - SQRT((H16/2)^2 - 4 * D16)) / 2)</f>
        <v>1.2563005507138492</v>
      </c>
      <c r="AV16" s="27">
        <f>(((H16/2) + SQRT((H16/2)^2 - 4 * D16)) / 2)</f>
        <v>52.535199449286154</v>
      </c>
      <c r="AW16" s="27">
        <f>AU16*2.7*2+AV16*2.7*2</f>
        <v>290.47410000000008</v>
      </c>
      <c r="AX16" s="30">
        <f>AW16/D16</f>
        <v>4.4011227272727282</v>
      </c>
      <c r="AY16" s="30"/>
      <c r="AZ16" s="24" t="s">
        <v>217</v>
      </c>
      <c r="BA16" s="25"/>
      <c r="BB16" s="21">
        <f t="array" ref="BB16">SUM(IF(ROUND(Table1[% ESTANCIAS PINTURA], 1) = ROUND(BB15, 1), 1, 0))</f>
        <v>239</v>
      </c>
      <c r="BC16" s="21">
        <f t="array" ref="BC16">SUM(IF(ROUND(Table1[% ESTANCIAS ALICATADAS], 1) = ROUND(BC15, 1), 1, 0))</f>
        <v>238</v>
      </c>
      <c r="BD16" s="21">
        <f t="array" ref="BD16">SUM(IF(ROUND(Table1[RATIO A/P], 1) = ROUND(BD15, 1), 1, 0))</f>
        <v>219</v>
      </c>
      <c r="BE16" s="21">
        <f t="array" ref="BE16">SUM(IF(ROUND(Table1[RATIO A/P PINTURA], 1) = ROUND(BE15, 1), 1, 0))</f>
        <v>136</v>
      </c>
      <c r="BF16" s="21">
        <f t="array" ref="BF16">SUM(IF(ROUND(Table1[RATIO A/P ALICATADO], 1) = ROUND(BF15, 1), 1, 0))</f>
        <v>178</v>
      </c>
    </row>
    <row r="17" spans="1:58" x14ac:dyDescent="0.25">
      <c r="B17" s="36" t="s">
        <v>41</v>
      </c>
      <c r="C17" t="s">
        <v>47</v>
      </c>
      <c r="D17" s="37">
        <f>SUM(I17,K17,M17,O17,Q17,S17,U17,W17,Y17,AA17,AC17,AE17,AG17)</f>
        <v>67.599999999999994</v>
      </c>
      <c r="E17" s="38">
        <f>COUNTA(U17,W17,Y17,AA17)</f>
        <v>2</v>
      </c>
      <c r="F17" s="38">
        <f>COUNTA(M17,O17,Q17)</f>
        <v>2</v>
      </c>
      <c r="G17" s="38">
        <f>COUNTA(Table1[[#This Row],[A ASEO]])</f>
        <v>0</v>
      </c>
      <c r="H17" s="1">
        <f>SUM(J17,L17,N17,P17,R17,T17,V17,X17,Z17,AB17,AD17,AF17,AH17)</f>
        <v>111.614</v>
      </c>
      <c r="I17" s="1">
        <v>20.8</v>
      </c>
      <c r="J17" s="1">
        <f>I17*1.34</f>
        <v>27.872000000000003</v>
      </c>
      <c r="K17" s="1">
        <v>8.5</v>
      </c>
      <c r="L17" s="1">
        <f>K17*1.34</f>
        <v>11.39</v>
      </c>
      <c r="M17" s="1">
        <v>4</v>
      </c>
      <c r="N17" s="1">
        <f>M17*2.36</f>
        <v>9.44</v>
      </c>
      <c r="O17" s="1">
        <v>3.9</v>
      </c>
      <c r="P17" s="1">
        <f>O17*2.36</f>
        <v>9.2039999999999988</v>
      </c>
      <c r="Q17" s="1"/>
      <c r="R17" s="1"/>
      <c r="S17" s="1"/>
      <c r="T17" s="1"/>
      <c r="U17" s="1">
        <v>12.2</v>
      </c>
      <c r="V17" s="1">
        <f>U17*1.34</f>
        <v>16.347999999999999</v>
      </c>
      <c r="W17" s="1">
        <v>9</v>
      </c>
      <c r="X17" s="1">
        <f>W17*1.34</f>
        <v>12.06</v>
      </c>
      <c r="Y17" s="1"/>
      <c r="Z17" s="1"/>
      <c r="AA17" s="1"/>
      <c r="AB17" s="1"/>
      <c r="AC17" s="1">
        <v>3.6</v>
      </c>
      <c r="AD17" s="1">
        <f>AC17*2.75</f>
        <v>9.9</v>
      </c>
      <c r="AE17" s="1">
        <v>5.6</v>
      </c>
      <c r="AF17" s="1">
        <f>AE17*2.75</f>
        <v>15.399999999999999</v>
      </c>
      <c r="AG17" s="1"/>
      <c r="AH17" s="1"/>
      <c r="AI17" s="39"/>
      <c r="AJ17" s="39"/>
      <c r="AK17" s="34"/>
      <c r="AL17" s="27">
        <f>SUM(I17,U17,W17,Y17,AA17,AC17,AE17,AG17)</f>
        <v>51.2</v>
      </c>
      <c r="AM17" s="27">
        <f>SUM(K17,M17,O17,Q17,S17)</f>
        <v>16.399999999999999</v>
      </c>
      <c r="AN17" s="27">
        <f>SUM(J17,V17,X17,Z17,AB17,AD17,AF17,AH17)</f>
        <v>81.580000000000013</v>
      </c>
      <c r="AO17" s="27">
        <f>SUM(L17,N17,P17,R17,T17)</f>
        <v>30.033999999999999</v>
      </c>
      <c r="AP17" s="30">
        <f>SUM(AG17,AE17,AC17,AA17,Y17,W17,U17,I17)/D17</f>
        <v>0.75739644970414211</v>
      </c>
      <c r="AQ17" s="30">
        <f>SUM(K17,M17,O17,Q17,S17)/D17</f>
        <v>0.24260355029585798</v>
      </c>
      <c r="AR17" s="30">
        <f>D17/H17</f>
        <v>0.60565878832404529</v>
      </c>
      <c r="AS17" s="30">
        <f>AL17/AN17</f>
        <v>0.62760480509928895</v>
      </c>
      <c r="AT17" s="30">
        <f>AM17/AO17</f>
        <v>0.54604781247919021</v>
      </c>
      <c r="AU17" s="35">
        <f>(((H17/2) - SQRT((H17/2)^2 - 4 * D17)) / 2)</f>
        <v>1.238817135769267</v>
      </c>
      <c r="AV17" s="27">
        <f>(((H17/2) + SQRT((H17/2)^2 - 4 * D17)) / 2)</f>
        <v>54.568182864230735</v>
      </c>
      <c r="AW17" s="27">
        <f>AU17*2.7*2+AV17*2.7*2</f>
        <v>301.35780000000005</v>
      </c>
      <c r="AX17" s="30">
        <f>AW17/D17</f>
        <v>4.4579556213017764</v>
      </c>
      <c r="AY17" s="30"/>
      <c r="AZ17" s="24" t="s">
        <v>215</v>
      </c>
      <c r="BA17" s="25"/>
      <c r="BB17" s="4">
        <f t="array" ref="BB17">SUM(IF(ROUND(Table1[% ESTANCIAS PINTURA], 2) = ROUND(BB15, 2), 1, 0))</f>
        <v>45</v>
      </c>
      <c r="BC17" s="4">
        <f t="array" ref="BC17">SUM(IF(ROUND(Table1[% ESTANCIAS ALICATADAS], 2) = ROUND(BC15, 2), 1, 0))</f>
        <v>45</v>
      </c>
      <c r="BD17" s="4">
        <f t="array" ref="BD17">SUM(IF(ROUND(Table1[RATIO A/P], 2) = ROUND(BD15, 2), 1, 0))</f>
        <v>60</v>
      </c>
      <c r="BE17" s="4">
        <f t="array" ref="BE17">SUM(IF(ROUND(Table1[RATIO A/P PINTURA], 2) = ROUND(BE15, 2), 1, 0))</f>
        <v>61</v>
      </c>
      <c r="BF17" s="4">
        <f t="array" ref="BF17">SUM(IF(ROUND(Table1[RATIO A/P ALICATADO], 2) = ROUND(BF15, 2), 1, 0))</f>
        <v>29</v>
      </c>
    </row>
    <row r="18" spans="1:58" x14ac:dyDescent="0.25">
      <c r="B18" s="36" t="s">
        <v>86</v>
      </c>
      <c r="C18" t="s">
        <v>87</v>
      </c>
      <c r="D18" s="37">
        <f>SUM(I18,K18,M18,O18,Q18,S18,U18,W18,Y18,AA18,AC18,AE18,AG18)</f>
        <v>70.900000000000006</v>
      </c>
      <c r="E18" s="38">
        <f>COUNTA(U18,W18,Y18,AA18)</f>
        <v>2</v>
      </c>
      <c r="F18" s="38">
        <f>COUNTA(M18,O18,Q18)</f>
        <v>2</v>
      </c>
      <c r="G18" s="38">
        <f>COUNTA(Table1[[#This Row],[A ASEO]])</f>
        <v>0</v>
      </c>
      <c r="H18" s="1">
        <f>SUM(J18,L18,N18,P18,R18,T18,V18,X18,Z18,AB18,AD18,AF18,AH18)</f>
        <v>119.55199999999999</v>
      </c>
      <c r="I18" s="1">
        <v>19.600000000000001</v>
      </c>
      <c r="J18" s="1">
        <f>I18*1.34</f>
        <v>26.264000000000003</v>
      </c>
      <c r="K18" s="1">
        <v>8.1</v>
      </c>
      <c r="L18" s="1">
        <f>K18*1.34</f>
        <v>10.854000000000001</v>
      </c>
      <c r="M18" s="1">
        <v>5.2</v>
      </c>
      <c r="N18" s="1">
        <f>M18*2.36</f>
        <v>12.272</v>
      </c>
      <c r="O18" s="1">
        <v>3.5</v>
      </c>
      <c r="P18" s="1">
        <f>O18*2.36</f>
        <v>8.26</v>
      </c>
      <c r="Q18" s="1"/>
      <c r="R18" s="1"/>
      <c r="S18" s="1"/>
      <c r="T18" s="1"/>
      <c r="U18" s="1">
        <v>12.2</v>
      </c>
      <c r="V18" s="1">
        <f>U18*1.34</f>
        <v>16.347999999999999</v>
      </c>
      <c r="W18" s="1">
        <v>10.3</v>
      </c>
      <c r="X18" s="1">
        <f>W18*1.34</f>
        <v>13.802000000000001</v>
      </c>
      <c r="Y18" s="1"/>
      <c r="Z18" s="1"/>
      <c r="AA18" s="1"/>
      <c r="AB18" s="1"/>
      <c r="AC18" s="1">
        <v>6</v>
      </c>
      <c r="AD18" s="1">
        <f>AC18*2.75</f>
        <v>16.5</v>
      </c>
      <c r="AE18" s="1">
        <v>2.8</v>
      </c>
      <c r="AF18" s="1">
        <f>AE18*2.75</f>
        <v>7.6999999999999993</v>
      </c>
      <c r="AG18" s="1">
        <v>3.2</v>
      </c>
      <c r="AH18" s="1">
        <f>AG18*2.36</f>
        <v>7.5519999999999996</v>
      </c>
      <c r="AI18" s="39">
        <v>4.8</v>
      </c>
      <c r="AJ18" s="39">
        <f>AI18*0.6</f>
        <v>2.88</v>
      </c>
      <c r="AK18" s="34"/>
      <c r="AL18" s="27">
        <f>SUM(I18,U18,W18,Y18,AA18,AC18,AE18,AG18)</f>
        <v>54.1</v>
      </c>
      <c r="AM18" s="27">
        <f>SUM(K18,M18,O18,Q18,S18)</f>
        <v>16.8</v>
      </c>
      <c r="AN18" s="27">
        <f>SUM(J18,V18,X18,Z18,AB18,AD18,AF18,AH18)</f>
        <v>88.165999999999997</v>
      </c>
      <c r="AO18" s="27">
        <f>SUM(L18,N18,P18,R18,T18)</f>
        <v>31.386000000000003</v>
      </c>
      <c r="AP18" s="30">
        <f>SUM(AG18,AE18,AC18,AA18,Y18,W18,U18,I18)/D18</f>
        <v>0.76304654442877284</v>
      </c>
      <c r="AQ18" s="30">
        <f>SUM(K18,M18,O18,Q18,S18)/D18</f>
        <v>0.23695345557122707</v>
      </c>
      <c r="AR18" s="30">
        <f>D18/H18</f>
        <v>0.59304737687366171</v>
      </c>
      <c r="AS18" s="30">
        <f>AL18/AN18</f>
        <v>0.61361522582401384</v>
      </c>
      <c r="AT18" s="30">
        <f>AM18/AO18</f>
        <v>0.53527050277193655</v>
      </c>
      <c r="AU18" s="35">
        <f>(((H18/2) - SQRT((H18/2)^2 - 4 * D18)) / 2)</f>
        <v>1.2106126713049399</v>
      </c>
      <c r="AV18" s="27">
        <f>(((H18/2) + SQRT((H18/2)^2 - 4 * D18)) / 2)</f>
        <v>58.565387328695053</v>
      </c>
      <c r="AW18" s="27">
        <f>AU18*2.7*2+AV18*2.7*2</f>
        <v>322.79039999999998</v>
      </c>
      <c r="AX18" s="30">
        <f>AW18/D18</f>
        <v>4.5527559943582503</v>
      </c>
      <c r="AY18" s="30"/>
      <c r="AZ18" s="24" t="s">
        <v>216</v>
      </c>
      <c r="BA18" s="25"/>
      <c r="BB18" s="4">
        <f t="array" ref="BB18">SUM(IF(ROUND(Table1[% ESTANCIAS PINTURA], 3) = ROUND(BB15, 3), 1, 0))</f>
        <v>9</v>
      </c>
      <c r="BC18" s="4">
        <f t="array" ref="BC18">SUM(IF(ROUND(Table1[% ESTANCIAS ALICATADAS], 3) = ROUND(BC15, 3), 1, 0))</f>
        <v>9</v>
      </c>
      <c r="BD18" s="4">
        <f t="array" ref="BD18">SUM(IF(ROUND(Table1[RATIO A/P], 3) = ROUND(BD15, 3), 1, 0))</f>
        <v>5</v>
      </c>
      <c r="BE18" s="4">
        <f t="array" ref="BE18">SUM(IF(ROUND(Table1[RATIO A/P PINTURA], 3) = ROUND(BE15, 3), 1, 0))</f>
        <v>5</v>
      </c>
      <c r="BF18" s="4">
        <f t="array" ref="BF18">SUM(IF(ROUND(Table1[RATIO A/P ALICATADO], 3) = ROUND(BF15, 3), 1, 0))</f>
        <v>4</v>
      </c>
    </row>
    <row r="19" spans="1:58" x14ac:dyDescent="0.25">
      <c r="B19" s="36" t="s">
        <v>86</v>
      </c>
      <c r="C19" t="s">
        <v>87</v>
      </c>
      <c r="D19" s="37">
        <f>SUM(I19,K19,M19,O19,Q19,S19,U19,W19,Y19,AA19,AC19,AE19,AG19)</f>
        <v>69.599999999999994</v>
      </c>
      <c r="E19" s="38">
        <f>COUNTA(U19,W19,Y19,AA19)</f>
        <v>2</v>
      </c>
      <c r="F19" s="38">
        <f>COUNTA(M19,O19,Q19)</f>
        <v>2</v>
      </c>
      <c r="G19" s="38">
        <f>COUNTA(Table1[[#This Row],[A ASEO]])</f>
        <v>0</v>
      </c>
      <c r="H19" s="1">
        <f>SUM(J19,L19,N19,P19,R19,T19,V19,X19,Z19,AB19,AD19,AF19,AH19)</f>
        <v>117.81</v>
      </c>
      <c r="I19" s="1">
        <v>18.3</v>
      </c>
      <c r="J19" s="1">
        <f>I19*1.34</f>
        <v>24.522000000000002</v>
      </c>
      <c r="K19" s="1">
        <v>8.1</v>
      </c>
      <c r="L19" s="1">
        <f>K19*1.34</f>
        <v>10.854000000000001</v>
      </c>
      <c r="M19" s="1">
        <v>5.2</v>
      </c>
      <c r="N19" s="1">
        <f>M19*2.36</f>
        <v>12.272</v>
      </c>
      <c r="O19" s="1">
        <v>3.5</v>
      </c>
      <c r="P19" s="1">
        <f>O19*2.36</f>
        <v>8.26</v>
      </c>
      <c r="Q19" s="1"/>
      <c r="R19" s="1"/>
      <c r="S19" s="1"/>
      <c r="T19" s="1"/>
      <c r="U19" s="1">
        <v>12.2</v>
      </c>
      <c r="V19" s="1">
        <f>U19*1.34</f>
        <v>16.347999999999999</v>
      </c>
      <c r="W19" s="1">
        <v>10.3</v>
      </c>
      <c r="X19" s="1">
        <f>W19*1.34</f>
        <v>13.802000000000001</v>
      </c>
      <c r="Y19" s="1"/>
      <c r="Z19" s="1"/>
      <c r="AA19" s="1"/>
      <c r="AB19" s="1"/>
      <c r="AC19" s="1">
        <v>6</v>
      </c>
      <c r="AD19" s="1">
        <f>AC19*2.75</f>
        <v>16.5</v>
      </c>
      <c r="AE19" s="1">
        <v>2.8</v>
      </c>
      <c r="AF19" s="1">
        <f>AE19*2.75</f>
        <v>7.6999999999999993</v>
      </c>
      <c r="AG19" s="1">
        <v>3.2</v>
      </c>
      <c r="AH19" s="1">
        <f>AG19*2.36</f>
        <v>7.5519999999999996</v>
      </c>
      <c r="AI19" s="39">
        <v>4.8</v>
      </c>
      <c r="AJ19" s="39">
        <f>AI19*0.6</f>
        <v>2.88</v>
      </c>
      <c r="AK19" s="34"/>
      <c r="AL19" s="27">
        <f>SUM(I19,U19,W19,Y19,AA19,AC19,AE19,AG19)</f>
        <v>52.8</v>
      </c>
      <c r="AM19" s="27">
        <f>SUM(K19,M19,O19,Q19,S19)</f>
        <v>16.8</v>
      </c>
      <c r="AN19" s="27">
        <f>SUM(J19,V19,X19,Z19,AB19,AD19,AF19,AH19)</f>
        <v>86.424000000000007</v>
      </c>
      <c r="AO19" s="27">
        <f>SUM(L19,N19,P19,R19,T19)</f>
        <v>31.386000000000003</v>
      </c>
      <c r="AP19" s="30">
        <f>SUM(AG19,AE19,AC19,AA19,Y19,W19,U19,I19)/D19</f>
        <v>0.75862068965517249</v>
      </c>
      <c r="AQ19" s="30">
        <f>SUM(K19,M19,O19,Q19,S19)/D19</f>
        <v>0.24137931034482762</v>
      </c>
      <c r="AR19" s="30">
        <f>D19/H19</f>
        <v>0.59078176725235543</v>
      </c>
      <c r="AS19" s="30">
        <f>AL19/AN19</f>
        <v>0.61094140516523177</v>
      </c>
      <c r="AT19" s="30">
        <f>AM19/AO19</f>
        <v>0.53527050277193655</v>
      </c>
      <c r="AU19" s="35">
        <f>(((H19/2) - SQRT((H19/2)^2 - 4 * D19)) / 2)</f>
        <v>1.2062656270787144</v>
      </c>
      <c r="AV19" s="27">
        <f>(((H19/2) + SQRT((H19/2)^2 - 4 * D19)) / 2)</f>
        <v>57.698734372921287</v>
      </c>
      <c r="AW19" s="27">
        <f>AU19*2.7*2+AV19*2.7*2</f>
        <v>318.08700000000005</v>
      </c>
      <c r="AX19" s="30">
        <f>AW19/D19</f>
        <v>4.5702155172413805</v>
      </c>
      <c r="AY19" s="30"/>
      <c r="AZ19" s="24"/>
      <c r="BA19" s="25"/>
      <c r="BB19" s="4"/>
      <c r="BC19" s="4"/>
      <c r="BD19" s="4"/>
    </row>
    <row r="20" spans="1:58" x14ac:dyDescent="0.25">
      <c r="B20" s="36" t="s">
        <v>86</v>
      </c>
      <c r="C20" t="s">
        <v>87</v>
      </c>
      <c r="D20" s="37">
        <f>SUM(I20,K20,M20,O20,Q20,S20,U20,W20,Y20,AA20,AC20,AE20,AG20)</f>
        <v>70</v>
      </c>
      <c r="E20" s="38">
        <f>COUNTA(U20,W20,Y20,AA20)</f>
        <v>2</v>
      </c>
      <c r="F20" s="38">
        <f>COUNTA(M20,O20,Q20)</f>
        <v>2</v>
      </c>
      <c r="G20" s="38">
        <f>COUNTA(Table1[[#This Row],[A ASEO]])</f>
        <v>0</v>
      </c>
      <c r="H20" s="1">
        <f>SUM(J20,L20,N20,P20,R20,T20,V20,X20,Z20,AB20,AD20,AF20,AH20)</f>
        <v>120.77599999999998</v>
      </c>
      <c r="I20" s="1">
        <v>18</v>
      </c>
      <c r="J20" s="1">
        <f>I20*1.34</f>
        <v>24.12</v>
      </c>
      <c r="K20" s="1">
        <v>7.8</v>
      </c>
      <c r="L20" s="1">
        <f>K20*1.34</f>
        <v>10.452</v>
      </c>
      <c r="M20" s="1">
        <v>5.7</v>
      </c>
      <c r="N20" s="1">
        <f>M20*2.36</f>
        <v>13.452</v>
      </c>
      <c r="O20" s="1">
        <v>4</v>
      </c>
      <c r="P20" s="1">
        <f>O20*2.36</f>
        <v>9.44</v>
      </c>
      <c r="Q20" s="1"/>
      <c r="R20" s="1"/>
      <c r="S20" s="1"/>
      <c r="T20" s="1"/>
      <c r="U20" s="1">
        <v>13</v>
      </c>
      <c r="V20" s="1">
        <f>U20*1.34</f>
        <v>17.420000000000002</v>
      </c>
      <c r="W20" s="1">
        <v>8.5</v>
      </c>
      <c r="X20" s="1">
        <f>W20*1.34</f>
        <v>11.39</v>
      </c>
      <c r="Y20" s="1"/>
      <c r="Z20" s="1"/>
      <c r="AA20" s="1"/>
      <c r="AB20" s="1"/>
      <c r="AC20" s="1">
        <v>4.9000000000000004</v>
      </c>
      <c r="AD20" s="1">
        <f>AC20*2.75</f>
        <v>13.475000000000001</v>
      </c>
      <c r="AE20" s="1">
        <v>4.9000000000000004</v>
      </c>
      <c r="AF20" s="1">
        <f>AE20*2.75</f>
        <v>13.475000000000001</v>
      </c>
      <c r="AG20" s="1">
        <v>3.2</v>
      </c>
      <c r="AH20" s="1">
        <f>AG20*2.36</f>
        <v>7.5519999999999996</v>
      </c>
      <c r="AI20" s="39"/>
      <c r="AJ20" s="39"/>
      <c r="AK20" s="34"/>
      <c r="AL20" s="27">
        <f>SUM(I20,U20,W20,Y20,AA20,AC20,AE20,AG20)</f>
        <v>52.5</v>
      </c>
      <c r="AM20" s="27">
        <f>SUM(K20,M20,O20,Q20,S20)</f>
        <v>17.5</v>
      </c>
      <c r="AN20" s="27">
        <f>SUM(J20,V20,X20,Z20,AB20,AD20,AF20,AH20)</f>
        <v>87.431999999999988</v>
      </c>
      <c r="AO20" s="27">
        <f>SUM(L20,N20,P20,R20,T20)</f>
        <v>33.344000000000001</v>
      </c>
      <c r="AP20" s="30">
        <f>SUM(AG20,AE20,AC20,AA20,Y20,W20,U20,I20)/D20</f>
        <v>0.75</v>
      </c>
      <c r="AQ20" s="30">
        <f>SUM(K20,M20,O20,Q20,S20)/D20</f>
        <v>0.25</v>
      </c>
      <c r="AR20" s="30">
        <f>D20/H20</f>
        <v>0.57958534808240059</v>
      </c>
      <c r="AS20" s="30">
        <f>AL20/AN20</f>
        <v>0.6004666483667308</v>
      </c>
      <c r="AT20" s="30">
        <f>AM20/AO20</f>
        <v>0.52483205374280228</v>
      </c>
      <c r="AU20" s="35">
        <f>(((H20/2) - SQRT((H20/2)^2 - 4 * D20)) / 2)</f>
        <v>1.1823189732135653</v>
      </c>
      <c r="AV20" s="27">
        <f>(((H20/2) + SQRT((H20/2)^2 - 4 * D20)) / 2)</f>
        <v>59.205681026786422</v>
      </c>
      <c r="AW20" s="27">
        <f>AU20*2.7*2+AV20*2.7*2</f>
        <v>326.09519999999998</v>
      </c>
      <c r="AX20" s="30">
        <f>AW20/D20</f>
        <v>4.6585028571428566</v>
      </c>
      <c r="AY20" s="30"/>
      <c r="AZ20" s="4" t="s">
        <v>221</v>
      </c>
      <c r="BA20" s="25"/>
      <c r="BB20" s="22" cm="1">
        <f t="array" ref="BB20">_xlfn.MODE.MULT(ROUND(Table1[% ESTANCIAS PINTURA], 1))</f>
        <v>0.8</v>
      </c>
      <c r="BC20" s="22" cm="1">
        <f t="array" ref="BC20">_xlfn.MODE.MULT(ROUND(Table1[% ESTANCIAS ALICATADAS], 1))</f>
        <v>0.2</v>
      </c>
      <c r="BD20" s="22" cm="1">
        <f t="array" ref="BD20">_xlfn.MODE.MULT(ROUND(Table1[RATIO A/P], 1))</f>
        <v>0.6</v>
      </c>
      <c r="BE20" s="22" cm="1">
        <f t="array" ref="BE20">_xlfn.MODE.MULT(ROUND(Table1[RATIO A/P PINTURA], 1))</f>
        <v>0.7</v>
      </c>
      <c r="BF20" s="22" cm="1">
        <f t="array" ref="BF20">_xlfn.MODE.MULT(ROUND(Table1[RATIO A/P ALICATADO], 1))</f>
        <v>0.6</v>
      </c>
    </row>
    <row r="21" spans="1:58" x14ac:dyDescent="0.25">
      <c r="B21" s="36" t="s">
        <v>86</v>
      </c>
      <c r="C21" t="s">
        <v>85</v>
      </c>
      <c r="D21" s="37">
        <f>SUM(I21,K21,M21,O21,Q21,S21,U21,W21,Y21,AA21,AC21,AE21,AG21)</f>
        <v>71.699999999999989</v>
      </c>
      <c r="E21" s="38">
        <f>COUNTA(U21,W21,Y21,AA21)</f>
        <v>2</v>
      </c>
      <c r="F21" s="38">
        <f>COUNTA(M21,O21,Q21)</f>
        <v>2</v>
      </c>
      <c r="G21" s="38">
        <f>COUNTA(Table1[[#This Row],[A ASEO]])</f>
        <v>0</v>
      </c>
      <c r="H21" s="1">
        <f>SUM(J21,L21,N21,P21,R21,T21,V21,X21,Z21,AB21,AD21,AF21,AH21)</f>
        <v>124.761</v>
      </c>
      <c r="I21" s="1">
        <v>20</v>
      </c>
      <c r="J21" s="1">
        <f>I21*1.34</f>
        <v>26.8</v>
      </c>
      <c r="K21" s="1">
        <v>7.2</v>
      </c>
      <c r="L21" s="1">
        <f>K21*1.34</f>
        <v>9.6480000000000015</v>
      </c>
      <c r="M21" s="1">
        <v>5.0999999999999996</v>
      </c>
      <c r="N21" s="1">
        <f>M21*2.36</f>
        <v>12.035999999999998</v>
      </c>
      <c r="O21" s="1">
        <v>4.4000000000000004</v>
      </c>
      <c r="P21" s="1">
        <f>O21*2.36</f>
        <v>10.384</v>
      </c>
      <c r="Q21" s="1"/>
      <c r="R21" s="1"/>
      <c r="S21" s="1"/>
      <c r="T21" s="1"/>
      <c r="U21" s="1">
        <v>12.1</v>
      </c>
      <c r="V21" s="1">
        <f>U21*1.34</f>
        <v>16.214000000000002</v>
      </c>
      <c r="W21" s="1">
        <v>8.6</v>
      </c>
      <c r="X21" s="1">
        <f>W21*1.34</f>
        <v>11.524000000000001</v>
      </c>
      <c r="Y21" s="1"/>
      <c r="Z21" s="1"/>
      <c r="AA21" s="1"/>
      <c r="AB21" s="1"/>
      <c r="AC21" s="1">
        <v>3.8</v>
      </c>
      <c r="AD21" s="1">
        <f>AC21*2.75</f>
        <v>10.45</v>
      </c>
      <c r="AE21" s="1">
        <f>4.3+3.2</f>
        <v>7.5</v>
      </c>
      <c r="AF21" s="1">
        <f>AE21*2.75</f>
        <v>20.625</v>
      </c>
      <c r="AG21" s="1">
        <v>3</v>
      </c>
      <c r="AH21" s="1">
        <f>AG21*2.36</f>
        <v>7.08</v>
      </c>
      <c r="AI21" s="39"/>
      <c r="AJ21" s="39"/>
      <c r="AK21" s="34"/>
      <c r="AL21" s="27">
        <f>SUM(I21,U21,W21,Y21,AA21,AC21,AE21,AG21)</f>
        <v>55</v>
      </c>
      <c r="AM21" s="27">
        <f>SUM(K21,M21,O21,Q21,S21)</f>
        <v>16.700000000000003</v>
      </c>
      <c r="AN21" s="27">
        <f>SUM(J21,V21,X21,Z21,AB21,AD21,AF21,AH21)</f>
        <v>92.692999999999998</v>
      </c>
      <c r="AO21" s="27">
        <f>SUM(L21,N21,P21,R21,T21)</f>
        <v>32.067999999999998</v>
      </c>
      <c r="AP21" s="30">
        <f>SUM(AG21,AE21,AC21,AA21,Y21,W21,U21,I21)/D21</f>
        <v>0.76708507670850778</v>
      </c>
      <c r="AQ21" s="30">
        <f>SUM(K21,M21,O21,Q21,S21)/D21</f>
        <v>0.23291492329149241</v>
      </c>
      <c r="AR21" s="30">
        <f>D21/H21</f>
        <v>0.57469882415177809</v>
      </c>
      <c r="AS21" s="30">
        <f>AL21/AN21</f>
        <v>0.59335656414184457</v>
      </c>
      <c r="AT21" s="30">
        <f>AM21/AO21</f>
        <v>0.52076836721965836</v>
      </c>
      <c r="AU21" s="35">
        <f>(((H21/2) - SQRT((H21/2)^2 - 4 * D21)) / 2)</f>
        <v>1.171394341222797</v>
      </c>
      <c r="AV21" s="27">
        <f>(((H21/2) + SQRT((H21/2)^2 - 4 * D21)) / 2)</f>
        <v>61.209105658777204</v>
      </c>
      <c r="AW21" s="27">
        <f>AU21*2.7*2+AV21*2.7*2</f>
        <v>336.85470000000004</v>
      </c>
      <c r="AX21" s="30">
        <f>AW21/D21</f>
        <v>4.6981129707112981</v>
      </c>
      <c r="AY21" s="30"/>
      <c r="AZ21" s="24" t="s">
        <v>179</v>
      </c>
      <c r="BA21" s="25"/>
      <c r="BB21" s="25">
        <f t="array" ref="BB21">SUM(IF(ROUND(Table1[% ESTANCIAS PINTURA], 1) = BB20, 1, 0))</f>
        <v>239</v>
      </c>
      <c r="BC21" s="25">
        <f t="array" ref="BC21">SUM(IF(ROUND(Table1[% ESTANCIAS ALICATADAS], 1) = BC20, 1, 0))</f>
        <v>238</v>
      </c>
      <c r="BD21" s="25">
        <f t="array" ref="BD21">SUM(IF(ROUND(Table1[RATIO A/P], 1) = BD20, 1, 0))</f>
        <v>219</v>
      </c>
      <c r="BE21" s="25">
        <f t="array" ref="BE21">SUM(IF(ROUND(Table1[RATIO A/P PINTURA], 1) = BE20, 1, 0))</f>
        <v>136</v>
      </c>
      <c r="BF21" s="25">
        <f t="array" ref="BF21">SUM(IF(ROUND(Table1[RATIO A/P ALICATADO], 1) = BF20, 1, 0))</f>
        <v>178</v>
      </c>
    </row>
    <row r="22" spans="1:58" x14ac:dyDescent="0.25">
      <c r="B22" s="36" t="s">
        <v>62</v>
      </c>
      <c r="C22" t="s">
        <v>105</v>
      </c>
      <c r="D22" s="37">
        <f>SUM(I22,K22,M22,O22,Q22,S22,U22,W22,Y22,AA22,AC22,AE22,AG22)</f>
        <v>68.660000000000011</v>
      </c>
      <c r="E22" s="38">
        <f>COUNTA(U22,W22,Y22,AA22)</f>
        <v>2</v>
      </c>
      <c r="F22" s="38">
        <f>COUNTA(M22,O22,Q22)</f>
        <v>2</v>
      </c>
      <c r="G22" s="38">
        <f>COUNTA(Table1[[#This Row],[A ASEO]])</f>
        <v>0</v>
      </c>
      <c r="H22" s="1">
        <f>SUM(J22,L22,N22,P22,R22,T22,V22,X22,Z22,AB22,AD22,AF22,AH22)</f>
        <v>106.18600000000001</v>
      </c>
      <c r="I22" s="1">
        <v>23.53</v>
      </c>
      <c r="J22" s="1">
        <f>I22*1.34</f>
        <v>31.530200000000004</v>
      </c>
      <c r="K22" s="1">
        <v>6.5</v>
      </c>
      <c r="L22" s="1">
        <f>K22*1.34</f>
        <v>8.7100000000000009</v>
      </c>
      <c r="M22" s="1">
        <v>5.07</v>
      </c>
      <c r="N22" s="1">
        <f>M22*2.36</f>
        <v>11.965199999999999</v>
      </c>
      <c r="O22" s="1">
        <v>4.41</v>
      </c>
      <c r="P22" s="1">
        <f>O22*2.36</f>
        <v>10.4076</v>
      </c>
      <c r="Q22" s="1"/>
      <c r="R22" s="1"/>
      <c r="S22" s="1"/>
      <c r="T22" s="1"/>
      <c r="U22" s="1">
        <v>14.13</v>
      </c>
      <c r="V22" s="1">
        <f>U22*1.34</f>
        <v>18.934200000000001</v>
      </c>
      <c r="W22" s="1">
        <v>11.82</v>
      </c>
      <c r="X22" s="1">
        <f>W22*1.34</f>
        <v>15.838800000000001</v>
      </c>
      <c r="Y22" s="1"/>
      <c r="Z22" s="1"/>
      <c r="AA22" s="1"/>
      <c r="AB22" s="1"/>
      <c r="AC22" s="1"/>
      <c r="AD22" s="1"/>
      <c r="AE22" s="1">
        <v>3.2</v>
      </c>
      <c r="AF22" s="1">
        <f>AE22*2.75</f>
        <v>8.8000000000000007</v>
      </c>
      <c r="AG22" s="1"/>
      <c r="AH22" s="1"/>
      <c r="AI22" s="39"/>
      <c r="AJ22" s="39"/>
      <c r="AK22" s="34"/>
      <c r="AL22" s="27">
        <f>SUM(I22,U22,W22,Y22,AA22,AC22,AE22,AG22)</f>
        <v>52.680000000000007</v>
      </c>
      <c r="AM22" s="27">
        <f>SUM(K22,M22,O22,Q22,S22)</f>
        <v>15.98</v>
      </c>
      <c r="AN22" s="27">
        <f>SUM(J22,V22,X22,Z22,AB22,AD22,AF22,AH22)</f>
        <v>75.103200000000001</v>
      </c>
      <c r="AO22" s="27">
        <f>SUM(L22,N22,P22,R22,T22)</f>
        <v>31.082799999999999</v>
      </c>
      <c r="AP22" s="30">
        <f>SUM(AG22,AE22,AC22,AA22,Y22,W22,U22,I22)/D22</f>
        <v>0.76725895718030868</v>
      </c>
      <c r="AQ22" s="30">
        <f>SUM(K22,M22,O22,Q22,S22)/D22</f>
        <v>0.23274104281969121</v>
      </c>
      <c r="AR22" s="30">
        <f>D22/H22</f>
        <v>0.64660124686870213</v>
      </c>
      <c r="AS22" s="30">
        <f>AL22/AN22</f>
        <v>0.70143482567986459</v>
      </c>
      <c r="AT22" s="30">
        <f>AM22/AO22</f>
        <v>0.51411069787792607</v>
      </c>
      <c r="AU22" s="35">
        <f>(((H22/2) - SQRT((H22/2)^2 - 4 * D22)) / 2)</f>
        <v>1.3263361970030019</v>
      </c>
      <c r="AV22" s="27">
        <f>(((H22/2) + SQRT((H22/2)^2 - 4 * D22)) / 2)</f>
        <v>51.766663802997002</v>
      </c>
      <c r="AW22" s="27">
        <f>AU22*2.7*2+AV22*2.7*2</f>
        <v>286.70220000000006</v>
      </c>
      <c r="AX22" s="30">
        <f>AW22/D22</f>
        <v>4.1756801631226335</v>
      </c>
      <c r="AY22" s="30"/>
      <c r="AZ22" s="4" t="s">
        <v>222</v>
      </c>
      <c r="BA22" s="25"/>
      <c r="BB22" s="22">
        <f t="array" ref="BB22">_xlfn.MODE.MULT(ROUND(Table1[% ESTANCIAS PINTURA], 2))</f>
        <v>0.8</v>
      </c>
      <c r="BC22" s="22">
        <f t="array" ref="BC22">_xlfn.MODE.MULT(ROUND(Table1[% ESTANCIAS ALICATADAS], 2))</f>
        <v>0.2</v>
      </c>
      <c r="BD22" s="22">
        <f t="array" ref="BD22">_xlfn.MODE.MULT(ROUND(Table1[RATIO A/P], 2))</f>
        <v>0.63</v>
      </c>
      <c r="BE22" s="22">
        <f t="array" ref="BE22">_xlfn.MODE.MULT(ROUND(Table1[RATIO A/P PINTURA], 2))</f>
        <v>0.65</v>
      </c>
      <c r="BF22" s="22">
        <f t="array" ref="BF22">_xlfn.MODE.MULT(ROUND(Table1[RATIO A/P ALICATADO], 2))</f>
        <v>0.55000000000000004</v>
      </c>
    </row>
    <row r="23" spans="1:58" x14ac:dyDescent="0.25">
      <c r="B23" s="36" t="s">
        <v>62</v>
      </c>
      <c r="C23" t="s">
        <v>63</v>
      </c>
      <c r="D23" s="37">
        <f>SUM(I23,K23,M23,O23,Q23,S23,U23,W23,Y23,AA23,AC23,AE23,AG23)</f>
        <v>77.44</v>
      </c>
      <c r="E23" s="38">
        <f>COUNTA(U23,W23,Y23,AA23)</f>
        <v>2</v>
      </c>
      <c r="F23" s="38">
        <f>COUNTA(M23,O23,Q23)</f>
        <v>1</v>
      </c>
      <c r="G23" s="38">
        <f>COUNTA(Table1[[#This Row],[A ASEO]])</f>
        <v>0</v>
      </c>
      <c r="H23" s="1">
        <f>SUM(J23,L23,N23,P23,R23,T23,V23,X23,Z23,AB23,AD23,AF23,AH23)</f>
        <v>121.68049999999999</v>
      </c>
      <c r="I23" s="1">
        <v>29.87</v>
      </c>
      <c r="J23" s="1">
        <f>I23*1.34</f>
        <v>40.025800000000004</v>
      </c>
      <c r="K23" s="1">
        <v>9.66</v>
      </c>
      <c r="L23" s="1">
        <f>K23*1.34</f>
        <v>12.944400000000002</v>
      </c>
      <c r="M23" s="1">
        <v>4.6900000000000004</v>
      </c>
      <c r="N23" s="1">
        <f>M23*2.36</f>
        <v>11.0684</v>
      </c>
      <c r="O23" s="1"/>
      <c r="P23" s="1"/>
      <c r="Q23" s="1"/>
      <c r="R23" s="1"/>
      <c r="S23" s="1"/>
      <c r="T23" s="1"/>
      <c r="U23" s="1">
        <v>12.94</v>
      </c>
      <c r="V23" s="1">
        <f>U23*1.34</f>
        <v>17.339600000000001</v>
      </c>
      <c r="W23" s="1">
        <v>10.97</v>
      </c>
      <c r="X23" s="1">
        <f>W23*1.34</f>
        <v>14.699800000000002</v>
      </c>
      <c r="Y23" s="1"/>
      <c r="Z23" s="1"/>
      <c r="AA23" s="1"/>
      <c r="AB23" s="1"/>
      <c r="AC23" s="1">
        <v>5.4</v>
      </c>
      <c r="AD23" s="1">
        <f>AC23*2.75</f>
        <v>14.850000000000001</v>
      </c>
      <c r="AE23" s="1">
        <v>3.91</v>
      </c>
      <c r="AF23" s="1">
        <f>AE23*2.75</f>
        <v>10.752500000000001</v>
      </c>
      <c r="AG23" s="1"/>
      <c r="AH23" s="1"/>
      <c r="AI23" s="39">
        <f>8.01+3.98</f>
        <v>11.99</v>
      </c>
      <c r="AJ23" s="39">
        <f>AI23*0.6</f>
        <v>7.194</v>
      </c>
      <c r="AK23" s="34"/>
      <c r="AL23" s="27">
        <f>SUM(I23,U23,W23,Y23,AA23,AC23,AE23,AG23)</f>
        <v>63.09</v>
      </c>
      <c r="AM23" s="27">
        <f>SUM(K23,M23,O23,Q23,S23)</f>
        <v>14.350000000000001</v>
      </c>
      <c r="AN23" s="27">
        <f>SUM(J23,V23,X23,Z23,AB23,AD23,AF23,AH23)</f>
        <v>97.667699999999996</v>
      </c>
      <c r="AO23" s="27">
        <f>SUM(L23,N23,P23,R23,T23)</f>
        <v>24.012800000000002</v>
      </c>
      <c r="AP23" s="30">
        <f>SUM(AG23,AE23,AC23,AA23,Y23,W23,U23,I23)/D23</f>
        <v>0.81469524793388437</v>
      </c>
      <c r="AQ23" s="30">
        <f>SUM(K23,M23,O23,Q23,S23)/D23</f>
        <v>0.18530475206611571</v>
      </c>
      <c r="AR23" s="30">
        <f>D23/H23</f>
        <v>0.63642079051285949</v>
      </c>
      <c r="AS23" s="30">
        <f>AL23/AN23</f>
        <v>0.64596586179463633</v>
      </c>
      <c r="AT23" s="30">
        <f>AM23/AO23</f>
        <v>0.59759794776119401</v>
      </c>
      <c r="AU23" s="35">
        <f>(((H23/2) - SQRT((H23/2)^2 - 4 * D23)) / 2)</f>
        <v>1.3006468965788294</v>
      </c>
      <c r="AV23" s="27">
        <f>(((H23/2) + SQRT((H23/2)^2 - 4 * D23)) / 2)</f>
        <v>59.539603103421172</v>
      </c>
      <c r="AW23" s="27">
        <f>AU23*2.7*2+AV23*2.7*2</f>
        <v>328.53735</v>
      </c>
      <c r="AX23" s="30">
        <f>AW23/D23</f>
        <v>4.24247611053719</v>
      </c>
      <c r="AY23" s="30"/>
      <c r="AZ23" s="24" t="s">
        <v>179</v>
      </c>
      <c r="BA23" s="25"/>
      <c r="BB23" s="25">
        <f t="array" ref="BB23">SUM(IF(ROUND(Table1[% ESTANCIAS PINTURA], 2) = BB22, 1, 0))</f>
        <v>45</v>
      </c>
      <c r="BC23" s="25">
        <f t="array" ref="BC23">SUM(IF(ROUND(Table1[% ESTANCIAS ALICATADAS], 2) = BC22, 1, 0))</f>
        <v>45</v>
      </c>
      <c r="BD23" s="25">
        <f t="array" ref="BD23">SUM(IF(ROUND(Table1[RATIO A/P], 2) = BD22, 1, 0))</f>
        <v>60</v>
      </c>
      <c r="BE23" s="25">
        <f t="array" ref="BE23">SUM(IF(ROUND(Table1[RATIO A/P PINTURA], 2) = BE22, 1, 0))</f>
        <v>61</v>
      </c>
      <c r="BF23" s="25">
        <f t="array" ref="BF23">SUM(IF(ROUND(Table1[RATIO A/P ALICATADO], 2) = BF22, 1, 0))</f>
        <v>43</v>
      </c>
    </row>
    <row r="24" spans="1:58" x14ac:dyDescent="0.25">
      <c r="B24" s="36" t="s">
        <v>62</v>
      </c>
      <c r="C24" t="s">
        <v>131</v>
      </c>
      <c r="D24" s="37">
        <f>SUM(I24,K24,M24,O24,Q24,S24,U24,W24,Y24,AA24,AC24,AE24,AG24)</f>
        <v>72.2</v>
      </c>
      <c r="E24" s="38">
        <f>COUNTA(U24,W24,Y24,AA24)</f>
        <v>2</v>
      </c>
      <c r="F24" s="38">
        <f>COUNTA(M24,O24,Q24)</f>
        <v>2</v>
      </c>
      <c r="G24" s="38">
        <f>COUNTA(Table1[[#This Row],[A ASEO]])</f>
        <v>0</v>
      </c>
      <c r="H24" s="1">
        <f>SUM(J24,L24,N24,P24,R24,T24,V24,X24,Z24,AB24,AD24,AF24,AH24)</f>
        <v>114.25300000000001</v>
      </c>
      <c r="I24" s="1">
        <v>22.1</v>
      </c>
      <c r="J24" s="1">
        <f>I24*1.34</f>
        <v>29.614000000000004</v>
      </c>
      <c r="K24" s="1">
        <v>11.2</v>
      </c>
      <c r="L24" s="1">
        <f>K24*1.34</f>
        <v>15.007999999999999</v>
      </c>
      <c r="M24" s="1">
        <v>4.0999999999999996</v>
      </c>
      <c r="N24" s="1">
        <f>M24*2.36</f>
        <v>9.6759999999999984</v>
      </c>
      <c r="O24" s="1">
        <v>3.8</v>
      </c>
      <c r="P24" s="1">
        <f>O24*2.36</f>
        <v>8.968</v>
      </c>
      <c r="Q24" s="1"/>
      <c r="R24" s="1"/>
      <c r="S24" s="1"/>
      <c r="T24" s="1"/>
      <c r="U24" s="1">
        <v>14.6</v>
      </c>
      <c r="V24" s="1">
        <f>U24*1.34</f>
        <v>19.564</v>
      </c>
      <c r="W24" s="1">
        <v>9.6999999999999993</v>
      </c>
      <c r="X24" s="1">
        <f>W24*1.34</f>
        <v>12.997999999999999</v>
      </c>
      <c r="Y24" s="1"/>
      <c r="Z24" s="1"/>
      <c r="AA24" s="1"/>
      <c r="AB24" s="1"/>
      <c r="AC24" s="1">
        <v>4.3</v>
      </c>
      <c r="AD24" s="1">
        <f>AC24*2.75</f>
        <v>11.824999999999999</v>
      </c>
      <c r="AE24" s="1">
        <v>2.4</v>
      </c>
      <c r="AF24" s="1">
        <f>AE24*2.75</f>
        <v>6.6</v>
      </c>
      <c r="AG24" s="1"/>
      <c r="AH24" s="1"/>
      <c r="AI24" s="39">
        <f>9.9+6.8+3</f>
        <v>19.7</v>
      </c>
      <c r="AJ24" s="39">
        <f>AI24*0.6</f>
        <v>11.819999999999999</v>
      </c>
      <c r="AK24" s="34"/>
      <c r="AL24" s="27">
        <f>SUM(I24,U24,W24,Y24,AA24,AC24,AE24,AG24)</f>
        <v>53.1</v>
      </c>
      <c r="AM24" s="27">
        <f>SUM(K24,M24,O24,Q24,S24)</f>
        <v>19.099999999999998</v>
      </c>
      <c r="AN24" s="27">
        <f>SUM(J24,V24,X24,Z24,AB24,AD24,AF24,AH24)</f>
        <v>80.600999999999999</v>
      </c>
      <c r="AO24" s="27">
        <f>SUM(L24,N24,P24,R24,T24)</f>
        <v>33.652000000000001</v>
      </c>
      <c r="AP24" s="30">
        <f>SUM(AG24,AE24,AC24,AA24,Y24,W24,U24,I24)/D24</f>
        <v>0.73545706371191133</v>
      </c>
      <c r="AQ24" s="30">
        <f>SUM(K24,M24,O24,Q24,S24)/D24</f>
        <v>0.26454293628808861</v>
      </c>
      <c r="AR24" s="30">
        <f>D24/H24</f>
        <v>0.63193089021732463</v>
      </c>
      <c r="AS24" s="30">
        <f>AL24/AN24</f>
        <v>0.65880075929579041</v>
      </c>
      <c r="AT24" s="30">
        <f>AM24/AO24</f>
        <v>0.56757399263045283</v>
      </c>
      <c r="AU24" s="35">
        <f>(((H24/2) - SQRT((H24/2)^2 - 4 * D24)) / 2)</f>
        <v>1.2931335616255595</v>
      </c>
      <c r="AV24" s="27">
        <f>(((H24/2) + SQRT((H24/2)^2 - 4 * D24)) / 2)</f>
        <v>55.833366438374448</v>
      </c>
      <c r="AW24" s="27">
        <f>AU24*2.7*2+AV24*2.7*2</f>
        <v>308.48310000000009</v>
      </c>
      <c r="AX24" s="30">
        <f>AW24/D24</f>
        <v>4.2726191135734082</v>
      </c>
      <c r="AY24" s="30"/>
      <c r="AZ24" s="4" t="s">
        <v>223</v>
      </c>
      <c r="BA24" s="25"/>
      <c r="BB24" s="4">
        <f t="array" ref="BB24">_xlfn.MODE.MULT(ROUND(Table1[% ESTANCIAS PINTURA], 3))</f>
        <v>0.79900000000000004</v>
      </c>
      <c r="BC24" s="4">
        <f t="array" ref="BC24">_xlfn.MODE.MULT(ROUND(Table1[% ESTANCIAS ALICATADAS], 3))</f>
        <v>0.20100000000000001</v>
      </c>
      <c r="BD24" s="4">
        <f t="array" ref="BD24">_xlfn.MODE.MULT(ROUND(Table1[RATIO A/P], 3))</f>
        <v>0.63700000000000001</v>
      </c>
      <c r="BE24" s="4">
        <f t="array" ref="BE24">_xlfn.MODE.MULT(ROUND(Table1[RATIO A/P PINTURA], 3))</f>
        <v>0.65300000000000002</v>
      </c>
      <c r="BF24" s="4">
        <f t="array" ref="BF24">_xlfn.MODE.MULT(ROUND(Table1[RATIO A/P ALICATADO], 3))</f>
        <v>0.54600000000000004</v>
      </c>
    </row>
    <row r="25" spans="1:58" x14ac:dyDescent="0.25">
      <c r="B25" s="36" t="s">
        <v>40</v>
      </c>
      <c r="C25" t="s">
        <v>45</v>
      </c>
      <c r="D25" s="37">
        <f>SUM(I25,K25,M25,O25,Q25,S25,U25,W25,Y25,AA25,AC25,AE25,AG25)</f>
        <v>67</v>
      </c>
      <c r="E25" s="38">
        <f>COUNTA(U25,W25,Y25,AA25)</f>
        <v>2</v>
      </c>
      <c r="F25" s="38">
        <f>COUNTA(M25,O25,Q25)</f>
        <v>2</v>
      </c>
      <c r="G25" s="38">
        <f>COUNTA(Table1[[#This Row],[A ASEO]])</f>
        <v>0</v>
      </c>
      <c r="H25" s="1">
        <f>SUM(J25,L25,N25,P25,R25,T25,V25,X25,Z25,AB25,AD25,AF25,AH25)</f>
        <v>104.53400000000001</v>
      </c>
      <c r="I25" s="1">
        <v>22.4</v>
      </c>
      <c r="J25" s="1">
        <f>I25*1.34</f>
        <v>30.015999999999998</v>
      </c>
      <c r="K25" s="1">
        <v>8.8000000000000007</v>
      </c>
      <c r="L25" s="1">
        <f>K25*1.34</f>
        <v>11.792000000000002</v>
      </c>
      <c r="M25" s="1">
        <v>3.5</v>
      </c>
      <c r="N25" s="1">
        <f>M25*2.36</f>
        <v>8.26</v>
      </c>
      <c r="O25" s="1">
        <v>3.5</v>
      </c>
      <c r="P25" s="1">
        <f>O25*2.36</f>
        <v>8.26</v>
      </c>
      <c r="Q25" s="1"/>
      <c r="R25" s="1"/>
      <c r="S25" s="1"/>
      <c r="T25" s="1"/>
      <c r="U25" s="1">
        <v>13.8</v>
      </c>
      <c r="V25" s="1">
        <f>U25*1.34</f>
        <v>18.492000000000001</v>
      </c>
      <c r="W25" s="1">
        <v>9.6</v>
      </c>
      <c r="X25" s="1">
        <f>W25*1.34</f>
        <v>12.864000000000001</v>
      </c>
      <c r="Y25" s="1"/>
      <c r="Z25" s="1"/>
      <c r="AA25" s="1"/>
      <c r="AB25" s="1"/>
      <c r="AC25" s="1">
        <v>3.6</v>
      </c>
      <c r="AD25" s="1">
        <f>AC25*2.75</f>
        <v>9.9</v>
      </c>
      <c r="AE25" s="1">
        <v>1.8</v>
      </c>
      <c r="AF25" s="1">
        <f>AE25*2.75</f>
        <v>4.95</v>
      </c>
      <c r="AG25" s="1"/>
      <c r="AH25" s="1"/>
      <c r="AI25" s="39">
        <f>6.3+5.8</f>
        <v>12.1</v>
      </c>
      <c r="AJ25" s="39">
        <f>AI25*0.6</f>
        <v>7.26</v>
      </c>
      <c r="AK25" s="34"/>
      <c r="AL25" s="27">
        <f>SUM(I25,U25,W25,Y25,AA25,AC25,AE25,AG25)</f>
        <v>51.2</v>
      </c>
      <c r="AM25" s="27">
        <f>SUM(K25,M25,O25,Q25,S25)</f>
        <v>15.8</v>
      </c>
      <c r="AN25" s="27">
        <f>SUM(J25,V25,X25,Z25,AB25,AD25,AF25,AH25)</f>
        <v>76.222000000000008</v>
      </c>
      <c r="AO25" s="27">
        <f>SUM(L25,N25,P25,R25,T25)</f>
        <v>28.311999999999998</v>
      </c>
      <c r="AP25" s="30">
        <f>SUM(AG25,AE25,AC25,AA25,Y25,W25,U25,I25)/D25</f>
        <v>0.76417910447761195</v>
      </c>
      <c r="AQ25" s="30">
        <f>SUM(K25,M25,O25,Q25,S25)/D25</f>
        <v>0.23582089552238808</v>
      </c>
      <c r="AR25" s="30">
        <f>D25/H25</f>
        <v>0.64093978992480916</v>
      </c>
      <c r="AS25" s="30">
        <f>AL25/AN25</f>
        <v>0.6717220749914723</v>
      </c>
      <c r="AT25" s="30">
        <f>AM25/AO25</f>
        <v>0.55806725063577289</v>
      </c>
      <c r="AU25" s="35">
        <f>(((H25/2) - SQRT((H25/2)^2 - 4 * D25)) / 2)</f>
        <v>1.3149621250565993</v>
      </c>
      <c r="AV25" s="27">
        <f>(((H25/2) + SQRT((H25/2)^2 - 4 * D25)) / 2)</f>
        <v>50.9520378749434</v>
      </c>
      <c r="AW25" s="27">
        <f>AU25*2.7*2+AV25*2.7*2</f>
        <v>282.24180000000001</v>
      </c>
      <c r="AX25" s="30">
        <f>AW25/D25</f>
        <v>4.2125641791044774</v>
      </c>
      <c r="AY25" s="30"/>
      <c r="AZ25" s="24" t="s">
        <v>179</v>
      </c>
      <c r="BA25" s="25"/>
      <c r="BB25" s="25">
        <f t="array" ref="BB25">SUM(IF(ROUND(Table1[% ESTANCIAS PINTURA], 3) = BB24, 1, 0))</f>
        <v>10</v>
      </c>
      <c r="BC25" s="25">
        <f t="array" ref="BC25">SUM(IF(ROUND(Table1[% ESTANCIAS ALICATADAS], 3) = BC24, 1, 0))</f>
        <v>10</v>
      </c>
      <c r="BD25" s="25">
        <f t="array" ref="BD25">SUM(IF(ROUND(Table1[RATIO A/P], 3) = BD24, 1, 0))</f>
        <v>12</v>
      </c>
      <c r="BE25" s="25">
        <f t="array" ref="BE25">SUM(IF(ROUND(Table1[RATIO A/P PINTURA], 3) = BE24, 1, 0))</f>
        <v>10</v>
      </c>
      <c r="BF25" s="25">
        <f t="array" ref="BF25">SUM(IF(ROUND(Table1[RATIO A/P ALICATADO], 3) = BF24, 1, 0))</f>
        <v>9</v>
      </c>
    </row>
    <row r="26" spans="1:58" x14ac:dyDescent="0.25">
      <c r="B26" s="36" t="s">
        <v>40</v>
      </c>
      <c r="C26" t="s">
        <v>45</v>
      </c>
      <c r="D26" s="37">
        <f>SUM(I26,K26,M26,O26,Q26,S26,U26,W26,Y26,AA26,AC26,AE26,AG26)</f>
        <v>66.099999999999994</v>
      </c>
      <c r="E26" s="38">
        <f>COUNTA(U26,W26,Y26,AA26)</f>
        <v>2</v>
      </c>
      <c r="F26" s="38">
        <f>COUNTA(M26,O26,Q26)</f>
        <v>2</v>
      </c>
      <c r="G26" s="38">
        <f>COUNTA(Table1[[#This Row],[A ASEO]])</f>
        <v>0</v>
      </c>
      <c r="H26" s="1">
        <f>SUM(J26,L26,N26,P26,R26,T26,V26,X26,Z26,AB26,AD26,AF26,AH26)</f>
        <v>104.87899999999999</v>
      </c>
      <c r="I26" s="1">
        <v>21.6</v>
      </c>
      <c r="J26" s="1">
        <f>I26*1.34</f>
        <v>28.944000000000003</v>
      </c>
      <c r="K26" s="1">
        <v>8.8000000000000007</v>
      </c>
      <c r="L26" s="1">
        <f>K26*1.34</f>
        <v>11.792000000000002</v>
      </c>
      <c r="M26" s="1">
        <v>3.7</v>
      </c>
      <c r="N26" s="1">
        <f>M26*2.36</f>
        <v>8.7319999999999993</v>
      </c>
      <c r="O26" s="1">
        <v>3.3</v>
      </c>
      <c r="P26" s="1">
        <f>O26*2.36</f>
        <v>7.7879999999999994</v>
      </c>
      <c r="Q26" s="1"/>
      <c r="R26" s="1"/>
      <c r="S26" s="1"/>
      <c r="T26" s="1"/>
      <c r="U26" s="1">
        <v>12.9</v>
      </c>
      <c r="V26" s="1">
        <f>U26*1.34</f>
        <v>17.286000000000001</v>
      </c>
      <c r="W26" s="1">
        <v>9.3000000000000007</v>
      </c>
      <c r="X26" s="1">
        <f>W26*1.34</f>
        <v>12.462000000000002</v>
      </c>
      <c r="Y26" s="1"/>
      <c r="Z26" s="1"/>
      <c r="AA26" s="1"/>
      <c r="AB26" s="1"/>
      <c r="AC26" s="1">
        <v>4.0999999999999996</v>
      </c>
      <c r="AD26" s="1">
        <f>AC26*2.75</f>
        <v>11.274999999999999</v>
      </c>
      <c r="AE26" s="1">
        <v>2.4</v>
      </c>
      <c r="AF26" s="1">
        <f>AE26*2.75</f>
        <v>6.6</v>
      </c>
      <c r="AG26" s="1"/>
      <c r="AH26" s="1"/>
      <c r="AI26" s="39">
        <f>6.3+5.8</f>
        <v>12.1</v>
      </c>
      <c r="AJ26" s="39">
        <f>AI26*0.6</f>
        <v>7.26</v>
      </c>
      <c r="AK26" s="34"/>
      <c r="AL26" s="27">
        <f>SUM(I26,U26,W26,Y26,AA26,AC26,AE26,AG26)</f>
        <v>50.3</v>
      </c>
      <c r="AM26" s="27">
        <f>SUM(K26,M26,O26,Q26,S26)</f>
        <v>15.8</v>
      </c>
      <c r="AN26" s="27">
        <f>SUM(J26,V26,X26,Z26,AB26,AD26,AF26,AH26)</f>
        <v>76.567000000000007</v>
      </c>
      <c r="AO26" s="27">
        <f>SUM(L26,N26,P26,R26,T26)</f>
        <v>28.312000000000001</v>
      </c>
      <c r="AP26" s="30">
        <f>SUM(AG26,AE26,AC26,AA26,Y26,W26,U26,I26)/D26</f>
        <v>0.76096822995461433</v>
      </c>
      <c r="AQ26" s="30">
        <f>SUM(K26,M26,O26,Q26,S26)/D26</f>
        <v>0.23903177004538581</v>
      </c>
      <c r="AR26" s="30">
        <f>D26/H26</f>
        <v>0.63025009773167173</v>
      </c>
      <c r="AS26" s="30">
        <f>AL26/AN26</f>
        <v>0.65694097979547317</v>
      </c>
      <c r="AT26" s="30">
        <f>AM26/AO26</f>
        <v>0.55806725063577278</v>
      </c>
      <c r="AU26" s="35">
        <f>(((H26/2) - SQRT((H26/2)^2 - 4 * D26)) / 2)</f>
        <v>1.2923496128256495</v>
      </c>
      <c r="AV26" s="27">
        <f>(((H26/2) + SQRT((H26/2)^2 - 4 * D26)) / 2)</f>
        <v>51.147150387174349</v>
      </c>
      <c r="AW26" s="27">
        <f>AU26*2.7*2+AV26*2.7*2</f>
        <v>283.17329999999998</v>
      </c>
      <c r="AX26" s="30">
        <f>AW26/D26</f>
        <v>4.2840136157337367</v>
      </c>
      <c r="AY26" s="30"/>
      <c r="AZ26" s="24"/>
      <c r="BA26" s="25"/>
      <c r="BB26" s="4"/>
      <c r="BC26" s="4"/>
      <c r="BD26" s="25"/>
    </row>
    <row r="27" spans="1:58" x14ac:dyDescent="0.25">
      <c r="B27" s="36" t="s">
        <v>40</v>
      </c>
      <c r="C27" t="s">
        <v>45</v>
      </c>
      <c r="D27" s="37">
        <f>SUM(I27,K27,M27,O27,Q27,S27,U27,W27,Y27,AA27,AC27,AE27,AG27)</f>
        <v>68.3</v>
      </c>
      <c r="E27" s="38">
        <f>COUNTA(U27,W27,Y27,AA27)</f>
        <v>2</v>
      </c>
      <c r="F27" s="38">
        <f>COUNTA(M27,O27,Q27)</f>
        <v>2</v>
      </c>
      <c r="G27" s="38">
        <f>COUNTA(Table1[[#This Row],[A ASEO]])</f>
        <v>0</v>
      </c>
      <c r="H27" s="1">
        <f>SUM(J27,L27,N27,P27,R27,T27,V27,X27,Z27,AB27,AD27,AF27,AH27)</f>
        <v>108.61000000000003</v>
      </c>
      <c r="I27" s="1">
        <v>24.5</v>
      </c>
      <c r="J27" s="1">
        <f>I27*1.34</f>
        <v>32.830000000000005</v>
      </c>
      <c r="K27" s="1">
        <v>7.2</v>
      </c>
      <c r="L27" s="1">
        <f>K27*1.34</f>
        <v>9.6480000000000015</v>
      </c>
      <c r="M27" s="1">
        <v>3.5</v>
      </c>
      <c r="N27" s="1">
        <f>M27*2.36</f>
        <v>8.26</v>
      </c>
      <c r="O27" s="1">
        <v>3.3</v>
      </c>
      <c r="P27" s="1">
        <f>O27*2.36</f>
        <v>7.7879999999999994</v>
      </c>
      <c r="Q27" s="1"/>
      <c r="R27" s="1"/>
      <c r="S27" s="1"/>
      <c r="T27" s="1"/>
      <c r="U27" s="1">
        <v>13.3</v>
      </c>
      <c r="V27" s="1">
        <f>U27*1.34</f>
        <v>17.822000000000003</v>
      </c>
      <c r="W27" s="1">
        <v>9.3000000000000007</v>
      </c>
      <c r="X27" s="1">
        <f>W27*1.34</f>
        <v>12.462000000000002</v>
      </c>
      <c r="Y27" s="1"/>
      <c r="Z27" s="1"/>
      <c r="AA27" s="1"/>
      <c r="AB27" s="1"/>
      <c r="AC27" s="1">
        <v>4.4000000000000004</v>
      </c>
      <c r="AD27" s="1">
        <f>AC27*2.75</f>
        <v>12.100000000000001</v>
      </c>
      <c r="AE27" s="1">
        <v>2.8</v>
      </c>
      <c r="AF27" s="1">
        <f>AE27*2.75</f>
        <v>7.6999999999999993</v>
      </c>
      <c r="AG27" s="1"/>
      <c r="AH27" s="1"/>
      <c r="AI27" s="39">
        <f>9.4+4.7</f>
        <v>14.100000000000001</v>
      </c>
      <c r="AJ27" s="39">
        <f>AI27*0.6</f>
        <v>8.4600000000000009</v>
      </c>
      <c r="AK27" s="34"/>
      <c r="AL27" s="27">
        <f>SUM(I27,U27,W27,Y27,AA27,AC27,AE27,AG27)</f>
        <v>54.29999999999999</v>
      </c>
      <c r="AM27" s="27">
        <f>SUM(K27,M27,O27,Q27,S27)</f>
        <v>14</v>
      </c>
      <c r="AN27" s="27">
        <f>SUM(J27,V27,X27,Z27,AB27,AD27,AF27,AH27)</f>
        <v>82.914000000000016</v>
      </c>
      <c r="AO27" s="27">
        <f>SUM(L27,N27,P27,R27,T27)</f>
        <v>25.696000000000002</v>
      </c>
      <c r="AP27" s="30">
        <f>SUM(AG27,AE27,AC27,AA27,Y27,W27,U27,I27)/D27</f>
        <v>0.79502196193265007</v>
      </c>
      <c r="AQ27" s="30">
        <f>SUM(K27,M27,O27,Q27,S27)/D27</f>
        <v>0.20497803806734993</v>
      </c>
      <c r="AR27" s="30">
        <f>D27/H27</f>
        <v>0.62885553816407314</v>
      </c>
      <c r="AS27" s="30">
        <f>AL27/AN27</f>
        <v>0.65489543382299709</v>
      </c>
      <c r="AT27" s="30">
        <f>AM27/AO27</f>
        <v>0.54483188044831876</v>
      </c>
      <c r="AU27" s="35">
        <f>(((H27/2) - SQRT((H27/2)^2 - 4 * D27)) / 2)</f>
        <v>1.2882726531411706</v>
      </c>
      <c r="AV27" s="27">
        <f>(((H27/2) + SQRT((H27/2)^2 - 4 * D27)) / 2)</f>
        <v>53.016727346858843</v>
      </c>
      <c r="AW27" s="27">
        <f>AU27*2.7*2+AV27*2.7*2</f>
        <v>293.24700000000013</v>
      </c>
      <c r="AX27" s="30">
        <f>AW27/D27</f>
        <v>4.2935139092240133</v>
      </c>
      <c r="AY27" s="30"/>
      <c r="AZ27" s="4" t="s">
        <v>152</v>
      </c>
      <c r="BA27" s="25"/>
      <c r="BB27" s="6"/>
      <c r="BC27" s="6"/>
      <c r="BD27" s="25"/>
    </row>
    <row r="28" spans="1:58" x14ac:dyDescent="0.25">
      <c r="B28" s="36" t="s">
        <v>140</v>
      </c>
      <c r="C28" t="s">
        <v>141</v>
      </c>
      <c r="D28" s="37">
        <f>SUM(I28,K28,M28,O28,Q28,S28,U28,W28,Y28,AA28,AC28,AE28,AG28)</f>
        <v>60</v>
      </c>
      <c r="E28" s="38">
        <f>COUNTA(U28,W28,Y28,AA28)</f>
        <v>2</v>
      </c>
      <c r="F28" s="38">
        <f>COUNTA(M28,O28,Q28)</f>
        <v>1</v>
      </c>
      <c r="G28" s="38">
        <f>COUNTA(Table1[[#This Row],[A ASEO]])</f>
        <v>0</v>
      </c>
      <c r="H28" s="1">
        <f>SUM(J28,L28,N28,P28,R28,T28,V28,X28,Z28,AB28,AD28,AF28,AH28)</f>
        <v>94.316999999999993</v>
      </c>
      <c r="I28" s="1">
        <v>18.350000000000001</v>
      </c>
      <c r="J28" s="1">
        <f>I28*1.34</f>
        <v>24.589000000000002</v>
      </c>
      <c r="K28" s="1">
        <v>8.4499999999999993</v>
      </c>
      <c r="L28" s="1">
        <f>K28*1.34</f>
        <v>11.323</v>
      </c>
      <c r="M28" s="1">
        <v>5.35</v>
      </c>
      <c r="N28" s="1">
        <f>M28*2.36</f>
        <v>12.625999999999998</v>
      </c>
      <c r="O28" s="1"/>
      <c r="P28" s="1"/>
      <c r="Q28" s="1"/>
      <c r="R28" s="1"/>
      <c r="S28" s="1"/>
      <c r="T28" s="1"/>
      <c r="U28" s="1">
        <v>12.6</v>
      </c>
      <c r="V28" s="1">
        <f>U28*1.34</f>
        <v>16.884</v>
      </c>
      <c r="W28" s="1">
        <v>9.25</v>
      </c>
      <c r="X28" s="1">
        <f>W28*1.34</f>
        <v>12.395000000000001</v>
      </c>
      <c r="Y28" s="1"/>
      <c r="Z28" s="1"/>
      <c r="AA28" s="1"/>
      <c r="AB28" s="1"/>
      <c r="AC28" s="1">
        <v>6</v>
      </c>
      <c r="AD28" s="1">
        <f>AC28*2.75</f>
        <v>16.5</v>
      </c>
      <c r="AE28" s="1"/>
      <c r="AF28" s="1"/>
      <c r="AG28" s="1"/>
      <c r="AH28" s="1"/>
      <c r="AI28" s="39"/>
      <c r="AJ28" s="39"/>
      <c r="AK28" s="34"/>
      <c r="AL28" s="27">
        <f>SUM(I28,U28,W28,Y28,AA28,AC28,AE28,AG28)</f>
        <v>46.2</v>
      </c>
      <c r="AM28" s="27">
        <f>SUM(K28,M28,O28,Q28,S28)</f>
        <v>13.799999999999999</v>
      </c>
      <c r="AN28" s="27">
        <f>SUM(J28,V28,X28,Z28,AB28,AD28,AF28,AH28)</f>
        <v>70.367999999999995</v>
      </c>
      <c r="AO28" s="27">
        <f>SUM(L28,N28,P28,R28,T28)</f>
        <v>23.948999999999998</v>
      </c>
      <c r="AP28" s="30">
        <f>SUM(AG28,AE28,AC28,AA28,Y28,W28,U28,I28)/D28</f>
        <v>0.77</v>
      </c>
      <c r="AQ28" s="30">
        <f>SUM(K28,M28,O28,Q28,S28)/D28</f>
        <v>0.22999999999999998</v>
      </c>
      <c r="AR28" s="30">
        <f>D28/H28</f>
        <v>0.63615254938134169</v>
      </c>
      <c r="AS28" s="30">
        <f>AL28/AN28</f>
        <v>0.65654843110504779</v>
      </c>
      <c r="AT28" s="30">
        <f>AM28/AO28</f>
        <v>0.57622447701365398</v>
      </c>
      <c r="AU28" s="35">
        <f>(((H28/2) - SQRT((H28/2)^2 - 4 * D28)) / 2)</f>
        <v>1.3086184291958176</v>
      </c>
      <c r="AV28" s="27">
        <f>(((H28/2) + SQRT((H28/2)^2 - 4 * D28)) / 2)</f>
        <v>45.849881570804179</v>
      </c>
      <c r="AW28" s="27">
        <f>AU28*2.7*2+AV28*2.7*2</f>
        <v>254.6559</v>
      </c>
      <c r="AX28" s="30">
        <f>AW28/D28</f>
        <v>4.2442650000000004</v>
      </c>
      <c r="AY28" s="30"/>
      <c r="AZ28" s="24" t="s">
        <v>218</v>
      </c>
      <c r="BA28" s="25"/>
      <c r="BB28" s="25">
        <f t="array" ref="BB28">MEDIAN(ROUND(Table1[% ESTANCIAS PINTURA], 1))</f>
        <v>0.8</v>
      </c>
      <c r="BC28" s="25">
        <f t="array" ref="BC28">MEDIAN(ROUND(Table1[% ESTANCIAS ALICATADAS], 1))</f>
        <v>0.2</v>
      </c>
      <c r="BD28" s="25">
        <f t="array" ref="BD28">MEDIAN(ROUND(Table1[RATIO A/P], 1))</f>
        <v>0.6</v>
      </c>
      <c r="BE28" s="25">
        <f t="array" ref="BE28">MEDIAN(ROUND(Table1[RATIO A/P PINTURA], 1))</f>
        <v>0.7</v>
      </c>
      <c r="BF28" s="25">
        <f t="array" ref="BF28">MEDIAN(ROUND(Table1[RATIO A/P ALICATADO], 1))</f>
        <v>0.6</v>
      </c>
    </row>
    <row r="29" spans="1:58" x14ac:dyDescent="0.25">
      <c r="B29" s="36" t="s">
        <v>119</v>
      </c>
      <c r="C29" t="s">
        <v>120</v>
      </c>
      <c r="D29" s="37">
        <f>SUM(I29,K29,M29,O29,Q29,S29,U29,W29,Y29,AA29,AC29,AE29,AG29)</f>
        <v>73.27000000000001</v>
      </c>
      <c r="E29" s="38">
        <f>COUNTA(U29,W29,Y29,AA29)</f>
        <v>2</v>
      </c>
      <c r="F29" s="38">
        <f>COUNTA(M29,O29,Q29)</f>
        <v>2</v>
      </c>
      <c r="G29" s="38">
        <f>COUNTA(Table1[[#This Row],[A ASEO]])</f>
        <v>0</v>
      </c>
      <c r="H29" s="1">
        <f>SUM(J29,L29,N29,P29,R29,T29,V29,X29,Z29,AB29,AD29,AF29,AH29)</f>
        <v>115.03490000000001</v>
      </c>
      <c r="I29" s="1">
        <v>23.17</v>
      </c>
      <c r="J29" s="1">
        <f>I29*1.34</f>
        <v>31.047800000000006</v>
      </c>
      <c r="K29" s="1">
        <v>10.66</v>
      </c>
      <c r="L29" s="1">
        <f>K29*1.34</f>
        <v>14.284400000000002</v>
      </c>
      <c r="M29" s="1">
        <v>4.05</v>
      </c>
      <c r="N29" s="1">
        <f>M29*2.36</f>
        <v>9.5579999999999998</v>
      </c>
      <c r="O29" s="1">
        <v>3.28</v>
      </c>
      <c r="P29" s="1">
        <f>O29*2.36</f>
        <v>7.7407999999999992</v>
      </c>
      <c r="Q29" s="1"/>
      <c r="R29" s="1"/>
      <c r="S29" s="1"/>
      <c r="T29" s="1"/>
      <c r="U29" s="1">
        <v>13.46</v>
      </c>
      <c r="V29" s="1">
        <f>U29*1.34</f>
        <v>18.036400000000004</v>
      </c>
      <c r="W29" s="1">
        <v>12</v>
      </c>
      <c r="X29" s="1">
        <f>W29*1.34</f>
        <v>16.080000000000002</v>
      </c>
      <c r="Y29" s="1"/>
      <c r="Z29" s="1"/>
      <c r="AA29" s="1"/>
      <c r="AB29" s="1"/>
      <c r="AC29" s="1">
        <v>4.95</v>
      </c>
      <c r="AD29" s="1">
        <f>AC29*2.75</f>
        <v>13.612500000000001</v>
      </c>
      <c r="AE29" s="1">
        <v>1.7</v>
      </c>
      <c r="AF29" s="1">
        <f>AE29*2.75</f>
        <v>4.6749999999999998</v>
      </c>
      <c r="AG29" s="1"/>
      <c r="AH29" s="1"/>
      <c r="AI29" s="39">
        <v>12.51</v>
      </c>
      <c r="AJ29" s="39">
        <f>AI29*0.6</f>
        <v>7.5059999999999993</v>
      </c>
      <c r="AK29" s="34"/>
      <c r="AL29" s="27">
        <f>SUM(I29,U29,W29,Y29,AA29,AC29,AE29,AG29)</f>
        <v>55.280000000000008</v>
      </c>
      <c r="AM29" s="27">
        <f>SUM(K29,M29,O29,Q29,S29)</f>
        <v>17.990000000000002</v>
      </c>
      <c r="AN29" s="27">
        <f>SUM(J29,V29,X29,Z29,AB29,AD29,AF29,AH29)</f>
        <v>83.451700000000002</v>
      </c>
      <c r="AO29" s="27">
        <f>SUM(L29,N29,P29,R29,T29)</f>
        <v>31.583200000000001</v>
      </c>
      <c r="AP29" s="30">
        <f>SUM(AG29,AE29,AC29,AA29,Y29,W29,U29,I29)/D29</f>
        <v>0.75446976934625354</v>
      </c>
      <c r="AQ29" s="30">
        <f>SUM(K29,M29,O29,Q29,S29)/D29</f>
        <v>0.24553023065374641</v>
      </c>
      <c r="AR29" s="30">
        <f>D29/H29</f>
        <v>0.63693713820762221</v>
      </c>
      <c r="AS29" s="30">
        <f>AL29/AN29</f>
        <v>0.6624190999104872</v>
      </c>
      <c r="AT29" s="30">
        <f>AM29/AO29</f>
        <v>0.56960662630765724</v>
      </c>
      <c r="AU29" s="35">
        <f>(((H29/2) - SQRT((H29/2)^2 - 4 * D29)) / 2)</f>
        <v>1.303411058512733</v>
      </c>
      <c r="AV29" s="27">
        <f>(((H29/2) + SQRT((H29/2)^2 - 4 * D29)) / 2)</f>
        <v>56.214038941487274</v>
      </c>
      <c r="AW29" s="27">
        <f>AU29*2.7*2+AV29*2.7*2</f>
        <v>310.59423000000004</v>
      </c>
      <c r="AX29" s="30">
        <f>AW29/D29</f>
        <v>4.2390368500068236</v>
      </c>
      <c r="AY29" s="30"/>
      <c r="AZ29" s="24" t="s">
        <v>219</v>
      </c>
      <c r="BA29" s="25"/>
      <c r="BB29" s="27">
        <f t="array" ref="BB29">MEDIAN(ROUND(Table1[% ESTANCIAS PINTURA], 2))</f>
        <v>0.8</v>
      </c>
      <c r="BC29" s="27">
        <f t="array" ref="BC29">MEDIAN(ROUND(Table1[% ESTANCIAS ALICATADAS], 2))</f>
        <v>0.2</v>
      </c>
      <c r="BD29" s="27">
        <f t="array" ref="BD29">MEDIAN(ROUND(Table1[RATIO A/P], 2))</f>
        <v>0.63</v>
      </c>
      <c r="BE29" s="27">
        <f t="array" ref="BE29">MEDIAN(ROUND(Table1[RATIO A/P PINTURA], 2))</f>
        <v>0.65</v>
      </c>
      <c r="BF29" s="27">
        <f t="array" ref="BF29">MEDIAN(ROUND(Table1[RATIO A/P ALICATADO], 2))</f>
        <v>0.56000000000000005</v>
      </c>
    </row>
    <row r="30" spans="1:58" x14ac:dyDescent="0.25">
      <c r="B30" s="36" t="s">
        <v>119</v>
      </c>
      <c r="C30" t="s">
        <v>120</v>
      </c>
      <c r="D30" s="37">
        <f>SUM(I30,K30,M30,O30,Q30,S30,U30,W30,Y30,AA30,AC30,AE30,AG30)</f>
        <v>64.400000000000006</v>
      </c>
      <c r="E30" s="38">
        <f>COUNTA(U30,W30,Y30,AA30)</f>
        <v>2</v>
      </c>
      <c r="F30" s="38">
        <f>COUNTA(M30,O30,Q30)</f>
        <v>2</v>
      </c>
      <c r="G30" s="38">
        <f>COUNTA(Table1[[#This Row],[A ASEO]])</f>
        <v>0</v>
      </c>
      <c r="H30" s="1">
        <f>SUM(J30,L30,N30,P30,R30,T30,V30,X30,Z30,AB30,AD30,AF30,AH30)</f>
        <v>101.87350000000001</v>
      </c>
      <c r="I30" s="1">
        <v>21.8</v>
      </c>
      <c r="J30" s="1">
        <f>I30*1.34</f>
        <v>29.212000000000003</v>
      </c>
      <c r="K30" s="1">
        <v>9.3699999999999992</v>
      </c>
      <c r="L30" s="1">
        <f>K30*1.34</f>
        <v>12.5558</v>
      </c>
      <c r="M30" s="1">
        <v>4.34</v>
      </c>
      <c r="N30" s="1">
        <f>M30*2.36</f>
        <v>10.2424</v>
      </c>
      <c r="O30" s="1">
        <v>3.73</v>
      </c>
      <c r="P30" s="1">
        <f>O30*2.36</f>
        <v>8.8027999999999995</v>
      </c>
      <c r="Q30" s="1"/>
      <c r="R30" s="1"/>
      <c r="S30" s="1"/>
      <c r="T30" s="1"/>
      <c r="U30" s="1">
        <v>11.67</v>
      </c>
      <c r="V30" s="1">
        <f>U30*1.34</f>
        <v>15.6378</v>
      </c>
      <c r="W30" s="1">
        <v>8.2799999999999994</v>
      </c>
      <c r="X30" s="1">
        <f>W30*1.34</f>
        <v>11.0952</v>
      </c>
      <c r="Y30" s="1"/>
      <c r="Z30" s="1"/>
      <c r="AA30" s="1"/>
      <c r="AB30" s="1"/>
      <c r="AC30" s="1">
        <v>2.8</v>
      </c>
      <c r="AD30" s="1">
        <f>AC30*2.75</f>
        <v>7.6999999999999993</v>
      </c>
      <c r="AE30" s="1">
        <v>2.41</v>
      </c>
      <c r="AF30" s="1">
        <f>AE30*2.75</f>
        <v>6.6275000000000004</v>
      </c>
      <c r="AG30" s="1"/>
      <c r="AH30" s="1"/>
      <c r="AI30" s="39">
        <v>10.58</v>
      </c>
      <c r="AJ30" s="39">
        <f>AI30*0.6</f>
        <v>6.3479999999999999</v>
      </c>
      <c r="AK30" s="34"/>
      <c r="AL30" s="27">
        <f>SUM(I30,U30,W30,Y30,AA30,AC30,AE30,AG30)</f>
        <v>46.959999999999994</v>
      </c>
      <c r="AM30" s="27">
        <f>SUM(K30,M30,O30,Q30,S30)</f>
        <v>17.439999999999998</v>
      </c>
      <c r="AN30" s="27">
        <f>SUM(J30,V30,X30,Z30,AB30,AD30,AF30,AH30)</f>
        <v>70.272499999999994</v>
      </c>
      <c r="AO30" s="27">
        <f>SUM(L30,N30,P30,R30,T30)</f>
        <v>31.600999999999999</v>
      </c>
      <c r="AP30" s="30">
        <f>SUM(AG30,AE30,AC30,AA30,Y30,W30,U30,I30)/D30</f>
        <v>0.7291925465838508</v>
      </c>
      <c r="AQ30" s="30">
        <f>SUM(K30,M30,O30,Q30,S30)/D30</f>
        <v>0.27080745341614904</v>
      </c>
      <c r="AR30" s="30">
        <f>D30/H30</f>
        <v>0.63215654709026392</v>
      </c>
      <c r="AS30" s="30">
        <f>AL30/AN30</f>
        <v>0.66825571880892243</v>
      </c>
      <c r="AT30" s="30">
        <f>AM30/AO30</f>
        <v>0.55188126958007655</v>
      </c>
      <c r="AU30" s="35">
        <f>(((H30/2) - SQRT((H30/2)^2 - 4 * D30)) / 2)</f>
        <v>1.2973567107217221</v>
      </c>
      <c r="AV30" s="27">
        <f>(((H30/2) + SQRT((H30/2)^2 - 4 * D30)) / 2)</f>
        <v>49.639393289278281</v>
      </c>
      <c r="AW30" s="27">
        <f>AU30*2.7*2+AV30*2.7*2</f>
        <v>275.05845000000005</v>
      </c>
      <c r="AX30" s="30">
        <f>AW30/D30</f>
        <v>4.2710939440993796</v>
      </c>
      <c r="AY30" s="30"/>
      <c r="AZ30" s="24" t="s">
        <v>220</v>
      </c>
      <c r="BA30" s="25"/>
      <c r="BB30" s="25" cm="1">
        <f t="array" ref="BB30">MEDIAN(ROUND(Table1[% ESTANCIAS PINTURA], 3))</f>
        <v>0.79800000000000004</v>
      </c>
      <c r="BC30" s="25" cm="1">
        <f t="array" ref="BC30">MEDIAN(ROUND(Table1[% ESTANCIAS ALICATADAS], 3))</f>
        <v>0.20200000000000001</v>
      </c>
      <c r="BD30" s="25" cm="1">
        <f t="array" ref="BD30">MEDIAN(ROUND(Table1[RATIO A/P], 3))</f>
        <v>0.63200000000000001</v>
      </c>
      <c r="BE30" s="25" cm="1">
        <f t="array" ref="BE30">MEDIAN(ROUND(Table1[RATIO A/P PINTURA], 3))</f>
        <v>0.65200000000000002</v>
      </c>
      <c r="BF30" s="25" cm="1">
        <f t="array" ref="BF30">MEDIAN(ROUND(Table1[RATIO A/P ALICATADO], 3))</f>
        <v>0.56399999999999995</v>
      </c>
    </row>
    <row r="31" spans="1:58" x14ac:dyDescent="0.25">
      <c r="A31" t="s">
        <v>60</v>
      </c>
      <c r="B31" s="36" t="s">
        <v>119</v>
      </c>
      <c r="C31" t="s">
        <v>120</v>
      </c>
      <c r="D31" s="37">
        <f>SUM(I31,K31,M31,O31,Q31,S31,U31,W31,Y31,AA31,AC31,AE31,AG31)</f>
        <v>66.650000000000006</v>
      </c>
      <c r="E31" s="38">
        <f>COUNTA(U31,W31,Y31,AA31)</f>
        <v>2</v>
      </c>
      <c r="F31" s="38">
        <f>COUNTA(M31,O31,Q31)</f>
        <v>2</v>
      </c>
      <c r="G31" s="38">
        <f>COUNTA(Table1[[#This Row],[A ASEO]])</f>
        <v>0</v>
      </c>
      <c r="H31" s="1">
        <f>SUM(J31,L31,N31,P31,R31,T31,V31,X31,Z31,AB31,AD31,AF31,AH31)</f>
        <v>105.4654</v>
      </c>
      <c r="I31" s="1">
        <v>22.01</v>
      </c>
      <c r="J31" s="1">
        <f>I31*1.34</f>
        <v>29.493400000000005</v>
      </c>
      <c r="K31" s="1">
        <v>9.3699999999999992</v>
      </c>
      <c r="L31" s="1">
        <f>K31*1.34</f>
        <v>12.5558</v>
      </c>
      <c r="M31" s="1">
        <v>4.42</v>
      </c>
      <c r="N31" s="1">
        <f>M31*2.36</f>
        <v>10.431199999999999</v>
      </c>
      <c r="O31" s="1">
        <v>3.87</v>
      </c>
      <c r="P31" s="1">
        <f>O31*2.36</f>
        <v>9.1332000000000004</v>
      </c>
      <c r="Q31" s="1"/>
      <c r="R31" s="1"/>
      <c r="S31" s="1"/>
      <c r="T31" s="1"/>
      <c r="U31" s="1">
        <v>11.65</v>
      </c>
      <c r="V31" s="1">
        <f>U31*1.34</f>
        <v>15.611000000000001</v>
      </c>
      <c r="W31" s="1">
        <v>9.8699999999999992</v>
      </c>
      <c r="X31" s="1">
        <f>W31*1.34</f>
        <v>13.2258</v>
      </c>
      <c r="Y31" s="1"/>
      <c r="Z31" s="1"/>
      <c r="AA31" s="1"/>
      <c r="AB31" s="1"/>
      <c r="AC31" s="1">
        <v>3.03</v>
      </c>
      <c r="AD31" s="1">
        <f>AC31*2.75</f>
        <v>8.3324999999999996</v>
      </c>
      <c r="AE31" s="1">
        <v>2.4300000000000002</v>
      </c>
      <c r="AF31" s="1">
        <f>AE31*2.75</f>
        <v>6.6825000000000001</v>
      </c>
      <c r="AG31" s="1"/>
      <c r="AH31" s="1"/>
      <c r="AI31" s="39">
        <v>10.4</v>
      </c>
      <c r="AJ31" s="39">
        <f>AI31*0.6</f>
        <v>6.24</v>
      </c>
      <c r="AK31" s="34"/>
      <c r="AL31" s="27">
        <f>SUM(I31,U31,W31,Y31,AA31,AC31,AE31,AG31)</f>
        <v>48.99</v>
      </c>
      <c r="AM31" s="27">
        <f>SUM(K31,M31,O31,Q31,S31)</f>
        <v>17.66</v>
      </c>
      <c r="AN31" s="27">
        <f>SUM(J31,V31,X31,Z31,AB31,AD31,AF31,AH31)</f>
        <v>73.345200000000006</v>
      </c>
      <c r="AO31" s="27">
        <f>SUM(L31,N31,P31,R31,T31)</f>
        <v>32.120199999999997</v>
      </c>
      <c r="AP31" s="30">
        <f>SUM(AG31,AE31,AC31,AA31,Y31,W31,U31,I31)/D31</f>
        <v>0.73503375843960972</v>
      </c>
      <c r="AQ31" s="30">
        <f>SUM(K31,M31,O31,Q31,S31)/D31</f>
        <v>0.26496624156039006</v>
      </c>
      <c r="AR31" s="30">
        <f>D31/H31</f>
        <v>0.63196081368865997</v>
      </c>
      <c r="AS31" s="30">
        <f>AL31/AN31</f>
        <v>0.66793737013465093</v>
      </c>
      <c r="AT31" s="30">
        <f>AM31/AO31</f>
        <v>0.54980977702504974</v>
      </c>
      <c r="AU31" s="35">
        <f>(((H31/2) - SQRT((H31/2)^2 - 4 * D31)) / 2)</f>
        <v>1.2957614085349007</v>
      </c>
      <c r="AV31" s="27">
        <f>(((H31/2) + SQRT((H31/2)^2 - 4 * D31)) / 2)</f>
        <v>51.436938591465101</v>
      </c>
      <c r="AW31" s="27">
        <f>AU31*2.7*2+AV31*2.7*2</f>
        <v>284.75658000000004</v>
      </c>
      <c r="AX31" s="30">
        <f>AW31/D31</f>
        <v>4.2724168042010504</v>
      </c>
      <c r="AY31" s="30"/>
    </row>
    <row r="32" spans="1:58" x14ac:dyDescent="0.25">
      <c r="B32" s="36" t="s">
        <v>119</v>
      </c>
      <c r="C32" t="s">
        <v>120</v>
      </c>
      <c r="D32" s="37">
        <f>SUM(I32,K32,M32,O32,Q32,S32,U32,W32,Y32,AA32,AC32,AE32,AG32)</f>
        <v>76.889999999999986</v>
      </c>
      <c r="E32" s="38">
        <f>COUNTA(U32,W32,Y32,AA32)</f>
        <v>2</v>
      </c>
      <c r="F32" s="38">
        <f>COUNTA(M32,O32,Q32)</f>
        <v>2</v>
      </c>
      <c r="G32" s="38">
        <f>COUNTA(Table1[[#This Row],[A ASEO]])</f>
        <v>0</v>
      </c>
      <c r="H32" s="1">
        <f>SUM(J32,L32,N32,P32,R32,T32,V32,X32,Z32,AB32,AD32,AF32,AH32)</f>
        <v>126.9342</v>
      </c>
      <c r="I32" s="1">
        <v>21.68</v>
      </c>
      <c r="J32" s="1">
        <f>I32*1.34</f>
        <v>29.051200000000001</v>
      </c>
      <c r="K32" s="1">
        <v>10.66</v>
      </c>
      <c r="L32" s="1">
        <f>K32*1.34</f>
        <v>14.284400000000002</v>
      </c>
      <c r="M32" s="1">
        <v>3.62</v>
      </c>
      <c r="N32" s="1">
        <f>M32*2.36</f>
        <v>8.5432000000000006</v>
      </c>
      <c r="O32" s="1">
        <v>3.28</v>
      </c>
      <c r="P32" s="1">
        <f>O32*2.36</f>
        <v>7.7407999999999992</v>
      </c>
      <c r="Q32" s="1"/>
      <c r="R32" s="1"/>
      <c r="S32" s="1"/>
      <c r="T32" s="1"/>
      <c r="U32" s="1">
        <v>14.2</v>
      </c>
      <c r="V32" s="1">
        <f>U32*1.34</f>
        <v>19.027999999999999</v>
      </c>
      <c r="W32" s="1">
        <v>11.49</v>
      </c>
      <c r="X32" s="1">
        <f>W32*1.34</f>
        <v>15.396600000000001</v>
      </c>
      <c r="Y32" s="1"/>
      <c r="Z32" s="1"/>
      <c r="AA32" s="1"/>
      <c r="AB32" s="1"/>
      <c r="AC32" s="1">
        <v>4.25</v>
      </c>
      <c r="AD32" s="1">
        <f>AC32*2.75</f>
        <v>11.6875</v>
      </c>
      <c r="AE32" s="1">
        <v>7.71</v>
      </c>
      <c r="AF32" s="1">
        <f>AE32*2.75</f>
        <v>21.202500000000001</v>
      </c>
      <c r="AG32" s="1"/>
      <c r="AH32" s="1"/>
      <c r="AI32" s="39">
        <f>71.1+12.51</f>
        <v>83.61</v>
      </c>
      <c r="AJ32" s="39">
        <f>AI32*0.6</f>
        <v>50.165999999999997</v>
      </c>
      <c r="AK32" s="34"/>
      <c r="AL32" s="27">
        <f>SUM(I32,U32,W32,Y32,AA32,AC32,AE32,AG32)</f>
        <v>59.33</v>
      </c>
      <c r="AM32" s="27">
        <f>SUM(K32,M32,O32,Q32,S32)</f>
        <v>17.560000000000002</v>
      </c>
      <c r="AN32" s="27">
        <f>SUM(J32,V32,X32,Z32,AB32,AD32,AF32,AH32)</f>
        <v>96.365799999999993</v>
      </c>
      <c r="AO32" s="27">
        <f>SUM(L32,N32,P32,R32,T32)</f>
        <v>30.568400000000004</v>
      </c>
      <c r="AP32" s="30">
        <f>SUM(AG32,AE32,AC32,AA32,Y32,W32,U32,I32)/D32</f>
        <v>0.77162179737287051</v>
      </c>
      <c r="AQ32" s="30">
        <f>SUM(K32,M32,O32,Q32,S32)/D32</f>
        <v>0.22837820262712974</v>
      </c>
      <c r="AR32" s="30">
        <f>D32/H32</f>
        <v>0.60574691454312535</v>
      </c>
      <c r="AS32" s="30">
        <f>AL32/AN32</f>
        <v>0.61567485560229873</v>
      </c>
      <c r="AT32" s="30">
        <f>AM32/AO32</f>
        <v>0.5744494314390024</v>
      </c>
      <c r="AU32" s="35">
        <f>(((H32/2) - SQRT((H32/2)^2 - 4 * D32)) / 2)</f>
        <v>1.2355468587695881</v>
      </c>
      <c r="AV32" s="27">
        <f>(((H32/2) + SQRT((H32/2)^2 - 4 * D32)) / 2)</f>
        <v>62.231553141230414</v>
      </c>
      <c r="AW32" s="27">
        <f>AU32*2.7*2+AV32*2.7*2</f>
        <v>342.72234000000003</v>
      </c>
      <c r="AX32" s="30">
        <f>AW32/D32</f>
        <v>4.4573070620366773</v>
      </c>
      <c r="AY32" s="30"/>
    </row>
    <row r="33" spans="1:51" x14ac:dyDescent="0.25">
      <c r="B33" s="36" t="s">
        <v>42</v>
      </c>
      <c r="C33" t="s">
        <v>70</v>
      </c>
      <c r="D33" s="37">
        <f>SUM(I33,K33,M33,O33,Q33,S33,U33,W33,Y33,AA33,AC33,AE33,AG33)</f>
        <v>54.050000000000004</v>
      </c>
      <c r="E33" s="38">
        <f>COUNTA(U33,W33,Y33,AA33)</f>
        <v>2</v>
      </c>
      <c r="F33" s="38">
        <f>COUNTA(M33,O33,Q33)</f>
        <v>1</v>
      </c>
      <c r="G33" s="38">
        <f>COUNTA(Table1[[#This Row],[A ASEO]])</f>
        <v>0</v>
      </c>
      <c r="H33" s="1">
        <f>SUM(J33,L33,N33,P33,R33,T33,V33,X33,Z33,AB33,AD33,AF33,AH33)</f>
        <v>78.92410000000001</v>
      </c>
      <c r="I33" s="1">
        <v>18.21</v>
      </c>
      <c r="J33" s="1">
        <f>I33*1.34</f>
        <v>24.401400000000002</v>
      </c>
      <c r="K33" s="1">
        <v>7.05</v>
      </c>
      <c r="L33" s="1">
        <f>K33*1.34</f>
        <v>9.447000000000001</v>
      </c>
      <c r="M33" s="1">
        <v>3.84</v>
      </c>
      <c r="N33" s="1">
        <f>M33*2.36</f>
        <v>9.0623999999999985</v>
      </c>
      <c r="O33" s="1"/>
      <c r="P33" s="1"/>
      <c r="Q33" s="1"/>
      <c r="R33" s="1"/>
      <c r="S33" s="1"/>
      <c r="T33" s="1"/>
      <c r="U33" s="1">
        <v>12.06</v>
      </c>
      <c r="V33" s="1">
        <f>U33*1.34</f>
        <v>16.160400000000003</v>
      </c>
      <c r="W33" s="1">
        <v>11.06</v>
      </c>
      <c r="X33" s="1">
        <f>W33*1.34</f>
        <v>14.820400000000001</v>
      </c>
      <c r="Y33" s="1"/>
      <c r="Z33" s="1"/>
      <c r="AA33" s="1"/>
      <c r="AB33" s="1"/>
      <c r="AC33" s="1"/>
      <c r="AD33" s="1"/>
      <c r="AE33" s="1">
        <v>1.83</v>
      </c>
      <c r="AF33" s="1">
        <f>AE33*2.75</f>
        <v>5.0325000000000006</v>
      </c>
      <c r="AG33" s="1"/>
      <c r="AH33" s="1"/>
      <c r="AI33" s="39"/>
      <c r="AJ33" s="39"/>
      <c r="AK33" s="34"/>
      <c r="AL33" s="27">
        <f>SUM(I33,U33,W33,Y33,AA33,AC33,AE33,AG33)</f>
        <v>43.160000000000004</v>
      </c>
      <c r="AM33" s="27">
        <f>SUM(K33,M33,O33,Q33,S33)</f>
        <v>10.89</v>
      </c>
      <c r="AN33" s="27">
        <f>SUM(J33,V33,X33,Z33,AB33,AD33,AF33,AH33)</f>
        <v>60.414700000000003</v>
      </c>
      <c r="AO33" s="27">
        <f>SUM(L33,N33,P33,R33,T33)</f>
        <v>18.509399999999999</v>
      </c>
      <c r="AP33" s="30">
        <f>SUM(AG33,AE33,AC33,AA33,Y33,W33,U33,I33)/D33</f>
        <v>0.79851988899167436</v>
      </c>
      <c r="AQ33" s="30">
        <f>SUM(K33,M33,O33,Q33,S33)/D33</f>
        <v>0.20148011100832561</v>
      </c>
      <c r="AR33" s="30">
        <f>D33/H33</f>
        <v>0.68483517708786035</v>
      </c>
      <c r="AS33" s="30">
        <f>AL33/AN33</f>
        <v>0.71439566860383319</v>
      </c>
      <c r="AT33" s="30">
        <f>AM33/AO33</f>
        <v>0.58834970339395121</v>
      </c>
      <c r="AU33" s="35">
        <f>(((H33/2) - SQRT((H33/2)^2 - 4 * D33)) / 2)</f>
        <v>1.4208270887095544</v>
      </c>
      <c r="AV33" s="27">
        <f>(((H33/2) + SQRT((H33/2)^2 - 4 * D33)) / 2)</f>
        <v>38.041222911290447</v>
      </c>
      <c r="AW33" s="27">
        <f>AU33*2.7*2+AV33*2.7*2</f>
        <v>213.09507000000002</v>
      </c>
      <c r="AX33" s="30">
        <f>AW33/D33</f>
        <v>3.9425544865864941</v>
      </c>
      <c r="AY33" s="30"/>
    </row>
    <row r="34" spans="1:51" x14ac:dyDescent="0.25">
      <c r="B34" s="36" t="s">
        <v>42</v>
      </c>
      <c r="C34" t="s">
        <v>78</v>
      </c>
      <c r="D34" s="37">
        <f>SUM(I34,K34,M34,O34,Q34,S34,U34,W34,Y34,AA34,AC34,AE34,AG34)</f>
        <v>58.46</v>
      </c>
      <c r="E34" s="38">
        <f>COUNTA(U34,W34,Y34,AA34)</f>
        <v>2</v>
      </c>
      <c r="F34" s="38">
        <f>COUNTA(M34,O34,Q34)</f>
        <v>1</v>
      </c>
      <c r="G34" s="38">
        <f>COUNTA(Table1[[#This Row],[A ASEO]])</f>
        <v>0</v>
      </c>
      <c r="H34" s="1">
        <f>SUM(J34,L34,N34,P34,R34,T34,V34,X34,Z34,AB34,AD34,AF34,AH34)</f>
        <v>88.730800000000002</v>
      </c>
      <c r="I34" s="1">
        <v>23.11</v>
      </c>
      <c r="J34" s="1">
        <f>I34*1.34</f>
        <v>30.967400000000001</v>
      </c>
      <c r="K34" s="1">
        <v>7.42</v>
      </c>
      <c r="L34" s="1">
        <f>K34*1.34</f>
        <v>9.9428000000000001</v>
      </c>
      <c r="M34" s="1">
        <v>3.97</v>
      </c>
      <c r="N34" s="1">
        <f>M34*2.36</f>
        <v>9.3691999999999993</v>
      </c>
      <c r="O34" s="1"/>
      <c r="P34" s="1"/>
      <c r="Q34" s="1"/>
      <c r="R34" s="1"/>
      <c r="S34" s="1"/>
      <c r="T34" s="1"/>
      <c r="U34" s="1">
        <v>10.54</v>
      </c>
      <c r="V34" s="1">
        <f>U34*1.34</f>
        <v>14.1236</v>
      </c>
      <c r="W34" s="1">
        <v>8.92</v>
      </c>
      <c r="X34" s="1">
        <f>W34*1.34</f>
        <v>11.9528</v>
      </c>
      <c r="Y34" s="1"/>
      <c r="Z34" s="1"/>
      <c r="AA34" s="1"/>
      <c r="AB34" s="1"/>
      <c r="AC34" s="1">
        <v>2.2599999999999998</v>
      </c>
      <c r="AD34" s="1">
        <f>AC34*2.75</f>
        <v>6.2149999999999999</v>
      </c>
      <c r="AE34" s="1">
        <v>2.2400000000000002</v>
      </c>
      <c r="AF34" s="1">
        <f>AE34*2.75</f>
        <v>6.16</v>
      </c>
      <c r="AG34" s="1"/>
      <c r="AH34" s="1"/>
      <c r="AI34" s="39"/>
      <c r="AJ34" s="39"/>
      <c r="AK34" s="34"/>
      <c r="AL34" s="27">
        <f>SUM(I34,U34,W34,Y34,AA34,AC34,AE34,AG34)</f>
        <v>47.07</v>
      </c>
      <c r="AM34" s="27">
        <f>SUM(K34,M34,O34,Q34,S34)</f>
        <v>11.39</v>
      </c>
      <c r="AN34" s="27">
        <f>SUM(J34,V34,X34,Z34,AB34,AD34,AF34,AH34)</f>
        <v>69.418800000000005</v>
      </c>
      <c r="AO34" s="27">
        <f>SUM(L34,N34,P34,R34,T34)</f>
        <v>19.311999999999998</v>
      </c>
      <c r="AP34" s="30">
        <f>SUM(AG34,AE34,AC34,AA34,Y34,W34,U34,I34)/D34</f>
        <v>0.80516592541908993</v>
      </c>
      <c r="AQ34" s="30">
        <f>SUM(K34,M34,O34,Q34,S34)/D34</f>
        <v>0.19483407458091004</v>
      </c>
      <c r="AR34" s="30">
        <f>D34/H34</f>
        <v>0.6588467589608118</v>
      </c>
      <c r="AS34" s="30">
        <f>AL34/AN34</f>
        <v>0.67805839340351604</v>
      </c>
      <c r="AT34" s="30">
        <f>AM34/AO34</f>
        <v>0.58978873239436624</v>
      </c>
      <c r="AU34" s="35">
        <f>(((H34/2) - SQRT((H34/2)^2 - 4 * D34)) / 2)</f>
        <v>1.3593434192275318</v>
      </c>
      <c r="AV34" s="27">
        <f>(((H34/2) + SQRT((H34/2)^2 - 4 * D34)) / 2)</f>
        <v>43.006056580772466</v>
      </c>
      <c r="AW34" s="27">
        <f>AU34*2.7*2+AV34*2.7*2</f>
        <v>239.57316</v>
      </c>
      <c r="AX34" s="30">
        <f>AW34/D34</f>
        <v>4.0980697913102979</v>
      </c>
      <c r="AY34" s="30"/>
    </row>
    <row r="35" spans="1:51" x14ac:dyDescent="0.25">
      <c r="B35" s="36" t="s">
        <v>42</v>
      </c>
      <c r="C35" t="s">
        <v>77</v>
      </c>
      <c r="D35" s="37">
        <f>SUM(I35,K35,M35,O35,Q35,S35,U35,W35,Y35,AA35,AC35,AE35,AG35)</f>
        <v>51.7</v>
      </c>
      <c r="E35" s="38">
        <f>COUNTA(U35,W35,Y35,AA35)</f>
        <v>2</v>
      </c>
      <c r="F35" s="38">
        <f>COUNTA(M35,O35,Q35)</f>
        <v>1</v>
      </c>
      <c r="G35" s="38">
        <f>COUNTA(Table1[[#This Row],[A ASEO]])</f>
        <v>0</v>
      </c>
      <c r="H35" s="1">
        <f>SUM(J35,L35,N35,P35,R35,T35,V35,X35,Z35,AB35,AD35,AF35,AH35)</f>
        <v>78.558500000000009</v>
      </c>
      <c r="I35" s="1">
        <v>17.899999999999999</v>
      </c>
      <c r="J35" s="1">
        <f>I35*1.34</f>
        <v>23.986000000000001</v>
      </c>
      <c r="K35" s="1">
        <v>7</v>
      </c>
      <c r="L35" s="1">
        <f>K35*1.34</f>
        <v>9.3800000000000008</v>
      </c>
      <c r="M35" s="1">
        <v>3.5</v>
      </c>
      <c r="N35" s="1">
        <f>M35*2.36</f>
        <v>8.26</v>
      </c>
      <c r="O35" s="1"/>
      <c r="P35" s="1"/>
      <c r="Q35" s="1"/>
      <c r="R35" s="1"/>
      <c r="S35" s="1"/>
      <c r="T35" s="1"/>
      <c r="U35" s="1">
        <v>11.4</v>
      </c>
      <c r="V35" s="1">
        <f>U35*1.34</f>
        <v>15.276000000000002</v>
      </c>
      <c r="W35" s="1">
        <v>7.85</v>
      </c>
      <c r="X35" s="1">
        <f>W35*1.34</f>
        <v>10.519</v>
      </c>
      <c r="Y35" s="1"/>
      <c r="Z35" s="1"/>
      <c r="AA35" s="1"/>
      <c r="AB35" s="1"/>
      <c r="AC35" s="1">
        <v>2.2000000000000002</v>
      </c>
      <c r="AD35" s="1">
        <f>AC35*2.75</f>
        <v>6.0500000000000007</v>
      </c>
      <c r="AE35" s="1">
        <v>1.85</v>
      </c>
      <c r="AF35" s="1">
        <f>AE35*2.75</f>
        <v>5.0875000000000004</v>
      </c>
      <c r="AG35" s="1"/>
      <c r="AH35" s="1"/>
      <c r="AI35" s="39"/>
      <c r="AJ35" s="39"/>
      <c r="AK35" s="34"/>
      <c r="AL35" s="27">
        <f>SUM(I35,U35,W35,Y35,AA35,AC35,AE35,AG35)</f>
        <v>41.2</v>
      </c>
      <c r="AM35" s="27">
        <f>SUM(K35,M35,O35,Q35,S35)</f>
        <v>10.5</v>
      </c>
      <c r="AN35" s="27">
        <f>SUM(J35,V35,X35,Z35,AB35,AD35,AF35,AH35)</f>
        <v>60.918500000000002</v>
      </c>
      <c r="AO35" s="27">
        <f>SUM(L35,N35,P35,R35,T35)</f>
        <v>17.64</v>
      </c>
      <c r="AP35" s="30">
        <f>SUM(AG35,AE35,AC35,AA35,Y35,W35,U35,I35)/D35</f>
        <v>0.79690522243713735</v>
      </c>
      <c r="AQ35" s="30">
        <f>SUM(K35,M35,O35,Q35,S35)/D35</f>
        <v>0.20309477756286265</v>
      </c>
      <c r="AR35" s="30">
        <f>D35/H35</f>
        <v>0.65810828872750871</v>
      </c>
      <c r="AS35" s="30">
        <f>AL35/AN35</f>
        <v>0.67631343516337405</v>
      </c>
      <c r="AT35" s="30">
        <f>AM35/AO35</f>
        <v>0.59523809523809523</v>
      </c>
      <c r="AU35" s="35">
        <f>(((H35/2) - SQRT((H35/2)^2 - 4 * D35)) / 2)</f>
        <v>1.3635512930840363</v>
      </c>
      <c r="AV35" s="27">
        <f>(((H35/2) + SQRT((H35/2)^2 - 4 * D35)) / 2)</f>
        <v>37.915698706915968</v>
      </c>
      <c r="AW35" s="27">
        <f>AU35*2.7*2+AV35*2.7*2</f>
        <v>212.10795000000002</v>
      </c>
      <c r="AX35" s="30">
        <f>AW35/D35</f>
        <v>4.1026682785299808</v>
      </c>
      <c r="AY35" s="30"/>
    </row>
    <row r="36" spans="1:51" x14ac:dyDescent="0.25">
      <c r="B36" s="36" t="s">
        <v>42</v>
      </c>
      <c r="C36" t="s">
        <v>78</v>
      </c>
      <c r="D36" s="37">
        <f>SUM(I36,K36,M36,O36,Q36,S36,U36,W36,Y36,AA36,AC36,AE36,AG36)</f>
        <v>58.349999999999994</v>
      </c>
      <c r="E36" s="38">
        <f>COUNTA(U36,W36,Y36,AA36)</f>
        <v>2</v>
      </c>
      <c r="F36" s="38">
        <f>COUNTA(M36,O36,Q36)</f>
        <v>1</v>
      </c>
      <c r="G36" s="38">
        <f>COUNTA(Table1[[#This Row],[A ASEO]])</f>
        <v>0</v>
      </c>
      <c r="H36" s="1">
        <f>SUM(J36,L36,N36,P36,R36,T36,V36,X36,Z36,AB36,AD36,AF36,AH36)</f>
        <v>88.664100000000005</v>
      </c>
      <c r="I36" s="1">
        <v>18.399999999999999</v>
      </c>
      <c r="J36" s="1">
        <f>I36*1.34</f>
        <v>24.655999999999999</v>
      </c>
      <c r="K36" s="1">
        <v>7.95</v>
      </c>
      <c r="L36" s="1">
        <f>K36*1.34</f>
        <v>10.653</v>
      </c>
      <c r="M36" s="1">
        <v>3.98</v>
      </c>
      <c r="N36" s="1">
        <f>M36*2.36</f>
        <v>9.3927999999999994</v>
      </c>
      <c r="O36" s="1"/>
      <c r="P36" s="1"/>
      <c r="Q36" s="1"/>
      <c r="R36" s="1"/>
      <c r="S36" s="1"/>
      <c r="T36" s="1"/>
      <c r="U36" s="1">
        <v>14.54</v>
      </c>
      <c r="V36" s="1">
        <f>U36*1.34</f>
        <v>19.483599999999999</v>
      </c>
      <c r="W36" s="1">
        <v>8.93</v>
      </c>
      <c r="X36" s="1">
        <f>W36*1.34</f>
        <v>11.966200000000001</v>
      </c>
      <c r="Y36" s="1"/>
      <c r="Z36" s="1"/>
      <c r="AA36" s="1"/>
      <c r="AB36" s="1"/>
      <c r="AC36" s="1">
        <v>2.2999999999999998</v>
      </c>
      <c r="AD36" s="1">
        <f>AC36*2.75</f>
        <v>6.3249999999999993</v>
      </c>
      <c r="AE36" s="1">
        <v>2.25</v>
      </c>
      <c r="AF36" s="1">
        <f>AE36*2.75</f>
        <v>6.1875</v>
      </c>
      <c r="AG36" s="1"/>
      <c r="AH36" s="1"/>
      <c r="AI36" s="39"/>
      <c r="AJ36" s="39"/>
      <c r="AK36" s="34"/>
      <c r="AL36" s="27">
        <f>SUM(I36,U36,W36,Y36,AA36,AC36,AE36,AG36)</f>
        <v>46.419999999999995</v>
      </c>
      <c r="AM36" s="27">
        <f>SUM(K36,M36,O36,Q36,S36)</f>
        <v>11.93</v>
      </c>
      <c r="AN36" s="27">
        <f>SUM(J36,V36,X36,Z36,AB36,AD36,AF36,AH36)</f>
        <v>68.618300000000005</v>
      </c>
      <c r="AO36" s="27">
        <f>SUM(L36,N36,P36,R36,T36)</f>
        <v>20.0458</v>
      </c>
      <c r="AP36" s="30">
        <f>SUM(AG36,AE36,AC36,AA36,Y36,W36,U36,I36)/D36</f>
        <v>0.79554413024850057</v>
      </c>
      <c r="AQ36" s="30">
        <f>SUM(K36,M36,O36,Q36,S36)/D36</f>
        <v>0.2044558697514996</v>
      </c>
      <c r="AR36" s="30">
        <f>D36/H36</f>
        <v>0.65810175708093799</v>
      </c>
      <c r="AS36" s="30">
        <f>AL36/AN36</f>
        <v>0.67649592018455706</v>
      </c>
      <c r="AT36" s="30">
        <f>AM36/AO36</f>
        <v>0.59513713595865469</v>
      </c>
      <c r="AU36" s="35">
        <f>(((H36/2) - SQRT((H36/2)^2 - 4 * D36)) / 2)</f>
        <v>1.357789507757392</v>
      </c>
      <c r="AV36" s="27">
        <f>(((H36/2) + SQRT((H36/2)^2 - 4 * D36)) / 2)</f>
        <v>42.974260492242607</v>
      </c>
      <c r="AW36" s="27">
        <f>AU36*2.7*2+AV36*2.7*2</f>
        <v>239.39307000000002</v>
      </c>
      <c r="AX36" s="30">
        <f>AW36/D36</f>
        <v>4.1027089974293069</v>
      </c>
      <c r="AY36" s="30"/>
    </row>
    <row r="37" spans="1:51" x14ac:dyDescent="0.25">
      <c r="B37" s="36" t="s">
        <v>42</v>
      </c>
      <c r="C37" t="s">
        <v>55</v>
      </c>
      <c r="D37" s="37">
        <f>SUM(I37,K37,M37,O37,Q37,S37,U37,W37,Y37,AA37,AC37,AE37,AG37)</f>
        <v>57.309999999999995</v>
      </c>
      <c r="E37" s="38">
        <f>COUNTA(U37,W37,Y37,AA37)</f>
        <v>2</v>
      </c>
      <c r="F37" s="38">
        <f>COUNTA(M37,O37,Q37)</f>
        <v>2</v>
      </c>
      <c r="G37" s="38">
        <f>COUNTA(Table1[[#This Row],[A ASEO]])</f>
        <v>0</v>
      </c>
      <c r="H37" s="1">
        <f>SUM(J37,L37,N37,P37,R37,T37,V37,X37,Z37,AB37,AD37,AF37,AH37)</f>
        <v>87.335300000000018</v>
      </c>
      <c r="I37" s="1">
        <v>18.329999999999998</v>
      </c>
      <c r="J37" s="1">
        <f>I37*1.34</f>
        <v>24.562200000000001</v>
      </c>
      <c r="K37" s="1">
        <v>8.23</v>
      </c>
      <c r="L37" s="1">
        <f>K37*1.34</f>
        <v>11.028200000000002</v>
      </c>
      <c r="M37" s="1">
        <v>3.36</v>
      </c>
      <c r="N37" s="1">
        <f>M37*2.36</f>
        <v>7.9295999999999989</v>
      </c>
      <c r="O37" s="1">
        <v>2.37</v>
      </c>
      <c r="P37" s="1">
        <f>O37*2.36</f>
        <v>5.5932000000000004</v>
      </c>
      <c r="Q37" s="1"/>
      <c r="R37" s="1"/>
      <c r="S37" s="1"/>
      <c r="T37" s="1"/>
      <c r="U37" s="1">
        <v>12.93</v>
      </c>
      <c r="V37" s="1">
        <f>U37*1.34</f>
        <v>17.3262</v>
      </c>
      <c r="W37" s="1">
        <v>8.76</v>
      </c>
      <c r="X37" s="1">
        <f>W37*1.34</f>
        <v>11.7384</v>
      </c>
      <c r="Y37" s="1"/>
      <c r="Z37" s="1"/>
      <c r="AA37" s="1"/>
      <c r="AB37" s="1"/>
      <c r="AC37" s="1">
        <v>1.1000000000000001</v>
      </c>
      <c r="AD37" s="1">
        <f>AC37*2.75</f>
        <v>3.0250000000000004</v>
      </c>
      <c r="AE37" s="1">
        <v>2.23</v>
      </c>
      <c r="AF37" s="1">
        <f>AE37*2.75</f>
        <v>6.1325000000000003</v>
      </c>
      <c r="AG37" s="1"/>
      <c r="AH37" s="1"/>
      <c r="AI37" s="39"/>
      <c r="AJ37" s="39"/>
      <c r="AK37" s="34"/>
      <c r="AL37" s="27">
        <f>SUM(I37,U37,W37,Y37,AA37,AC37,AE37,AG37)</f>
        <v>43.349999999999994</v>
      </c>
      <c r="AM37" s="27">
        <f>SUM(K37,M37,O37,Q37,S37)</f>
        <v>13.96</v>
      </c>
      <c r="AN37" s="27">
        <f>SUM(J37,V37,X37,Z37,AB37,AD37,AF37,AH37)</f>
        <v>62.784300000000002</v>
      </c>
      <c r="AO37" s="27">
        <f>SUM(L37,N37,P37,R37,T37)</f>
        <v>24.550999999999998</v>
      </c>
      <c r="AP37" s="30">
        <f>SUM(AG37,AE37,AC37,AA37,Y37,W37,U37,I37)/D37</f>
        <v>0.7564124934566393</v>
      </c>
      <c r="AQ37" s="30">
        <f>SUM(K37,M37,O37,Q37,S37)/D37</f>
        <v>0.2435875065433607</v>
      </c>
      <c r="AR37" s="30">
        <f>D37/H37</f>
        <v>0.65620659687434502</v>
      </c>
      <c r="AS37" s="30">
        <f>AL37/AN37</f>
        <v>0.69045923901357498</v>
      </c>
      <c r="AT37" s="30">
        <f>AM37/AO37</f>
        <v>0.56861227648568291</v>
      </c>
      <c r="AU37" s="35">
        <f>(((H37/2) - SQRT((H37/2)^2 - 4 * D37)) / 2)</f>
        <v>1.3544228082702574</v>
      </c>
      <c r="AV37" s="27">
        <f>(((H37/2) + SQRT((H37/2)^2 - 4 * D37)) / 2)</f>
        <v>42.313227191729752</v>
      </c>
      <c r="AW37" s="27">
        <f>AU37*2.7*2+AV37*2.7*2</f>
        <v>235.80531000000005</v>
      </c>
      <c r="AX37" s="30">
        <f>AW37/D37</f>
        <v>4.1145578433083241</v>
      </c>
      <c r="AY37" s="30"/>
    </row>
    <row r="38" spans="1:51" x14ac:dyDescent="0.25">
      <c r="A38" t="s">
        <v>60</v>
      </c>
      <c r="B38" s="36" t="s">
        <v>42</v>
      </c>
      <c r="C38" t="s">
        <v>68</v>
      </c>
      <c r="D38" s="37">
        <f>SUM(I38,K38,M38,O38,Q38,S38,U38,W38,Y38,AA38,AC38,AE38,AG38)</f>
        <v>54.899999999999991</v>
      </c>
      <c r="E38" s="38">
        <f>COUNTA(U38,W38,Y38,AA38)</f>
        <v>2</v>
      </c>
      <c r="F38" s="38">
        <f>COUNTA(M38,O38,Q38)</f>
        <v>1</v>
      </c>
      <c r="G38" s="38">
        <f>COUNTA(Table1[[#This Row],[A ASEO]])</f>
        <v>0</v>
      </c>
      <c r="H38" s="1">
        <f>SUM(J38,L38,N38,P38,R38,T38,V38,X38,Z38,AB38,AD38,AF38,AH38)</f>
        <v>83.709000000000003</v>
      </c>
      <c r="I38" s="1">
        <v>16.25</v>
      </c>
      <c r="J38" s="1">
        <f>I38*1.34</f>
        <v>21.775000000000002</v>
      </c>
      <c r="K38" s="1">
        <v>7.15</v>
      </c>
      <c r="L38" s="1">
        <f>K38*1.34</f>
        <v>9.5810000000000013</v>
      </c>
      <c r="M38" s="1">
        <v>4</v>
      </c>
      <c r="N38" s="1">
        <f>M38*2.36</f>
        <v>9.44</v>
      </c>
      <c r="O38" s="1"/>
      <c r="P38" s="1"/>
      <c r="Q38" s="1"/>
      <c r="R38" s="1"/>
      <c r="S38" s="1"/>
      <c r="T38" s="1"/>
      <c r="U38" s="1">
        <v>13.4</v>
      </c>
      <c r="V38" s="1">
        <f>U38*1.34</f>
        <v>17.956000000000003</v>
      </c>
      <c r="W38" s="1">
        <v>9.8000000000000007</v>
      </c>
      <c r="X38" s="1">
        <f>W38*1.34</f>
        <v>13.132000000000001</v>
      </c>
      <c r="Y38" s="1"/>
      <c r="Z38" s="1"/>
      <c r="AA38" s="1"/>
      <c r="AB38" s="1"/>
      <c r="AC38" s="1">
        <v>4.3</v>
      </c>
      <c r="AD38" s="1">
        <f>AC38*2.75</f>
        <v>11.824999999999999</v>
      </c>
      <c r="AE38" s="1"/>
      <c r="AF38" s="1"/>
      <c r="AG38" s="1"/>
      <c r="AH38" s="1"/>
      <c r="AI38" s="39"/>
      <c r="AJ38" s="39"/>
      <c r="AK38" s="34"/>
      <c r="AL38" s="27">
        <f>SUM(I38,U38,W38,Y38,AA38,AC38,AE38,AG38)</f>
        <v>43.75</v>
      </c>
      <c r="AM38" s="27">
        <f>SUM(K38,M38,O38,Q38,S38)</f>
        <v>11.15</v>
      </c>
      <c r="AN38" s="27">
        <f>SUM(J38,V38,X38,Z38,AB38,AD38,AF38,AH38)</f>
        <v>64.688000000000017</v>
      </c>
      <c r="AO38" s="27">
        <f>SUM(L38,N38,P38,R38,T38)</f>
        <v>19.021000000000001</v>
      </c>
      <c r="AP38" s="30">
        <f>SUM(AG38,AE38,AC38,AA38,Y38,W38,U38,I38)/D38</f>
        <v>0.79690346083788721</v>
      </c>
      <c r="AQ38" s="30">
        <f>SUM(K38,M38,O38,Q38,S38)/D38</f>
        <v>0.20309653916211298</v>
      </c>
      <c r="AR38" s="30">
        <f>D38/H38</f>
        <v>0.65584345769272112</v>
      </c>
      <c r="AS38" s="30">
        <f>AL38/AN38</f>
        <v>0.67632327479594345</v>
      </c>
      <c r="AT38" s="30">
        <f>AM38/AO38</f>
        <v>0.58619420640344877</v>
      </c>
      <c r="AU38" s="35">
        <f>(((H38/2) - SQRT((H38/2)^2 - 4 * D38)) / 2)</f>
        <v>1.355592110017863</v>
      </c>
      <c r="AV38" s="27">
        <f>(((H38/2) + SQRT((H38/2)^2 - 4 * D38)) / 2)</f>
        <v>40.498907889982135</v>
      </c>
      <c r="AW38" s="27">
        <f>AU38*2.7*2+AV38*2.7*2</f>
        <v>226.01429999999999</v>
      </c>
      <c r="AX38" s="30">
        <f>AW38/D38</f>
        <v>4.1168360655737706</v>
      </c>
      <c r="AY38" s="30"/>
    </row>
    <row r="39" spans="1:51" x14ac:dyDescent="0.25">
      <c r="A39" t="s">
        <v>60</v>
      </c>
      <c r="B39" s="36" t="s">
        <v>42</v>
      </c>
      <c r="C39" t="s">
        <v>71</v>
      </c>
      <c r="D39" s="37">
        <f>SUM(I39,K39,M39,O39,Q39,S39,U39,W39,Y39,AA39,AC39,AE39,AG39)</f>
        <v>60.9</v>
      </c>
      <c r="E39" s="38">
        <f>COUNTA(U39,W39,Y39,AA39)</f>
        <v>2</v>
      </c>
      <c r="F39" s="38">
        <f>COUNTA(M39,O39,Q39)</f>
        <v>1</v>
      </c>
      <c r="G39" s="38">
        <f>COUNTA(Table1[[#This Row],[A ASEO]])</f>
        <v>0</v>
      </c>
      <c r="H39" s="1">
        <f>SUM(J39,L39,N39,P39,R39,T39,V39,X39,Z39,AB39,AD39,AF39,AH39)</f>
        <v>93.753600000000006</v>
      </c>
      <c r="I39" s="1">
        <v>17.25</v>
      </c>
      <c r="J39" s="1">
        <f>I39*1.34</f>
        <v>23.115000000000002</v>
      </c>
      <c r="K39" s="1">
        <v>9.5500000000000007</v>
      </c>
      <c r="L39" s="1">
        <f>K39*1.34</f>
        <v>12.797000000000002</v>
      </c>
      <c r="M39" s="1">
        <v>3.56</v>
      </c>
      <c r="N39" s="1">
        <f>M39*2.36</f>
        <v>8.4016000000000002</v>
      </c>
      <c r="O39" s="1"/>
      <c r="P39" s="1"/>
      <c r="Q39" s="1"/>
      <c r="R39" s="1"/>
      <c r="S39" s="1"/>
      <c r="T39" s="1"/>
      <c r="U39" s="1">
        <v>15.34</v>
      </c>
      <c r="V39" s="1">
        <f>U39*1.34</f>
        <v>20.555600000000002</v>
      </c>
      <c r="W39" s="1">
        <v>9.16</v>
      </c>
      <c r="X39" s="1">
        <f>W39*1.34</f>
        <v>12.274400000000002</v>
      </c>
      <c r="Y39" s="1"/>
      <c r="Z39" s="1"/>
      <c r="AA39" s="1"/>
      <c r="AB39" s="1"/>
      <c r="AC39" s="1">
        <v>3.43</v>
      </c>
      <c r="AD39" s="1">
        <f>AC39*2.75</f>
        <v>9.432500000000001</v>
      </c>
      <c r="AE39" s="1">
        <v>2.61</v>
      </c>
      <c r="AF39" s="1">
        <f>AE39*2.75</f>
        <v>7.1774999999999993</v>
      </c>
      <c r="AG39" s="1"/>
      <c r="AH39" s="1"/>
      <c r="AI39" s="39"/>
      <c r="AJ39" s="39"/>
      <c r="AK39" s="34"/>
      <c r="AL39" s="27">
        <f>SUM(I39,U39,W39,Y39,AA39,AC39,AE39,AG39)</f>
        <v>47.79</v>
      </c>
      <c r="AM39" s="27">
        <f>SUM(K39,M39,O39,Q39,S39)</f>
        <v>13.110000000000001</v>
      </c>
      <c r="AN39" s="27">
        <f>SUM(J39,V39,X39,Z39,AB39,AD39,AF39,AH39)</f>
        <v>72.555000000000007</v>
      </c>
      <c r="AO39" s="27">
        <f>SUM(L39,N39,P39,R39,T39)</f>
        <v>21.198600000000003</v>
      </c>
      <c r="AP39" s="30">
        <f>SUM(AG39,AE39,AC39,AA39,Y39,W39,U39,I39)/D39</f>
        <v>0.7847290640394089</v>
      </c>
      <c r="AQ39" s="30">
        <f>SUM(K39,M39,O39,Q39,S39)/D39</f>
        <v>0.21527093596059116</v>
      </c>
      <c r="AR39" s="30">
        <f>D39/H39</f>
        <v>0.6495750563178373</v>
      </c>
      <c r="AS39" s="30">
        <f>AL39/AN39</f>
        <v>0.65867273103163115</v>
      </c>
      <c r="AT39" s="30">
        <f>AM39/AO39</f>
        <v>0.61843706659873765</v>
      </c>
      <c r="AU39" s="35">
        <f>(((H39/2) - SQRT((H39/2)^2 - 4 * D39)) / 2)</f>
        <v>1.3373006029111743</v>
      </c>
      <c r="AV39" s="27">
        <f>(((H39/2) + SQRT((H39/2)^2 - 4 * D39)) / 2)</f>
        <v>45.539499397088832</v>
      </c>
      <c r="AW39" s="27">
        <f>AU39*2.7*2+AV39*2.7*2</f>
        <v>253.13472000000004</v>
      </c>
      <c r="AX39" s="30">
        <f>AW39/D39</f>
        <v>4.1565635467980302</v>
      </c>
      <c r="AY39" s="30"/>
    </row>
    <row r="40" spans="1:51" x14ac:dyDescent="0.25">
      <c r="B40" s="36" t="s">
        <v>42</v>
      </c>
      <c r="C40" t="s">
        <v>54</v>
      </c>
      <c r="D40" s="37">
        <f>SUM(I40,K40,M40,O40,Q40,S40,U40,W40,Y40,AA40,AC40,AE40,AG40)</f>
        <v>57.970000000000006</v>
      </c>
      <c r="E40" s="38">
        <f>COUNTA(U40,W40,Y40,AA40)</f>
        <v>2</v>
      </c>
      <c r="F40" s="38">
        <f>COUNTA(M40,O40,Q40)</f>
        <v>1</v>
      </c>
      <c r="G40" s="38">
        <f>COUNTA(Table1[[#This Row],[A ASEO]])</f>
        <v>0</v>
      </c>
      <c r="H40" s="1">
        <f>SUM(J40,L40,N40,P40,R40,T40,V40,X40,Z40,AB40,AD40,AF40,AH40)</f>
        <v>89.354600000000005</v>
      </c>
      <c r="I40" s="1">
        <v>17.62</v>
      </c>
      <c r="J40" s="1">
        <f>I40*1.34</f>
        <v>23.610800000000001</v>
      </c>
      <c r="K40" s="1">
        <v>7.87</v>
      </c>
      <c r="L40" s="1">
        <f>K40*1.34</f>
        <v>10.545800000000002</v>
      </c>
      <c r="M40" s="1">
        <v>3.54</v>
      </c>
      <c r="N40" s="1">
        <f>M40*2.36</f>
        <v>8.3544</v>
      </c>
      <c r="O40" s="1"/>
      <c r="P40" s="1"/>
      <c r="Q40" s="1"/>
      <c r="R40" s="1"/>
      <c r="S40" s="1"/>
      <c r="T40" s="1"/>
      <c r="U40" s="1">
        <v>12.63</v>
      </c>
      <c r="V40" s="1">
        <f>U40*1.34</f>
        <v>16.924200000000003</v>
      </c>
      <c r="W40" s="1">
        <v>9.36</v>
      </c>
      <c r="X40" s="1">
        <f>W40*1.34</f>
        <v>12.542400000000001</v>
      </c>
      <c r="Y40" s="1"/>
      <c r="Z40" s="1"/>
      <c r="AA40" s="1"/>
      <c r="AB40" s="1"/>
      <c r="AC40" s="1"/>
      <c r="AD40" s="1"/>
      <c r="AE40" s="1">
        <v>2.5</v>
      </c>
      <c r="AF40" s="1">
        <f>AE40*2.75</f>
        <v>6.875</v>
      </c>
      <c r="AG40" s="1">
        <v>4.45</v>
      </c>
      <c r="AH40" s="1">
        <f>AG40*2.36</f>
        <v>10.502000000000001</v>
      </c>
      <c r="AI40" s="39"/>
      <c r="AJ40" s="39"/>
      <c r="AK40" s="34"/>
      <c r="AL40" s="27">
        <f>SUM(I40,U40,W40,Y40,AA40,AC40,AE40,AG40)</f>
        <v>46.56</v>
      </c>
      <c r="AM40" s="27">
        <f>SUM(K40,M40,O40,Q40,S40)</f>
        <v>11.41</v>
      </c>
      <c r="AN40" s="27">
        <f>SUM(J40,V40,X40,Z40,AB40,AD40,AF40,AH40)</f>
        <v>70.454400000000007</v>
      </c>
      <c r="AO40" s="27">
        <f>SUM(L40,N40,P40,R40,T40)</f>
        <v>18.900200000000002</v>
      </c>
      <c r="AP40" s="30">
        <f>SUM(AG40,AE40,AC40,AA40,Y40,W40,U40,I40)/D40</f>
        <v>0.80317405554597199</v>
      </c>
      <c r="AQ40" s="30">
        <f>SUM(K40,M40,O40,Q40,S40)/D40</f>
        <v>0.19682594445402793</v>
      </c>
      <c r="AR40" s="30">
        <f>D40/H40</f>
        <v>0.64876346601070345</v>
      </c>
      <c r="AS40" s="30">
        <f>AL40/AN40</f>
        <v>0.66085297724485625</v>
      </c>
      <c r="AT40" s="30">
        <f>AM40/AO40</f>
        <v>0.60369731537232407</v>
      </c>
      <c r="AU40" s="35">
        <f>(((H40/2) - SQRT((H40/2)^2 - 4 * D40)) / 2)</f>
        <v>1.3375718414268079</v>
      </c>
      <c r="AV40" s="27">
        <f>(((H40/2) + SQRT((H40/2)^2 - 4 * D40)) / 2)</f>
        <v>43.339728158573195</v>
      </c>
      <c r="AW40" s="27">
        <f>AU40*2.7*2+AV40*2.7*2</f>
        <v>241.25742000000002</v>
      </c>
      <c r="AX40" s="30">
        <f>AW40/D40</f>
        <v>4.1617633258582023</v>
      </c>
      <c r="AY40" s="30"/>
    </row>
    <row r="41" spans="1:51" x14ac:dyDescent="0.25">
      <c r="B41" s="36" t="s">
        <v>42</v>
      </c>
      <c r="C41" t="s">
        <v>71</v>
      </c>
      <c r="D41" s="37">
        <f>SUM(I41,K41,M41,O41,Q41,S41,U41,W41,Y41,AA41,AC41,AE41,AG41)</f>
        <v>53.49</v>
      </c>
      <c r="E41" s="38">
        <f>COUNTA(U41,W41,Y41,AA41)</f>
        <v>2</v>
      </c>
      <c r="F41" s="38">
        <f>COUNTA(M41,O41,Q41)</f>
        <v>1</v>
      </c>
      <c r="G41" s="38">
        <f>COUNTA(Table1[[#This Row],[A ASEO]])</f>
        <v>0</v>
      </c>
      <c r="H41" s="1">
        <f>SUM(J41,L41,N41,P41,R41,T41,V41,X41,Z41,AB41,AD41,AF41,AH41)</f>
        <v>82.677300000000017</v>
      </c>
      <c r="I41" s="1">
        <v>17.190000000000001</v>
      </c>
      <c r="J41" s="1">
        <f>I41*1.34</f>
        <v>23.034600000000005</v>
      </c>
      <c r="K41" s="1">
        <v>7.26</v>
      </c>
      <c r="L41" s="1">
        <f>K41*1.34</f>
        <v>9.7284000000000006</v>
      </c>
      <c r="M41" s="1">
        <v>3.5</v>
      </c>
      <c r="N41" s="1">
        <f>M41*2.36</f>
        <v>8.26</v>
      </c>
      <c r="O41" s="1"/>
      <c r="P41" s="1"/>
      <c r="Q41" s="1"/>
      <c r="R41" s="1"/>
      <c r="S41" s="1"/>
      <c r="T41" s="1"/>
      <c r="U41" s="1">
        <v>10.45</v>
      </c>
      <c r="V41" s="1">
        <f>U41*1.34</f>
        <v>14.003</v>
      </c>
      <c r="W41" s="1">
        <v>9.82</v>
      </c>
      <c r="X41" s="1">
        <f>W41*1.34</f>
        <v>13.158800000000001</v>
      </c>
      <c r="Y41" s="1"/>
      <c r="Z41" s="1"/>
      <c r="AA41" s="1"/>
      <c r="AB41" s="1"/>
      <c r="AC41" s="1">
        <v>2.84</v>
      </c>
      <c r="AD41" s="1">
        <f>AC41*2.75</f>
        <v>7.81</v>
      </c>
      <c r="AE41" s="1">
        <v>2.4300000000000002</v>
      </c>
      <c r="AF41" s="1">
        <f>AE41*2.75</f>
        <v>6.6825000000000001</v>
      </c>
      <c r="AG41" s="1"/>
      <c r="AH41" s="1"/>
      <c r="AI41" s="39"/>
      <c r="AJ41" s="39"/>
      <c r="AK41" s="34"/>
      <c r="AL41" s="27">
        <f>SUM(I41,U41,W41,Y41,AA41,AC41,AE41,AG41)</f>
        <v>42.73</v>
      </c>
      <c r="AM41" s="27">
        <f>SUM(K41,M41,O41,Q41,S41)</f>
        <v>10.76</v>
      </c>
      <c r="AN41" s="27">
        <f>SUM(J41,V41,X41,Z41,AB41,AD41,AF41,AH41)</f>
        <v>64.688900000000004</v>
      </c>
      <c r="AO41" s="27">
        <f>SUM(L41,N41,P41,R41,T41)</f>
        <v>17.988399999999999</v>
      </c>
      <c r="AP41" s="30">
        <f>SUM(AG41,AE41,AC41,AA41,Y41,W41,U41,I41)/D41</f>
        <v>0.79884090484202663</v>
      </c>
      <c r="AQ41" s="30">
        <f>SUM(K41,M41,O41,Q41,S41)/D41</f>
        <v>0.20115909515797345</v>
      </c>
      <c r="AR41" s="30">
        <f>D41/H41</f>
        <v>0.64697323207216484</v>
      </c>
      <c r="AS41" s="30">
        <f>AL41/AN41</f>
        <v>0.66054609059668656</v>
      </c>
      <c r="AT41" s="30">
        <f>AM41/AO41</f>
        <v>0.5981632607680506</v>
      </c>
      <c r="AU41" s="35">
        <f>(((H41/2) - SQRT((H41/2)^2 - 4 * D41)) / 2)</f>
        <v>1.337201579236698</v>
      </c>
      <c r="AV41" s="27">
        <f>(((H41/2) + SQRT((H41/2)^2 - 4 * D41)) / 2)</f>
        <v>40.00144842076331</v>
      </c>
      <c r="AW41" s="27">
        <f>AU41*2.7*2+AV41*2.7*2</f>
        <v>223.22871000000006</v>
      </c>
      <c r="AX41" s="30">
        <f>AW41/D41</f>
        <v>4.1732793045429064</v>
      </c>
      <c r="AY41" s="30"/>
    </row>
    <row r="42" spans="1:51" x14ac:dyDescent="0.25">
      <c r="B42" s="36" t="s">
        <v>42</v>
      </c>
      <c r="C42" t="s">
        <v>71</v>
      </c>
      <c r="D42" s="37">
        <f>SUM(I42,K42,M42,O42,Q42,S42,U42,W42,Y42,AA42,AC42,AE42,AG42)</f>
        <v>56.910000000000004</v>
      </c>
      <c r="E42" s="38">
        <f>COUNTA(U42,W42,Y42,AA42)</f>
        <v>2</v>
      </c>
      <c r="F42" s="38">
        <f>COUNTA(M42,O42,Q42)</f>
        <v>1</v>
      </c>
      <c r="G42" s="38">
        <f>COUNTA(Table1[[#This Row],[A ASEO]])</f>
        <v>0</v>
      </c>
      <c r="H42" s="1">
        <f>SUM(J42,L42,N42,P42,R42,T42,V42,X42,Z42,AB42,AD42,AF42,AH42)</f>
        <v>88.215000000000003</v>
      </c>
      <c r="I42" s="1">
        <v>17.149999999999999</v>
      </c>
      <c r="J42" s="1">
        <f>I42*1.34</f>
        <v>22.980999999999998</v>
      </c>
      <c r="K42" s="1">
        <v>8.6</v>
      </c>
      <c r="L42" s="1">
        <f>K42*1.34</f>
        <v>11.524000000000001</v>
      </c>
      <c r="M42" s="1">
        <v>3.51</v>
      </c>
      <c r="N42" s="1">
        <f>M42*2.36</f>
        <v>8.2835999999999999</v>
      </c>
      <c r="O42" s="1"/>
      <c r="P42" s="1"/>
      <c r="Q42" s="1"/>
      <c r="R42" s="1"/>
      <c r="S42" s="1"/>
      <c r="T42" s="1"/>
      <c r="U42" s="1">
        <v>11.75</v>
      </c>
      <c r="V42" s="1">
        <f>U42*1.34</f>
        <v>15.745000000000001</v>
      </c>
      <c r="W42" s="1">
        <v>9.9600000000000009</v>
      </c>
      <c r="X42" s="1">
        <f>W42*1.34</f>
        <v>13.346400000000003</v>
      </c>
      <c r="Y42" s="1"/>
      <c r="Z42" s="1"/>
      <c r="AA42" s="1"/>
      <c r="AB42" s="1"/>
      <c r="AC42" s="1">
        <v>3.42</v>
      </c>
      <c r="AD42" s="1">
        <f>AC42*2.75</f>
        <v>9.4049999999999994</v>
      </c>
      <c r="AE42" s="1">
        <v>2.52</v>
      </c>
      <c r="AF42" s="1">
        <f>AE42*2.75</f>
        <v>6.93</v>
      </c>
      <c r="AG42" s="1"/>
      <c r="AH42" s="1"/>
      <c r="AI42" s="39"/>
      <c r="AJ42" s="39"/>
      <c r="AK42" s="34"/>
      <c r="AL42" s="27">
        <f>SUM(I42,U42,W42,Y42,AA42,AC42,AE42,AG42)</f>
        <v>44.800000000000004</v>
      </c>
      <c r="AM42" s="27">
        <f>SUM(K42,M42,O42,Q42,S42)</f>
        <v>12.11</v>
      </c>
      <c r="AN42" s="27">
        <f>SUM(J42,V42,X42,Z42,AB42,AD42,AF42,AH42)</f>
        <v>68.407399999999996</v>
      </c>
      <c r="AO42" s="27">
        <f>SUM(L42,N42,P42,R42,T42)</f>
        <v>19.807600000000001</v>
      </c>
      <c r="AP42" s="30">
        <f>SUM(AG42,AE42,AC42,AA42,Y42,W42,U42,I42)/D42</f>
        <v>0.78720787207872067</v>
      </c>
      <c r="AQ42" s="30">
        <f>SUM(K42,M42,O42,Q42,S42)/D42</f>
        <v>0.21279212792127919</v>
      </c>
      <c r="AR42" s="30">
        <f>D42/H42</f>
        <v>0.6451283795272913</v>
      </c>
      <c r="AS42" s="30">
        <f>AL42/AN42</f>
        <v>0.65489990848943258</v>
      </c>
      <c r="AT42" s="30">
        <f>AM42/AO42</f>
        <v>0.61138148993315689</v>
      </c>
      <c r="AU42" s="35">
        <f>(((H42/2) - SQRT((H42/2)^2 - 4 * D42)) / 2)</f>
        <v>1.3303842245642947</v>
      </c>
      <c r="AV42" s="27">
        <f>(((H42/2) + SQRT((H42/2)^2 - 4 * D42)) / 2)</f>
        <v>42.777115775435703</v>
      </c>
      <c r="AW42" s="27">
        <f>AU42*2.7*2+AV42*2.7*2</f>
        <v>238.18050000000002</v>
      </c>
      <c r="AX42" s="30">
        <f>AW42/D42</f>
        <v>4.1852134949920927</v>
      </c>
      <c r="AY42" s="30"/>
    </row>
    <row r="43" spans="1:51" x14ac:dyDescent="0.25">
      <c r="B43" s="36" t="s">
        <v>42</v>
      </c>
      <c r="C43" t="s">
        <v>54</v>
      </c>
      <c r="D43" s="37">
        <f>SUM(I43,K43,M43,O43,Q43,S43,U43,W43,Y43,AA43,AC43,AE43,AG43)</f>
        <v>53.83</v>
      </c>
      <c r="E43" s="38">
        <f>COUNTA(U43,W43,Y43,AA43)</f>
        <v>2</v>
      </c>
      <c r="F43" s="38">
        <f>COUNTA(M43,O43,Q43)</f>
        <v>1</v>
      </c>
      <c r="G43" s="38">
        <f>COUNTA(Table1[[#This Row],[A ASEO]])</f>
        <v>0</v>
      </c>
      <c r="H43" s="1">
        <f>SUM(J43,L43,N43,P43,R43,T43,V43,X43,Z43,AB43,AD43,AF43,AH43)</f>
        <v>83.813000000000002</v>
      </c>
      <c r="I43" s="1">
        <v>17.38</v>
      </c>
      <c r="J43" s="1">
        <f>I43*1.34</f>
        <v>23.289200000000001</v>
      </c>
      <c r="K43" s="1">
        <v>7</v>
      </c>
      <c r="L43" s="1">
        <f>K43*1.34</f>
        <v>9.3800000000000008</v>
      </c>
      <c r="M43" s="1">
        <v>4.07</v>
      </c>
      <c r="N43" s="1">
        <f>M43*2.36</f>
        <v>9.6052</v>
      </c>
      <c r="O43" s="1"/>
      <c r="P43" s="1"/>
      <c r="Q43" s="1"/>
      <c r="R43" s="1"/>
      <c r="S43" s="1"/>
      <c r="T43" s="1"/>
      <c r="U43" s="1">
        <v>12.04</v>
      </c>
      <c r="V43" s="1">
        <f>U43*1.34</f>
        <v>16.133600000000001</v>
      </c>
      <c r="W43" s="1">
        <v>8</v>
      </c>
      <c r="X43" s="1">
        <f>W43*1.34</f>
        <v>10.72</v>
      </c>
      <c r="Y43" s="1"/>
      <c r="Z43" s="1"/>
      <c r="AA43" s="1"/>
      <c r="AB43" s="1"/>
      <c r="AC43" s="1">
        <v>3</v>
      </c>
      <c r="AD43" s="1">
        <f>AC43*2.75</f>
        <v>8.25</v>
      </c>
      <c r="AE43" s="1">
        <v>2.34</v>
      </c>
      <c r="AF43" s="1">
        <f>AE43*2.75</f>
        <v>6.4349999999999996</v>
      </c>
      <c r="AG43" s="1"/>
      <c r="AH43" s="1"/>
      <c r="AI43" s="39"/>
      <c r="AJ43" s="39"/>
      <c r="AK43" s="34"/>
      <c r="AL43" s="27">
        <f>SUM(I43,U43,W43,Y43,AA43,AC43,AE43,AG43)</f>
        <v>42.760000000000005</v>
      </c>
      <c r="AM43" s="27">
        <f>SUM(K43,M43,O43,Q43,S43)</f>
        <v>11.07</v>
      </c>
      <c r="AN43" s="27">
        <f>SUM(J43,V43,X43,Z43,AB43,AD43,AF43,AH43)</f>
        <v>64.827799999999996</v>
      </c>
      <c r="AO43" s="27">
        <f>SUM(L43,N43,P43,R43,T43)</f>
        <v>18.985199999999999</v>
      </c>
      <c r="AP43" s="30">
        <f>SUM(AG43,AE43,AC43,AA43,Y43,W43,U43,I43)/D43</f>
        <v>0.79435259149173321</v>
      </c>
      <c r="AQ43" s="30">
        <f>SUM(K43,M43,O43,Q43,S43)/D43</f>
        <v>0.20564740850826677</v>
      </c>
      <c r="AR43" s="30">
        <f>D43/H43</f>
        <v>0.64226313340412577</v>
      </c>
      <c r="AS43" s="30">
        <f>AL43/AN43</f>
        <v>0.65959356942546266</v>
      </c>
      <c r="AT43" s="30">
        <f>AM43/AO43</f>
        <v>0.58308577207509016</v>
      </c>
      <c r="AU43" s="35">
        <f>(((H43/2) - SQRT((H43/2)^2 - 4 * D43)) / 2)</f>
        <v>1.3265160495308095</v>
      </c>
      <c r="AV43" s="27">
        <f>(((H43/2) + SQRT((H43/2)^2 - 4 * D43)) / 2)</f>
        <v>40.579983950469192</v>
      </c>
      <c r="AW43" s="27">
        <f>AU43*2.7*2+AV43*2.7*2</f>
        <v>226.29510000000002</v>
      </c>
      <c r="AX43" s="30">
        <f>AW43/D43</f>
        <v>4.2038844510496007</v>
      </c>
      <c r="AY43" s="30"/>
    </row>
    <row r="44" spans="1:51" x14ac:dyDescent="0.25">
      <c r="B44" s="36" t="s">
        <v>42</v>
      </c>
      <c r="C44" t="s">
        <v>55</v>
      </c>
      <c r="D44" s="37">
        <f>SUM(I44,K44,M44,O44,Q44,S44,U44,W44,Y44,AA44,AC44,AE44,AG44)</f>
        <v>55.39</v>
      </c>
      <c r="E44" s="38">
        <f>COUNTA(U44,W44,Y44,AA44)</f>
        <v>2</v>
      </c>
      <c r="F44" s="38">
        <f>COUNTA(M44,O44,Q44)</f>
        <v>1</v>
      </c>
      <c r="G44" s="38">
        <f>COUNTA(Table1[[#This Row],[A ASEO]])</f>
        <v>0</v>
      </c>
      <c r="H44" s="1">
        <f>SUM(J44,L44,N44,P44,R44,T44,V44,X44,Z44,AB44,AD44,AF44,AH44)</f>
        <v>86.392099999999999</v>
      </c>
      <c r="I44" s="1">
        <v>16.71</v>
      </c>
      <c r="J44" s="1">
        <f>I44*1.34</f>
        <v>22.391400000000001</v>
      </c>
      <c r="K44" s="1">
        <v>8.01</v>
      </c>
      <c r="L44" s="1">
        <f>K44*1.34</f>
        <v>10.7334</v>
      </c>
      <c r="M44" s="1">
        <v>4.4800000000000004</v>
      </c>
      <c r="N44" s="1">
        <f>M44*2.36</f>
        <v>10.572800000000001</v>
      </c>
      <c r="O44" s="1"/>
      <c r="P44" s="1"/>
      <c r="Q44" s="1"/>
      <c r="R44" s="1"/>
      <c r="S44" s="1"/>
      <c r="T44" s="1"/>
      <c r="U44" s="1">
        <v>12.08</v>
      </c>
      <c r="V44" s="1">
        <f>U44*1.34</f>
        <v>16.187200000000001</v>
      </c>
      <c r="W44" s="1">
        <v>8.7200000000000006</v>
      </c>
      <c r="X44" s="1">
        <f>W44*1.34</f>
        <v>11.684800000000001</v>
      </c>
      <c r="Y44" s="1"/>
      <c r="Z44" s="1"/>
      <c r="AA44" s="1"/>
      <c r="AB44" s="1"/>
      <c r="AC44" s="1">
        <v>1.1200000000000001</v>
      </c>
      <c r="AD44" s="1">
        <f>AC44*2.75</f>
        <v>3.08</v>
      </c>
      <c r="AE44" s="1">
        <v>4.2699999999999996</v>
      </c>
      <c r="AF44" s="1">
        <f>AE44*2.75</f>
        <v>11.7425</v>
      </c>
      <c r="AG44" s="1"/>
      <c r="AH44" s="1"/>
      <c r="AI44" s="39"/>
      <c r="AJ44" s="39"/>
      <c r="AK44" s="34"/>
      <c r="AL44" s="27">
        <f>SUM(I44,U44,W44,Y44,AA44,AC44,AE44,AG44)</f>
        <v>42.899999999999991</v>
      </c>
      <c r="AM44" s="27">
        <f>SUM(K44,M44,O44,Q44,S44)</f>
        <v>12.49</v>
      </c>
      <c r="AN44" s="27">
        <f>SUM(J44,V44,X44,Z44,AB44,AD44,AF44,AH44)</f>
        <v>65.085900000000009</v>
      </c>
      <c r="AO44" s="27">
        <f>SUM(L44,N44,P44,R44,T44)</f>
        <v>21.3062</v>
      </c>
      <c r="AP44" s="30">
        <f>SUM(AG44,AE44,AC44,AA44,Y44,W44,U44,I44)/D44</f>
        <v>0.77450803394114454</v>
      </c>
      <c r="AQ44" s="30">
        <f>SUM(K44,M44,O44,Q44,S44)/D44</f>
        <v>0.22549196605885538</v>
      </c>
      <c r="AR44" s="30">
        <f>D44/H44</f>
        <v>0.64114658631981403</v>
      </c>
      <c r="AS44" s="30">
        <f>AL44/AN44</f>
        <v>0.65912893576027964</v>
      </c>
      <c r="AT44" s="30">
        <f>AM44/AO44</f>
        <v>0.58621434136542416</v>
      </c>
      <c r="AU44" s="35">
        <f>(((H44/2) - SQRT((H44/2)^2 - 4 * D44)) / 2)</f>
        <v>1.3228016004755183</v>
      </c>
      <c r="AV44" s="27">
        <f>(((H44/2) + SQRT((H44/2)^2 - 4 * D44)) / 2)</f>
        <v>41.873248399524485</v>
      </c>
      <c r="AW44" s="27">
        <f>AU44*2.7*2+AV44*2.7*2</f>
        <v>233.25867000000002</v>
      </c>
      <c r="AX44" s="30">
        <f>AW44/D44</f>
        <v>4.2112054522476985</v>
      </c>
      <c r="AY44" s="30"/>
    </row>
    <row r="45" spans="1:51" x14ac:dyDescent="0.25">
      <c r="B45" s="36" t="s">
        <v>42</v>
      </c>
      <c r="C45" t="s">
        <v>69</v>
      </c>
      <c r="D45" s="37">
        <f>SUM(I45,K45,M45,O45,Q45,S45,U45,W45,Y45,AA45,AC45,AE45,AG45)</f>
        <v>59.18</v>
      </c>
      <c r="E45" s="38">
        <f>COUNTA(U45,W45,Y45,AA45)</f>
        <v>2</v>
      </c>
      <c r="F45" s="38">
        <f>COUNTA(M45,O45,Q45)</f>
        <v>1</v>
      </c>
      <c r="G45" s="38">
        <f>COUNTA(Table1[[#This Row],[A ASEO]])</f>
        <v>0</v>
      </c>
      <c r="H45" s="1">
        <f>SUM(J45,L45,N45,P45,R45,T45,V45,X45,Z45,AB45,AD45,AF45,AH45)</f>
        <v>92.574100000000016</v>
      </c>
      <c r="I45" s="1">
        <v>16.3</v>
      </c>
      <c r="J45" s="1">
        <f>I45*1.34</f>
        <v>21.842000000000002</v>
      </c>
      <c r="K45" s="1">
        <v>13.38</v>
      </c>
      <c r="L45" s="1">
        <f>K45*1.34</f>
        <v>17.929200000000002</v>
      </c>
      <c r="M45" s="1">
        <v>3.82</v>
      </c>
      <c r="N45" s="1">
        <f>M45*2.36</f>
        <v>9.0151999999999983</v>
      </c>
      <c r="O45" s="1"/>
      <c r="P45" s="1"/>
      <c r="Q45" s="1"/>
      <c r="R45" s="1"/>
      <c r="S45" s="1"/>
      <c r="T45" s="1"/>
      <c r="U45" s="1">
        <v>10.33</v>
      </c>
      <c r="V45" s="1">
        <f>U45*1.34</f>
        <v>13.8422</v>
      </c>
      <c r="W45" s="1">
        <v>8.6999999999999993</v>
      </c>
      <c r="X45" s="1">
        <f>W45*1.34</f>
        <v>11.657999999999999</v>
      </c>
      <c r="Y45" s="1"/>
      <c r="Z45" s="1"/>
      <c r="AA45" s="1"/>
      <c r="AB45" s="1"/>
      <c r="AC45" s="1">
        <v>3.17</v>
      </c>
      <c r="AD45" s="1">
        <f>AC45*2.75</f>
        <v>8.7174999999999994</v>
      </c>
      <c r="AE45" s="1">
        <v>3.48</v>
      </c>
      <c r="AF45" s="1">
        <f>AE45*2.75</f>
        <v>9.57</v>
      </c>
      <c r="AG45" s="1"/>
      <c r="AH45" s="1"/>
      <c r="AI45" s="39"/>
      <c r="AJ45" s="39"/>
      <c r="AK45" s="34"/>
      <c r="AL45" s="27">
        <f>SUM(I45,U45,W45,Y45,AA45,AC45,AE45,AG45)</f>
        <v>41.98</v>
      </c>
      <c r="AM45" s="27">
        <f>SUM(K45,M45,O45,Q45,S45)</f>
        <v>17.2</v>
      </c>
      <c r="AN45" s="27">
        <f>SUM(J45,V45,X45,Z45,AB45,AD45,AF45,AH45)</f>
        <v>65.629700000000014</v>
      </c>
      <c r="AO45" s="27">
        <f>SUM(L45,N45,P45,R45,T45)</f>
        <v>26.944400000000002</v>
      </c>
      <c r="AP45" s="30">
        <f>SUM(AG45,AE45,AC45,AA45,Y45,W45,U45,I45)/D45</f>
        <v>0.70936127069956079</v>
      </c>
      <c r="AQ45" s="30">
        <f>SUM(K45,M45,O45,Q45,S45)/D45</f>
        <v>0.29063872930043932</v>
      </c>
      <c r="AR45" s="30">
        <f>D45/H45</f>
        <v>0.63927167533899865</v>
      </c>
      <c r="AS45" s="30">
        <f>AL45/AN45</f>
        <v>0.63964942701246519</v>
      </c>
      <c r="AT45" s="30">
        <f>AM45/AO45</f>
        <v>0.6383515684149581</v>
      </c>
      <c r="AU45" s="35">
        <f>(((H45/2) - SQRT((H45/2)^2 - 4 * D45)) / 2)</f>
        <v>1.3159564357822937</v>
      </c>
      <c r="AV45" s="27">
        <f>(((H45/2) + SQRT((H45/2)^2 - 4 * D45)) / 2)</f>
        <v>44.971093564217711</v>
      </c>
      <c r="AW45" s="27">
        <f>AU45*2.7*2+AV45*2.7*2</f>
        <v>249.95007000000004</v>
      </c>
      <c r="AX45" s="30">
        <f>AW45/D45</f>
        <v>4.223556437985807</v>
      </c>
      <c r="AY45" s="30"/>
    </row>
    <row r="46" spans="1:51" x14ac:dyDescent="0.25">
      <c r="B46" s="36" t="s">
        <v>42</v>
      </c>
      <c r="C46" t="s">
        <v>68</v>
      </c>
      <c r="D46" s="37">
        <f>SUM(I46,K46,M46,O46,Q46,S46,U46,W46,Y46,AA46,AC46,AE46,AG46)</f>
        <v>59.25</v>
      </c>
      <c r="E46" s="38">
        <f>COUNTA(U46,W46,Y46,AA46)</f>
        <v>2</v>
      </c>
      <c r="F46" s="38">
        <f>COUNTA(M46,O46,Q46)</f>
        <v>1</v>
      </c>
      <c r="G46" s="38">
        <f>COUNTA(Table1[[#This Row],[A ASEO]])</f>
        <v>0</v>
      </c>
      <c r="H46" s="1">
        <f>SUM(J46,L46,N46,P46,R46,T46,V46,X46,Z46,AB46,AD46,AF46,AH46)</f>
        <v>92.884499999999989</v>
      </c>
      <c r="I46" s="1">
        <v>19.399999999999999</v>
      </c>
      <c r="J46" s="1">
        <f>I46*1.34</f>
        <v>25.995999999999999</v>
      </c>
      <c r="K46" s="1">
        <v>7.4</v>
      </c>
      <c r="L46" s="1">
        <f>K46*1.34</f>
        <v>9.9160000000000004</v>
      </c>
      <c r="M46" s="1">
        <v>5</v>
      </c>
      <c r="N46" s="1">
        <f>M46*2.36</f>
        <v>11.799999999999999</v>
      </c>
      <c r="O46" s="1"/>
      <c r="P46" s="1"/>
      <c r="Q46" s="1"/>
      <c r="R46" s="1"/>
      <c r="S46" s="1"/>
      <c r="T46" s="1"/>
      <c r="U46" s="1">
        <v>12.7</v>
      </c>
      <c r="V46" s="1">
        <f>U46*1.34</f>
        <v>17.018000000000001</v>
      </c>
      <c r="W46" s="1">
        <v>8.8000000000000007</v>
      </c>
      <c r="X46" s="1">
        <f>W46*1.34</f>
        <v>11.792000000000002</v>
      </c>
      <c r="Y46" s="1"/>
      <c r="Z46" s="1"/>
      <c r="AA46" s="1"/>
      <c r="AB46" s="1"/>
      <c r="AC46" s="1">
        <v>5.95</v>
      </c>
      <c r="AD46" s="1">
        <f>AC46*2.75</f>
        <v>16.362500000000001</v>
      </c>
      <c r="AE46" s="1"/>
      <c r="AF46" s="1"/>
      <c r="AG46" s="1"/>
      <c r="AH46" s="1"/>
      <c r="AI46" s="39"/>
      <c r="AJ46" s="39"/>
      <c r="AK46" s="34"/>
      <c r="AL46" s="27">
        <f>SUM(I46,U46,W46,Y46,AA46,AC46,AE46,AG46)</f>
        <v>46.849999999999994</v>
      </c>
      <c r="AM46" s="27">
        <f>SUM(K46,M46,O46,Q46,S46)</f>
        <v>12.4</v>
      </c>
      <c r="AN46" s="27">
        <f>SUM(J46,V46,X46,Z46,AB46,AD46,AF46,AH46)</f>
        <v>71.168499999999995</v>
      </c>
      <c r="AO46" s="27">
        <f>SUM(L46,N46,P46,R46,T46)</f>
        <v>21.716000000000001</v>
      </c>
      <c r="AP46" s="30">
        <f>SUM(AG46,AE46,AC46,AA46,Y46,W46,U46,I46)/D46</f>
        <v>0.79071729957805903</v>
      </c>
      <c r="AQ46" s="30">
        <f>SUM(K46,M46,O46,Q46,S46)/D46</f>
        <v>0.20928270042194094</v>
      </c>
      <c r="AR46" s="30">
        <f>D46/H46</f>
        <v>0.6378889911664487</v>
      </c>
      <c r="AS46" s="30">
        <f>AL46/AN46</f>
        <v>0.65829685886312062</v>
      </c>
      <c r="AT46" s="30">
        <f>AM46/AO46</f>
        <v>0.57100755203536557</v>
      </c>
      <c r="AU46" s="35">
        <f>(((H46/2) - SQRT((H46/2)^2 - 4 * D46)) / 2)</f>
        <v>1.3128926143047792</v>
      </c>
      <c r="AV46" s="27">
        <f>(((H46/2) + SQRT((H46/2)^2 - 4 * D46)) / 2)</f>
        <v>45.129357385695215</v>
      </c>
      <c r="AW46" s="27">
        <f>AU46*2.7*2+AV46*2.7*2</f>
        <v>250.78814999999997</v>
      </c>
      <c r="AX46" s="30">
        <f>AW46/D46</f>
        <v>4.2327113924050632</v>
      </c>
      <c r="AY46" s="30"/>
    </row>
    <row r="47" spans="1:51" x14ac:dyDescent="0.25">
      <c r="B47" s="36" t="s">
        <v>42</v>
      </c>
      <c r="C47" t="s">
        <v>77</v>
      </c>
      <c r="D47" s="37">
        <f>SUM(I47,K47,M47,O47,Q47,S47,U47,W47,Y47,AA47,AC47,AE47,AG47)</f>
        <v>59.85</v>
      </c>
      <c r="E47" s="38">
        <f>COUNTA(U47,W47,Y47,AA47)</f>
        <v>2</v>
      </c>
      <c r="F47" s="38">
        <f>COUNTA(M47,O47,Q47)</f>
        <v>1</v>
      </c>
      <c r="G47" s="38">
        <f>COUNTA(Table1[[#This Row],[A ASEO]])</f>
        <v>0</v>
      </c>
      <c r="H47" s="1">
        <f>SUM(J47,L47,N47,P47,R47,T47,V47,X47,Z47,AB47,AD47,AF47,AH47)</f>
        <v>93.850499999999997</v>
      </c>
      <c r="I47" s="1">
        <v>18.7</v>
      </c>
      <c r="J47" s="1">
        <f>I47*1.34</f>
        <v>25.058</v>
      </c>
      <c r="K47" s="1">
        <v>7</v>
      </c>
      <c r="L47" s="1">
        <f>K47*1.34</f>
        <v>9.3800000000000008</v>
      </c>
      <c r="M47" s="1">
        <v>3.5</v>
      </c>
      <c r="N47" s="1">
        <f>M47*2.36</f>
        <v>8.26</v>
      </c>
      <c r="O47" s="1"/>
      <c r="P47" s="1"/>
      <c r="Q47" s="1"/>
      <c r="R47" s="1"/>
      <c r="S47" s="1"/>
      <c r="T47" s="1"/>
      <c r="U47" s="1">
        <v>14.4</v>
      </c>
      <c r="V47" s="1">
        <f>U47*1.34</f>
        <v>19.296000000000003</v>
      </c>
      <c r="W47" s="1">
        <v>9.1</v>
      </c>
      <c r="X47" s="1">
        <f>W47*1.34</f>
        <v>12.194000000000001</v>
      </c>
      <c r="Y47" s="1"/>
      <c r="Z47" s="1"/>
      <c r="AA47" s="1"/>
      <c r="AB47" s="1"/>
      <c r="AC47" s="1">
        <v>3.75</v>
      </c>
      <c r="AD47" s="1">
        <f>AC47*2.75</f>
        <v>10.3125</v>
      </c>
      <c r="AE47" s="1">
        <v>3.4</v>
      </c>
      <c r="AF47" s="1">
        <f>AE47*2.75</f>
        <v>9.35</v>
      </c>
      <c r="AG47" s="1"/>
      <c r="AH47" s="1"/>
      <c r="AI47" s="39"/>
      <c r="AJ47" s="39"/>
      <c r="AK47" s="34"/>
      <c r="AL47" s="27">
        <f>SUM(I47,U47,W47,Y47,AA47,AC47,AE47,AG47)</f>
        <v>49.35</v>
      </c>
      <c r="AM47" s="27">
        <f>SUM(K47,M47,O47,Q47,S47)</f>
        <v>10.5</v>
      </c>
      <c r="AN47" s="27">
        <f>SUM(J47,V47,X47,Z47,AB47,AD47,AF47,AH47)</f>
        <v>76.210499999999996</v>
      </c>
      <c r="AO47" s="27">
        <f>SUM(L47,N47,P47,R47,T47)</f>
        <v>17.64</v>
      </c>
      <c r="AP47" s="30">
        <f>SUM(AG47,AE47,AC47,AA47,Y47,W47,U47,I47)/D47</f>
        <v>0.82456140350877183</v>
      </c>
      <c r="AQ47" s="30">
        <f>SUM(K47,M47,O47,Q47,S47)/D47</f>
        <v>0.17543859649122806</v>
      </c>
      <c r="AR47" s="30">
        <f>D47/H47</f>
        <v>0.63771636805344678</v>
      </c>
      <c r="AS47" s="30">
        <f>AL47/AN47</f>
        <v>0.6475485661424607</v>
      </c>
      <c r="AT47" s="30">
        <f>AM47/AO47</f>
        <v>0.59523809523809523</v>
      </c>
      <c r="AU47" s="35">
        <f>(((H47/2) - SQRT((H47/2)^2 - 4 * D47)) / 2)</f>
        <v>1.3121222542241142</v>
      </c>
      <c r="AV47" s="27">
        <f>(((H47/2) + SQRT((H47/2)^2 - 4 * D47)) / 2)</f>
        <v>45.613127745775884</v>
      </c>
      <c r="AW47" s="27">
        <f>AU47*2.7*2+AV47*2.7*2</f>
        <v>253.39635000000001</v>
      </c>
      <c r="AX47" s="30">
        <f>AW47/D47</f>
        <v>4.2338571428571425</v>
      </c>
      <c r="AY47" s="30"/>
    </row>
    <row r="48" spans="1:51" x14ac:dyDescent="0.25">
      <c r="B48" s="36" t="s">
        <v>42</v>
      </c>
      <c r="C48" t="s">
        <v>76</v>
      </c>
      <c r="D48" s="37">
        <f>SUM(I48,K48,M48,O48,Q48,S48,U48,W48,Y48,AA48,AC48,AE48,AG48)</f>
        <v>64.850000000000009</v>
      </c>
      <c r="E48" s="38">
        <f>COUNTA(U48,W48,Y48,AA48)</f>
        <v>2</v>
      </c>
      <c r="F48" s="38">
        <f>COUNTA(M48,O48,Q48)</f>
        <v>1</v>
      </c>
      <c r="G48" s="38">
        <f>COUNTA(Table1[[#This Row],[A ASEO]])</f>
        <v>0</v>
      </c>
      <c r="H48" s="1">
        <f>SUM(J48,L48,N48,P48,R48,T48,V48,X48,Z48,AB48,AD48,AF48,AH48)</f>
        <v>102.262</v>
      </c>
      <c r="I48" s="1">
        <v>22.5</v>
      </c>
      <c r="J48" s="1">
        <f>I48*1.34</f>
        <v>30.150000000000002</v>
      </c>
      <c r="K48" s="1">
        <v>8.9499999999999993</v>
      </c>
      <c r="L48" s="1">
        <f>K48*1.34</f>
        <v>11.993</v>
      </c>
      <c r="M48" s="1">
        <v>5.8</v>
      </c>
      <c r="N48" s="1">
        <f>M48*2.36</f>
        <v>13.687999999999999</v>
      </c>
      <c r="O48" s="1"/>
      <c r="P48" s="1"/>
      <c r="Q48" s="1"/>
      <c r="R48" s="1"/>
      <c r="S48" s="1"/>
      <c r="T48" s="1"/>
      <c r="U48" s="1">
        <v>11.95</v>
      </c>
      <c r="V48" s="1">
        <f>U48*1.34</f>
        <v>16.013000000000002</v>
      </c>
      <c r="W48" s="1">
        <v>8.9499999999999993</v>
      </c>
      <c r="X48" s="1">
        <f>W48*1.34</f>
        <v>11.993</v>
      </c>
      <c r="Y48" s="1"/>
      <c r="Z48" s="1"/>
      <c r="AA48" s="1"/>
      <c r="AB48" s="1"/>
      <c r="AC48" s="1">
        <v>2.6</v>
      </c>
      <c r="AD48" s="1">
        <f>AC48*2.75</f>
        <v>7.15</v>
      </c>
      <c r="AE48" s="1">
        <v>4.0999999999999996</v>
      </c>
      <c r="AF48" s="1">
        <f>AE48*2.75</f>
        <v>11.274999999999999</v>
      </c>
      <c r="AG48" s="1"/>
      <c r="AH48" s="1"/>
      <c r="AI48" s="39"/>
      <c r="AJ48" s="39"/>
      <c r="AK48" s="34"/>
      <c r="AL48" s="27">
        <f>SUM(I48,U48,W48,Y48,AA48,AC48,AE48,AG48)</f>
        <v>50.100000000000009</v>
      </c>
      <c r="AM48" s="27">
        <f>SUM(K48,M48,O48,Q48,S48)</f>
        <v>14.75</v>
      </c>
      <c r="AN48" s="27">
        <f>SUM(J48,V48,X48,Z48,AB48,AD48,AF48,AH48)</f>
        <v>76.581000000000017</v>
      </c>
      <c r="AO48" s="27">
        <f>SUM(L48,N48,P48,R48,T48)</f>
        <v>25.680999999999997</v>
      </c>
      <c r="AP48" s="30">
        <f>SUM(AG48,AE48,AC48,AA48,Y48,W48,U48,I48)/D48</f>
        <v>0.77255204317656112</v>
      </c>
      <c r="AQ48" s="30">
        <f>SUM(K48,M48,O48,Q48,S48)/D48</f>
        <v>0.22744795682343869</v>
      </c>
      <c r="AR48" s="30">
        <f>D48/H48</f>
        <v>0.63415540474467558</v>
      </c>
      <c r="AS48" s="30">
        <f>AL48/AN48</f>
        <v>0.65420926861754214</v>
      </c>
      <c r="AT48" s="30">
        <f>AM48/AO48</f>
        <v>0.57435458120789695</v>
      </c>
      <c r="AU48" s="35">
        <f>(((H48/2) - SQRT((H48/2)^2 - 4 * D48)) / 2)</f>
        <v>1.3014362379258522</v>
      </c>
      <c r="AV48" s="27">
        <f>(((H48/2) + SQRT((H48/2)^2 - 4 * D48)) / 2)</f>
        <v>49.829563762074145</v>
      </c>
      <c r="AW48" s="27">
        <f>AU48*2.7*2+AV48*2.7*2</f>
        <v>276.10740000000004</v>
      </c>
      <c r="AX48" s="30">
        <f>AW48/D48</f>
        <v>4.2576314572089435</v>
      </c>
      <c r="AY48" s="30"/>
    </row>
    <row r="49" spans="1:51" x14ac:dyDescent="0.25">
      <c r="B49" s="36" t="s">
        <v>42</v>
      </c>
      <c r="C49" t="s">
        <v>76</v>
      </c>
      <c r="D49" s="37">
        <f>SUM(I49,K49,M49,O49,Q49,S49,U49,W49,Y49,AA49,AC49,AE49,AG49)</f>
        <v>49.599999999999994</v>
      </c>
      <c r="E49" s="38">
        <f>COUNTA(U49,W49,Y49,AA49)</f>
        <v>2</v>
      </c>
      <c r="F49" s="38">
        <f>COUNTA(M49,O49,Q49)</f>
        <v>1</v>
      </c>
      <c r="G49" s="38">
        <f>COUNTA(Table1[[#This Row],[A ASEO]])</f>
        <v>0</v>
      </c>
      <c r="H49" s="1">
        <f>SUM(J49,L49,N49,P49,R49,T49,V49,X49,Z49,AB49,AD49,AF49,AH49)</f>
        <v>78.276500000000013</v>
      </c>
      <c r="I49" s="1">
        <v>16.05</v>
      </c>
      <c r="J49" s="1">
        <f>I49*1.34</f>
        <v>21.507000000000001</v>
      </c>
      <c r="K49" s="1">
        <v>7.15</v>
      </c>
      <c r="L49" s="1">
        <f>K49*1.34</f>
        <v>9.5810000000000013</v>
      </c>
      <c r="M49" s="1">
        <v>4.5999999999999996</v>
      </c>
      <c r="N49" s="1">
        <f>M49*2.36</f>
        <v>10.855999999999998</v>
      </c>
      <c r="O49" s="1"/>
      <c r="P49" s="1"/>
      <c r="Q49" s="1"/>
      <c r="R49" s="1"/>
      <c r="S49" s="1"/>
      <c r="T49" s="1"/>
      <c r="U49" s="1">
        <v>10.45</v>
      </c>
      <c r="V49" s="1">
        <f>U49*1.34</f>
        <v>14.003</v>
      </c>
      <c r="W49" s="1">
        <v>6.3</v>
      </c>
      <c r="X49" s="1">
        <f>W49*1.34</f>
        <v>8.4420000000000002</v>
      </c>
      <c r="Y49" s="1"/>
      <c r="Z49" s="1"/>
      <c r="AA49" s="1"/>
      <c r="AB49" s="1"/>
      <c r="AC49" s="1">
        <v>2.8</v>
      </c>
      <c r="AD49" s="1">
        <f>AC49*2.75</f>
        <v>7.6999999999999993</v>
      </c>
      <c r="AE49" s="1">
        <v>2.25</v>
      </c>
      <c r="AF49" s="1">
        <f>AE49*2.75</f>
        <v>6.1875</v>
      </c>
      <c r="AG49" s="1"/>
      <c r="AH49" s="1"/>
      <c r="AI49" s="39"/>
      <c r="AJ49" s="39"/>
      <c r="AK49" s="34"/>
      <c r="AL49" s="27">
        <f>SUM(I49,U49,W49,Y49,AA49,AC49,AE49,AG49)</f>
        <v>37.849999999999994</v>
      </c>
      <c r="AM49" s="27">
        <f>SUM(K49,M49,O49,Q49,S49)</f>
        <v>11.75</v>
      </c>
      <c r="AN49" s="27">
        <f>SUM(J49,V49,X49,Z49,AB49,AD49,AF49,AH49)</f>
        <v>57.839500000000001</v>
      </c>
      <c r="AO49" s="27">
        <f>SUM(L49,N49,P49,R49,T49)</f>
        <v>20.436999999999998</v>
      </c>
      <c r="AP49" s="30">
        <f>SUM(AG49,AE49,AC49,AA49,Y49,W49,U49,I49)/D49</f>
        <v>0.76310483870967738</v>
      </c>
      <c r="AQ49" s="30">
        <f>SUM(K49,M49,O49,Q49,S49)/D49</f>
        <v>0.23689516129032262</v>
      </c>
      <c r="AR49" s="30">
        <f>D49/H49</f>
        <v>0.63365122354729686</v>
      </c>
      <c r="AS49" s="30">
        <f>AL49/AN49</f>
        <v>0.65439708157919751</v>
      </c>
      <c r="AT49" s="30">
        <f>AM49/AO49</f>
        <v>0.57493761315261538</v>
      </c>
      <c r="AU49" s="35">
        <f>(((H49/2) - SQRT((H49/2)^2 - 4 * D49)) / 2)</f>
        <v>1.3112320967752389</v>
      </c>
      <c r="AV49" s="27">
        <f>(((H49/2) + SQRT((H49/2)^2 - 4 * D49)) / 2)</f>
        <v>37.827017903224771</v>
      </c>
      <c r="AW49" s="27">
        <f>AU49*2.7*2+AV49*2.7*2</f>
        <v>211.34655000000006</v>
      </c>
      <c r="AX49" s="30">
        <f>AW49/D49</f>
        <v>4.2610191532258082</v>
      </c>
      <c r="AY49" s="30"/>
    </row>
    <row r="50" spans="1:51" x14ac:dyDescent="0.25">
      <c r="B50" s="36" t="s">
        <v>42</v>
      </c>
      <c r="C50" t="s">
        <v>46</v>
      </c>
      <c r="D50" s="37">
        <f>SUM(I50,K50,M50,O50,Q50,S50,U50,W50,Y50,AA50,AC50,AE50,AG50)</f>
        <v>68</v>
      </c>
      <c r="E50" s="38">
        <f>COUNTA(U50,W50,Y50,AA50)</f>
        <v>2</v>
      </c>
      <c r="F50" s="38">
        <f>COUNTA(M50,O50,Q50)</f>
        <v>2</v>
      </c>
      <c r="G50" s="38">
        <f>COUNTA(Table1[[#This Row],[A ASEO]])</f>
        <v>0</v>
      </c>
      <c r="H50" s="1">
        <f>SUM(J50,L50,N50,P50,R50,T50,V50,X50,Z50,AB50,AD50,AF50,AH50)</f>
        <v>107.42500000000001</v>
      </c>
      <c r="I50" s="1">
        <v>22.3</v>
      </c>
      <c r="J50" s="1">
        <f>I50*1.34</f>
        <v>29.882000000000001</v>
      </c>
      <c r="K50" s="1">
        <v>7.9</v>
      </c>
      <c r="L50" s="1">
        <f>K50*1.34</f>
        <v>10.586</v>
      </c>
      <c r="M50" s="1">
        <v>3.8</v>
      </c>
      <c r="N50" s="1">
        <f>M50*2.36</f>
        <v>8.968</v>
      </c>
      <c r="O50" s="1">
        <v>3.2</v>
      </c>
      <c r="P50" s="1">
        <f>O50*2.36</f>
        <v>7.5519999999999996</v>
      </c>
      <c r="Q50" s="1"/>
      <c r="R50" s="1"/>
      <c r="S50" s="1"/>
      <c r="T50" s="1"/>
      <c r="U50" s="1">
        <v>15.8</v>
      </c>
      <c r="V50" s="1">
        <f>U50*1.34</f>
        <v>21.172000000000001</v>
      </c>
      <c r="W50" s="1">
        <v>8.5</v>
      </c>
      <c r="X50" s="1">
        <f>W50*1.34</f>
        <v>11.39</v>
      </c>
      <c r="Y50" s="1"/>
      <c r="Z50" s="1"/>
      <c r="AA50" s="1"/>
      <c r="AB50" s="1"/>
      <c r="AC50" s="1">
        <v>4.3</v>
      </c>
      <c r="AD50" s="1">
        <f>AC50*2.75</f>
        <v>11.824999999999999</v>
      </c>
      <c r="AE50" s="1">
        <v>2.2000000000000002</v>
      </c>
      <c r="AF50" s="1">
        <f>AE50*2.75</f>
        <v>6.0500000000000007</v>
      </c>
      <c r="AG50" s="1"/>
      <c r="AH50" s="1"/>
      <c r="AI50" s="39">
        <f>11+4.7+10.8</f>
        <v>26.5</v>
      </c>
      <c r="AJ50" s="39">
        <f>AI50*0.6</f>
        <v>15.899999999999999</v>
      </c>
      <c r="AK50" s="34"/>
      <c r="AL50" s="27">
        <f>SUM(I50,U50,W50,Y50,AA50,AC50,AE50,AG50)</f>
        <v>53.1</v>
      </c>
      <c r="AM50" s="27">
        <f>SUM(K50,M50,O50,Q50,S50)</f>
        <v>14.899999999999999</v>
      </c>
      <c r="AN50" s="27">
        <f>SUM(J50,V50,X50,Z50,AB50,AD50,AF50,AH50)</f>
        <v>80.319000000000003</v>
      </c>
      <c r="AO50" s="27">
        <f>SUM(L50,N50,P50,R50,T50)</f>
        <v>27.106000000000002</v>
      </c>
      <c r="AP50" s="30">
        <f>SUM(AG50,AE50,AC50,AA50,Y50,W50,U50,I50)/D50</f>
        <v>0.78088235294117647</v>
      </c>
      <c r="AQ50" s="30">
        <f>SUM(K50,M50,O50,Q50,S50)/D50</f>
        <v>0.2191176470588235</v>
      </c>
      <c r="AR50" s="30">
        <f>D50/H50</f>
        <v>0.63299976727949725</v>
      </c>
      <c r="AS50" s="30">
        <f>AL50/AN50</f>
        <v>0.66111380868785719</v>
      </c>
      <c r="AT50" s="30">
        <f>AM50/AO50</f>
        <v>0.54969379473179358</v>
      </c>
      <c r="AU50" s="35">
        <f>(((H50/2) - SQRT((H50/2)^2 - 4 * D50)) / 2)</f>
        <v>1.297334450577722</v>
      </c>
      <c r="AV50" s="27">
        <f>(((H50/2) + SQRT((H50/2)^2 - 4 * D50)) / 2)</f>
        <v>52.415165549422284</v>
      </c>
      <c r="AW50" s="27">
        <f>AU50*2.7*2+AV50*2.7*2</f>
        <v>290.04750000000007</v>
      </c>
      <c r="AX50" s="30">
        <f>AW50/D50</f>
        <v>4.265404411764707</v>
      </c>
      <c r="AY50" s="30"/>
    </row>
    <row r="51" spans="1:51" x14ac:dyDescent="0.25">
      <c r="B51" s="36" t="s">
        <v>42</v>
      </c>
      <c r="C51" t="s">
        <v>77</v>
      </c>
      <c r="D51" s="37">
        <f>SUM(I51,K51,M51,O51,Q51,S51,U51,W51,Y51,AA51,AC51,AE51,AG51)</f>
        <v>59.85</v>
      </c>
      <c r="E51" s="38">
        <f>COUNTA(U51,W51,Y51,AA51)</f>
        <v>2</v>
      </c>
      <c r="F51" s="38">
        <f>COUNTA(M51,O51,Q51)</f>
        <v>1</v>
      </c>
      <c r="G51" s="38">
        <f>COUNTA(Table1[[#This Row],[A ASEO]])</f>
        <v>0</v>
      </c>
      <c r="H51" s="1">
        <f>SUM(J51,L51,N51,P51,R51,T51,V51,X51,Z51,AB51,AD51,AF51,AH51)</f>
        <v>94.617000000000004</v>
      </c>
      <c r="I51" s="1">
        <v>18.2</v>
      </c>
      <c r="J51" s="1">
        <f>I51*1.34</f>
        <v>24.388000000000002</v>
      </c>
      <c r="K51" s="1">
        <v>7.15</v>
      </c>
      <c r="L51" s="1">
        <f>K51*1.34</f>
        <v>9.5810000000000013</v>
      </c>
      <c r="M51" s="1">
        <v>5.15</v>
      </c>
      <c r="N51" s="1">
        <f>M51*2.36</f>
        <v>12.154</v>
      </c>
      <c r="O51" s="1"/>
      <c r="P51" s="1"/>
      <c r="Q51" s="1"/>
      <c r="R51" s="1"/>
      <c r="S51" s="1"/>
      <c r="T51" s="1"/>
      <c r="U51" s="1">
        <v>12.7</v>
      </c>
      <c r="V51" s="1">
        <f>U51*1.34</f>
        <v>17.018000000000001</v>
      </c>
      <c r="W51" s="1">
        <v>10.15</v>
      </c>
      <c r="X51" s="1">
        <f>W51*1.34</f>
        <v>13.601000000000001</v>
      </c>
      <c r="Y51" s="1"/>
      <c r="Z51" s="1"/>
      <c r="AA51" s="1"/>
      <c r="AB51" s="1"/>
      <c r="AC51" s="1">
        <v>3.1</v>
      </c>
      <c r="AD51" s="1">
        <f>AC51*2.75</f>
        <v>8.5250000000000004</v>
      </c>
      <c r="AE51" s="1">
        <v>3.4</v>
      </c>
      <c r="AF51" s="1">
        <f>AE51*2.75</f>
        <v>9.35</v>
      </c>
      <c r="AG51" s="1"/>
      <c r="AH51" s="1"/>
      <c r="AI51" s="39"/>
      <c r="AJ51" s="39"/>
      <c r="AK51" s="34"/>
      <c r="AL51" s="27">
        <f>SUM(I51,U51,W51,Y51,AA51,AC51,AE51,AG51)</f>
        <v>47.55</v>
      </c>
      <c r="AM51" s="27">
        <f>SUM(K51,M51,O51,Q51,S51)</f>
        <v>12.3</v>
      </c>
      <c r="AN51" s="27">
        <f>SUM(J51,V51,X51,Z51,AB51,AD51,AF51,AH51)</f>
        <v>72.882000000000005</v>
      </c>
      <c r="AO51" s="27">
        <f>SUM(L51,N51,P51,R51,T51)</f>
        <v>21.734999999999999</v>
      </c>
      <c r="AP51" s="30">
        <f>SUM(AG51,AE51,AC51,AA51,Y51,W51,U51,I51)/D51</f>
        <v>0.79448621553884702</v>
      </c>
      <c r="AQ51" s="30">
        <f>SUM(K51,M51,O51,Q51,S51)/D51</f>
        <v>0.2055137844611529</v>
      </c>
      <c r="AR51" s="30">
        <f>D51/H51</f>
        <v>0.63255017597260532</v>
      </c>
      <c r="AS51" s="30">
        <f>AL51/AN51</f>
        <v>0.65242446694657108</v>
      </c>
      <c r="AT51" s="30">
        <f>AM51/AO51</f>
        <v>0.56590752242926157</v>
      </c>
      <c r="AU51" s="35">
        <f>(((H51/2) - SQRT((H51/2)^2 - 4 * D51)) / 2)</f>
        <v>1.3008712159660298</v>
      </c>
      <c r="AV51" s="27">
        <f>(((H51/2) + SQRT((H51/2)^2 - 4 * D51)) / 2)</f>
        <v>46.007628784033969</v>
      </c>
      <c r="AW51" s="27">
        <f>AU51*2.7*2+AV51*2.7*2</f>
        <v>255.4659</v>
      </c>
      <c r="AX51" s="30">
        <f>AW51/D51</f>
        <v>4.2684360902255643</v>
      </c>
      <c r="AY51" s="30"/>
    </row>
    <row r="52" spans="1:51" x14ac:dyDescent="0.25">
      <c r="B52" s="36" t="s">
        <v>42</v>
      </c>
      <c r="C52" t="s">
        <v>55</v>
      </c>
      <c r="D52" s="37">
        <f>SUM(I52,K52,M52,O52,Q52,S52,U52,W52,Y52,AA52,AC52,AE52,AG52)</f>
        <v>56.24</v>
      </c>
      <c r="E52" s="38">
        <f>COUNTA(U52,W52,Y52,AA52)</f>
        <v>2</v>
      </c>
      <c r="F52" s="38">
        <f>COUNTA(M52,O52,Q52)</f>
        <v>1</v>
      </c>
      <c r="G52" s="38">
        <f>COUNTA(Table1[[#This Row],[A ASEO]])</f>
        <v>0</v>
      </c>
      <c r="H52" s="1">
        <f>SUM(J52,L52,N52,P52,R52,T52,V52,X52,Z52,AB52,AD52,AF52,AH52)</f>
        <v>89.477200000000011</v>
      </c>
      <c r="I52" s="1">
        <v>17.329999999999998</v>
      </c>
      <c r="J52" s="1">
        <f>I52*1.34</f>
        <v>23.222200000000001</v>
      </c>
      <c r="K52" s="1">
        <v>7</v>
      </c>
      <c r="L52" s="1">
        <f>K52*1.34</f>
        <v>9.3800000000000008</v>
      </c>
      <c r="M52" s="1">
        <v>4.66</v>
      </c>
      <c r="N52" s="1">
        <f>M52*2.36</f>
        <v>10.9976</v>
      </c>
      <c r="O52" s="1"/>
      <c r="P52" s="1"/>
      <c r="Q52" s="1"/>
      <c r="R52" s="1"/>
      <c r="S52" s="1"/>
      <c r="T52" s="1"/>
      <c r="U52" s="1">
        <v>12.01</v>
      </c>
      <c r="V52" s="1">
        <f>U52*1.34</f>
        <v>16.093399999999999</v>
      </c>
      <c r="W52" s="1">
        <v>8.6</v>
      </c>
      <c r="X52" s="1">
        <f>W52*1.34</f>
        <v>11.524000000000001</v>
      </c>
      <c r="Y52" s="1"/>
      <c r="Z52" s="1"/>
      <c r="AA52" s="1"/>
      <c r="AB52" s="1"/>
      <c r="AC52" s="1">
        <v>0.93</v>
      </c>
      <c r="AD52" s="1">
        <f>AC52*2.75</f>
        <v>2.5575000000000001</v>
      </c>
      <c r="AE52" s="1">
        <v>5.71</v>
      </c>
      <c r="AF52" s="1">
        <f>AE52*2.75</f>
        <v>15.702500000000001</v>
      </c>
      <c r="AG52" s="1"/>
      <c r="AH52" s="1"/>
      <c r="AI52" s="39"/>
      <c r="AJ52" s="39"/>
      <c r="AK52" s="34"/>
      <c r="AL52" s="27">
        <f>SUM(I52,U52,W52,Y52,AA52,AC52,AE52,AG52)</f>
        <v>44.58</v>
      </c>
      <c r="AM52" s="27">
        <f>SUM(K52,M52,O52,Q52,S52)</f>
        <v>11.66</v>
      </c>
      <c r="AN52" s="27">
        <f>SUM(J52,V52,X52,Z52,AB52,AD52,AF52,AH52)</f>
        <v>69.099600000000009</v>
      </c>
      <c r="AO52" s="27">
        <f>SUM(L52,N52,P52,R52,T52)</f>
        <v>20.377600000000001</v>
      </c>
      <c r="AP52" s="30">
        <f>SUM(AG52,AE52,AC52,AA52,Y52,W52,U52,I52)/D52</f>
        <v>0.79267425320056895</v>
      </c>
      <c r="AQ52" s="30">
        <f>SUM(K52,M52,O52,Q52,S52)/D52</f>
        <v>0.207325746799431</v>
      </c>
      <c r="AR52" s="30">
        <f>D52/H52</f>
        <v>0.62854000795733433</v>
      </c>
      <c r="AS52" s="30">
        <f>AL52/AN52</f>
        <v>0.64515568831078607</v>
      </c>
      <c r="AT52" s="30">
        <f>AM52/AO52</f>
        <v>0.57219692211055273</v>
      </c>
      <c r="AU52" s="35">
        <f>(((H52/2) - SQRT((H52/2)^2 - 4 * D52)) / 2)</f>
        <v>1.2945382578117872</v>
      </c>
      <c r="AV52" s="27">
        <f>(((H52/2) + SQRT((H52/2)^2 - 4 * D52)) / 2)</f>
        <v>43.444061742188218</v>
      </c>
      <c r="AW52" s="27">
        <f>AU52*2.7*2+AV52*2.7*2</f>
        <v>241.58844000000005</v>
      </c>
      <c r="AX52" s="30">
        <f>AW52/D52</f>
        <v>4.2956692745376959</v>
      </c>
      <c r="AY52" s="30"/>
    </row>
    <row r="53" spans="1:51" x14ac:dyDescent="0.25">
      <c r="A53" t="s">
        <v>60</v>
      </c>
      <c r="B53" s="36" t="s">
        <v>42</v>
      </c>
      <c r="C53" t="s">
        <v>56</v>
      </c>
      <c r="D53" s="37">
        <f>SUM(I53,K53,M53,O53,Q53,S53,U53,W53,Y53,AA53,AC53,AE53,AG53)</f>
        <v>58.500000000000007</v>
      </c>
      <c r="E53" s="38">
        <f>COUNTA(U53,W53,Y53,AA53)</f>
        <v>2</v>
      </c>
      <c r="F53" s="38">
        <f>COUNTA(M53,O53,Q53)</f>
        <v>1</v>
      </c>
      <c r="G53" s="38">
        <f>COUNTA(Table1[[#This Row],[A ASEO]])</f>
        <v>0</v>
      </c>
      <c r="H53" s="1">
        <f>SUM(J53,L53,N53,P53,R53,T53,V53,X53,Z53,AB53,AD53,AF53,AH53)</f>
        <v>93.484499999999997</v>
      </c>
      <c r="I53" s="1">
        <v>16.899999999999999</v>
      </c>
      <c r="J53" s="1">
        <f>I53*1.34</f>
        <v>22.646000000000001</v>
      </c>
      <c r="K53" s="1">
        <v>8.25</v>
      </c>
      <c r="L53" s="1">
        <f>K53*1.34</f>
        <v>11.055000000000001</v>
      </c>
      <c r="M53" s="1">
        <v>4.5</v>
      </c>
      <c r="N53" s="1">
        <f>M53*2.36</f>
        <v>10.62</v>
      </c>
      <c r="O53" s="1"/>
      <c r="P53" s="1"/>
      <c r="Q53" s="1"/>
      <c r="R53" s="1"/>
      <c r="S53" s="1"/>
      <c r="T53" s="1"/>
      <c r="U53" s="1">
        <v>12.05</v>
      </c>
      <c r="V53" s="1">
        <f>U53*1.34</f>
        <v>16.147000000000002</v>
      </c>
      <c r="W53" s="1">
        <v>9.35</v>
      </c>
      <c r="X53" s="1">
        <f>W53*1.34</f>
        <v>12.529</v>
      </c>
      <c r="Y53" s="1"/>
      <c r="Z53" s="1"/>
      <c r="AA53" s="1"/>
      <c r="AB53" s="1"/>
      <c r="AC53" s="1">
        <v>2.5</v>
      </c>
      <c r="AD53" s="1">
        <f>AC53*2.75</f>
        <v>6.875</v>
      </c>
      <c r="AE53" s="1">
        <v>4.95</v>
      </c>
      <c r="AF53" s="1">
        <f>AE53*2.75</f>
        <v>13.612500000000001</v>
      </c>
      <c r="AG53" s="1"/>
      <c r="AH53" s="1"/>
      <c r="AI53" s="39"/>
      <c r="AJ53" s="39"/>
      <c r="AK53" s="34"/>
      <c r="AL53" s="27">
        <f>SUM(I53,U53,W53,Y53,AA53,AC53,AE53,AG53)</f>
        <v>45.75</v>
      </c>
      <c r="AM53" s="27">
        <f>SUM(K53,M53,O53,Q53,S53)</f>
        <v>12.75</v>
      </c>
      <c r="AN53" s="27">
        <f>SUM(J53,V53,X53,Z53,AB53,AD53,AF53,AH53)</f>
        <v>71.8095</v>
      </c>
      <c r="AO53" s="27">
        <f>SUM(L53,N53,P53,R53,T53)</f>
        <v>21.675000000000001</v>
      </c>
      <c r="AP53" s="30">
        <f>SUM(AG53,AE53,AC53,AA53,Y53,W53,U53,I53)/D53</f>
        <v>0.78205128205128194</v>
      </c>
      <c r="AQ53" s="30">
        <f>SUM(K53,M53,O53,Q53,S53)/D53</f>
        <v>0.21794871794871792</v>
      </c>
      <c r="AR53" s="30">
        <f>D53/H53</f>
        <v>0.62577218683311142</v>
      </c>
      <c r="AS53" s="30">
        <f>AL53/AN53</f>
        <v>0.63710233325674182</v>
      </c>
      <c r="AT53" s="30">
        <f>AM53/AO53</f>
        <v>0.58823529411764708</v>
      </c>
      <c r="AU53" s="35">
        <f>(((H53/2) - SQRT((H53/2)^2 - 4 * D53)) / 2)</f>
        <v>1.2869794705568225</v>
      </c>
      <c r="AV53" s="27">
        <f>(((H53/2) + SQRT((H53/2)^2 - 4 * D53)) / 2)</f>
        <v>45.455270529443176</v>
      </c>
      <c r="AW53" s="27">
        <f>AU53*2.7*2+AV53*2.7*2</f>
        <v>252.40815000000001</v>
      </c>
      <c r="AX53" s="30">
        <f>AW53/D53</f>
        <v>4.3146692307692307</v>
      </c>
      <c r="AY53" s="30"/>
    </row>
    <row r="54" spans="1:51" x14ac:dyDescent="0.25">
      <c r="B54" s="36" t="s">
        <v>42</v>
      </c>
      <c r="C54" t="s">
        <v>77</v>
      </c>
      <c r="D54" s="37">
        <f>SUM(I54,K54,M54,O54,Q54,S54,U54,W54,Y54,AA54,AC54,AE54,AG54)</f>
        <v>55.050000000000004</v>
      </c>
      <c r="E54" s="38">
        <f>COUNTA(U54,W54,Y54,AA54)</f>
        <v>2</v>
      </c>
      <c r="F54" s="38">
        <f>COUNTA(M54,O54,Q54)</f>
        <v>1</v>
      </c>
      <c r="G54" s="38">
        <f>COUNTA(Table1[[#This Row],[A ASEO]])</f>
        <v>0</v>
      </c>
      <c r="H54" s="1">
        <f>SUM(J54,L54,N54,P54,R54,T54,V54,X54,Z54,AB54,AD54,AF54,AH54)</f>
        <v>88.00200000000001</v>
      </c>
      <c r="I54" s="1">
        <v>18.399999999999999</v>
      </c>
      <c r="J54" s="1">
        <f>I54*1.34</f>
        <v>24.655999999999999</v>
      </c>
      <c r="K54" s="1">
        <v>7</v>
      </c>
      <c r="L54" s="1">
        <f>K54*1.34</f>
        <v>9.3800000000000008</v>
      </c>
      <c r="M54" s="1">
        <v>3.45</v>
      </c>
      <c r="N54" s="1">
        <f>M54*2.36</f>
        <v>8.1419999999999995</v>
      </c>
      <c r="O54" s="1"/>
      <c r="P54" s="1"/>
      <c r="Q54" s="1"/>
      <c r="R54" s="1"/>
      <c r="S54" s="1"/>
      <c r="T54" s="1"/>
      <c r="U54" s="1">
        <v>10.4</v>
      </c>
      <c r="V54" s="1">
        <f>U54*1.34</f>
        <v>13.936000000000002</v>
      </c>
      <c r="W54" s="1">
        <v>8.1999999999999993</v>
      </c>
      <c r="X54" s="1">
        <f>W54*1.34</f>
        <v>10.988</v>
      </c>
      <c r="Y54" s="1"/>
      <c r="Z54" s="1"/>
      <c r="AA54" s="1"/>
      <c r="AB54" s="1"/>
      <c r="AC54" s="1">
        <v>2.25</v>
      </c>
      <c r="AD54" s="1">
        <f>AC54*2.75</f>
        <v>6.1875</v>
      </c>
      <c r="AE54" s="1">
        <v>5.35</v>
      </c>
      <c r="AF54" s="1">
        <f>AE54*2.75</f>
        <v>14.712499999999999</v>
      </c>
      <c r="AG54" s="1"/>
      <c r="AH54" s="1"/>
      <c r="AI54" s="39"/>
      <c r="AJ54" s="39"/>
      <c r="AK54" s="34"/>
      <c r="AL54" s="27">
        <f>SUM(I54,U54,W54,Y54,AA54,AC54,AE54,AG54)</f>
        <v>44.6</v>
      </c>
      <c r="AM54" s="27">
        <f>SUM(K54,M54,O54,Q54,S54)</f>
        <v>10.45</v>
      </c>
      <c r="AN54" s="27">
        <f>SUM(J54,V54,X54,Z54,AB54,AD54,AF54,AH54)</f>
        <v>70.47999999999999</v>
      </c>
      <c r="AO54" s="27">
        <f>SUM(L54,N54,P54,R54,T54)</f>
        <v>17.521999999999998</v>
      </c>
      <c r="AP54" s="30">
        <f>SUM(AG54,AE54,AC54,AA54,Y54,W54,U54,I54)/D54</f>
        <v>0.8101725703905539</v>
      </c>
      <c r="AQ54" s="30">
        <f>SUM(K54,M54,O54,Q54,S54)/D54</f>
        <v>0.18982742960944593</v>
      </c>
      <c r="AR54" s="30">
        <f>D54/H54</f>
        <v>0.62555396468262081</v>
      </c>
      <c r="AS54" s="30">
        <f>AL54/AN54</f>
        <v>0.63280363223609548</v>
      </c>
      <c r="AT54" s="30">
        <f>AM54/AO54</f>
        <v>0.59639310580983906</v>
      </c>
      <c r="AU54" s="35">
        <f>(((H54/2) - SQRT((H54/2)^2 - 4 * D54)) / 2)</f>
        <v>1.288860754155646</v>
      </c>
      <c r="AV54" s="27">
        <f>(((H54/2) + SQRT((H54/2)^2 - 4 * D54)) / 2)</f>
        <v>42.712139245844355</v>
      </c>
      <c r="AW54" s="27">
        <f>AU54*2.7*2+AV54*2.7*2</f>
        <v>237.6054</v>
      </c>
      <c r="AX54" s="30">
        <f>AW54/D54</f>
        <v>4.3161743869209808</v>
      </c>
      <c r="AY54" s="30"/>
    </row>
    <row r="55" spans="1:51" x14ac:dyDescent="0.25">
      <c r="B55" s="36" t="s">
        <v>42</v>
      </c>
      <c r="C55" t="s">
        <v>78</v>
      </c>
      <c r="D55" s="37">
        <f>SUM(I55,K55,M55,O55,Q55,S55,U55,W55,Y55,AA55,AC55,AE55,AG55)</f>
        <v>57.16</v>
      </c>
      <c r="E55" s="38">
        <f>COUNTA(U55,W55,Y55,AA55)</f>
        <v>2</v>
      </c>
      <c r="F55" s="38">
        <f>COUNTA(M55,O55,Q55)</f>
        <v>1</v>
      </c>
      <c r="G55" s="38">
        <f>COUNTA(Table1[[#This Row],[A ASEO]])</f>
        <v>0</v>
      </c>
      <c r="H55" s="1">
        <f>SUM(J55,L55,N55,P55,R55,T55,V55,X55,Z55,AB55,AD55,AF55,AH55)</f>
        <v>91.4</v>
      </c>
      <c r="I55" s="1">
        <v>16.68</v>
      </c>
      <c r="J55" s="1">
        <f>I55*1.34</f>
        <v>22.351200000000002</v>
      </c>
      <c r="K55" s="1">
        <v>7.61</v>
      </c>
      <c r="L55" s="1">
        <f>K55*1.34</f>
        <v>10.197400000000002</v>
      </c>
      <c r="M55" s="1">
        <v>4.59</v>
      </c>
      <c r="N55" s="1">
        <f>M55*2.36</f>
        <v>10.8324</v>
      </c>
      <c r="O55" s="1"/>
      <c r="P55" s="1"/>
      <c r="Q55" s="1"/>
      <c r="R55" s="1"/>
      <c r="S55" s="1"/>
      <c r="T55" s="1"/>
      <c r="U55" s="1">
        <v>13</v>
      </c>
      <c r="V55" s="1">
        <f>U55*1.34</f>
        <v>17.420000000000002</v>
      </c>
      <c r="W55" s="1">
        <v>8.1</v>
      </c>
      <c r="X55" s="1">
        <f>W55*1.34</f>
        <v>10.854000000000001</v>
      </c>
      <c r="Y55" s="1"/>
      <c r="Z55" s="1"/>
      <c r="AA55" s="1"/>
      <c r="AB55" s="1"/>
      <c r="AC55" s="1">
        <v>3.15</v>
      </c>
      <c r="AD55" s="1">
        <f>AC55*2.75</f>
        <v>8.6624999999999996</v>
      </c>
      <c r="AE55" s="1">
        <v>4.03</v>
      </c>
      <c r="AF55" s="1">
        <f>AE55*2.75</f>
        <v>11.082500000000001</v>
      </c>
      <c r="AG55" s="1"/>
      <c r="AH55" s="1"/>
      <c r="AI55" s="39"/>
      <c r="AJ55" s="39"/>
      <c r="AK55" s="34"/>
      <c r="AL55" s="27">
        <f>SUM(I55,U55,W55,Y55,AA55,AC55,AE55,AG55)</f>
        <v>44.96</v>
      </c>
      <c r="AM55" s="27">
        <f>SUM(K55,M55,O55,Q55,S55)</f>
        <v>12.2</v>
      </c>
      <c r="AN55" s="27">
        <f>SUM(J55,V55,X55,Z55,AB55,AD55,AF55,AH55)</f>
        <v>70.370200000000011</v>
      </c>
      <c r="AO55" s="27">
        <f>SUM(L55,N55,P55,R55,T55)</f>
        <v>21.029800000000002</v>
      </c>
      <c r="AP55" s="30">
        <f>SUM(AG55,AE55,AC55,AA55,Y55,W55,U55,I55)/D55</f>
        <v>0.78656403079076287</v>
      </c>
      <c r="AQ55" s="30">
        <f>SUM(K55,M55,O55,Q55,S55)/D55</f>
        <v>0.21343596920923724</v>
      </c>
      <c r="AR55" s="30">
        <f>D55/H55</f>
        <v>0.62538293216630192</v>
      </c>
      <c r="AS55" s="30">
        <f>AL55/AN55</f>
        <v>0.63890680998490834</v>
      </c>
      <c r="AT55" s="30">
        <f>AM55/AO55</f>
        <v>0.5801291500632435</v>
      </c>
      <c r="AU55" s="35">
        <f>(((H55/2) - SQRT((H55/2)^2 - 4 * D55)) / 2)</f>
        <v>1.2870108751128839</v>
      </c>
      <c r="AV55" s="27">
        <f>(((H55/2) + SQRT((H55/2)^2 - 4 * D55)) / 2)</f>
        <v>44.412989124887119</v>
      </c>
      <c r="AW55" s="27">
        <f>AU55*2.7*2+AV55*2.7*2</f>
        <v>246.78000000000003</v>
      </c>
      <c r="AX55" s="30">
        <f>AW55/D55</f>
        <v>4.3173547935619325</v>
      </c>
      <c r="AY55" s="30"/>
    </row>
    <row r="56" spans="1:51" x14ac:dyDescent="0.25">
      <c r="B56" s="36" t="s">
        <v>42</v>
      </c>
      <c r="C56" t="s">
        <v>65</v>
      </c>
      <c r="D56" s="37">
        <f>SUM(I56,K56,M56,O56,Q56,S56,U56,W56,Y56,AA56,AC56,AE56,AG56)</f>
        <v>66.739999999999995</v>
      </c>
      <c r="E56" s="38">
        <f>COUNTA(U56,W56,Y56,AA56)</f>
        <v>2</v>
      </c>
      <c r="F56" s="38">
        <f>COUNTA(M56,O56,Q56)</f>
        <v>2</v>
      </c>
      <c r="G56" s="38">
        <f>COUNTA(Table1[[#This Row],[A ASEO]])</f>
        <v>0</v>
      </c>
      <c r="H56" s="1">
        <f>SUM(J56,L56,N56,P56,R56,T56,V56,X56,Z56,AB56,AD56,AF56,AH56)</f>
        <v>106.95309999999999</v>
      </c>
      <c r="I56" s="1">
        <v>18.79</v>
      </c>
      <c r="J56" s="1">
        <f>I56*1.34</f>
        <v>25.178599999999999</v>
      </c>
      <c r="K56" s="1">
        <v>8.93</v>
      </c>
      <c r="L56" s="1">
        <f>K56*1.34</f>
        <v>11.966200000000001</v>
      </c>
      <c r="M56" s="1">
        <v>4.5199999999999996</v>
      </c>
      <c r="N56" s="1">
        <f>M56*2.36</f>
        <v>10.667199999999998</v>
      </c>
      <c r="O56" s="1">
        <v>3.77</v>
      </c>
      <c r="P56" s="1">
        <f>O56*2.36</f>
        <v>8.8971999999999998</v>
      </c>
      <c r="Q56" s="1"/>
      <c r="R56" s="1"/>
      <c r="S56" s="1"/>
      <c r="T56" s="1"/>
      <c r="U56" s="1">
        <v>14.28</v>
      </c>
      <c r="V56" s="1">
        <f>U56*1.34</f>
        <v>19.135200000000001</v>
      </c>
      <c r="W56" s="1">
        <v>9.4700000000000006</v>
      </c>
      <c r="X56" s="1">
        <f>W56*1.34</f>
        <v>12.689800000000002</v>
      </c>
      <c r="Y56" s="1"/>
      <c r="Z56" s="1"/>
      <c r="AA56" s="1"/>
      <c r="AB56" s="1"/>
      <c r="AC56" s="1">
        <v>2.69</v>
      </c>
      <c r="AD56" s="1">
        <f>AC56*2.75</f>
        <v>7.3975</v>
      </c>
      <c r="AE56" s="1">
        <v>2.2999999999999998</v>
      </c>
      <c r="AF56" s="1">
        <f>AE56*2.75</f>
        <v>6.3249999999999993</v>
      </c>
      <c r="AG56" s="1">
        <v>1.99</v>
      </c>
      <c r="AH56" s="1">
        <f>AG56*2.36</f>
        <v>4.6963999999999997</v>
      </c>
      <c r="AI56" s="39">
        <v>2.87</v>
      </c>
      <c r="AJ56" s="39">
        <f>AI56*0.6</f>
        <v>1.722</v>
      </c>
      <c r="AK56" s="34"/>
      <c r="AL56" s="27">
        <f>SUM(I56,U56,W56,Y56,AA56,AC56,AE56,AG56)</f>
        <v>49.519999999999996</v>
      </c>
      <c r="AM56" s="27">
        <f>SUM(K56,M56,O56,Q56,S56)</f>
        <v>17.22</v>
      </c>
      <c r="AN56" s="27">
        <f>SUM(J56,V56,X56,Z56,AB56,AD56,AF56,AH56)</f>
        <v>75.422499999999999</v>
      </c>
      <c r="AO56" s="27">
        <f>SUM(L56,N56,P56,R56,T56)</f>
        <v>31.5306</v>
      </c>
      <c r="AP56" s="30">
        <f>SUM(AG56,AE56,AC56,AA56,Y56,W56,U56,I56)/D56</f>
        <v>0.74198381780041966</v>
      </c>
      <c r="AQ56" s="30">
        <f>SUM(K56,M56,O56,Q56,S56)/D56</f>
        <v>0.25801618219958045</v>
      </c>
      <c r="AR56" s="30">
        <f>D56/H56</f>
        <v>0.62401183322409537</v>
      </c>
      <c r="AS56" s="30">
        <f>AL56/AN56</f>
        <v>0.65656800026517281</v>
      </c>
      <c r="AT56" s="30">
        <f>AM56/AO56</f>
        <v>0.54613613442179976</v>
      </c>
      <c r="AU56" s="35">
        <f>(((H56/2) - SQRT((H56/2)^2 - 4 * D56)) / 2)</f>
        <v>1.2785941305227659</v>
      </c>
      <c r="AV56" s="27">
        <f>(((H56/2) + SQRT((H56/2)^2 - 4 * D56)) / 2)</f>
        <v>52.197955869477227</v>
      </c>
      <c r="AW56" s="27">
        <f>AU56*2.7*2+AV56*2.7*2</f>
        <v>288.77337</v>
      </c>
      <c r="AX56" s="30">
        <f>AW56/D56</f>
        <v>4.3268410248726408</v>
      </c>
      <c r="AY56" s="30"/>
    </row>
    <row r="57" spans="1:51" x14ac:dyDescent="0.25">
      <c r="B57" s="36" t="s">
        <v>42</v>
      </c>
      <c r="C57" t="s">
        <v>69</v>
      </c>
      <c r="D57" s="37">
        <f>SUM(I57,K57,M57,O57,Q57,S57,U57,W57,Y57,AA57,AC57,AE57,AG57)</f>
        <v>59.3</v>
      </c>
      <c r="E57" s="38">
        <f>COUNTA(U57,W57,Y57,AA57)</f>
        <v>2</v>
      </c>
      <c r="F57" s="38">
        <f>COUNTA(M57,O57,Q57)</f>
        <v>1</v>
      </c>
      <c r="G57" s="38">
        <f>COUNTA(Table1[[#This Row],[A ASEO]])</f>
        <v>0</v>
      </c>
      <c r="H57" s="1">
        <f>SUM(J57,L57,N57,P57,R57,T57,V57,X57,Z57,AB57,AD57,AF57,AH57)</f>
        <v>95.145999999999987</v>
      </c>
      <c r="I57" s="1">
        <v>17.7</v>
      </c>
      <c r="J57" s="1">
        <f>I57*1.34</f>
        <v>23.718</v>
      </c>
      <c r="K57" s="1">
        <v>10.39</v>
      </c>
      <c r="L57" s="1">
        <f>K57*1.34</f>
        <v>13.922600000000001</v>
      </c>
      <c r="M57" s="1">
        <v>3.82</v>
      </c>
      <c r="N57" s="1">
        <f>M57*2.36</f>
        <v>9.0151999999999983</v>
      </c>
      <c r="O57" s="1"/>
      <c r="P57" s="1"/>
      <c r="Q57" s="1"/>
      <c r="R57" s="1"/>
      <c r="S57" s="1"/>
      <c r="T57" s="1"/>
      <c r="U57" s="1">
        <v>10.33</v>
      </c>
      <c r="V57" s="1">
        <f>U57*1.34</f>
        <v>13.8422</v>
      </c>
      <c r="W57" s="1">
        <v>8.6999999999999993</v>
      </c>
      <c r="X57" s="1">
        <f>W57*1.34</f>
        <v>11.657999999999999</v>
      </c>
      <c r="Y57" s="1"/>
      <c r="Z57" s="1"/>
      <c r="AA57" s="1"/>
      <c r="AB57" s="1"/>
      <c r="AC57" s="1">
        <v>4.88</v>
      </c>
      <c r="AD57" s="1">
        <f>AC57*2.75</f>
        <v>13.42</v>
      </c>
      <c r="AE57" s="1">
        <v>3.48</v>
      </c>
      <c r="AF57" s="1">
        <f>AE57*2.75</f>
        <v>9.57</v>
      </c>
      <c r="AG57" s="1"/>
      <c r="AH57" s="1"/>
      <c r="AI57" s="39"/>
      <c r="AJ57" s="39"/>
      <c r="AK57" s="34"/>
      <c r="AL57" s="27">
        <f>SUM(I57,U57,W57,Y57,AA57,AC57,AE57,AG57)</f>
        <v>45.09</v>
      </c>
      <c r="AM57" s="27">
        <f>SUM(K57,M57,O57,Q57,S57)</f>
        <v>14.21</v>
      </c>
      <c r="AN57" s="27">
        <f>SUM(J57,V57,X57,Z57,AB57,AD57,AF57,AH57)</f>
        <v>72.208200000000005</v>
      </c>
      <c r="AO57" s="27">
        <f>SUM(L57,N57,P57,R57,T57)</f>
        <v>22.937799999999999</v>
      </c>
      <c r="AP57" s="30">
        <f>SUM(AG57,AE57,AC57,AA57,Y57,W57,U57,I57)/D57</f>
        <v>0.76037099494097815</v>
      </c>
      <c r="AQ57" s="30">
        <f>SUM(K57,M57,O57,Q57,S57)/D57</f>
        <v>0.23962900505902196</v>
      </c>
      <c r="AR57" s="30">
        <f>D57/H57</f>
        <v>0.6232526853467304</v>
      </c>
      <c r="AS57" s="30">
        <f>AL57/AN57</f>
        <v>0.62444431518857968</v>
      </c>
      <c r="AT57" s="30">
        <f>AM57/AO57</f>
        <v>0.61950143431366567</v>
      </c>
      <c r="AU57" s="35">
        <f>(((H57/2) - SQRT((H57/2)^2 - 4 * D57)) / 2)</f>
        <v>1.2809988447268736</v>
      </c>
      <c r="AV57" s="27">
        <f>(((H57/2) + SQRT((H57/2)^2 - 4 * D57)) / 2)</f>
        <v>46.29200115527312</v>
      </c>
      <c r="AW57" s="27">
        <f>AU57*2.7*2+AV57*2.7*2</f>
        <v>256.89419999999996</v>
      </c>
      <c r="AX57" s="30">
        <f>AW57/D57</f>
        <v>4.3321112984822925</v>
      </c>
      <c r="AY57" s="30"/>
    </row>
    <row r="58" spans="1:51" x14ac:dyDescent="0.25">
      <c r="B58" s="36" t="s">
        <v>42</v>
      </c>
      <c r="C58" t="s">
        <v>77</v>
      </c>
      <c r="D58" s="37">
        <f>SUM(I58,K58,M58,O58,Q58,S58,U58,W58,Y58,AA58,AC58,AE58,AG58)</f>
        <v>57.25</v>
      </c>
      <c r="E58" s="38">
        <f>COUNTA(U58,W58,Y58,AA58)</f>
        <v>2</v>
      </c>
      <c r="F58" s="38">
        <f>COUNTA(M58,O58,Q58)</f>
        <v>1</v>
      </c>
      <c r="G58" s="38">
        <f>COUNTA(Table1[[#This Row],[A ASEO]])</f>
        <v>0</v>
      </c>
      <c r="H58" s="1">
        <f>SUM(J58,L58,N58,P58,R58,T58,V58,X58,Z58,AB58,AD58,AF58,AH58)</f>
        <v>91.956500000000005</v>
      </c>
      <c r="I58" s="1">
        <v>16.2</v>
      </c>
      <c r="J58" s="1">
        <f>I58*1.34</f>
        <v>21.708000000000002</v>
      </c>
      <c r="K58" s="1">
        <v>7.05</v>
      </c>
      <c r="L58" s="1">
        <f>K58*1.34</f>
        <v>9.447000000000001</v>
      </c>
      <c r="M58" s="1">
        <v>3.4</v>
      </c>
      <c r="N58" s="1">
        <f>M58*2.36</f>
        <v>8.0239999999999991</v>
      </c>
      <c r="O58" s="1"/>
      <c r="P58" s="1"/>
      <c r="Q58" s="1"/>
      <c r="R58" s="1"/>
      <c r="S58" s="1"/>
      <c r="T58" s="1"/>
      <c r="U58" s="1">
        <v>12.8</v>
      </c>
      <c r="V58" s="1">
        <f>U58*1.34</f>
        <v>17.152000000000001</v>
      </c>
      <c r="W58" s="1">
        <v>9.4499999999999993</v>
      </c>
      <c r="X58" s="1">
        <f>W58*1.34</f>
        <v>12.663</v>
      </c>
      <c r="Y58" s="1"/>
      <c r="Z58" s="1"/>
      <c r="AA58" s="1"/>
      <c r="AB58" s="1"/>
      <c r="AC58" s="1">
        <v>3.55</v>
      </c>
      <c r="AD58" s="1">
        <f>AC58*2.75</f>
        <v>9.7624999999999993</v>
      </c>
      <c r="AE58" s="1">
        <v>4.8</v>
      </c>
      <c r="AF58" s="1">
        <f>AE58*2.75</f>
        <v>13.2</v>
      </c>
      <c r="AG58" s="1"/>
      <c r="AH58" s="1"/>
      <c r="AI58" s="39"/>
      <c r="AJ58" s="39"/>
      <c r="AK58" s="34"/>
      <c r="AL58" s="27">
        <f>SUM(I58,U58,W58,Y58,AA58,AC58,AE58,AG58)</f>
        <v>46.8</v>
      </c>
      <c r="AM58" s="27">
        <f>SUM(K58,M58,O58,Q58,S58)</f>
        <v>10.45</v>
      </c>
      <c r="AN58" s="27">
        <f>SUM(J58,V58,X58,Z58,AB58,AD58,AF58,AH58)</f>
        <v>74.485500000000002</v>
      </c>
      <c r="AO58" s="27">
        <f>SUM(L58,N58,P58,R58,T58)</f>
        <v>17.471</v>
      </c>
      <c r="AP58" s="30">
        <f>SUM(AG58,AE58,AC58,AA58,Y58,W58,U58,I58)/D58</f>
        <v>0.81746724890829692</v>
      </c>
      <c r="AQ58" s="30">
        <f>SUM(K58,M58,O58,Q58,S58)/D58</f>
        <v>0.18253275109170305</v>
      </c>
      <c r="AR58" s="30">
        <f>D58/H58</f>
        <v>0.62257697933261924</v>
      </c>
      <c r="AS58" s="30">
        <f>AL58/AN58</f>
        <v>0.62831020802706561</v>
      </c>
      <c r="AT58" s="30">
        <f>AM58/AO58</f>
        <v>0.59813405071260939</v>
      </c>
      <c r="AU58" s="35">
        <f>(((H58/2) - SQRT((H58/2)^2 - 4 * D58)) / 2)</f>
        <v>1.2808346881024484</v>
      </c>
      <c r="AV58" s="27">
        <f>(((H58/2) + SQRT((H58/2)^2 - 4 * D58)) / 2)</f>
        <v>44.697415311897558</v>
      </c>
      <c r="AW58" s="27">
        <f>AU58*2.7*2+AV58*2.7*2</f>
        <v>248.28255000000004</v>
      </c>
      <c r="AX58" s="30">
        <f>AW58/D58</f>
        <v>4.3368131004366823</v>
      </c>
      <c r="AY58" s="30"/>
    </row>
    <row r="59" spans="1:51" x14ac:dyDescent="0.25">
      <c r="B59" s="36" t="s">
        <v>42</v>
      </c>
      <c r="C59" t="s">
        <v>54</v>
      </c>
      <c r="D59" s="37">
        <f>SUM(I59,K59,M59,O59,Q59,S59,U59,W59,Y59,AA59,AC59,AE59,AG59)</f>
        <v>67.569999999999993</v>
      </c>
      <c r="E59" s="38">
        <f>COUNTA(U59,W59,Y59,AA59)</f>
        <v>2</v>
      </c>
      <c r="F59" s="38">
        <f>COUNTA(M59,O59,Q59)</f>
        <v>1</v>
      </c>
      <c r="G59" s="38">
        <f>COUNTA(Table1[[#This Row],[A ASEO]])</f>
        <v>0</v>
      </c>
      <c r="H59" s="1">
        <f>SUM(J59,L59,N59,P59,R59,T59,V59,X59,Z59,AB59,AD59,AF59,AH59)</f>
        <v>108.54200000000002</v>
      </c>
      <c r="I59" s="1">
        <v>18.600000000000001</v>
      </c>
      <c r="J59" s="1">
        <f>I59*1.34</f>
        <v>24.924000000000003</v>
      </c>
      <c r="K59" s="1">
        <v>10.59</v>
      </c>
      <c r="L59" s="1">
        <f>K59*1.34</f>
        <v>14.1906</v>
      </c>
      <c r="M59" s="1">
        <v>4.9000000000000004</v>
      </c>
      <c r="N59" s="1">
        <f>M59*2.36</f>
        <v>11.564</v>
      </c>
      <c r="O59" s="1"/>
      <c r="P59" s="1"/>
      <c r="Q59" s="1"/>
      <c r="R59" s="1"/>
      <c r="S59" s="1"/>
      <c r="T59" s="1"/>
      <c r="U59" s="1">
        <v>12.51</v>
      </c>
      <c r="V59" s="1">
        <f>U59*1.34</f>
        <v>16.763400000000001</v>
      </c>
      <c r="W59" s="1">
        <v>11.75</v>
      </c>
      <c r="X59" s="1">
        <f>W59*1.34</f>
        <v>15.745000000000001</v>
      </c>
      <c r="Y59" s="1"/>
      <c r="Z59" s="1"/>
      <c r="AA59" s="1"/>
      <c r="AB59" s="1"/>
      <c r="AC59" s="1">
        <v>4.76</v>
      </c>
      <c r="AD59" s="1">
        <f>AC59*2.75</f>
        <v>13.09</v>
      </c>
      <c r="AE59" s="1">
        <v>4.46</v>
      </c>
      <c r="AF59" s="1">
        <f>AE59*2.75</f>
        <v>12.265000000000001</v>
      </c>
      <c r="AG59" s="1"/>
      <c r="AH59" s="1"/>
      <c r="AI59" s="39"/>
      <c r="AJ59" s="39"/>
      <c r="AK59" s="34"/>
      <c r="AL59" s="27">
        <f>SUM(I59,U59,W59,Y59,AA59,AC59,AE59,AG59)</f>
        <v>52.08</v>
      </c>
      <c r="AM59" s="27">
        <f>SUM(K59,M59,O59,Q59,S59)</f>
        <v>15.49</v>
      </c>
      <c r="AN59" s="27">
        <f>SUM(J59,V59,X59,Z59,AB59,AD59,AF59,AH59)</f>
        <v>82.787400000000005</v>
      </c>
      <c r="AO59" s="27">
        <f>SUM(L59,N59,P59,R59,T59)</f>
        <v>25.7546</v>
      </c>
      <c r="AP59" s="30">
        <f>SUM(AG59,AE59,AC59,AA59,Y59,W59,U59,I59)/D59</f>
        <v>0.77075625277490012</v>
      </c>
      <c r="AQ59" s="30">
        <f>SUM(K59,M59,O59,Q59,S59)/D59</f>
        <v>0.22924374722509994</v>
      </c>
      <c r="AR59" s="30">
        <f>D59/H59</f>
        <v>0.6225239999262957</v>
      </c>
      <c r="AS59" s="30">
        <f>AL59/AN59</f>
        <v>0.6290812369998332</v>
      </c>
      <c r="AT59" s="30">
        <f>AM59/AO59</f>
        <v>0.6014459552856577</v>
      </c>
      <c r="AU59" s="35">
        <f>(((H59/2) - SQRT((H59/2)^2 - 4 * D59)) / 2)</f>
        <v>1.275001933450703</v>
      </c>
      <c r="AV59" s="27">
        <f>(((H59/2) + SQRT((H59/2)^2 - 4 * D59)) / 2)</f>
        <v>52.995998066549305</v>
      </c>
      <c r="AW59" s="27">
        <f>AU59*2.7*2+AV59*2.7*2</f>
        <v>293.06340000000006</v>
      </c>
      <c r="AX59" s="30">
        <f>AW59/D59</f>
        <v>4.3371821814414693</v>
      </c>
      <c r="AY59" s="30"/>
    </row>
    <row r="60" spans="1:51" x14ac:dyDescent="0.25">
      <c r="B60" s="36" t="s">
        <v>42</v>
      </c>
      <c r="C60" t="s">
        <v>65</v>
      </c>
      <c r="D60" s="37">
        <f>SUM(I60,K60,M60,O60,Q60,S60,U60,W60,Y60,AA60,AC60,AE60,AG60)</f>
        <v>66.73</v>
      </c>
      <c r="E60" s="38">
        <f>COUNTA(U60,W60,Y60,AA60)</f>
        <v>2</v>
      </c>
      <c r="F60" s="38">
        <f>COUNTA(M60,O60,Q60)</f>
        <v>1</v>
      </c>
      <c r="G60" s="38">
        <f>COUNTA(Table1[[#This Row],[A ASEO]])</f>
        <v>0</v>
      </c>
      <c r="H60" s="1">
        <f>SUM(J60,L60,N60,P60,R60,T60,V60,X60,Z60,AB60,AD60,AF60,AH60)</f>
        <v>107.3807</v>
      </c>
      <c r="I60" s="1">
        <v>18.87</v>
      </c>
      <c r="J60" s="1">
        <f>I60*1.34</f>
        <v>25.285800000000002</v>
      </c>
      <c r="K60" s="1">
        <v>12.17</v>
      </c>
      <c r="L60" s="1">
        <f>K60*1.34</f>
        <v>16.3078</v>
      </c>
      <c r="M60" s="1">
        <v>4.63</v>
      </c>
      <c r="N60" s="1">
        <f>M60*2.36</f>
        <v>10.926799999999998</v>
      </c>
      <c r="O60" s="1"/>
      <c r="P60" s="1"/>
      <c r="Q60" s="1"/>
      <c r="R60" s="1"/>
      <c r="S60" s="1"/>
      <c r="T60" s="1"/>
      <c r="U60" s="1">
        <v>12.54</v>
      </c>
      <c r="V60" s="1">
        <f>U60*1.34</f>
        <v>16.803599999999999</v>
      </c>
      <c r="W60" s="1">
        <v>9.1300000000000008</v>
      </c>
      <c r="X60" s="1">
        <f>W60*1.34</f>
        <v>12.234200000000001</v>
      </c>
      <c r="Y60" s="1"/>
      <c r="Z60" s="1"/>
      <c r="AA60" s="1"/>
      <c r="AB60" s="1"/>
      <c r="AC60" s="1">
        <v>6.61</v>
      </c>
      <c r="AD60" s="1">
        <f>AC60*2.75</f>
        <v>18.177500000000002</v>
      </c>
      <c r="AE60" s="1">
        <v>2.78</v>
      </c>
      <c r="AF60" s="1">
        <f>AE60*2.75</f>
        <v>7.6449999999999996</v>
      </c>
      <c r="AG60" s="1"/>
      <c r="AH60" s="1"/>
      <c r="AI60" s="39"/>
      <c r="AJ60" s="39"/>
      <c r="AK60" s="34"/>
      <c r="AL60" s="27">
        <f>SUM(I60,U60,W60,Y60,AA60,AC60,AE60,AG60)</f>
        <v>49.93</v>
      </c>
      <c r="AM60" s="27">
        <f>SUM(K60,M60,O60,Q60,S60)</f>
        <v>16.8</v>
      </c>
      <c r="AN60" s="27">
        <f>SUM(J60,V60,X60,Z60,AB60,AD60,AF60,AH60)</f>
        <v>80.146100000000004</v>
      </c>
      <c r="AO60" s="27">
        <f>SUM(L60,N60,P60,R60,T60)</f>
        <v>27.2346</v>
      </c>
      <c r="AP60" s="30">
        <f>SUM(AG60,AE60,AC60,AA60,Y60,W60,U60,I60)/D60</f>
        <v>0.7482391727858535</v>
      </c>
      <c r="AQ60" s="30">
        <f>SUM(K60,M60,O60,Q60,S60)/D60</f>
        <v>0.25176082721414655</v>
      </c>
      <c r="AR60" s="30">
        <f>D60/H60</f>
        <v>0.62143383308173628</v>
      </c>
      <c r="AS60" s="30">
        <f>AL60/AN60</f>
        <v>0.62298726949907723</v>
      </c>
      <c r="AT60" s="30">
        <f>AM60/AO60</f>
        <v>0.61686237359829044</v>
      </c>
      <c r="AU60" s="35">
        <f>(((H60/2) - SQRT((H60/2)^2 - 4 * D60)) / 2)</f>
        <v>1.2730530547912871</v>
      </c>
      <c r="AV60" s="27">
        <f>(((H60/2) + SQRT((H60/2)^2 - 4 * D60)) / 2)</f>
        <v>52.417296945208719</v>
      </c>
      <c r="AW60" s="27">
        <f>AU60*2.7*2+AV60*2.7*2</f>
        <v>289.92789000000005</v>
      </c>
      <c r="AX60" s="30">
        <f>AW60/D60</f>
        <v>4.3447907987411964</v>
      </c>
      <c r="AY60" s="30"/>
    </row>
    <row r="61" spans="1:51" x14ac:dyDescent="0.25">
      <c r="B61" s="36" t="s">
        <v>42</v>
      </c>
      <c r="C61" t="s">
        <v>77</v>
      </c>
      <c r="D61" s="37">
        <f>SUM(I61,K61,M61,O61,Q61,S61,U61,W61,Y61,AA61,AC61,AE61,AG61)</f>
        <v>59.599999999999994</v>
      </c>
      <c r="E61" s="38">
        <f>COUNTA(U61,W61,Y61,AA61)</f>
        <v>2</v>
      </c>
      <c r="F61" s="38">
        <f>COUNTA(M61,O61,Q61)</f>
        <v>1</v>
      </c>
      <c r="G61" s="38">
        <f>COUNTA(Table1[[#This Row],[A ASEO]])</f>
        <v>0</v>
      </c>
      <c r="H61" s="1">
        <f>SUM(J61,L61,N61,P61,R61,T61,V61,X61,Z61,AB61,AD61,AF61,AH61)</f>
        <v>96.301000000000002</v>
      </c>
      <c r="I61" s="1">
        <v>18.149999999999999</v>
      </c>
      <c r="J61" s="1">
        <f>I61*1.34</f>
        <v>24.320999999999998</v>
      </c>
      <c r="K61" s="1">
        <v>7.1</v>
      </c>
      <c r="L61" s="1">
        <f>K61*1.34</f>
        <v>9.5139999999999993</v>
      </c>
      <c r="M61" s="1">
        <v>3.95</v>
      </c>
      <c r="N61" s="1">
        <f>M61*2.36</f>
        <v>9.3219999999999992</v>
      </c>
      <c r="O61" s="1"/>
      <c r="P61" s="1"/>
      <c r="Q61" s="1"/>
      <c r="R61" s="1"/>
      <c r="S61" s="1"/>
      <c r="T61" s="1"/>
      <c r="U61" s="1">
        <v>12.2</v>
      </c>
      <c r="V61" s="1">
        <f>U61*1.34</f>
        <v>16.347999999999999</v>
      </c>
      <c r="W61" s="1">
        <v>9.4</v>
      </c>
      <c r="X61" s="1">
        <f>W61*1.34</f>
        <v>12.596000000000002</v>
      </c>
      <c r="Y61" s="1"/>
      <c r="Z61" s="1"/>
      <c r="AA61" s="1"/>
      <c r="AB61" s="1"/>
      <c r="AC61" s="1">
        <v>3.8</v>
      </c>
      <c r="AD61" s="1">
        <f>AC61*2.75</f>
        <v>10.45</v>
      </c>
      <c r="AE61" s="1">
        <v>5</v>
      </c>
      <c r="AF61" s="1">
        <f>AE61*2.75</f>
        <v>13.75</v>
      </c>
      <c r="AG61" s="1"/>
      <c r="AH61" s="1"/>
      <c r="AI61" s="39"/>
      <c r="AJ61" s="39"/>
      <c r="AK61" s="34"/>
      <c r="AL61" s="27">
        <f>SUM(I61,U61,W61,Y61,AA61,AC61,AE61,AG61)</f>
        <v>48.55</v>
      </c>
      <c r="AM61" s="27">
        <f>SUM(K61,M61,O61,Q61,S61)</f>
        <v>11.05</v>
      </c>
      <c r="AN61" s="27">
        <f>SUM(J61,V61,X61,Z61,AB61,AD61,AF61,AH61)</f>
        <v>77.465000000000003</v>
      </c>
      <c r="AO61" s="27">
        <f>SUM(L61,N61,P61,R61,T61)</f>
        <v>18.835999999999999</v>
      </c>
      <c r="AP61" s="30">
        <f>SUM(AG61,AE61,AC61,AA61,Y61,W61,U61,I61)/D61</f>
        <v>0.81459731543624159</v>
      </c>
      <c r="AQ61" s="30">
        <f>SUM(K61,M61,O61,Q61,S61)/D61</f>
        <v>0.18540268456375841</v>
      </c>
      <c r="AR61" s="30">
        <f>D61/H61</f>
        <v>0.61889284638788788</v>
      </c>
      <c r="AS61" s="30">
        <f>AL61/AN61</f>
        <v>0.62673465436003351</v>
      </c>
      <c r="AT61" s="30">
        <f>AM61/AO61</f>
        <v>0.58664259927797846</v>
      </c>
      <c r="AU61" s="35">
        <f>(((H61/2) - SQRT((H61/2)^2 - 4 * D61)) / 2)</f>
        <v>1.2713542240037405</v>
      </c>
      <c r="AV61" s="27">
        <f>(((H61/2) + SQRT((H61/2)^2 - 4 * D61)) / 2)</f>
        <v>46.879145775996264</v>
      </c>
      <c r="AW61" s="27">
        <f>AU61*2.7*2+AV61*2.7*2</f>
        <v>260.01270000000005</v>
      </c>
      <c r="AX61" s="30">
        <f>AW61/D61</f>
        <v>4.3626291946308742</v>
      </c>
      <c r="AY61" s="30"/>
    </row>
    <row r="62" spans="1:51" x14ac:dyDescent="0.25">
      <c r="B62" s="36" t="s">
        <v>42</v>
      </c>
      <c r="C62" t="s">
        <v>59</v>
      </c>
      <c r="D62" s="37">
        <f>SUM(I62,K62,M62,O62,Q62,S62,U62,W62,Y62,AA62,AC62,AE62,AG62)</f>
        <v>61.889999999999993</v>
      </c>
      <c r="E62" s="38">
        <f>COUNTA(U62,W62,Y62,AA62)</f>
        <v>2</v>
      </c>
      <c r="F62" s="38">
        <f>COUNTA(M62,O62,Q62)</f>
        <v>1</v>
      </c>
      <c r="G62" s="38">
        <f>COUNTA(Table1[[#This Row],[A ASEO]])</f>
        <v>0</v>
      </c>
      <c r="H62" s="1">
        <f>SUM(J62,L62,N62,P62,R62,T62,V62,X62,Z62,AB62,AD62,AF62,AH62)</f>
        <v>100.45050000000001</v>
      </c>
      <c r="I62" s="1">
        <v>18.78</v>
      </c>
      <c r="J62" s="1">
        <f>I62*1.34</f>
        <v>25.165200000000002</v>
      </c>
      <c r="K62" s="1">
        <v>8.35</v>
      </c>
      <c r="L62" s="1">
        <f>K62*1.34</f>
        <v>11.189</v>
      </c>
      <c r="M62" s="1">
        <v>3.88</v>
      </c>
      <c r="N62" s="1">
        <f>M62*2.36</f>
        <v>9.1567999999999987</v>
      </c>
      <c r="O62" s="1"/>
      <c r="P62" s="1"/>
      <c r="Q62" s="1"/>
      <c r="R62" s="1"/>
      <c r="S62" s="1"/>
      <c r="T62" s="1"/>
      <c r="U62" s="1">
        <v>10.67</v>
      </c>
      <c r="V62" s="1">
        <f>U62*1.34</f>
        <v>14.297800000000001</v>
      </c>
      <c r="W62" s="1">
        <v>10.07</v>
      </c>
      <c r="X62" s="1">
        <f>W62*1.34</f>
        <v>13.493800000000002</v>
      </c>
      <c r="Y62" s="1"/>
      <c r="Z62" s="1"/>
      <c r="AA62" s="1"/>
      <c r="AB62" s="1"/>
      <c r="AC62" s="1">
        <v>4.5199999999999996</v>
      </c>
      <c r="AD62" s="1">
        <f>AC62*2.75</f>
        <v>12.43</v>
      </c>
      <c r="AE62" s="1">
        <v>3.73</v>
      </c>
      <c r="AF62" s="1">
        <f>AE62*2.75</f>
        <v>10.2575</v>
      </c>
      <c r="AG62" s="1">
        <v>1.89</v>
      </c>
      <c r="AH62" s="1">
        <f>AG62*2.36</f>
        <v>4.4603999999999999</v>
      </c>
      <c r="AI62" s="39">
        <v>2.2999999999999998</v>
      </c>
      <c r="AJ62" s="39">
        <f>AI62*0.6</f>
        <v>1.38</v>
      </c>
      <c r="AK62" s="34"/>
      <c r="AL62" s="27">
        <f>SUM(I62,U62,W62,Y62,AA62,AC62,AE62,AG62)</f>
        <v>49.660000000000004</v>
      </c>
      <c r="AM62" s="27">
        <f>SUM(K62,M62,O62,Q62,S62)</f>
        <v>12.23</v>
      </c>
      <c r="AN62" s="27">
        <f>SUM(J62,V62,X62,Z62,AB62,AD62,AF62,AH62)</f>
        <v>80.10469999999998</v>
      </c>
      <c r="AO62" s="27">
        <f>SUM(L62,N62,P62,R62,T62)</f>
        <v>20.345799999999997</v>
      </c>
      <c r="AP62" s="30">
        <f>SUM(AG62,AE62,AC62,AA62,Y62,W62,U62,I62)/D62</f>
        <v>0.80239133947325914</v>
      </c>
      <c r="AQ62" s="30">
        <f>SUM(K62,M62,O62,Q62,S62)/D62</f>
        <v>0.19760866052674103</v>
      </c>
      <c r="AR62" s="30">
        <f>D62/H62</f>
        <v>0.61612435975928437</v>
      </c>
      <c r="AS62" s="30">
        <f>AL62/AN62</f>
        <v>0.61993865528489611</v>
      </c>
      <c r="AT62" s="30">
        <f>AM62/AO62</f>
        <v>0.60110686234996913</v>
      </c>
      <c r="AU62" s="35">
        <f>(((H62/2) - SQRT((H62/2)^2 - 4 * D62)) / 2)</f>
        <v>1.2640624774783333</v>
      </c>
      <c r="AV62" s="27">
        <f>(((H62/2) + SQRT((H62/2)^2 - 4 * D62)) / 2)</f>
        <v>48.961187522521669</v>
      </c>
      <c r="AW62" s="27">
        <f>AU62*2.7*2+AV62*2.7*2</f>
        <v>271.21635000000003</v>
      </c>
      <c r="AX62" s="30">
        <f>AW62/D62</f>
        <v>4.3822321861366955</v>
      </c>
      <c r="AY62" s="30"/>
    </row>
    <row r="63" spans="1:51" x14ac:dyDescent="0.25">
      <c r="B63" s="36" t="s">
        <v>42</v>
      </c>
      <c r="C63" t="s">
        <v>59</v>
      </c>
      <c r="D63" s="37">
        <f>SUM(I63,K63,M63,O63,Q63,S63,U63,W63,Y63,AA63,AC63,AE63,AG63)</f>
        <v>59.41</v>
      </c>
      <c r="E63" s="38">
        <f>COUNTA(U63,W63,Y63,AA63)</f>
        <v>2</v>
      </c>
      <c r="F63" s="38">
        <f>COUNTA(M63,O63,Q63)</f>
        <v>1</v>
      </c>
      <c r="G63" s="38">
        <f>COUNTA(Table1[[#This Row],[A ASEO]])</f>
        <v>0</v>
      </c>
      <c r="H63" s="1">
        <f>SUM(J63,L63,N63,P63,R63,T63,V63,X63,Z63,AB63,AD63,AF63,AH63)</f>
        <v>96.446299999999994</v>
      </c>
      <c r="I63" s="1">
        <v>18.78</v>
      </c>
      <c r="J63" s="1">
        <f>I63*1.34</f>
        <v>25.165200000000002</v>
      </c>
      <c r="K63" s="1">
        <v>6.27</v>
      </c>
      <c r="L63" s="1">
        <f>K63*1.34</f>
        <v>8.4017999999999997</v>
      </c>
      <c r="M63" s="1">
        <v>3.88</v>
      </c>
      <c r="N63" s="1">
        <f>M63*2.36</f>
        <v>9.1567999999999987</v>
      </c>
      <c r="O63" s="1"/>
      <c r="P63" s="1"/>
      <c r="Q63" s="1"/>
      <c r="R63" s="1"/>
      <c r="S63" s="1"/>
      <c r="T63" s="1"/>
      <c r="U63" s="1">
        <v>10.67</v>
      </c>
      <c r="V63" s="1">
        <f>U63*1.34</f>
        <v>14.297800000000001</v>
      </c>
      <c r="W63" s="1">
        <v>10.07</v>
      </c>
      <c r="X63" s="1">
        <f>W63*1.34</f>
        <v>13.493800000000002</v>
      </c>
      <c r="Y63" s="1"/>
      <c r="Z63" s="1"/>
      <c r="AA63" s="1"/>
      <c r="AB63" s="1"/>
      <c r="AC63" s="1">
        <v>3.82</v>
      </c>
      <c r="AD63" s="1">
        <f>AC63*2.75</f>
        <v>10.504999999999999</v>
      </c>
      <c r="AE63" s="1">
        <v>3.73</v>
      </c>
      <c r="AF63" s="1">
        <f>AE63*2.75</f>
        <v>10.2575</v>
      </c>
      <c r="AG63" s="1">
        <v>2.19</v>
      </c>
      <c r="AH63" s="1">
        <f>AG63*2.36</f>
        <v>5.1683999999999992</v>
      </c>
      <c r="AI63" s="39"/>
      <c r="AJ63" s="39"/>
      <c r="AK63" s="34"/>
      <c r="AL63" s="27">
        <f>SUM(I63,U63,W63,Y63,AA63,AC63,AE63,AG63)</f>
        <v>49.26</v>
      </c>
      <c r="AM63" s="27">
        <f>SUM(K63,M63,O63,Q63,S63)</f>
        <v>10.149999999999999</v>
      </c>
      <c r="AN63" s="27">
        <f>SUM(J63,V63,X63,Z63,AB63,AD63,AF63,AH63)</f>
        <v>78.887700000000009</v>
      </c>
      <c r="AO63" s="27">
        <f>SUM(L63,N63,P63,R63,T63)</f>
        <v>17.558599999999998</v>
      </c>
      <c r="AP63" s="30">
        <f>SUM(AG63,AE63,AC63,AA63,Y63,W63,U63,I63)/D63</f>
        <v>0.82915334118835227</v>
      </c>
      <c r="AQ63" s="30">
        <f>SUM(K63,M63,O63,Q63,S63)/D63</f>
        <v>0.17084665881164784</v>
      </c>
      <c r="AR63" s="30">
        <f>D63/H63</f>
        <v>0.61599045271824837</v>
      </c>
      <c r="AS63" s="30">
        <f>AL63/AN63</f>
        <v>0.62443194566453319</v>
      </c>
      <c r="AT63" s="30">
        <f>AM63/AO63</f>
        <v>0.57806431036643013</v>
      </c>
      <c r="AU63" s="35">
        <f>(((H63/2) - SQRT((H63/2)^2 - 4 * D63)) / 2)</f>
        <v>1.2651737739726272</v>
      </c>
      <c r="AV63" s="27">
        <f>(((H63/2) + SQRT((H63/2)^2 - 4 * D63)) / 2)</f>
        <v>46.95797622602737</v>
      </c>
      <c r="AW63" s="27">
        <f>AU63*2.7*2+AV63*2.7*2</f>
        <v>260.40501</v>
      </c>
      <c r="AX63" s="30">
        <f>AW63/D63</f>
        <v>4.3831848173708137</v>
      </c>
      <c r="AY63" s="30"/>
    </row>
    <row r="64" spans="1:51" x14ac:dyDescent="0.25">
      <c r="B64" s="36" t="s">
        <v>42</v>
      </c>
      <c r="C64" t="s">
        <v>59</v>
      </c>
      <c r="D64" s="37">
        <f>SUM(I64,K64,M64,O64,Q64,S64,U64,W64,Y64,AA64,AC64,AE64,AG64)</f>
        <v>63.320000000000007</v>
      </c>
      <c r="E64" s="38">
        <f>COUNTA(U64,W64,Y64,AA64)</f>
        <v>2</v>
      </c>
      <c r="F64" s="38">
        <f>COUNTA(M64,O64,Q64)</f>
        <v>1</v>
      </c>
      <c r="G64" s="38">
        <f>COUNTA(Table1[[#This Row],[A ASEO]])</f>
        <v>0</v>
      </c>
      <c r="H64" s="1">
        <f>SUM(J64,L64,N64,P64,R64,T64,V64,X64,Z64,AB64,AD64,AF64,AH64)</f>
        <v>103.48840000000001</v>
      </c>
      <c r="I64" s="1">
        <v>18.21</v>
      </c>
      <c r="J64" s="1">
        <f>I64*1.34</f>
        <v>24.401400000000002</v>
      </c>
      <c r="K64" s="1">
        <v>6.98</v>
      </c>
      <c r="L64" s="1">
        <f>K64*1.34</f>
        <v>9.3532000000000011</v>
      </c>
      <c r="M64" s="1">
        <v>4.4400000000000004</v>
      </c>
      <c r="N64" s="1">
        <f>M64*2.36</f>
        <v>10.478400000000001</v>
      </c>
      <c r="O64" s="1"/>
      <c r="P64" s="1"/>
      <c r="Q64" s="1"/>
      <c r="R64" s="1"/>
      <c r="S64" s="1"/>
      <c r="T64" s="1"/>
      <c r="U64" s="1">
        <v>12.17</v>
      </c>
      <c r="V64" s="1">
        <f>U64*1.34</f>
        <v>16.3078</v>
      </c>
      <c r="W64" s="1">
        <v>10.89</v>
      </c>
      <c r="X64" s="1">
        <f>W64*1.34</f>
        <v>14.592600000000001</v>
      </c>
      <c r="Y64" s="1"/>
      <c r="Z64" s="1"/>
      <c r="AA64" s="1"/>
      <c r="AB64" s="1"/>
      <c r="AC64" s="1">
        <v>6.38</v>
      </c>
      <c r="AD64" s="1">
        <f>AC64*2.75</f>
        <v>17.544999999999998</v>
      </c>
      <c r="AE64" s="1">
        <v>2</v>
      </c>
      <c r="AF64" s="1">
        <f>AE64*2.75</f>
        <v>5.5</v>
      </c>
      <c r="AG64" s="1">
        <v>2.25</v>
      </c>
      <c r="AH64" s="1">
        <f>AG64*2.36</f>
        <v>5.31</v>
      </c>
      <c r="AI64" s="39">
        <v>2.3199999999999998</v>
      </c>
      <c r="AJ64" s="39">
        <f>AI64*0.6</f>
        <v>1.3919999999999999</v>
      </c>
      <c r="AK64" s="34"/>
      <c r="AL64" s="27">
        <f>SUM(I64,U64,W64,Y64,AA64,AC64,AE64,AG64)</f>
        <v>51.900000000000006</v>
      </c>
      <c r="AM64" s="27">
        <f>SUM(K64,M64,O64,Q64,S64)</f>
        <v>11.420000000000002</v>
      </c>
      <c r="AN64" s="27">
        <f>SUM(J64,V64,X64,Z64,AB64,AD64,AF64,AH64)</f>
        <v>83.656800000000004</v>
      </c>
      <c r="AO64" s="27">
        <f>SUM(L64,N64,P64,R64,T64)</f>
        <v>19.831600000000002</v>
      </c>
      <c r="AP64" s="30">
        <f>SUM(AG64,AE64,AC64,AA64,Y64,W64,U64,I64)/D64</f>
        <v>0.81964624131396069</v>
      </c>
      <c r="AQ64" s="30">
        <f>SUM(K64,M64,O64,Q64,S64)/D64</f>
        <v>0.18035375868603917</v>
      </c>
      <c r="AR64" s="30">
        <f>D64/H64</f>
        <v>0.61185601478040053</v>
      </c>
      <c r="AS64" s="30">
        <f>AL64/AN64</f>
        <v>0.62039188685199531</v>
      </c>
      <c r="AT64" s="30">
        <f>AM64/AO64</f>
        <v>0.57584864559591764</v>
      </c>
      <c r="AU64" s="35">
        <f>(((H64/2) - SQRT((H64/2)^2 - 4 * D64)) / 2)</f>
        <v>1.2541074252590612</v>
      </c>
      <c r="AV64" s="27">
        <f>(((H64/2) + SQRT((H64/2)^2 - 4 * D64)) / 2)</f>
        <v>50.490092574740942</v>
      </c>
      <c r="AW64" s="27">
        <f>AU64*2.7*2+AV64*2.7*2</f>
        <v>279.41868000000005</v>
      </c>
      <c r="AX64" s="30">
        <f>AW64/D64</f>
        <v>4.412802905874921</v>
      </c>
      <c r="AY64" s="30"/>
    </row>
    <row r="65" spans="2:51" x14ac:dyDescent="0.25">
      <c r="B65" s="36" t="s">
        <v>42</v>
      </c>
      <c r="C65" t="s">
        <v>59</v>
      </c>
      <c r="D65" s="37">
        <f>SUM(I65,K65,M65,O65,Q65,S65,U65,W65,Y65,AA65,AC65,AE65,AG65)</f>
        <v>57.44</v>
      </c>
      <c r="E65" s="38">
        <f>COUNTA(U65,W65,Y65,AA65)</f>
        <v>2</v>
      </c>
      <c r="F65" s="38">
        <f>COUNTA(M65,O65,Q65)</f>
        <v>1</v>
      </c>
      <c r="G65" s="38">
        <f>COUNTA(Table1[[#This Row],[A ASEO]])</f>
        <v>0</v>
      </c>
      <c r="H65" s="1">
        <f>SUM(J65,L65,N65,P65,R65,T65,V65,X65,Z65,AB65,AD65,AF65,AH65)</f>
        <v>94.461700000000008</v>
      </c>
      <c r="I65" s="1">
        <v>16.329999999999998</v>
      </c>
      <c r="J65" s="1">
        <f>I65*1.34</f>
        <v>21.882199999999997</v>
      </c>
      <c r="K65" s="1">
        <v>7.19</v>
      </c>
      <c r="L65" s="1">
        <f>K65*1.34</f>
        <v>9.6346000000000007</v>
      </c>
      <c r="M65" s="1">
        <v>3.44</v>
      </c>
      <c r="N65" s="1">
        <f>M65*2.36</f>
        <v>8.1183999999999994</v>
      </c>
      <c r="O65" s="1"/>
      <c r="P65" s="1"/>
      <c r="Q65" s="1"/>
      <c r="R65" s="1"/>
      <c r="S65" s="1"/>
      <c r="T65" s="1"/>
      <c r="U65" s="1">
        <v>10.54</v>
      </c>
      <c r="V65" s="1">
        <f>U65*1.34</f>
        <v>14.1236</v>
      </c>
      <c r="W65" s="1">
        <v>9.5</v>
      </c>
      <c r="X65" s="1">
        <f>W65*1.34</f>
        <v>12.73</v>
      </c>
      <c r="Y65" s="1"/>
      <c r="Z65" s="1"/>
      <c r="AA65" s="1"/>
      <c r="AB65" s="1"/>
      <c r="AC65" s="1">
        <v>4.8</v>
      </c>
      <c r="AD65" s="1">
        <f>AC65*2.75</f>
        <v>13.2</v>
      </c>
      <c r="AE65" s="1">
        <v>3.75</v>
      </c>
      <c r="AF65" s="1">
        <f>AE65*2.75</f>
        <v>10.3125</v>
      </c>
      <c r="AG65" s="1">
        <v>1.89</v>
      </c>
      <c r="AH65" s="1">
        <f>AG65*2.36</f>
        <v>4.4603999999999999</v>
      </c>
      <c r="AI65" s="39">
        <v>4.26</v>
      </c>
      <c r="AJ65" s="39">
        <f>AI65*0.6</f>
        <v>2.5559999999999996</v>
      </c>
      <c r="AK65" s="34"/>
      <c r="AL65" s="27">
        <f>SUM(I65,U65,W65,Y65,AA65,AC65,AE65,AG65)</f>
        <v>46.809999999999995</v>
      </c>
      <c r="AM65" s="27">
        <f>SUM(K65,M65,O65,Q65,S65)</f>
        <v>10.63</v>
      </c>
      <c r="AN65" s="27">
        <f>SUM(J65,V65,X65,Z65,AB65,AD65,AF65,AH65)</f>
        <v>76.708699999999993</v>
      </c>
      <c r="AO65" s="27">
        <f>SUM(L65,N65,P65,R65,T65)</f>
        <v>17.753</v>
      </c>
      <c r="AP65" s="30">
        <f>SUM(AG65,AE65,AC65,AA65,Y65,W65,U65,I65)/D65</f>
        <v>0.81493732590529244</v>
      </c>
      <c r="AQ65" s="30">
        <f>SUM(K65,M65,O65,Q65,S65)/D65</f>
        <v>0.18506267409470753</v>
      </c>
      <c r="AR65" s="30">
        <f>D65/H65</f>
        <v>0.60807713602444158</v>
      </c>
      <c r="AS65" s="30">
        <f>AL65/AN65</f>
        <v>0.61023065180351121</v>
      </c>
      <c r="AT65" s="30">
        <f>AM65/AO65</f>
        <v>0.59877203852869942</v>
      </c>
      <c r="AU65" s="35">
        <f>(((H65/2) - SQRT((H65/2)^2 - 4 * D65)) / 2)</f>
        <v>1.2491938036042818</v>
      </c>
      <c r="AV65" s="27">
        <f>(((H65/2) + SQRT((H65/2)^2 - 4 * D65)) / 2)</f>
        <v>45.981656196395718</v>
      </c>
      <c r="AW65" s="27">
        <f>AU65*2.7*2+AV65*2.7*2</f>
        <v>255.04659000000001</v>
      </c>
      <c r="AX65" s="30">
        <f>AW65/D65</f>
        <v>4.4402261490250696</v>
      </c>
      <c r="AY65" s="30"/>
    </row>
    <row r="66" spans="2:51" x14ac:dyDescent="0.25">
      <c r="B66" s="36" t="s">
        <v>42</v>
      </c>
      <c r="C66" t="s">
        <v>77</v>
      </c>
      <c r="D66" s="37">
        <f>SUM(I66,K66,M66,O66,Q66,S66,U66,W66,Y66,AA66,AC66,AE66,AG66)</f>
        <v>57.099999999999994</v>
      </c>
      <c r="E66" s="38">
        <f>COUNTA(U66,W66,Y66,AA66)</f>
        <v>2</v>
      </c>
      <c r="F66" s="38">
        <f>COUNTA(M66,O66,Q66)</f>
        <v>1</v>
      </c>
      <c r="G66" s="38">
        <f>COUNTA(Table1[[#This Row],[A ASEO]])</f>
        <v>0</v>
      </c>
      <c r="H66" s="1">
        <f>SUM(J66,L66,N66,P66,R66,T66,V66,X66,Z66,AB66,AD66,AF66,AH66)</f>
        <v>94.259</v>
      </c>
      <c r="I66" s="1">
        <v>16</v>
      </c>
      <c r="J66" s="1">
        <f>I66*1.34</f>
        <v>21.44</v>
      </c>
      <c r="K66" s="1">
        <v>7</v>
      </c>
      <c r="L66" s="1">
        <f>K66*1.34</f>
        <v>9.3800000000000008</v>
      </c>
      <c r="M66" s="1">
        <v>4.2</v>
      </c>
      <c r="N66" s="1">
        <f>M66*2.36</f>
        <v>9.911999999999999</v>
      </c>
      <c r="O66" s="1"/>
      <c r="P66" s="1"/>
      <c r="Q66" s="1"/>
      <c r="R66" s="1"/>
      <c r="S66" s="1"/>
      <c r="T66" s="1"/>
      <c r="U66" s="1">
        <v>11.1</v>
      </c>
      <c r="V66" s="1">
        <f>U66*1.34</f>
        <v>14.874000000000001</v>
      </c>
      <c r="W66" s="1">
        <v>8.6999999999999993</v>
      </c>
      <c r="X66" s="1">
        <f>W66*1.34</f>
        <v>11.657999999999999</v>
      </c>
      <c r="Y66" s="1"/>
      <c r="Z66" s="1"/>
      <c r="AA66" s="1"/>
      <c r="AB66" s="1"/>
      <c r="AC66" s="1">
        <v>2.8</v>
      </c>
      <c r="AD66" s="1">
        <f>AC66*2.75</f>
        <v>7.6999999999999993</v>
      </c>
      <c r="AE66" s="1">
        <v>5.3</v>
      </c>
      <c r="AF66" s="1">
        <f>AE66*2.75</f>
        <v>14.574999999999999</v>
      </c>
      <c r="AG66" s="1">
        <v>2</v>
      </c>
      <c r="AH66" s="1">
        <f>AG66*2.36</f>
        <v>4.72</v>
      </c>
      <c r="AI66" s="39"/>
      <c r="AJ66" s="39"/>
      <c r="AK66" s="34"/>
      <c r="AL66" s="27">
        <f>SUM(I66,U66,W66,Y66,AA66,AC66,AE66,AG66)</f>
        <v>45.899999999999991</v>
      </c>
      <c r="AM66" s="27">
        <f>SUM(K66,M66,O66,Q66,S66)</f>
        <v>11.2</v>
      </c>
      <c r="AN66" s="27">
        <f>SUM(J66,V66,X66,Z66,AB66,AD66,AF66,AH66)</f>
        <v>74.966999999999999</v>
      </c>
      <c r="AO66" s="27">
        <f>SUM(L66,N66,P66,R66,T66)</f>
        <v>19.292000000000002</v>
      </c>
      <c r="AP66" s="30">
        <f>SUM(AG66,AE66,AC66,AA66,Y66,W66,U66,I66)/D66</f>
        <v>0.80385288966725055</v>
      </c>
      <c r="AQ66" s="30">
        <f>SUM(K66,M66,O66,Q66,S66)/D66</f>
        <v>0.19614711033274956</v>
      </c>
      <c r="AR66" s="30">
        <f>D66/H66</f>
        <v>0.60577769762038636</v>
      </c>
      <c r="AS66" s="30">
        <f>AL66/AN66</f>
        <v>0.61226939853535545</v>
      </c>
      <c r="AT66" s="30">
        <f>AM66/AO66</f>
        <v>0.58055152394775023</v>
      </c>
      <c r="AU66" s="35">
        <f>(((H66/2) - SQRT((H66/2)^2 - 4 * D66)) / 2)</f>
        <v>1.2444130275772949</v>
      </c>
      <c r="AV66" s="27">
        <f>(((H66/2) + SQRT((H66/2)^2 - 4 * D66)) / 2)</f>
        <v>45.885086972422705</v>
      </c>
      <c r="AW66" s="27">
        <f>AU66*2.7*2+AV66*2.7*2</f>
        <v>254.49930000000001</v>
      </c>
      <c r="AX66" s="30">
        <f>AW66/D66</f>
        <v>4.4570805604203159</v>
      </c>
      <c r="AY66" s="30"/>
    </row>
    <row r="67" spans="2:51" x14ac:dyDescent="0.25">
      <c r="B67" s="36" t="s">
        <v>42</v>
      </c>
      <c r="C67" t="s">
        <v>59</v>
      </c>
      <c r="D67" s="37">
        <f>SUM(I67,K67,M67,O67,Q67,S67,U67,W67,Y67,AA67,AC67,AE67,AG67)</f>
        <v>57.24</v>
      </c>
      <c r="E67" s="38">
        <f>COUNTA(U67,W67,Y67,AA67)</f>
        <v>2</v>
      </c>
      <c r="F67" s="38">
        <f>COUNTA(M67,O67,Q67)</f>
        <v>1</v>
      </c>
      <c r="G67" s="38">
        <f>COUNTA(Table1[[#This Row],[A ASEO]])</f>
        <v>0</v>
      </c>
      <c r="H67" s="1">
        <f>SUM(J67,L67,N67,P67,R67,T67,V67,X67,Z67,AB67,AD67,AF67,AH67)</f>
        <v>94.958100000000002</v>
      </c>
      <c r="I67" s="1">
        <v>17.239999999999998</v>
      </c>
      <c r="J67" s="1">
        <f>I67*1.34</f>
        <v>23.101599999999998</v>
      </c>
      <c r="K67" s="1">
        <v>7.19</v>
      </c>
      <c r="L67" s="1">
        <f>K67*1.34</f>
        <v>9.6346000000000007</v>
      </c>
      <c r="M67" s="1">
        <v>3.83</v>
      </c>
      <c r="N67" s="1">
        <f>M67*2.36</f>
        <v>9.0388000000000002</v>
      </c>
      <c r="O67" s="1"/>
      <c r="P67" s="1"/>
      <c r="Q67" s="1"/>
      <c r="R67" s="1"/>
      <c r="S67" s="1"/>
      <c r="T67" s="1"/>
      <c r="U67" s="1">
        <v>10.07</v>
      </c>
      <c r="V67" s="1">
        <f>U67*1.34</f>
        <v>13.493800000000002</v>
      </c>
      <c r="W67" s="1">
        <v>8.2100000000000009</v>
      </c>
      <c r="X67" s="1">
        <f>W67*1.34</f>
        <v>11.001400000000002</v>
      </c>
      <c r="Y67" s="1"/>
      <c r="Z67" s="1"/>
      <c r="AA67" s="1"/>
      <c r="AB67" s="1"/>
      <c r="AC67" s="1">
        <v>4.3499999999999996</v>
      </c>
      <c r="AD67" s="1">
        <f>AC67*2.75</f>
        <v>11.962499999999999</v>
      </c>
      <c r="AE67" s="1">
        <v>4.46</v>
      </c>
      <c r="AF67" s="1">
        <f>AE67*2.75</f>
        <v>12.265000000000001</v>
      </c>
      <c r="AG67" s="1">
        <v>1.89</v>
      </c>
      <c r="AH67" s="1">
        <f>AG67*2.36</f>
        <v>4.4603999999999999</v>
      </c>
      <c r="AI67" s="39">
        <v>3</v>
      </c>
      <c r="AJ67" s="39">
        <f>AI67*0.6</f>
        <v>1.7999999999999998</v>
      </c>
      <c r="AK67" s="34"/>
      <c r="AL67" s="27">
        <f>SUM(I67,U67,W67,Y67,AA67,AC67,AE67,AG67)</f>
        <v>46.22</v>
      </c>
      <c r="AM67" s="27">
        <f>SUM(K67,M67,O67,Q67,S67)</f>
        <v>11.02</v>
      </c>
      <c r="AN67" s="27">
        <f>SUM(J67,V67,X67,Z67,AB67,AD67,AF67,AH67)</f>
        <v>76.284699999999987</v>
      </c>
      <c r="AO67" s="27">
        <f>SUM(L67,N67,P67,R67,T67)</f>
        <v>18.673400000000001</v>
      </c>
      <c r="AP67" s="30">
        <f>SUM(AG67,AE67,AC67,AA67,Y67,W67,U67,I67)/D67</f>
        <v>0.80747728860936407</v>
      </c>
      <c r="AQ67" s="30">
        <f>SUM(K67,M67,O67,Q67,S67)/D67</f>
        <v>0.1925227113906359</v>
      </c>
      <c r="AR67" s="30">
        <f>D67/H67</f>
        <v>0.60279217886625791</v>
      </c>
      <c r="AS67" s="30">
        <f>AL67/AN67</f>
        <v>0.60588820562970036</v>
      </c>
      <c r="AT67" s="30">
        <f>AM67/AO67</f>
        <v>0.59014426938854192</v>
      </c>
      <c r="AU67" s="35">
        <f>(((H67/2) - SQRT((H67/2)^2 - 4 * D67)) / 2)</f>
        <v>1.2378573456765771</v>
      </c>
      <c r="AV67" s="27">
        <f>(((H67/2) + SQRT((H67/2)^2 - 4 * D67)) / 2)</f>
        <v>46.241192654323427</v>
      </c>
      <c r="AW67" s="27">
        <f>AU67*2.7*2+AV67*2.7*2</f>
        <v>256.38687000000004</v>
      </c>
      <c r="AX67" s="30">
        <f>AW67/D67</f>
        <v>4.4791556603773595</v>
      </c>
      <c r="AY67" s="30"/>
    </row>
    <row r="68" spans="2:51" x14ac:dyDescent="0.25">
      <c r="B68" s="36" t="s">
        <v>42</v>
      </c>
      <c r="C68" t="s">
        <v>77</v>
      </c>
      <c r="D68" s="37">
        <f>SUM(I68,K68,M68,O68,Q68,S68,U68,W68,Y68,AA68,AC68,AE68,AG68)</f>
        <v>59.45</v>
      </c>
      <c r="E68" s="38">
        <f>COUNTA(U68,W68,Y68,AA68)</f>
        <v>2</v>
      </c>
      <c r="F68" s="38">
        <f>COUNTA(M68,O68,Q68)</f>
        <v>1</v>
      </c>
      <c r="G68" s="38">
        <f>COUNTA(Table1[[#This Row],[A ASEO]])</f>
        <v>0</v>
      </c>
      <c r="H68" s="1">
        <f>SUM(J68,L68,N68,P68,R68,T68,V68,X68,Z68,AB68,AD68,AF68,AH68)</f>
        <v>98.686000000000007</v>
      </c>
      <c r="I68" s="1">
        <v>16.55</v>
      </c>
      <c r="J68" s="1">
        <f>I68*1.34</f>
        <v>22.177000000000003</v>
      </c>
      <c r="K68" s="1">
        <v>7.35</v>
      </c>
      <c r="L68" s="1">
        <f>K68*1.34</f>
        <v>9.8490000000000002</v>
      </c>
      <c r="M68" s="1">
        <v>4.55</v>
      </c>
      <c r="N68" s="1">
        <f>M68*2.36</f>
        <v>10.738</v>
      </c>
      <c r="O68" s="1"/>
      <c r="P68" s="1"/>
      <c r="Q68" s="1"/>
      <c r="R68" s="1"/>
      <c r="S68" s="1"/>
      <c r="T68" s="1"/>
      <c r="U68" s="1">
        <v>11.7</v>
      </c>
      <c r="V68" s="1">
        <f>U68*1.34</f>
        <v>15.678000000000001</v>
      </c>
      <c r="W68" s="1">
        <v>9.1</v>
      </c>
      <c r="X68" s="1">
        <f>W68*1.34</f>
        <v>12.194000000000001</v>
      </c>
      <c r="Y68" s="1"/>
      <c r="Z68" s="1"/>
      <c r="AA68" s="1"/>
      <c r="AB68" s="1"/>
      <c r="AC68" s="1">
        <v>4.75</v>
      </c>
      <c r="AD68" s="1">
        <f>AC68*2.75</f>
        <v>13.0625</v>
      </c>
      <c r="AE68" s="1">
        <v>5.45</v>
      </c>
      <c r="AF68" s="1">
        <f>AE68*2.75</f>
        <v>14.987500000000001</v>
      </c>
      <c r="AG68" s="1"/>
      <c r="AH68" s="1"/>
      <c r="AI68" s="39"/>
      <c r="AJ68" s="39"/>
      <c r="AK68" s="34"/>
      <c r="AL68" s="27">
        <f>SUM(I68,U68,W68,Y68,AA68,AC68,AE68,AG68)</f>
        <v>47.550000000000004</v>
      </c>
      <c r="AM68" s="27">
        <f>SUM(K68,M68,O68,Q68,S68)</f>
        <v>11.899999999999999</v>
      </c>
      <c r="AN68" s="27">
        <f>SUM(J68,V68,X68,Z68,AB68,AD68,AF68,AH68)</f>
        <v>78.099000000000004</v>
      </c>
      <c r="AO68" s="27">
        <f>SUM(L68,N68,P68,R68,T68)</f>
        <v>20.587</v>
      </c>
      <c r="AP68" s="30">
        <f>SUM(AG68,AE68,AC68,AA68,Y68,W68,U68,I68)/D68</f>
        <v>0.7998317914213624</v>
      </c>
      <c r="AQ68" s="30">
        <f>SUM(K68,M68,O68,Q68,S68)/D68</f>
        <v>0.20016820857863749</v>
      </c>
      <c r="AR68" s="30">
        <f>D68/H68</f>
        <v>0.60241574286119615</v>
      </c>
      <c r="AS68" s="30">
        <f>AL68/AN68</f>
        <v>0.60884262282487611</v>
      </c>
      <c r="AT68" s="30">
        <f>AM68/AO68</f>
        <v>0.57803468208092479</v>
      </c>
      <c r="AU68" s="35">
        <f>(((H68/2) - SQRT((H68/2)^2 - 4 * D68)) / 2)</f>
        <v>1.2357812730225852</v>
      </c>
      <c r="AV68" s="27">
        <f>(((H68/2) + SQRT((H68/2)^2 - 4 * D68)) / 2)</f>
        <v>48.107218726977422</v>
      </c>
      <c r="AW68" s="27">
        <f>AU68*2.7*2+AV68*2.7*2</f>
        <v>266.45220000000006</v>
      </c>
      <c r="AX68" s="30">
        <f>AW68/D68</f>
        <v>4.4819545836837689</v>
      </c>
      <c r="AY68" s="30"/>
    </row>
    <row r="69" spans="2:51" x14ac:dyDescent="0.25">
      <c r="B69" s="36" t="s">
        <v>42</v>
      </c>
      <c r="C69" t="s">
        <v>59</v>
      </c>
      <c r="D69" s="37">
        <f>SUM(I69,K69,M69,O69,Q69,S69,U69,W69,Y69,AA69,AC69,AE69,AG69)</f>
        <v>56.27000000000001</v>
      </c>
      <c r="E69" s="38">
        <f>COUNTA(U69,W69,Y69,AA69)</f>
        <v>2</v>
      </c>
      <c r="F69" s="38">
        <f>COUNTA(M69,O69,Q69)</f>
        <v>1</v>
      </c>
      <c r="G69" s="38">
        <f>COUNTA(Table1[[#This Row],[A ASEO]])</f>
        <v>0</v>
      </c>
      <c r="H69" s="1">
        <f>SUM(J69,L69,N69,P69,R69,T69,V69,X69,Z69,AB69,AD69,AF69,AH69)</f>
        <v>93.587799999999987</v>
      </c>
      <c r="I69" s="1">
        <v>16.32</v>
      </c>
      <c r="J69" s="1">
        <f>I69*1.34</f>
        <v>21.8688</v>
      </c>
      <c r="K69" s="1">
        <v>7.19</v>
      </c>
      <c r="L69" s="1">
        <f>K69*1.34</f>
        <v>9.6346000000000007</v>
      </c>
      <c r="M69" s="1">
        <v>3.83</v>
      </c>
      <c r="N69" s="1">
        <f>M69*2.36</f>
        <v>9.0388000000000002</v>
      </c>
      <c r="O69" s="1"/>
      <c r="P69" s="1"/>
      <c r="Q69" s="1"/>
      <c r="R69" s="1"/>
      <c r="S69" s="1"/>
      <c r="T69" s="1"/>
      <c r="U69" s="1">
        <v>10.07</v>
      </c>
      <c r="V69" s="1">
        <f>U69*1.34</f>
        <v>13.493800000000002</v>
      </c>
      <c r="W69" s="1">
        <v>8.2100000000000009</v>
      </c>
      <c r="X69" s="1">
        <f>W69*1.34</f>
        <v>11.001400000000002</v>
      </c>
      <c r="Y69" s="1"/>
      <c r="Z69" s="1"/>
      <c r="AA69" s="1"/>
      <c r="AB69" s="1"/>
      <c r="AC69" s="1">
        <v>4.3499999999999996</v>
      </c>
      <c r="AD69" s="1">
        <f>AC69*2.75</f>
        <v>11.962499999999999</v>
      </c>
      <c r="AE69" s="1">
        <v>4.41</v>
      </c>
      <c r="AF69" s="1">
        <f>AE69*2.75</f>
        <v>12.127500000000001</v>
      </c>
      <c r="AG69" s="1">
        <v>1.89</v>
      </c>
      <c r="AH69" s="1">
        <f>AG69*2.36</f>
        <v>4.4603999999999999</v>
      </c>
      <c r="AI69" s="39"/>
      <c r="AJ69" s="39"/>
      <c r="AK69" s="34"/>
      <c r="AL69" s="27">
        <f>SUM(I69,U69,W69,Y69,AA69,AC69,AE69,AG69)</f>
        <v>45.25</v>
      </c>
      <c r="AM69" s="27">
        <f>SUM(K69,M69,O69,Q69,S69)</f>
        <v>11.02</v>
      </c>
      <c r="AN69" s="27">
        <f>SUM(J69,V69,X69,Z69,AB69,AD69,AF69,AH69)</f>
        <v>74.914400000000001</v>
      </c>
      <c r="AO69" s="27">
        <f>SUM(L69,N69,P69,R69,T69)</f>
        <v>18.673400000000001</v>
      </c>
      <c r="AP69" s="30">
        <f>SUM(AG69,AE69,AC69,AA69,Y69,W69,U69,I69)/D69</f>
        <v>0.80415852141460797</v>
      </c>
      <c r="AQ69" s="30">
        <f>SUM(K69,M69,O69,Q69,S69)/D69</f>
        <v>0.1958414785853918</v>
      </c>
      <c r="AR69" s="30">
        <f>D69/H69</f>
        <v>0.60125358219767977</v>
      </c>
      <c r="AS69" s="30">
        <f>AL69/AN69</f>
        <v>0.60402272460301354</v>
      </c>
      <c r="AT69" s="30">
        <f>AM69/AO69</f>
        <v>0.59014426938854192</v>
      </c>
      <c r="AU69" s="35">
        <f>(((H69/2) - SQRT((H69/2)^2 - 4 * D69)) / 2)</f>
        <v>1.2351073576902216</v>
      </c>
      <c r="AV69" s="27">
        <f>(((H69/2) + SQRT((H69/2)^2 - 4 * D69)) / 2)</f>
        <v>45.558792642309768</v>
      </c>
      <c r="AW69" s="27">
        <f>AU69*2.7*2+AV69*2.7*2</f>
        <v>252.68705999999995</v>
      </c>
      <c r="AX69" s="30">
        <f>AW69/D69</f>
        <v>4.4906177359161168</v>
      </c>
      <c r="AY69" s="30"/>
    </row>
    <row r="70" spans="2:51" x14ac:dyDescent="0.25">
      <c r="B70" s="36" t="s">
        <v>42</v>
      </c>
      <c r="C70" t="s">
        <v>54</v>
      </c>
      <c r="D70" s="37">
        <f>SUM(I70,K70,M70,O70,Q70,S70,U70,W70,Y70,AA70,AC70,AE70,AG70)</f>
        <v>68.84</v>
      </c>
      <c r="E70" s="38">
        <f>COUNTA(U70,W70,Y70,AA70)</f>
        <v>2</v>
      </c>
      <c r="F70" s="38">
        <f>COUNTA(M70,O70,Q70)</f>
        <v>2</v>
      </c>
      <c r="G70" s="38">
        <f>COUNTA(Table1[[#This Row],[A ASEO]])</f>
        <v>0</v>
      </c>
      <c r="H70" s="1">
        <f>SUM(J70,L70,N70,P70,R70,T70,V70,X70,Z70,AB70,AD70,AF70,AH70)</f>
        <v>115.1587</v>
      </c>
      <c r="I70" s="1">
        <v>19.309999999999999</v>
      </c>
      <c r="J70" s="1">
        <f>I70*1.34</f>
        <v>25.875399999999999</v>
      </c>
      <c r="K70" s="1">
        <v>8.17</v>
      </c>
      <c r="L70" s="1">
        <f>K70*1.34</f>
        <v>10.947800000000001</v>
      </c>
      <c r="M70" s="1">
        <v>5.19</v>
      </c>
      <c r="N70" s="1">
        <f>M70*2.36</f>
        <v>12.2484</v>
      </c>
      <c r="O70" s="1">
        <v>3.63</v>
      </c>
      <c r="P70" s="1">
        <f>O70*2.36</f>
        <v>8.5667999999999989</v>
      </c>
      <c r="Q70" s="1"/>
      <c r="R70" s="1"/>
      <c r="S70" s="1"/>
      <c r="T70" s="1"/>
      <c r="U70" s="1">
        <v>14.45</v>
      </c>
      <c r="V70" s="1">
        <f>U70*1.34</f>
        <v>19.363</v>
      </c>
      <c r="W70" s="1">
        <v>8.2200000000000006</v>
      </c>
      <c r="X70" s="1">
        <f>W70*1.34</f>
        <v>11.014800000000001</v>
      </c>
      <c r="Y70" s="1"/>
      <c r="Z70" s="1"/>
      <c r="AA70" s="1"/>
      <c r="AB70" s="1"/>
      <c r="AC70" s="1">
        <v>4.92</v>
      </c>
      <c r="AD70" s="1">
        <f>AC70*2.75</f>
        <v>13.53</v>
      </c>
      <c r="AE70" s="1">
        <v>4.95</v>
      </c>
      <c r="AF70" s="1">
        <f>AE70*2.75</f>
        <v>13.612500000000001</v>
      </c>
      <c r="AG70" s="1"/>
      <c r="AH70" s="1"/>
      <c r="AI70" s="39"/>
      <c r="AJ70" s="39"/>
      <c r="AK70" s="34"/>
      <c r="AL70" s="27">
        <f>SUM(I70,U70,W70,Y70,AA70,AC70,AE70,AG70)</f>
        <v>51.85</v>
      </c>
      <c r="AM70" s="27">
        <f>SUM(K70,M70,O70,Q70,S70)</f>
        <v>16.989999999999998</v>
      </c>
      <c r="AN70" s="27">
        <f>SUM(J70,V70,X70,Z70,AB70,AD70,AF70,AH70)</f>
        <v>83.395699999999991</v>
      </c>
      <c r="AO70" s="27">
        <f>SUM(L70,N70,P70,R70,T70)</f>
        <v>31.762999999999998</v>
      </c>
      <c r="AP70" s="30">
        <f>SUM(AG70,AE70,AC70,AA70,Y70,W70,U70,I70)/D70</f>
        <v>0.75319581638582234</v>
      </c>
      <c r="AQ70" s="30">
        <f>SUM(K70,M70,O70,Q70,S70)/D70</f>
        <v>0.24680418361417777</v>
      </c>
      <c r="AR70" s="30">
        <f>D70/H70</f>
        <v>0.59778375407155526</v>
      </c>
      <c r="AS70" s="30">
        <f>AL70/AN70</f>
        <v>0.62173469375519375</v>
      </c>
      <c r="AT70" s="30">
        <f>AM70/AO70</f>
        <v>0.53489909643295652</v>
      </c>
      <c r="AU70" s="35">
        <f>(((H70/2) - SQRT((H70/2)^2 - 4 * D70)) / 2)</f>
        <v>1.2214797996314246</v>
      </c>
      <c r="AV70" s="27">
        <f>(((H70/2) + SQRT((H70/2)^2 - 4 * D70)) / 2)</f>
        <v>56.357870200368573</v>
      </c>
      <c r="AW70" s="27">
        <f>AU70*2.7*2+AV70*2.7*2</f>
        <v>310.92849000000001</v>
      </c>
      <c r="AX70" s="30">
        <f>AW70/D70</f>
        <v>4.5166834689134223</v>
      </c>
      <c r="AY70" s="30"/>
    </row>
    <row r="71" spans="2:51" x14ac:dyDescent="0.25">
      <c r="B71" s="36" t="s">
        <v>42</v>
      </c>
      <c r="C71" t="s">
        <v>59</v>
      </c>
      <c r="D71" s="37">
        <f>SUM(I71,K71,M71,O71,Q71,S71,U71,W71,Y71,AA71,AC71,AE71,AG71)</f>
        <v>60.34</v>
      </c>
      <c r="E71" s="38">
        <f>COUNTA(U71,W71,Y71,AA71)</f>
        <v>2</v>
      </c>
      <c r="F71" s="38">
        <f>COUNTA(M71,O71,Q71)</f>
        <v>1</v>
      </c>
      <c r="G71" s="38">
        <f>COUNTA(Table1[[#This Row],[A ASEO]])</f>
        <v>0</v>
      </c>
      <c r="H71" s="1">
        <f>SUM(J71,L71,N71,P71,R71,T71,V71,X71,Z71,AB71,AD71,AF71,AH71)</f>
        <v>101.64079999999998</v>
      </c>
      <c r="I71" s="1">
        <v>17.64</v>
      </c>
      <c r="J71" s="1">
        <f>I71*1.34</f>
        <v>23.637600000000003</v>
      </c>
      <c r="K71" s="1">
        <v>6.97</v>
      </c>
      <c r="L71" s="1">
        <f>K71*1.34</f>
        <v>9.3398000000000003</v>
      </c>
      <c r="M71" s="1">
        <v>3.89</v>
      </c>
      <c r="N71" s="1">
        <f>M71*2.36</f>
        <v>9.1804000000000006</v>
      </c>
      <c r="O71" s="1"/>
      <c r="P71" s="1"/>
      <c r="Q71" s="1"/>
      <c r="R71" s="1"/>
      <c r="S71" s="1"/>
      <c r="T71" s="1"/>
      <c r="U71" s="1">
        <v>10.41</v>
      </c>
      <c r="V71" s="1">
        <f>U71*1.34</f>
        <v>13.949400000000001</v>
      </c>
      <c r="W71" s="1">
        <v>8.98</v>
      </c>
      <c r="X71" s="1">
        <f>W71*1.34</f>
        <v>12.033200000000001</v>
      </c>
      <c r="Y71" s="1"/>
      <c r="Z71" s="1"/>
      <c r="AA71" s="1"/>
      <c r="AB71" s="1"/>
      <c r="AC71" s="1">
        <v>5.1100000000000003</v>
      </c>
      <c r="AD71" s="1">
        <f>AC71*2.75</f>
        <v>14.0525</v>
      </c>
      <c r="AE71" s="1">
        <v>5.45</v>
      </c>
      <c r="AF71" s="1">
        <f>AE71*2.75</f>
        <v>14.987500000000001</v>
      </c>
      <c r="AG71" s="1">
        <v>1.89</v>
      </c>
      <c r="AH71" s="1">
        <f>AG71*2.36</f>
        <v>4.4603999999999999</v>
      </c>
      <c r="AI71" s="39">
        <v>4.26</v>
      </c>
      <c r="AJ71" s="39">
        <f>AI71*0.6</f>
        <v>2.5559999999999996</v>
      </c>
      <c r="AK71" s="34"/>
      <c r="AL71" s="27">
        <f>SUM(I71,U71,W71,Y71,AA71,AC71,AE71,AG71)</f>
        <v>49.480000000000004</v>
      </c>
      <c r="AM71" s="27">
        <f>SUM(K71,M71,O71,Q71,S71)</f>
        <v>10.86</v>
      </c>
      <c r="AN71" s="27">
        <f>SUM(J71,V71,X71,Z71,AB71,AD71,AF71,AH71)</f>
        <v>83.120599999999996</v>
      </c>
      <c r="AO71" s="27">
        <f>SUM(L71,N71,P71,R71,T71)</f>
        <v>18.520200000000003</v>
      </c>
      <c r="AP71" s="30">
        <f>SUM(AG71,AE71,AC71,AA71,Y71,W71,U71,I71)/D71</f>
        <v>0.8200198873052702</v>
      </c>
      <c r="AQ71" s="30">
        <f>SUM(K71,M71,O71,Q71,S71)/D71</f>
        <v>0.17998011269472985</v>
      </c>
      <c r="AR71" s="30">
        <f>D71/H71</f>
        <v>0.59365923920315478</v>
      </c>
      <c r="AS71" s="30">
        <f>AL71/AN71</f>
        <v>0.59527962983905325</v>
      </c>
      <c r="AT71" s="30">
        <f>AM71/AO71</f>
        <v>0.58638675608254764</v>
      </c>
      <c r="AU71" s="35">
        <f>(((H71/2) - SQRT((H71/2)^2 - 4 * D71)) / 2)</f>
        <v>1.216435017261162</v>
      </c>
      <c r="AV71" s="27">
        <f>(((H71/2) + SQRT((H71/2)^2 - 4 * D71)) / 2)</f>
        <v>49.60396498273883</v>
      </c>
      <c r="AW71" s="27">
        <f>AU71*2.7*2+AV71*2.7*2</f>
        <v>274.43016</v>
      </c>
      <c r="AX71" s="30">
        <f>AW71/D71</f>
        <v>4.5480636393768643</v>
      </c>
      <c r="AY71" s="30"/>
    </row>
    <row r="72" spans="2:51" x14ac:dyDescent="0.25">
      <c r="B72" s="36" t="s">
        <v>42</v>
      </c>
      <c r="C72" t="s">
        <v>59</v>
      </c>
      <c r="D72" s="37">
        <f>SUM(I72,K72,M72,O72,Q72,S72,U72,W72,Y72,AA72,AC72,AE72,AG72)</f>
        <v>66.27</v>
      </c>
      <c r="E72" s="38">
        <f>COUNTA(U72,W72,Y72,AA72)</f>
        <v>2</v>
      </c>
      <c r="F72" s="38">
        <f>COUNTA(M72,O72,Q72)</f>
        <v>1</v>
      </c>
      <c r="G72" s="38">
        <f>COUNTA(Table1[[#This Row],[A ASEO]])</f>
        <v>0</v>
      </c>
      <c r="H72" s="1">
        <f>SUM(J72,L72,N72,P72,R72,T72,V72,X72,Z72,AB72,AD72,AF72,AH72)</f>
        <v>113.53710000000001</v>
      </c>
      <c r="I72" s="1">
        <v>17.5</v>
      </c>
      <c r="J72" s="1">
        <f>I72*1.34</f>
        <v>23.450000000000003</v>
      </c>
      <c r="K72" s="1">
        <v>7.81</v>
      </c>
      <c r="L72" s="1">
        <f>K72*1.34</f>
        <v>10.465400000000001</v>
      </c>
      <c r="M72" s="1">
        <v>5.62</v>
      </c>
      <c r="N72" s="1">
        <f>M72*2.36</f>
        <v>13.263199999999999</v>
      </c>
      <c r="O72" s="1"/>
      <c r="P72" s="1"/>
      <c r="Q72" s="1"/>
      <c r="R72" s="1"/>
      <c r="S72" s="1"/>
      <c r="T72" s="1"/>
      <c r="U72" s="1">
        <v>12.23</v>
      </c>
      <c r="V72" s="1">
        <f>U72*1.34</f>
        <v>16.388200000000001</v>
      </c>
      <c r="W72" s="1">
        <v>9.11</v>
      </c>
      <c r="X72" s="1">
        <f>W72*1.34</f>
        <v>12.2074</v>
      </c>
      <c r="Y72" s="1"/>
      <c r="Z72" s="1"/>
      <c r="AA72" s="1"/>
      <c r="AB72" s="1"/>
      <c r="AC72" s="1">
        <v>6.35</v>
      </c>
      <c r="AD72" s="1">
        <f>AC72*2.75</f>
        <v>17.462499999999999</v>
      </c>
      <c r="AE72" s="1">
        <v>5.76</v>
      </c>
      <c r="AF72" s="1">
        <f>AE72*2.75</f>
        <v>15.84</v>
      </c>
      <c r="AG72" s="1">
        <v>1.89</v>
      </c>
      <c r="AH72" s="1">
        <f>AG72*2.36</f>
        <v>4.4603999999999999</v>
      </c>
      <c r="AI72" s="39">
        <v>5.16</v>
      </c>
      <c r="AJ72" s="39">
        <f>AI72*0.6</f>
        <v>3.0960000000000001</v>
      </c>
      <c r="AK72" s="34"/>
      <c r="AL72" s="27">
        <f>SUM(I72,U72,W72,Y72,AA72,AC72,AE72,AG72)</f>
        <v>52.84</v>
      </c>
      <c r="AM72" s="27">
        <f>SUM(K72,M72,O72,Q72,S72)</f>
        <v>13.43</v>
      </c>
      <c r="AN72" s="27">
        <f>SUM(J72,V72,X72,Z72,AB72,AD72,AF72,AH72)</f>
        <v>89.808500000000009</v>
      </c>
      <c r="AO72" s="27">
        <f>SUM(L72,N72,P72,R72,T72)</f>
        <v>23.7286</v>
      </c>
      <c r="AP72" s="30">
        <f>SUM(AG72,AE72,AC72,AA72,Y72,W72,U72,I72)/D72</f>
        <v>0.79734419797796896</v>
      </c>
      <c r="AQ72" s="30">
        <f>SUM(K72,M72,O72,Q72,S72)/D72</f>
        <v>0.2026558020220311</v>
      </c>
      <c r="AR72" s="30">
        <f>D72/H72</f>
        <v>0.58368586127353961</v>
      </c>
      <c r="AS72" s="30">
        <f>AL72/AN72</f>
        <v>0.58836301686365988</v>
      </c>
      <c r="AT72" s="30">
        <f>AM72/AO72</f>
        <v>0.56598366528155897</v>
      </c>
      <c r="AU72" s="35">
        <f>(((H72/2) - SQRT((H72/2)^2 - 4 * D72)) / 2)</f>
        <v>1.1924183646831494</v>
      </c>
      <c r="AV72" s="27">
        <f>(((H72/2) + SQRT((H72/2)^2 - 4 * D72)) / 2)</f>
        <v>55.576131635316855</v>
      </c>
      <c r="AW72" s="27">
        <f>AU72*2.7*2+AV72*2.7*2</f>
        <v>306.55017000000004</v>
      </c>
      <c r="AX72" s="30">
        <f>AW72/D72</f>
        <v>4.6257759167043924</v>
      </c>
      <c r="AY72" s="30"/>
    </row>
    <row r="73" spans="2:51" x14ac:dyDescent="0.25">
      <c r="B73" s="36" t="s">
        <v>99</v>
      </c>
      <c r="C73" t="s">
        <v>100</v>
      </c>
      <c r="D73" s="37">
        <f>SUM(I73,K73,M73,O73,Q73,S73,U73,W73,Y73,AA73,AC73,AE73,AG73)</f>
        <v>76.95</v>
      </c>
      <c r="E73" s="38">
        <f>COUNTA(U73,W73,Y73,AA73)</f>
        <v>2</v>
      </c>
      <c r="F73" s="38">
        <f>COUNTA(M73,O73,Q73)</f>
        <v>2</v>
      </c>
      <c r="G73" s="38">
        <f>COUNTA(Table1[[#This Row],[A ASEO]])</f>
        <v>0</v>
      </c>
      <c r="H73" s="1">
        <f>SUM(J73,L73,N73,P73,R73,T73,V73,X73,Z73,AB73,AD73,AF73,AH73)</f>
        <v>126.5325</v>
      </c>
      <c r="I73" s="1">
        <v>22</v>
      </c>
      <c r="J73" s="1">
        <f>I73*1.34</f>
        <v>29.48</v>
      </c>
      <c r="K73" s="1">
        <v>11.65</v>
      </c>
      <c r="L73" s="1">
        <f>K73*1.34</f>
        <v>15.611000000000001</v>
      </c>
      <c r="M73" s="1">
        <v>4.25</v>
      </c>
      <c r="N73" s="1">
        <f>M73*2.36</f>
        <v>10.029999999999999</v>
      </c>
      <c r="O73" s="1">
        <v>3.85</v>
      </c>
      <c r="P73" s="1">
        <f>O73*2.36</f>
        <v>9.0860000000000003</v>
      </c>
      <c r="Q73" s="1"/>
      <c r="R73" s="1"/>
      <c r="S73" s="1"/>
      <c r="T73" s="1"/>
      <c r="U73" s="1">
        <v>12.95</v>
      </c>
      <c r="V73" s="1">
        <f>U73*1.34</f>
        <v>17.353000000000002</v>
      </c>
      <c r="W73" s="1">
        <v>11.5</v>
      </c>
      <c r="X73" s="1">
        <f>W73*1.34</f>
        <v>15.41</v>
      </c>
      <c r="Y73" s="1"/>
      <c r="Z73" s="1"/>
      <c r="AA73" s="1"/>
      <c r="AB73" s="1"/>
      <c r="AC73" s="1">
        <v>5.25</v>
      </c>
      <c r="AD73" s="1">
        <f>AC73*2.75</f>
        <v>14.4375</v>
      </c>
      <c r="AE73" s="1">
        <v>5.5</v>
      </c>
      <c r="AF73" s="1">
        <f>AE73*2.75</f>
        <v>15.125</v>
      </c>
      <c r="AG73" s="1"/>
      <c r="AH73" s="1"/>
      <c r="AI73" s="39">
        <v>11.15</v>
      </c>
      <c r="AJ73" s="39">
        <f>AI73*0.6</f>
        <v>6.69</v>
      </c>
      <c r="AK73" s="34"/>
      <c r="AL73" s="27">
        <f>SUM(I73,U73,W73,Y73,AA73,AC73,AE73,AG73)</f>
        <v>57.2</v>
      </c>
      <c r="AM73" s="27">
        <f>SUM(K73,M73,O73,Q73,S73)</f>
        <v>19.75</v>
      </c>
      <c r="AN73" s="27">
        <f>SUM(J73,V73,X73,Z73,AB73,AD73,AF73,AH73)</f>
        <v>91.805499999999995</v>
      </c>
      <c r="AO73" s="27">
        <f>SUM(L73,N73,P73,R73,T73)</f>
        <v>34.726999999999997</v>
      </c>
      <c r="AP73" s="30">
        <f>SUM(AG73,AE73,AC73,AA73,Y73,W73,U73,I73)/D73</f>
        <v>0.74333983105912926</v>
      </c>
      <c r="AQ73" s="30">
        <f>SUM(K73,M73,O73,Q73,S73)/D73</f>
        <v>0.25666016894087068</v>
      </c>
      <c r="AR73" s="30">
        <f>D73/H73</f>
        <v>0.60814415268804456</v>
      </c>
      <c r="AS73" s="30">
        <f>AL73/AN73</f>
        <v>0.62305635283289129</v>
      </c>
      <c r="AT73" s="30">
        <f>AM73/AO73</f>
        <v>0.56872174388804109</v>
      </c>
      <c r="AU73" s="35">
        <f>(((H73/2) - SQRT((H73/2)^2 - 4 * D73)) / 2)</f>
        <v>1.2406160995221569</v>
      </c>
      <c r="AV73" s="27">
        <f>(((H73/2) + SQRT((H73/2)^2 - 4 * D73)) / 2)</f>
        <v>62.025633900477843</v>
      </c>
      <c r="AW73" s="27">
        <f>AU73*2.7*2+AV73*2.7*2</f>
        <v>341.63775000000004</v>
      </c>
      <c r="AX73" s="30">
        <f>AW73/D73</f>
        <v>4.4397368421052636</v>
      </c>
      <c r="AY73" s="30"/>
    </row>
    <row r="74" spans="2:51" x14ac:dyDescent="0.25">
      <c r="B74" s="36" t="s">
        <v>74</v>
      </c>
      <c r="C74" t="s">
        <v>75</v>
      </c>
      <c r="D74" s="37">
        <f>SUM(I74,K74,M74,O74,Q74,S74,U74,W74,Y74,AA74,AC74,AE74,AG74)</f>
        <v>68.099999999999994</v>
      </c>
      <c r="E74" s="38">
        <f>COUNTA(U74,W74,Y74,AA74)</f>
        <v>2</v>
      </c>
      <c r="F74" s="38">
        <f>COUNTA(M74,O74,Q74)</f>
        <v>1</v>
      </c>
      <c r="G74" s="38">
        <f>COUNTA(Table1[[#This Row],[A ASEO]])</f>
        <v>0</v>
      </c>
      <c r="H74" s="1">
        <f>SUM(J74,L74,N74,P74,R74,T74,V74,X74,Z74,AB74,AD74,AF74,AH74)</f>
        <v>109.07250000000002</v>
      </c>
      <c r="I74" s="1">
        <v>19.2</v>
      </c>
      <c r="J74" s="1">
        <f>I74*1.34</f>
        <v>25.728000000000002</v>
      </c>
      <c r="K74" s="1">
        <v>9.4499999999999993</v>
      </c>
      <c r="L74" s="1">
        <f>K74*1.34</f>
        <v>12.663</v>
      </c>
      <c r="M74" s="1">
        <v>4.4000000000000004</v>
      </c>
      <c r="N74" s="1">
        <f>M74*2.36</f>
        <v>10.384</v>
      </c>
      <c r="O74" s="1"/>
      <c r="P74" s="1"/>
      <c r="Q74" s="1"/>
      <c r="R74" s="1"/>
      <c r="S74" s="1"/>
      <c r="T74" s="1"/>
      <c r="U74" s="1">
        <v>15.1</v>
      </c>
      <c r="V74" s="1">
        <f>U74*1.34</f>
        <v>20.234000000000002</v>
      </c>
      <c r="W74" s="1">
        <v>10.15</v>
      </c>
      <c r="X74" s="1">
        <f>W74*1.34</f>
        <v>13.601000000000001</v>
      </c>
      <c r="Y74" s="1"/>
      <c r="Z74" s="1"/>
      <c r="AA74" s="1"/>
      <c r="AB74" s="1"/>
      <c r="AC74" s="1">
        <v>7.55</v>
      </c>
      <c r="AD74" s="1">
        <f>AC74*2.75</f>
        <v>20.762499999999999</v>
      </c>
      <c r="AE74" s="1">
        <v>1</v>
      </c>
      <c r="AF74" s="1">
        <f>AE74*2.75</f>
        <v>2.75</v>
      </c>
      <c r="AG74" s="1">
        <v>1.25</v>
      </c>
      <c r="AH74" s="1">
        <f>AG74*2.36</f>
        <v>2.9499999999999997</v>
      </c>
      <c r="AI74" s="39">
        <v>9.1999999999999993</v>
      </c>
      <c r="AJ74" s="39">
        <f>AI74*0.6</f>
        <v>5.52</v>
      </c>
      <c r="AK74" s="34"/>
      <c r="AL74" s="27">
        <f>SUM(I74,U74,W74,Y74,AA74,AC74,AE74,AG74)</f>
        <v>54.249999999999993</v>
      </c>
      <c r="AM74" s="27">
        <f>SUM(K74,M74,O74,Q74,S74)</f>
        <v>13.85</v>
      </c>
      <c r="AN74" s="27">
        <f>SUM(J74,V74,X74,Z74,AB74,AD74,AF74,AH74)</f>
        <v>86.025500000000008</v>
      </c>
      <c r="AO74" s="27">
        <f>SUM(L74,N74,P74,R74,T74)</f>
        <v>23.047000000000001</v>
      </c>
      <c r="AP74" s="30">
        <f>SUM(AG74,AE74,AC74,AA74,Y74,W74,U74,I74)/D74</f>
        <v>0.79662261380323063</v>
      </c>
      <c r="AQ74" s="30">
        <f>SUM(K74,M74,O74,Q74,S74)/D74</f>
        <v>0.20337738619676946</v>
      </c>
      <c r="AR74" s="30">
        <f>D74/H74</f>
        <v>0.62435535996699432</v>
      </c>
      <c r="AS74" s="30">
        <f>AL74/AN74</f>
        <v>0.6306269652603006</v>
      </c>
      <c r="AT74" s="30">
        <f>AM74/AO74</f>
        <v>0.60094589317481661</v>
      </c>
      <c r="AU74" s="35">
        <f>(((H74/2) - SQRT((H74/2)^2 - 4 * D74)) / 2)</f>
        <v>1.2786917430852789</v>
      </c>
      <c r="AV74" s="27">
        <f>(((H74/2) + SQRT((H74/2)^2 - 4 * D74)) / 2)</f>
        <v>53.257558256914734</v>
      </c>
      <c r="AW74" s="27">
        <f>AU74*2.7*2+AV74*2.7*2</f>
        <v>294.4957500000001</v>
      </c>
      <c r="AX74" s="30">
        <f>AW74/D74</f>
        <v>4.3244603524229097</v>
      </c>
      <c r="AY74" s="30"/>
    </row>
    <row r="75" spans="2:51" x14ac:dyDescent="0.25">
      <c r="B75" s="36"/>
      <c r="C75" t="s">
        <v>52</v>
      </c>
      <c r="D75" s="37">
        <f>SUM(I75,K75,M75,O75,Q75,S75,U75,W75,Y75,AA75,AC75,AE75,AG75)</f>
        <v>67.61999999999999</v>
      </c>
      <c r="E75" s="38">
        <f>COUNTA(U75,W75,Y75,AA75)</f>
        <v>2</v>
      </c>
      <c r="F75" s="38">
        <f>COUNTA(M75,O75,Q75)</f>
        <v>2</v>
      </c>
      <c r="G75" s="38">
        <f>COUNTA(Table1[[#This Row],[A ASEO]])</f>
        <v>0</v>
      </c>
      <c r="H75" s="1">
        <f>SUM(J75,L75,N75,P75,R75,T75,V75,X75,Z75,AB75,AD75,AF75,AH75)</f>
        <v>108.02879999999999</v>
      </c>
      <c r="I75" s="1">
        <v>20.45</v>
      </c>
      <c r="J75" s="1">
        <f>I75*1.34</f>
        <v>27.403000000000002</v>
      </c>
      <c r="K75" s="1">
        <v>7.03</v>
      </c>
      <c r="L75" s="1">
        <f>K75*1.34</f>
        <v>9.4202000000000012</v>
      </c>
      <c r="M75" s="1">
        <v>4.3</v>
      </c>
      <c r="N75" s="1">
        <f>M75*2.36</f>
        <v>10.148</v>
      </c>
      <c r="O75" s="1">
        <v>4.04</v>
      </c>
      <c r="P75" s="1">
        <f>O75*2.36</f>
        <v>9.5343999999999998</v>
      </c>
      <c r="Q75" s="1"/>
      <c r="R75" s="1"/>
      <c r="S75" s="1"/>
      <c r="T75" s="1"/>
      <c r="U75" s="1">
        <v>15.36</v>
      </c>
      <c r="V75" s="1">
        <f>U75*1.34</f>
        <v>20.5824</v>
      </c>
      <c r="W75" s="1">
        <v>10.119999999999999</v>
      </c>
      <c r="X75" s="1">
        <f>W75*1.34</f>
        <v>13.5608</v>
      </c>
      <c r="Y75" s="1"/>
      <c r="Z75" s="1"/>
      <c r="AA75" s="1"/>
      <c r="AB75" s="1"/>
      <c r="AC75" s="1">
        <v>2.99</v>
      </c>
      <c r="AD75" s="1">
        <f>AC75*2.75</f>
        <v>8.2225000000000001</v>
      </c>
      <c r="AE75" s="1">
        <v>3.33</v>
      </c>
      <c r="AF75" s="1">
        <f>AE75*2.75</f>
        <v>9.1575000000000006</v>
      </c>
      <c r="AG75" s="1"/>
      <c r="AH75" s="1"/>
      <c r="AI75" s="39">
        <f>26.93+7.85</f>
        <v>34.78</v>
      </c>
      <c r="AJ75" s="39">
        <f>AI75*0.6</f>
        <v>20.867999999999999</v>
      </c>
      <c r="AK75" s="34"/>
      <c r="AL75" s="27">
        <f>SUM(I75,U75,W75,Y75,AA75,AC75,AE75,AG75)</f>
        <v>52.25</v>
      </c>
      <c r="AM75" s="27">
        <f>SUM(K75,M75,O75,Q75,S75)</f>
        <v>15.370000000000001</v>
      </c>
      <c r="AN75" s="27">
        <f>SUM(J75,V75,X75,Z75,AB75,AD75,AF75,AH75)</f>
        <v>78.926199999999994</v>
      </c>
      <c r="AO75" s="27">
        <f>SUM(L75,N75,P75,R75,T75)</f>
        <v>29.102600000000002</v>
      </c>
      <c r="AP75" s="30">
        <f>SUM(AG75,AE75,AC75,AA75,Y75,W75,U75,I75)/D75</f>
        <v>0.77270038450162681</v>
      </c>
      <c r="AQ75" s="30">
        <f>SUM(K75,M75,O75,Q75,S75)/D75</f>
        <v>0.2272996154983733</v>
      </c>
      <c r="AR75" s="30">
        <f>D75/H75</f>
        <v>0.62594419265973511</v>
      </c>
      <c r="AS75" s="30">
        <f>AL75/AN75</f>
        <v>0.66201084050670123</v>
      </c>
      <c r="AT75" s="30">
        <f>AM75/AO75</f>
        <v>0.52813150715056389</v>
      </c>
      <c r="AU75" s="35">
        <f>(((H75/2) - SQRT((H75/2)^2 - 4 * D75)) / 2)</f>
        <v>1.2823316458178944</v>
      </c>
      <c r="AV75" s="27">
        <f>(((H75/2) + SQRT((H75/2)^2 - 4 * D75)) / 2)</f>
        <v>52.732068354182104</v>
      </c>
      <c r="AW75" s="27">
        <f>AU75*2.7*2+AV75*2.7*2</f>
        <v>291.67776000000003</v>
      </c>
      <c r="AX75" s="30">
        <f>AW75/D75</f>
        <v>4.3134835847382442</v>
      </c>
      <c r="AY75" s="30"/>
    </row>
    <row r="76" spans="2:51" x14ac:dyDescent="0.25">
      <c r="B76" s="36" t="s">
        <v>106</v>
      </c>
      <c r="C76" t="s">
        <v>107</v>
      </c>
      <c r="D76" s="37">
        <f>SUM(I76,K76,M76,O76,Q76,S76,U76,W76,Y76,AA76,AC76,AE76,AG76)</f>
        <v>68.75</v>
      </c>
      <c r="E76" s="38">
        <f>COUNTA(U76,W76,Y76,AA76)</f>
        <v>3</v>
      </c>
      <c r="F76" s="38">
        <f>COUNTA(M76,O76,Q76)</f>
        <v>2</v>
      </c>
      <c r="G76" s="38">
        <f>COUNTA(Table1[[#This Row],[A ASEO]])</f>
        <v>0</v>
      </c>
      <c r="H76" s="1">
        <f>SUM(J76,L76,N76,P76,R76,T76,V76,X76,Z76,AB76,AD76,AF76,AH76)</f>
        <v>107.929</v>
      </c>
      <c r="I76" s="1">
        <v>19.3</v>
      </c>
      <c r="J76" s="1">
        <f>I76*1.34</f>
        <v>25.862000000000002</v>
      </c>
      <c r="K76" s="1">
        <v>8.9499999999999993</v>
      </c>
      <c r="L76" s="1">
        <f>K76*1.34</f>
        <v>11.993</v>
      </c>
      <c r="M76" s="1">
        <v>3.65</v>
      </c>
      <c r="N76" s="1">
        <f>M76*2.36</f>
        <v>8.613999999999999</v>
      </c>
      <c r="O76" s="1">
        <v>3.55</v>
      </c>
      <c r="P76" s="1">
        <f>O76*2.36</f>
        <v>8.3779999999999983</v>
      </c>
      <c r="Q76" s="1"/>
      <c r="R76" s="1"/>
      <c r="S76" s="1"/>
      <c r="T76" s="1"/>
      <c r="U76" s="1">
        <v>12.45</v>
      </c>
      <c r="V76" s="1">
        <f>U76*1.34</f>
        <v>16.683</v>
      </c>
      <c r="W76" s="1">
        <v>7.5</v>
      </c>
      <c r="X76" s="1">
        <f>W76*1.34</f>
        <v>10.050000000000001</v>
      </c>
      <c r="Y76" s="1">
        <v>7.35</v>
      </c>
      <c r="Z76" s="1">
        <f>Y76*1.34</f>
        <v>9.8490000000000002</v>
      </c>
      <c r="AA76" s="1"/>
      <c r="AB76" s="1"/>
      <c r="AC76" s="1">
        <v>2.8</v>
      </c>
      <c r="AD76" s="1">
        <f>AC76*2.75</f>
        <v>7.6999999999999993</v>
      </c>
      <c r="AE76" s="1">
        <v>3.2</v>
      </c>
      <c r="AF76" s="1">
        <f>AE76*2.75</f>
        <v>8.8000000000000007</v>
      </c>
      <c r="AG76" s="1"/>
      <c r="AH76" s="1"/>
      <c r="AI76" s="39">
        <v>9</v>
      </c>
      <c r="AJ76" s="39">
        <f>AI76*0.6</f>
        <v>5.3999999999999995</v>
      </c>
      <c r="AK76" s="34"/>
      <c r="AL76" s="27">
        <f>SUM(I76,U76,W76,Y76,AA76,AC76,AE76,AG76)</f>
        <v>52.6</v>
      </c>
      <c r="AM76" s="27">
        <f>SUM(K76,M76,O76,Q76,S76)</f>
        <v>16.149999999999999</v>
      </c>
      <c r="AN76" s="27">
        <f>SUM(J76,V76,X76,Z76,AB76,AD76,AF76,AH76)</f>
        <v>78.944000000000003</v>
      </c>
      <c r="AO76" s="27">
        <f>SUM(L76,N76,P76,R76,T76)</f>
        <v>28.984999999999999</v>
      </c>
      <c r="AP76" s="30">
        <f>SUM(AG76,AE76,AC76,AA76,Y76,W76,U76,I76)/D76</f>
        <v>0.76509090909090904</v>
      </c>
      <c r="AQ76" s="30">
        <f>SUM(K76,M76,O76,Q76,S76)/D76</f>
        <v>0.2349090909090909</v>
      </c>
      <c r="AR76" s="30">
        <f>D76/H76</f>
        <v>0.63699283788416461</v>
      </c>
      <c r="AS76" s="30">
        <f>AL76/AN76</f>
        <v>0.66629509525739761</v>
      </c>
      <c r="AT76" s="30">
        <f>AM76/AO76</f>
        <v>0.55718475073313778</v>
      </c>
      <c r="AU76" s="35">
        <f>(((H76/2) - SQRT((H76/2)^2 - 4 * D76)) / 2)</f>
        <v>1.3055715726313224</v>
      </c>
      <c r="AV76" s="27">
        <f>(((H76/2) + SQRT((H76/2)^2 - 4 * D76)) / 2)</f>
        <v>52.658928427368679</v>
      </c>
      <c r="AW76" s="27">
        <f>AU76*2.7*2+AV76*2.7*2</f>
        <v>291.4083</v>
      </c>
      <c r="AX76" s="30">
        <f>AW76/D76</f>
        <v>4.2386661818181821</v>
      </c>
      <c r="AY76" s="30"/>
    </row>
    <row r="77" spans="2:51" x14ac:dyDescent="0.25">
      <c r="B77" s="36" t="s">
        <v>106</v>
      </c>
      <c r="C77" t="s">
        <v>107</v>
      </c>
      <c r="D77" s="37">
        <f>SUM(I77,K77,M77,O77,Q77,S77,U77,W77,Y77,AA77,AC77,AE77,AG77)</f>
        <v>69.649999999999991</v>
      </c>
      <c r="E77" s="38">
        <f>COUNTA(U77,W77,Y77,AA77)</f>
        <v>3</v>
      </c>
      <c r="F77" s="38">
        <f>COUNTA(M77,O77,Q77)</f>
        <v>2</v>
      </c>
      <c r="G77" s="38">
        <f>COUNTA(Table1[[#This Row],[A ASEO]])</f>
        <v>0</v>
      </c>
      <c r="H77" s="1">
        <f>SUM(J77,L77,N77,P77,R77,T77,V77,X77,Z77,AB77,AD77,AF77,AH77)</f>
        <v>110.6845</v>
      </c>
      <c r="I77" s="1">
        <v>17.05</v>
      </c>
      <c r="J77" s="1">
        <f>I77*1.34</f>
        <v>22.847000000000001</v>
      </c>
      <c r="K77" s="1">
        <v>8.35</v>
      </c>
      <c r="L77" s="1">
        <f>K77*1.34</f>
        <v>11.189</v>
      </c>
      <c r="M77" s="1">
        <v>4</v>
      </c>
      <c r="N77" s="1">
        <f>M77*2.36</f>
        <v>9.44</v>
      </c>
      <c r="O77" s="1">
        <v>3.9</v>
      </c>
      <c r="P77" s="1">
        <f>O77*2.36</f>
        <v>9.2039999999999988</v>
      </c>
      <c r="Q77" s="1"/>
      <c r="R77" s="1"/>
      <c r="S77" s="1"/>
      <c r="T77" s="1"/>
      <c r="U77" s="1">
        <v>14.1</v>
      </c>
      <c r="V77" s="1">
        <f>U77*1.34</f>
        <v>18.894000000000002</v>
      </c>
      <c r="W77" s="1">
        <v>7.9</v>
      </c>
      <c r="X77" s="1">
        <f>W77*1.34</f>
        <v>10.586</v>
      </c>
      <c r="Y77" s="1">
        <v>7.55</v>
      </c>
      <c r="Z77" s="1">
        <f>Y77*1.34</f>
        <v>10.117000000000001</v>
      </c>
      <c r="AA77" s="1"/>
      <c r="AB77" s="1"/>
      <c r="AC77" s="1">
        <v>3.6</v>
      </c>
      <c r="AD77" s="1">
        <f>AC77*2.75</f>
        <v>9.9</v>
      </c>
      <c r="AE77" s="1">
        <v>2.4500000000000002</v>
      </c>
      <c r="AF77" s="1">
        <f>AE77*2.75</f>
        <v>6.7375000000000007</v>
      </c>
      <c r="AG77" s="1">
        <v>0.75</v>
      </c>
      <c r="AH77" s="1">
        <f>AG77*2.36</f>
        <v>1.77</v>
      </c>
      <c r="AI77" s="39">
        <v>13</v>
      </c>
      <c r="AJ77" s="39">
        <f>AI77*0.6</f>
        <v>7.8</v>
      </c>
      <c r="AK77" s="34"/>
      <c r="AL77" s="27">
        <f>SUM(I77,U77,W77,Y77,AA77,AC77,AE77,AG77)</f>
        <v>53.4</v>
      </c>
      <c r="AM77" s="27">
        <f>SUM(K77,M77,O77,Q77,S77)</f>
        <v>16.25</v>
      </c>
      <c r="AN77" s="27">
        <f>SUM(J77,V77,X77,Z77,AB77,AD77,AF77,AH77)</f>
        <v>80.851500000000001</v>
      </c>
      <c r="AO77" s="27">
        <f>SUM(L77,N77,P77,R77,T77)</f>
        <v>29.832999999999998</v>
      </c>
      <c r="AP77" s="30">
        <f>SUM(AG77,AE77,AC77,AA77,Y77,W77,U77,I77)/D77</f>
        <v>0.76669059583632471</v>
      </c>
      <c r="AQ77" s="30">
        <f>SUM(K77,M77,O77,Q77,S77)/D77</f>
        <v>0.23330940416367554</v>
      </c>
      <c r="AR77" s="30">
        <f>D77/H77</f>
        <v>0.62926606706449406</v>
      </c>
      <c r="AS77" s="30">
        <f>AL77/AN77</f>
        <v>0.66047012114803061</v>
      </c>
      <c r="AT77" s="30">
        <f>AM77/AO77</f>
        <v>0.54469882345054133</v>
      </c>
      <c r="AU77" s="35">
        <f>(((H77/2) - SQRT((H77/2)^2 - 4 * D77)) / 2)</f>
        <v>1.2885330354938382</v>
      </c>
      <c r="AV77" s="27">
        <f>(((H77/2) + SQRT((H77/2)^2 - 4 * D77)) / 2)</f>
        <v>54.053716964506165</v>
      </c>
      <c r="AW77" s="27">
        <f>AU77*2.7*2+AV77*2.7*2</f>
        <v>298.84815000000003</v>
      </c>
      <c r="AX77" s="30">
        <f>AW77/D77</f>
        <v>4.2907128499641072</v>
      </c>
      <c r="AY77" s="30"/>
    </row>
    <row r="78" spans="2:51" x14ac:dyDescent="0.25">
      <c r="B78" s="36" t="s">
        <v>106</v>
      </c>
      <c r="C78" t="s">
        <v>112</v>
      </c>
      <c r="D78" s="37">
        <f>SUM(I78,K78,M78,O78,Q78,S78,U78,W78,Y78,AA78,AC78,AE78,AG78)</f>
        <v>81.96</v>
      </c>
      <c r="E78" s="38">
        <f>COUNTA(U78,W78,Y78,AA78)</f>
        <v>3</v>
      </c>
      <c r="F78" s="38">
        <f>COUNTA(M78,O78,Q78)</f>
        <v>2</v>
      </c>
      <c r="G78" s="38">
        <f>COUNTA(Table1[[#This Row],[A ASEO]])</f>
        <v>0</v>
      </c>
      <c r="H78" s="1">
        <f>SUM(J78,L78,N78,P78,R78,T78,V78,X78,Z78,AB78,AD78,AF78,AH78)</f>
        <v>131.78579999999999</v>
      </c>
      <c r="I78" s="1">
        <v>22.19</v>
      </c>
      <c r="J78" s="1">
        <f>I78*1.34</f>
        <v>29.734600000000004</v>
      </c>
      <c r="K78" s="1">
        <v>11.58</v>
      </c>
      <c r="L78" s="1">
        <f>K78*1.34</f>
        <v>15.517200000000001</v>
      </c>
      <c r="M78" s="1">
        <v>4.04</v>
      </c>
      <c r="N78" s="1">
        <f>M78*2.36</f>
        <v>9.5343999999999998</v>
      </c>
      <c r="O78" s="1">
        <v>3.61</v>
      </c>
      <c r="P78" s="1">
        <f>O78*2.36</f>
        <v>8.5195999999999987</v>
      </c>
      <c r="Q78" s="1"/>
      <c r="R78" s="1"/>
      <c r="S78" s="1"/>
      <c r="T78" s="1"/>
      <c r="U78" s="1">
        <v>11.19</v>
      </c>
      <c r="V78" s="1">
        <f>U78*1.34</f>
        <v>14.9946</v>
      </c>
      <c r="W78" s="1">
        <v>10.050000000000001</v>
      </c>
      <c r="X78" s="1">
        <f>W78*1.34</f>
        <v>13.467000000000002</v>
      </c>
      <c r="Y78" s="1">
        <v>9.26</v>
      </c>
      <c r="Z78" s="1">
        <f>Y78*1.34</f>
        <v>12.4084</v>
      </c>
      <c r="AA78" s="1"/>
      <c r="AB78" s="1"/>
      <c r="AC78" s="1">
        <v>6.88</v>
      </c>
      <c r="AD78" s="1">
        <f>AC78*2.75</f>
        <v>18.919999999999998</v>
      </c>
      <c r="AE78" s="1">
        <v>3.16</v>
      </c>
      <c r="AF78" s="1">
        <f>AE78*2.75</f>
        <v>8.6900000000000013</v>
      </c>
      <c r="AG78" s="1"/>
      <c r="AH78" s="1"/>
      <c r="AI78" s="39">
        <v>9.48</v>
      </c>
      <c r="AJ78" s="39">
        <f>AI78*0.6</f>
        <v>5.6879999999999997</v>
      </c>
      <c r="AK78" s="34"/>
      <c r="AL78" s="27">
        <f>SUM(I78,U78,W78,Y78,AA78,AC78,AE78,AG78)</f>
        <v>62.730000000000004</v>
      </c>
      <c r="AM78" s="27">
        <f>SUM(K78,M78,O78,Q78,S78)</f>
        <v>19.23</v>
      </c>
      <c r="AN78" s="27">
        <f>SUM(J78,V78,X78,Z78,AB78,AD78,AF78,AH78)</f>
        <v>98.214600000000004</v>
      </c>
      <c r="AO78" s="27">
        <f>SUM(L78,N78,P78,R78,T78)</f>
        <v>33.571199999999997</v>
      </c>
      <c r="AP78" s="30">
        <f>SUM(AG78,AE78,AC78,AA78,Y78,W78,U78,I78)/D78</f>
        <v>0.76537335285505137</v>
      </c>
      <c r="AQ78" s="30">
        <f>SUM(K78,M78,O78,Q78,S78)/D78</f>
        <v>0.23462664714494877</v>
      </c>
      <c r="AR78" s="30">
        <f>D78/H78</f>
        <v>0.62191829468728799</v>
      </c>
      <c r="AS78" s="30">
        <f>AL78/AN78</f>
        <v>0.63870341069454029</v>
      </c>
      <c r="AT78" s="30">
        <f>AM78/AO78</f>
        <v>0.57281241063768951</v>
      </c>
      <c r="AU78" s="35">
        <f>(((H78/2) - SQRT((H78/2)^2 - 4 * D78)) / 2)</f>
        <v>1.2682466481288586</v>
      </c>
      <c r="AV78" s="27">
        <f>(((H78/2) + SQRT((H78/2)^2 - 4 * D78)) / 2)</f>
        <v>64.624653351871132</v>
      </c>
      <c r="AW78" s="27">
        <f>AU78*2.7*2+AV78*2.7*2</f>
        <v>355.82165999999995</v>
      </c>
      <c r="AX78" s="30">
        <f>AW78/D78</f>
        <v>4.3414062957540258</v>
      </c>
      <c r="AY78" s="30"/>
    </row>
    <row r="79" spans="2:51" x14ac:dyDescent="0.25">
      <c r="B79" s="36" t="s">
        <v>88</v>
      </c>
      <c r="C79" t="s">
        <v>89</v>
      </c>
      <c r="D79" s="37">
        <f>SUM(I79,K79,M79,O79,Q79,S79,U79,W79,Y79,AA79,AC79,AE79,AG79)</f>
        <v>76.899999999999991</v>
      </c>
      <c r="E79" s="38">
        <f>COUNTA(U79,W79,Y79,AA79)</f>
        <v>3</v>
      </c>
      <c r="F79" s="38">
        <f>COUNTA(M79,O79,Q79)</f>
        <v>2</v>
      </c>
      <c r="G79" s="38">
        <f>COUNTA(Table1[[#This Row],[A ASEO]])</f>
        <v>0</v>
      </c>
      <c r="H79" s="1">
        <f>SUM(J79,L79,N79,P79,R79,T79,V79,X79,Z79,AB79,AD79,AF79,AH79)</f>
        <v>122.105</v>
      </c>
      <c r="I79" s="1">
        <v>20.66</v>
      </c>
      <c r="J79" s="1">
        <f>I79*1.34</f>
        <v>27.6844</v>
      </c>
      <c r="K79" s="1">
        <v>8.39</v>
      </c>
      <c r="L79" s="1">
        <f>K79*1.34</f>
        <v>11.242600000000001</v>
      </c>
      <c r="M79" s="1">
        <v>3.56</v>
      </c>
      <c r="N79" s="1">
        <f>M79*2.36</f>
        <v>8.4016000000000002</v>
      </c>
      <c r="O79" s="1">
        <v>3.32</v>
      </c>
      <c r="P79" s="1">
        <f>O79*2.36</f>
        <v>7.8351999999999995</v>
      </c>
      <c r="Q79" s="1"/>
      <c r="R79" s="1"/>
      <c r="S79" s="1"/>
      <c r="T79" s="1"/>
      <c r="U79" s="1">
        <v>14.32</v>
      </c>
      <c r="V79" s="1">
        <f>U79*1.34</f>
        <v>19.188800000000001</v>
      </c>
      <c r="W79" s="1">
        <v>10.1</v>
      </c>
      <c r="X79" s="1">
        <f>W79*1.34</f>
        <v>13.534000000000001</v>
      </c>
      <c r="Y79" s="1">
        <v>8.01</v>
      </c>
      <c r="Z79" s="1">
        <f>Y79*1.34</f>
        <v>10.7334</v>
      </c>
      <c r="AA79" s="1"/>
      <c r="AB79" s="1"/>
      <c r="AC79" s="1">
        <v>4.58</v>
      </c>
      <c r="AD79" s="1">
        <f>AC79*2.75</f>
        <v>12.595000000000001</v>
      </c>
      <c r="AE79" s="1">
        <v>3.96</v>
      </c>
      <c r="AF79" s="1">
        <f>AE79*2.75</f>
        <v>10.89</v>
      </c>
      <c r="AG79" s="1"/>
      <c r="AH79" s="1"/>
      <c r="AI79" s="39">
        <f>14.11+1.78</f>
        <v>15.889999999999999</v>
      </c>
      <c r="AJ79" s="39">
        <f>AI79*0.6</f>
        <v>9.5339999999999989</v>
      </c>
      <c r="AK79" s="34"/>
      <c r="AL79" s="27">
        <f>SUM(I79,U79,W79,Y79,AA79,AC79,AE79,AG79)</f>
        <v>61.63</v>
      </c>
      <c r="AM79" s="27">
        <f>SUM(K79,M79,O79,Q79,S79)</f>
        <v>15.270000000000001</v>
      </c>
      <c r="AN79" s="27">
        <f>SUM(J79,V79,X79,Z79,AB79,AD79,AF79,AH79)</f>
        <v>94.625599999999991</v>
      </c>
      <c r="AO79" s="27">
        <f>SUM(L79,N79,P79,R79,T79)</f>
        <v>27.479400000000002</v>
      </c>
      <c r="AP79" s="30">
        <f>SUM(AG79,AE79,AC79,AA79,Y79,W79,U79,I79)/D79</f>
        <v>0.80143042912873863</v>
      </c>
      <c r="AQ79" s="30">
        <f>SUM(K79,M79,O79,Q79,S79)/D79</f>
        <v>0.19856957087126142</v>
      </c>
      <c r="AR79" s="30">
        <f>D79/H79</f>
        <v>0.62978584005568972</v>
      </c>
      <c r="AS79" s="30">
        <f>AL79/AN79</f>
        <v>0.65130366412471896</v>
      </c>
      <c r="AT79" s="30">
        <f>AM79/AO79</f>
        <v>0.55568898884255113</v>
      </c>
      <c r="AU79" s="35">
        <f>(((H79/2) - SQRT((H79/2)^2 - 4 * D79)) / 2)</f>
        <v>1.2866888018133906</v>
      </c>
      <c r="AV79" s="27">
        <f>(((H79/2) + SQRT((H79/2)^2 - 4 * D79)) / 2)</f>
        <v>59.765811198186611</v>
      </c>
      <c r="AW79" s="27">
        <f>AU79*2.7*2+AV79*2.7*2</f>
        <v>329.68350000000004</v>
      </c>
      <c r="AX79" s="30">
        <f>AW79/D79</f>
        <v>4.2871716514954494</v>
      </c>
      <c r="AY79" s="30"/>
    </row>
    <row r="80" spans="2:51" x14ac:dyDescent="0.25">
      <c r="B80" s="36" t="s">
        <v>88</v>
      </c>
      <c r="C80" t="s">
        <v>89</v>
      </c>
      <c r="D80" s="37">
        <f>SUM(I80,K80,M80,O80,Q80,S80,U80,W80,Y80,AA80,AC80,AE80,AG80)</f>
        <v>83.31</v>
      </c>
      <c r="E80" s="38">
        <f>COUNTA(U80,W80,Y80,AA80)</f>
        <v>3</v>
      </c>
      <c r="F80" s="38">
        <f>COUNTA(M80,O80,Q80)</f>
        <v>2</v>
      </c>
      <c r="G80" s="38">
        <f>COUNTA(Table1[[#This Row],[A ASEO]])</f>
        <v>0</v>
      </c>
      <c r="H80" s="1">
        <f>SUM(J80,L80,N80,P80,R80,T80,V80,X80,Z80,AB80,AD80,AF80,AH80)</f>
        <v>132.37439999999998</v>
      </c>
      <c r="I80" s="1">
        <v>22.06</v>
      </c>
      <c r="J80" s="1">
        <f>I80*1.34</f>
        <v>29.560400000000001</v>
      </c>
      <c r="K80" s="1">
        <v>10.02</v>
      </c>
      <c r="L80" s="1">
        <f>K80*1.34</f>
        <v>13.4268</v>
      </c>
      <c r="M80" s="1">
        <v>4.13</v>
      </c>
      <c r="N80" s="1">
        <f>M80*2.36</f>
        <v>9.7467999999999986</v>
      </c>
      <c r="O80" s="1">
        <v>3.07</v>
      </c>
      <c r="P80" s="1">
        <f>O80*2.36</f>
        <v>7.2451999999999996</v>
      </c>
      <c r="Q80" s="1"/>
      <c r="R80" s="1"/>
      <c r="S80" s="1"/>
      <c r="T80" s="1"/>
      <c r="U80" s="1">
        <v>15.3</v>
      </c>
      <c r="V80" s="1">
        <f>U80*1.34</f>
        <v>20.502000000000002</v>
      </c>
      <c r="W80" s="1">
        <v>9.94</v>
      </c>
      <c r="X80" s="1">
        <f>W80*1.34</f>
        <v>13.319599999999999</v>
      </c>
      <c r="Y80" s="1">
        <v>9.2899999999999991</v>
      </c>
      <c r="Z80" s="1">
        <f>Y80*1.34</f>
        <v>12.448599999999999</v>
      </c>
      <c r="AA80" s="1"/>
      <c r="AB80" s="1"/>
      <c r="AC80" s="1">
        <v>4.45</v>
      </c>
      <c r="AD80" s="1">
        <f>AC80*2.75</f>
        <v>12.237500000000001</v>
      </c>
      <c r="AE80" s="1">
        <v>5.05</v>
      </c>
      <c r="AF80" s="1">
        <f>AE80*2.75</f>
        <v>13.887499999999999</v>
      </c>
      <c r="AG80" s="1"/>
      <c r="AH80" s="1"/>
      <c r="AI80" s="39">
        <f>16.18+2.08</f>
        <v>18.259999999999998</v>
      </c>
      <c r="AJ80" s="39">
        <f>AI80*0.6</f>
        <v>10.955999999999998</v>
      </c>
      <c r="AK80" s="34"/>
      <c r="AL80" s="27">
        <f>SUM(I80,U80,W80,Y80,AA80,AC80,AE80,AG80)</f>
        <v>66.09</v>
      </c>
      <c r="AM80" s="27">
        <f>SUM(K80,M80,O80,Q80,S80)</f>
        <v>17.22</v>
      </c>
      <c r="AN80" s="27">
        <f>SUM(J80,V80,X80,Z80,AB80,AD80,AF80,AH80)</f>
        <v>101.9556</v>
      </c>
      <c r="AO80" s="27">
        <f>SUM(L80,N80,P80,R80,T80)</f>
        <v>30.418800000000001</v>
      </c>
      <c r="AP80" s="30">
        <f>SUM(AG80,AE80,AC80,AA80,Y80,W80,U80,I80)/D80</f>
        <v>0.79330212459488658</v>
      </c>
      <c r="AQ80" s="30">
        <f>SUM(K80,M80,O80,Q80,S80)/D80</f>
        <v>0.20669787540511342</v>
      </c>
      <c r="AR80" s="30">
        <f>D80/H80</f>
        <v>0.62935129451011684</v>
      </c>
      <c r="AS80" s="30">
        <f>AL80/AN80</f>
        <v>0.64822334427927453</v>
      </c>
      <c r="AT80" s="30">
        <f>AM80/AO80</f>
        <v>0.56609728194406084</v>
      </c>
      <c r="AU80" s="35">
        <f>(((H80/2) - SQRT((H80/2)^2 - 4 * D80)) / 2)</f>
        <v>1.2835958981454993</v>
      </c>
      <c r="AV80" s="27">
        <f>(((H80/2) + SQRT((H80/2)^2 - 4 * D80)) / 2)</f>
        <v>64.903604101854484</v>
      </c>
      <c r="AW80" s="27">
        <f>AU80*2.7*2+AV80*2.7*2</f>
        <v>357.41087999999991</v>
      </c>
      <c r="AX80" s="30">
        <f>AW80/D80</f>
        <v>4.2901317969031316</v>
      </c>
      <c r="AY80" s="30"/>
    </row>
    <row r="81" spans="2:51" x14ac:dyDescent="0.25">
      <c r="B81" s="36" t="s">
        <v>88</v>
      </c>
      <c r="C81" t="s">
        <v>89</v>
      </c>
      <c r="D81" s="37">
        <f>SUM(I81,K81,M81,O81,Q81,S81,U81,W81,Y81,AA81,AC81,AE81,AG81)</f>
        <v>82.92</v>
      </c>
      <c r="E81" s="38">
        <f>COUNTA(U81,W81,Y81,AA81)</f>
        <v>3</v>
      </c>
      <c r="F81" s="38">
        <f>COUNTA(M81,O81,Q81)</f>
        <v>2</v>
      </c>
      <c r="G81" s="38">
        <f>COUNTA(Table1[[#This Row],[A ASEO]])</f>
        <v>0</v>
      </c>
      <c r="H81" s="1">
        <f>SUM(J81,L81,N81,P81,R81,T81,V81,X81,Z81,AB81,AD81,AF81,AH81)</f>
        <v>136.53120000000001</v>
      </c>
      <c r="I81" s="1">
        <v>21.61</v>
      </c>
      <c r="J81" s="1">
        <f>I81*1.34</f>
        <v>28.9574</v>
      </c>
      <c r="K81" s="1">
        <v>8.48</v>
      </c>
      <c r="L81" s="1">
        <f>K81*1.34</f>
        <v>11.363200000000001</v>
      </c>
      <c r="M81" s="1">
        <v>3.68</v>
      </c>
      <c r="N81" s="1">
        <f>M81*2.36</f>
        <v>8.6847999999999992</v>
      </c>
      <c r="O81" s="1">
        <v>3.38</v>
      </c>
      <c r="P81" s="1">
        <f>O81*2.36</f>
        <v>7.976799999999999</v>
      </c>
      <c r="Q81" s="1"/>
      <c r="R81" s="1"/>
      <c r="S81" s="1"/>
      <c r="T81" s="1"/>
      <c r="U81" s="1">
        <v>14.49</v>
      </c>
      <c r="V81" s="1">
        <f>U81*1.34</f>
        <v>19.416600000000003</v>
      </c>
      <c r="W81" s="1">
        <v>9.34</v>
      </c>
      <c r="X81" s="1">
        <f>W81*1.34</f>
        <v>12.515600000000001</v>
      </c>
      <c r="Y81" s="1">
        <v>9.02</v>
      </c>
      <c r="Z81" s="1">
        <f>Y81*1.34</f>
        <v>12.0868</v>
      </c>
      <c r="AA81" s="1"/>
      <c r="AB81" s="1"/>
      <c r="AC81" s="1">
        <v>7.14</v>
      </c>
      <c r="AD81" s="1">
        <f>AC81*2.75</f>
        <v>19.634999999999998</v>
      </c>
      <c r="AE81" s="1">
        <v>5.78</v>
      </c>
      <c r="AF81" s="1">
        <f>AE81*2.75</f>
        <v>15.895000000000001</v>
      </c>
      <c r="AG81" s="1"/>
      <c r="AH81" s="1"/>
      <c r="AI81" s="39">
        <f>47.4+12.85+1.93</f>
        <v>62.18</v>
      </c>
      <c r="AJ81" s="39">
        <f>AI81*0.6</f>
        <v>37.308</v>
      </c>
      <c r="AK81" s="34"/>
      <c r="AL81" s="27">
        <f>SUM(I81,U81,W81,Y81,AA81,AC81,AE81,AG81)</f>
        <v>67.38</v>
      </c>
      <c r="AM81" s="27">
        <f>SUM(K81,M81,O81,Q81,S81)</f>
        <v>15.54</v>
      </c>
      <c r="AN81" s="27">
        <f>SUM(J81,V81,X81,Z81,AB81,AD81,AF81,AH81)</f>
        <v>108.5064</v>
      </c>
      <c r="AO81" s="27">
        <f>SUM(L81,N81,P81,R81,T81)</f>
        <v>28.024799999999999</v>
      </c>
      <c r="AP81" s="30">
        <f>SUM(AG81,AE81,AC81,AA81,Y81,W81,U81,I81)/D81</f>
        <v>0.81259044862518082</v>
      </c>
      <c r="AQ81" s="30">
        <f>SUM(K81,M81,O81,Q81,S81)/D81</f>
        <v>0.1874095513748191</v>
      </c>
      <c r="AR81" s="30">
        <f>D81/H81</f>
        <v>0.60733370833919276</v>
      </c>
      <c r="AS81" s="30">
        <f>AL81/AN81</f>
        <v>0.62097719581517763</v>
      </c>
      <c r="AT81" s="30">
        <f>AM81/AO81</f>
        <v>0.5545088635779738</v>
      </c>
      <c r="AU81" s="35">
        <f>(((H81/2) - SQRT((H81/2)^2 - 4 * D81)) / 2)</f>
        <v>1.2370854487092799</v>
      </c>
      <c r="AV81" s="27">
        <f>(((H81/2) + SQRT((H81/2)^2 - 4 * D81)) / 2)</f>
        <v>67.028514551290726</v>
      </c>
      <c r="AW81" s="27">
        <f>AU81*2.7*2+AV81*2.7*2</f>
        <v>368.63424000000009</v>
      </c>
      <c r="AX81" s="30">
        <f>AW81/D81</f>
        <v>4.4456613603473238</v>
      </c>
      <c r="AY81" s="30"/>
    </row>
    <row r="82" spans="2:51" x14ac:dyDescent="0.25">
      <c r="B82" s="36" t="s">
        <v>43</v>
      </c>
      <c r="C82" t="s">
        <v>48</v>
      </c>
      <c r="D82" s="37">
        <f>SUM(I82,K82,M82,O82,Q82,S82,U82,W82,Y82,AA82,AC82,AE82,AG82)</f>
        <v>76.33</v>
      </c>
      <c r="E82" s="38">
        <f>COUNTA(U82,W82,Y82,AA82)</f>
        <v>3</v>
      </c>
      <c r="F82" s="38">
        <f>COUNTA(M82,O82,Q82)</f>
        <v>1</v>
      </c>
      <c r="G82" s="38">
        <f>COUNTA(Table1[[#This Row],[A ASEO]])</f>
        <v>0</v>
      </c>
      <c r="H82" s="1">
        <f>SUM(J82,L82,N82,P82,R82,T82,V82,X82,Z82,AB82,AD82,AF82,AH82)</f>
        <v>119.88260000000001</v>
      </c>
      <c r="I82" s="1">
        <v>20.14</v>
      </c>
      <c r="J82" s="1">
        <f>I82*1.34</f>
        <v>26.987600000000004</v>
      </c>
      <c r="K82" s="1">
        <v>8.59</v>
      </c>
      <c r="L82" s="1">
        <f>K82*1.34</f>
        <v>11.5106</v>
      </c>
      <c r="M82" s="1">
        <v>3.89</v>
      </c>
      <c r="N82" s="1">
        <f>M82*2.36</f>
        <v>9.1804000000000006</v>
      </c>
      <c r="O82" s="1"/>
      <c r="P82" s="1"/>
      <c r="Q82" s="1"/>
      <c r="R82" s="1"/>
      <c r="S82" s="1"/>
      <c r="T82" s="1"/>
      <c r="U82" s="1">
        <v>13.94</v>
      </c>
      <c r="V82" s="1">
        <f>U82*1.34</f>
        <v>18.679600000000001</v>
      </c>
      <c r="W82" s="1">
        <v>9.91</v>
      </c>
      <c r="X82" s="1">
        <f>W82*1.34</f>
        <v>13.279400000000001</v>
      </c>
      <c r="Y82" s="1">
        <v>9.6300000000000008</v>
      </c>
      <c r="Z82" s="1">
        <f>Y82*1.34</f>
        <v>12.904200000000001</v>
      </c>
      <c r="AA82" s="1"/>
      <c r="AB82" s="1"/>
      <c r="AC82" s="1">
        <v>2.9</v>
      </c>
      <c r="AD82" s="1">
        <f>AC82*2.75</f>
        <v>7.9749999999999996</v>
      </c>
      <c r="AE82" s="1">
        <v>5.3</v>
      </c>
      <c r="AF82" s="1">
        <f>AE82*2.75</f>
        <v>14.574999999999999</v>
      </c>
      <c r="AG82" s="1">
        <v>2.0299999999999998</v>
      </c>
      <c r="AH82" s="1">
        <f>AG82*2.36</f>
        <v>4.7907999999999991</v>
      </c>
      <c r="AI82" s="39">
        <v>13.71</v>
      </c>
      <c r="AJ82" s="39">
        <f>AI82*0.6</f>
        <v>8.2260000000000009</v>
      </c>
      <c r="AK82" s="34"/>
      <c r="AL82" s="27">
        <f>SUM(I82,U82,W82,Y82,AA82,AC82,AE82,AG82)</f>
        <v>63.849999999999994</v>
      </c>
      <c r="AM82" s="27">
        <f>SUM(K82,M82,O82,Q82,S82)</f>
        <v>12.48</v>
      </c>
      <c r="AN82" s="27">
        <f>SUM(J82,V82,X82,Z82,AB82,AD82,AF82,AH82)</f>
        <v>99.191600000000008</v>
      </c>
      <c r="AO82" s="27">
        <f>SUM(L82,N82,P82,R82,T82)</f>
        <v>20.691000000000003</v>
      </c>
      <c r="AP82" s="30">
        <f>SUM(AG82,AE82,AC82,AA82,Y82,W82,U82,I82)/D82</f>
        <v>0.83649941045460507</v>
      </c>
      <c r="AQ82" s="30">
        <f>SUM(K82,M82,O82,Q82,S82)/D82</f>
        <v>0.16350058954539501</v>
      </c>
      <c r="AR82" s="30">
        <f>D82/H82</f>
        <v>0.63670624427564959</v>
      </c>
      <c r="AS82" s="30">
        <f>AL82/AN82</f>
        <v>0.64370370071659277</v>
      </c>
      <c r="AT82" s="30">
        <f>AM82/AO82</f>
        <v>0.60316079454835425</v>
      </c>
      <c r="AU82" s="35">
        <f>(((H82/2) - SQRT((H82/2)^2 - 4 * D82)) / 2)</f>
        <v>1.3016796413962588</v>
      </c>
      <c r="AV82" s="27">
        <f>(((H82/2) + SQRT((H82/2)^2 - 4 * D82)) / 2)</f>
        <v>58.63962035860375</v>
      </c>
      <c r="AW82" s="27">
        <f>AU82*2.7*2+AV82*2.7*2</f>
        <v>323.68302000000006</v>
      </c>
      <c r="AX82" s="30">
        <f>AW82/D82</f>
        <v>4.2405740862046386</v>
      </c>
      <c r="AY82" s="30"/>
    </row>
    <row r="83" spans="2:51" x14ac:dyDescent="0.25">
      <c r="B83" s="36" t="s">
        <v>43</v>
      </c>
      <c r="C83" t="s">
        <v>48</v>
      </c>
      <c r="D83" s="37">
        <f>SUM(I83,K83,M83,O83,Q83,S83,U83,W83,Y83,AA83,AC83,AE83,AG83)</f>
        <v>75.989999999999995</v>
      </c>
      <c r="E83" s="38">
        <f>COUNTA(U83,W83,Y83,AA83)</f>
        <v>3</v>
      </c>
      <c r="F83" s="38">
        <f>COUNTA(M83,O83,Q83)</f>
        <v>1</v>
      </c>
      <c r="G83" s="38">
        <f>COUNTA(Table1[[#This Row],[A ASEO]])</f>
        <v>0</v>
      </c>
      <c r="H83" s="1">
        <f>SUM(J83,L83,N83,P83,R83,T83,V83,X83,Z83,AB83,AD83,AF83,AH83)</f>
        <v>119.44499999999998</v>
      </c>
      <c r="I83" s="1">
        <v>20.149999999999999</v>
      </c>
      <c r="J83" s="1">
        <f>I83*1.34</f>
        <v>27.001000000000001</v>
      </c>
      <c r="K83" s="1">
        <v>8.39</v>
      </c>
      <c r="L83" s="1">
        <f>K83*1.34</f>
        <v>11.242600000000001</v>
      </c>
      <c r="M83" s="1">
        <v>3.92</v>
      </c>
      <c r="N83" s="1">
        <f>M83*2.36</f>
        <v>9.251199999999999</v>
      </c>
      <c r="O83" s="1"/>
      <c r="P83" s="1"/>
      <c r="Q83" s="1"/>
      <c r="R83" s="1"/>
      <c r="S83" s="1"/>
      <c r="T83" s="1"/>
      <c r="U83" s="1">
        <v>13.89</v>
      </c>
      <c r="V83" s="1">
        <f>U83*1.34</f>
        <v>18.6126</v>
      </c>
      <c r="W83" s="1">
        <v>9.91</v>
      </c>
      <c r="X83" s="1">
        <f>W83*1.34</f>
        <v>13.279400000000001</v>
      </c>
      <c r="Y83" s="1">
        <v>9.52</v>
      </c>
      <c r="Z83" s="1">
        <f>Y83*1.34</f>
        <v>12.7568</v>
      </c>
      <c r="AA83" s="1"/>
      <c r="AB83" s="1"/>
      <c r="AC83" s="1">
        <v>2.9</v>
      </c>
      <c r="AD83" s="1">
        <f>AC83*2.75</f>
        <v>7.9749999999999996</v>
      </c>
      <c r="AE83" s="1">
        <v>5.32</v>
      </c>
      <c r="AF83" s="1">
        <f>AE83*2.75</f>
        <v>14.63</v>
      </c>
      <c r="AG83" s="1">
        <v>1.99</v>
      </c>
      <c r="AH83" s="1">
        <f>AG83*2.36</f>
        <v>4.6963999999999997</v>
      </c>
      <c r="AI83" s="39">
        <v>6.39</v>
      </c>
      <c r="AJ83" s="39">
        <f>AI83*0.6</f>
        <v>3.8339999999999996</v>
      </c>
      <c r="AK83" s="34"/>
      <c r="AL83" s="27">
        <f>SUM(I83,U83,W83,Y83,AA83,AC83,AE83,AG83)</f>
        <v>63.68</v>
      </c>
      <c r="AM83" s="27">
        <f>SUM(K83,M83,O83,Q83,S83)</f>
        <v>12.31</v>
      </c>
      <c r="AN83" s="27">
        <f>SUM(J83,V83,X83,Z83,AB83,AD83,AF83,AH83)</f>
        <v>98.9512</v>
      </c>
      <c r="AO83" s="27">
        <f>SUM(L83,N83,P83,R83,T83)</f>
        <v>20.4938</v>
      </c>
      <c r="AP83" s="30">
        <f>SUM(AG83,AE83,AC83,AA83,Y83,W83,U83,I83)/D83</f>
        <v>0.83800500065798134</v>
      </c>
      <c r="AQ83" s="30">
        <f>SUM(K83,M83,O83,Q83,S83)/D83</f>
        <v>0.16199499934201869</v>
      </c>
      <c r="AR83" s="30">
        <f>D83/H83</f>
        <v>0.63619238980283821</v>
      </c>
      <c r="AS83" s="30">
        <f>AL83/AN83</f>
        <v>0.64354954765581418</v>
      </c>
      <c r="AT83" s="30">
        <f>AM83/AO83</f>
        <v>0.60066947076676847</v>
      </c>
      <c r="AU83" s="35">
        <f>(((H83/2) - SQRT((H83/2)^2 - 4 * D83)) / 2)</f>
        <v>1.3007133880506387</v>
      </c>
      <c r="AV83" s="27">
        <f>(((H83/2) + SQRT((H83/2)^2 - 4 * D83)) / 2)</f>
        <v>58.421786611949351</v>
      </c>
      <c r="AW83" s="27">
        <f>AU83*2.7*2+AV83*2.7*2</f>
        <v>322.50149999999996</v>
      </c>
      <c r="AX83" s="30">
        <f>AW83/D83</f>
        <v>4.243999210422424</v>
      </c>
      <c r="AY83" s="30"/>
    </row>
    <row r="84" spans="2:51" x14ac:dyDescent="0.25">
      <c r="B84" s="36" t="s">
        <v>43</v>
      </c>
      <c r="C84" t="s">
        <v>48</v>
      </c>
      <c r="D84" s="37">
        <f>SUM(I84,K84,M84,O84,Q84,S84,U84,W84,Y84,AA84,AC84,AE84,AG84)</f>
        <v>78.7</v>
      </c>
      <c r="E84" s="38">
        <f>COUNTA(U84,W84,Y84,AA84)</f>
        <v>3</v>
      </c>
      <c r="F84" s="38">
        <f>COUNTA(M84,O84,Q84)</f>
        <v>1</v>
      </c>
      <c r="G84" s="38">
        <f>COUNTA(Table1[[#This Row],[A ASEO]])</f>
        <v>0</v>
      </c>
      <c r="H84" s="1">
        <f>SUM(J84,L84,N84,P84,R84,T84,V84,X84,Z84,AB84,AD84,AF84,AH84)</f>
        <v>126.49160000000001</v>
      </c>
      <c r="I84" s="1">
        <v>20.43</v>
      </c>
      <c r="J84" s="1">
        <f>I84*1.34</f>
        <v>27.376200000000001</v>
      </c>
      <c r="K84" s="1">
        <v>8.7899999999999991</v>
      </c>
      <c r="L84" s="1">
        <f>K84*1.34</f>
        <v>11.778599999999999</v>
      </c>
      <c r="M84" s="1">
        <v>3.91</v>
      </c>
      <c r="N84" s="1">
        <f>M84*2.36</f>
        <v>9.2276000000000007</v>
      </c>
      <c r="O84" s="1"/>
      <c r="P84" s="1"/>
      <c r="Q84" s="1"/>
      <c r="R84" s="1"/>
      <c r="S84" s="1"/>
      <c r="T84" s="1"/>
      <c r="U84" s="1">
        <v>13.57</v>
      </c>
      <c r="V84" s="1">
        <f>U84*1.34</f>
        <v>18.183800000000002</v>
      </c>
      <c r="W84" s="1">
        <v>9.9700000000000006</v>
      </c>
      <c r="X84" s="1">
        <f>W84*1.34</f>
        <v>13.359800000000002</v>
      </c>
      <c r="Y84" s="1">
        <v>9.41</v>
      </c>
      <c r="Z84" s="1">
        <f>Y84*1.34</f>
        <v>12.609400000000001</v>
      </c>
      <c r="AA84" s="1"/>
      <c r="AB84" s="1"/>
      <c r="AC84" s="1">
        <v>4.91</v>
      </c>
      <c r="AD84" s="1">
        <f>AC84*2.75</f>
        <v>13.502500000000001</v>
      </c>
      <c r="AE84" s="1">
        <v>5.79</v>
      </c>
      <c r="AF84" s="1">
        <f>AE84*2.75</f>
        <v>15.922499999999999</v>
      </c>
      <c r="AG84" s="1">
        <v>1.92</v>
      </c>
      <c r="AH84" s="1">
        <f>AG84*2.36</f>
        <v>4.5311999999999992</v>
      </c>
      <c r="AI84" s="39">
        <v>15.76</v>
      </c>
      <c r="AJ84" s="39">
        <f>AI84*0.6</f>
        <v>9.4559999999999995</v>
      </c>
      <c r="AK84" s="34"/>
      <c r="AL84" s="27">
        <f>SUM(I84,U84,W84,Y84,AA84,AC84,AE84,AG84)</f>
        <v>66</v>
      </c>
      <c r="AM84" s="27">
        <f>SUM(K84,M84,O84,Q84,S84)</f>
        <v>12.7</v>
      </c>
      <c r="AN84" s="27">
        <f>SUM(J84,V84,X84,Z84,AB84,AD84,AF84,AH84)</f>
        <v>105.4854</v>
      </c>
      <c r="AO84" s="27">
        <f>SUM(L84,N84,P84,R84,T84)</f>
        <v>21.0062</v>
      </c>
      <c r="AP84" s="30">
        <f>SUM(AG84,AE84,AC84,AA84,Y84,W84,U84,I84)/D84</f>
        <v>0.83862770012706478</v>
      </c>
      <c r="AQ84" s="30">
        <f>SUM(K84,M84,O84,Q84,S84)/D84</f>
        <v>0.16137229987293519</v>
      </c>
      <c r="AR84" s="30">
        <f>D84/H84</f>
        <v>0.62217570178573123</v>
      </c>
      <c r="AS84" s="30">
        <f>AL84/AN84</f>
        <v>0.62567900391902576</v>
      </c>
      <c r="AT84" s="30">
        <f>AM84/AO84</f>
        <v>0.60458340870790528</v>
      </c>
      <c r="AU84" s="35">
        <f>(((H84/2) - SQRT((H84/2)^2 - 4 * D84)) / 2)</f>
        <v>1.2698473625798243</v>
      </c>
      <c r="AV84" s="27">
        <f>(((H84/2) + SQRT((H84/2)^2 - 4 * D84)) / 2)</f>
        <v>61.975952637420178</v>
      </c>
      <c r="AW84" s="27">
        <f>AU84*2.7*2+AV84*2.7*2</f>
        <v>341.52732000000003</v>
      </c>
      <c r="AX84" s="30">
        <f>AW84/D84</f>
        <v>4.3396101651842445</v>
      </c>
      <c r="AY84" s="30"/>
    </row>
    <row r="85" spans="2:51" x14ac:dyDescent="0.25">
      <c r="B85" s="36" t="s">
        <v>101</v>
      </c>
      <c r="C85" t="s">
        <v>102</v>
      </c>
      <c r="D85" s="37">
        <f>SUM(I85,K85,M85,O85,Q85,S85,U85,W85,Y85,AA85,AC85,AE85,AG85)</f>
        <v>86.45</v>
      </c>
      <c r="E85" s="38">
        <f>COUNTA(U85,W85,Y85,AA85)</f>
        <v>3</v>
      </c>
      <c r="F85" s="38">
        <f>COUNTA(M85,O85,Q85)</f>
        <v>2</v>
      </c>
      <c r="G85" s="38">
        <f>COUNTA(Table1[[#This Row],[A ASEO]])</f>
        <v>0</v>
      </c>
      <c r="H85" s="1">
        <f>SUM(J85,L85,N85,P85,R85,T85,V85,X85,Z85,AB85,AD85,AF85,AH85)</f>
        <v>130.90540000000001</v>
      </c>
      <c r="I85" s="1">
        <v>25.5</v>
      </c>
      <c r="J85" s="1">
        <f>I85*1.34</f>
        <v>34.17</v>
      </c>
      <c r="K85" s="1">
        <v>10.75</v>
      </c>
      <c r="L85" s="1">
        <f>K85*1.34</f>
        <v>14.405000000000001</v>
      </c>
      <c r="M85" s="1">
        <v>4.2300000000000004</v>
      </c>
      <c r="N85" s="1">
        <f>M85*2.36</f>
        <v>9.982800000000001</v>
      </c>
      <c r="O85" s="1">
        <v>4.04</v>
      </c>
      <c r="P85" s="1">
        <f>O85*2.36</f>
        <v>9.5343999999999998</v>
      </c>
      <c r="Q85" s="1"/>
      <c r="R85" s="1"/>
      <c r="S85" s="1"/>
      <c r="T85" s="1"/>
      <c r="U85" s="1">
        <v>15</v>
      </c>
      <c r="V85" s="1">
        <f>U85*1.34</f>
        <v>20.100000000000001</v>
      </c>
      <c r="W85" s="1">
        <v>11.15</v>
      </c>
      <c r="X85" s="1">
        <f>W85*1.34</f>
        <v>14.941000000000001</v>
      </c>
      <c r="Y85" s="1">
        <v>11.08</v>
      </c>
      <c r="Z85" s="1">
        <f>Y85*1.34</f>
        <v>14.847200000000001</v>
      </c>
      <c r="AA85" s="1"/>
      <c r="AB85" s="1"/>
      <c r="AC85" s="1">
        <v>4.7</v>
      </c>
      <c r="AD85" s="1">
        <f>AC85*2.75</f>
        <v>12.925000000000001</v>
      </c>
      <c r="AE85" s="1"/>
      <c r="AF85" s="1"/>
      <c r="AG85" s="1"/>
      <c r="AH85" s="1"/>
      <c r="AI85" s="39">
        <v>10.53</v>
      </c>
      <c r="AJ85" s="39">
        <f>AI85*0.6</f>
        <v>6.3179999999999996</v>
      </c>
      <c r="AK85" s="34"/>
      <c r="AL85" s="27">
        <f>SUM(I85,U85,W85,Y85,AA85,AC85,AE85,AG85)</f>
        <v>67.429999999999993</v>
      </c>
      <c r="AM85" s="27">
        <f>SUM(K85,M85,O85,Q85,S85)</f>
        <v>19.02</v>
      </c>
      <c r="AN85" s="27">
        <f>SUM(J85,V85,X85,Z85,AB85,AD85,AF85,AH85)</f>
        <v>96.983199999999997</v>
      </c>
      <c r="AO85" s="27">
        <f>SUM(L85,N85,P85,R85,T85)</f>
        <v>33.922200000000004</v>
      </c>
      <c r="AP85" s="30">
        <f>SUM(AG85,AE85,AC85,AA85,Y85,W85,U85,I85)/D85</f>
        <v>0.77998843262001161</v>
      </c>
      <c r="AQ85" s="30">
        <f>SUM(K85,M85,O85,Q85,S85)/D85</f>
        <v>0.22001156737998842</v>
      </c>
      <c r="AR85" s="30">
        <f>D85/H85</f>
        <v>0.6604005640714592</v>
      </c>
      <c r="AS85" s="30">
        <f>AL85/AN85</f>
        <v>0.69527505794818067</v>
      </c>
      <c r="AT85" s="30">
        <f>AM85/AO85</f>
        <v>0.56069476625926373</v>
      </c>
      <c r="AU85" s="35">
        <f>(((H85/2) - SQRT((H85/2)^2 - 4 * D85)) / 2)</f>
        <v>1.3485874232562622</v>
      </c>
      <c r="AV85" s="27">
        <f>(((H85/2) + SQRT((H85/2)^2 - 4 * D85)) / 2)</f>
        <v>64.104112576743745</v>
      </c>
      <c r="AW85" s="27">
        <f>AU85*2.7*2+AV85*2.7*2</f>
        <v>353.44458000000003</v>
      </c>
      <c r="AX85" s="30">
        <f>AW85/D85</f>
        <v>4.0884277617119729</v>
      </c>
      <c r="AY85" s="30"/>
    </row>
    <row r="86" spans="2:51" x14ac:dyDescent="0.25">
      <c r="B86" s="36" t="s">
        <v>41</v>
      </c>
      <c r="C86" t="s">
        <v>47</v>
      </c>
      <c r="D86" s="37">
        <f>SUM(I86,K86,M86,O86,Q86,S86,U86,W86,Y86,AA86,AC86,AE86,AG86)</f>
        <v>74.2</v>
      </c>
      <c r="E86" s="38">
        <f>COUNTA(U86,W86,Y86,AA86)</f>
        <v>3</v>
      </c>
      <c r="F86" s="38">
        <f>COUNTA(M86,O86,Q86)</f>
        <v>1</v>
      </c>
      <c r="G86" s="38">
        <f>COUNTA(Table1[[#This Row],[A ASEO]])</f>
        <v>0</v>
      </c>
      <c r="H86" s="1">
        <f>SUM(J86,L86,N86,P86,R86,T86,V86,X86,Z86,AB86,AD86,AF86,AH86)</f>
        <v>110.23700000000001</v>
      </c>
      <c r="I86" s="1">
        <v>21.9</v>
      </c>
      <c r="J86" s="1">
        <f>I86*1.34</f>
        <v>29.346</v>
      </c>
      <c r="K86" s="1">
        <v>9.3000000000000007</v>
      </c>
      <c r="L86" s="1">
        <f>K86*1.34</f>
        <v>12.462000000000002</v>
      </c>
      <c r="M86" s="1">
        <v>4.0999999999999996</v>
      </c>
      <c r="N86" s="1">
        <f>M86*2.36</f>
        <v>9.6759999999999984</v>
      </c>
      <c r="O86" s="1"/>
      <c r="P86" s="1"/>
      <c r="Q86" s="1"/>
      <c r="R86" s="1"/>
      <c r="S86" s="1"/>
      <c r="T86" s="1"/>
      <c r="U86" s="1">
        <v>14.3</v>
      </c>
      <c r="V86" s="1">
        <f>U86*1.34</f>
        <v>19.162000000000003</v>
      </c>
      <c r="W86" s="1">
        <v>10</v>
      </c>
      <c r="X86" s="1">
        <f>W86*1.34</f>
        <v>13.4</v>
      </c>
      <c r="Y86" s="1">
        <v>9.9</v>
      </c>
      <c r="Z86" s="1">
        <f>Y86*1.34</f>
        <v>13.266000000000002</v>
      </c>
      <c r="AA86" s="1"/>
      <c r="AB86" s="1"/>
      <c r="AC86" s="1">
        <v>2.2000000000000002</v>
      </c>
      <c r="AD86" s="1">
        <f>AC86*2.75</f>
        <v>6.0500000000000007</v>
      </c>
      <c r="AE86" s="1">
        <v>2.5</v>
      </c>
      <c r="AF86" s="1">
        <f>AE86*2.75</f>
        <v>6.875</v>
      </c>
      <c r="AG86" s="1"/>
      <c r="AH86" s="1"/>
      <c r="AI86" s="39">
        <v>17.899999999999999</v>
      </c>
      <c r="AJ86" s="39">
        <f>AI86*0.6</f>
        <v>10.739999999999998</v>
      </c>
      <c r="AK86" s="34"/>
      <c r="AL86" s="27">
        <f>SUM(I86,U86,W86,Y86,AA86,AC86,AE86,AG86)</f>
        <v>60.800000000000004</v>
      </c>
      <c r="AM86" s="27">
        <f>SUM(K86,M86,O86,Q86,S86)</f>
        <v>13.4</v>
      </c>
      <c r="AN86" s="27">
        <f>SUM(J86,V86,X86,Z86,AB86,AD86,AF86,AH86)</f>
        <v>88.099000000000004</v>
      </c>
      <c r="AO86" s="27">
        <f>SUM(L86,N86,P86,R86,T86)</f>
        <v>22.137999999999998</v>
      </c>
      <c r="AP86" s="30">
        <f>SUM(AG86,AE86,AC86,AA86,Y86,W86,U86,I86)/D86</f>
        <v>0.81940700808625344</v>
      </c>
      <c r="AQ86" s="30">
        <f>SUM(K86,M86,O86,Q86,S86)/D86</f>
        <v>0.18059299191374664</v>
      </c>
      <c r="AR86" s="30">
        <f>D86/H86</f>
        <v>0.67309524025508671</v>
      </c>
      <c r="AS86" s="30">
        <f>AL86/AN86</f>
        <v>0.6901326916310061</v>
      </c>
      <c r="AT86" s="30">
        <f>AM86/AO86</f>
        <v>0.60529406450447198</v>
      </c>
      <c r="AU86" s="35">
        <f>(((H86/2) - SQRT((H86/2)^2 - 4 * D86)) / 2)</f>
        <v>1.380780591677059</v>
      </c>
      <c r="AV86" s="27">
        <f>(((H86/2) + SQRT((H86/2)^2 - 4 * D86)) / 2)</f>
        <v>53.737719408322945</v>
      </c>
      <c r="AW86" s="27">
        <f>AU86*2.7*2+AV86*2.7*2</f>
        <v>297.63990000000007</v>
      </c>
      <c r="AX86" s="30">
        <f>AW86/D86</f>
        <v>4.0113194070080871</v>
      </c>
      <c r="AY86" s="30"/>
    </row>
    <row r="87" spans="2:51" x14ac:dyDescent="0.25">
      <c r="B87" s="36" t="s">
        <v>41</v>
      </c>
      <c r="C87" t="s">
        <v>47</v>
      </c>
      <c r="D87" s="37">
        <f>SUM(I87,K87,M87,O87,Q87,S87,U87,W87,Y87,AA87,AC87,AE87,AG87)</f>
        <v>85.3</v>
      </c>
      <c r="E87" s="38">
        <f>COUNTA(U87,W87,Y87,AA87)</f>
        <v>3</v>
      </c>
      <c r="F87" s="38">
        <f>COUNTA(M87,O87,Q87)</f>
        <v>1</v>
      </c>
      <c r="G87" s="38">
        <f>COUNTA(Table1[[#This Row],[A ASEO]])</f>
        <v>0</v>
      </c>
      <c r="H87" s="1">
        <f>SUM(J87,L87,N87,P87,R87,T87,V87,X87,Z87,AB87,AD87,AF87,AH87)</f>
        <v>132.81200000000004</v>
      </c>
      <c r="I87" s="1">
        <v>29.1</v>
      </c>
      <c r="J87" s="1">
        <f>I87*1.34</f>
        <v>38.994000000000007</v>
      </c>
      <c r="K87" s="1">
        <v>8.9</v>
      </c>
      <c r="L87" s="1">
        <f>K87*1.34</f>
        <v>11.926000000000002</v>
      </c>
      <c r="M87" s="1">
        <v>4.5999999999999996</v>
      </c>
      <c r="N87" s="1">
        <f>M87*2.36</f>
        <v>10.855999999999998</v>
      </c>
      <c r="O87" s="1"/>
      <c r="P87" s="1"/>
      <c r="Q87" s="1"/>
      <c r="R87" s="1"/>
      <c r="S87" s="1"/>
      <c r="T87" s="1"/>
      <c r="U87" s="1">
        <v>13</v>
      </c>
      <c r="V87" s="1">
        <f>U87*1.34</f>
        <v>17.420000000000002</v>
      </c>
      <c r="W87" s="1">
        <v>10.4</v>
      </c>
      <c r="X87" s="1">
        <f>W87*1.34</f>
        <v>13.936000000000002</v>
      </c>
      <c r="Y87" s="1">
        <v>9.5</v>
      </c>
      <c r="Z87" s="1">
        <f>Y87*1.34</f>
        <v>12.73</v>
      </c>
      <c r="AA87" s="1"/>
      <c r="AB87" s="1"/>
      <c r="AC87" s="1">
        <v>4.5999999999999996</v>
      </c>
      <c r="AD87" s="1">
        <f>AC87*2.75</f>
        <v>12.649999999999999</v>
      </c>
      <c r="AE87" s="1">
        <v>5.2</v>
      </c>
      <c r="AF87" s="1">
        <f>AE87*2.75</f>
        <v>14.3</v>
      </c>
      <c r="AG87" s="1"/>
      <c r="AH87" s="1"/>
      <c r="AI87" s="39">
        <f>7.3+2.1</f>
        <v>9.4</v>
      </c>
      <c r="AJ87" s="39">
        <f>AI87*0.6</f>
        <v>5.64</v>
      </c>
      <c r="AK87" s="34"/>
      <c r="AL87" s="27">
        <f>SUM(I87,U87,W87,Y87,AA87,AC87,AE87,AG87)</f>
        <v>71.8</v>
      </c>
      <c r="AM87" s="27">
        <f>SUM(K87,M87,O87,Q87,S87)</f>
        <v>13.5</v>
      </c>
      <c r="AN87" s="27">
        <f>SUM(J87,V87,X87,Z87,AB87,AD87,AF87,AH87)</f>
        <v>110.03000000000002</v>
      </c>
      <c r="AO87" s="27">
        <f>SUM(L87,N87,P87,R87,T87)</f>
        <v>22.782</v>
      </c>
      <c r="AP87" s="30">
        <f>SUM(AG87,AE87,AC87,AA87,Y87,W87,U87,I87)/D87</f>
        <v>0.84173505275498262</v>
      </c>
      <c r="AQ87" s="30">
        <f>SUM(K87,M87,O87,Q87,S87)/D87</f>
        <v>0.15826494724501758</v>
      </c>
      <c r="AR87" s="30">
        <f>D87/H87</f>
        <v>0.64226124145408525</v>
      </c>
      <c r="AS87" s="30">
        <f>AL87/AN87</f>
        <v>0.65254930473507211</v>
      </c>
      <c r="AT87" s="30">
        <f>AM87/AO87</f>
        <v>0.59257308401369502</v>
      </c>
      <c r="AU87" s="35">
        <f>(((H87/2) - SQRT((H87/2)^2 - 4 * D87)) / 2)</f>
        <v>1.310380022958288</v>
      </c>
      <c r="AV87" s="27">
        <f>(((H87/2) + SQRT((H87/2)^2 - 4 * D87)) / 2)</f>
        <v>65.095619977041736</v>
      </c>
      <c r="AW87" s="27">
        <f>AU87*2.7*2+AV87*2.7*2</f>
        <v>358.59240000000017</v>
      </c>
      <c r="AX87" s="30">
        <f>AW87/D87</f>
        <v>4.203896834701057</v>
      </c>
      <c r="AY87" s="30"/>
    </row>
    <row r="88" spans="2:51" x14ac:dyDescent="0.25">
      <c r="B88" s="36" t="s">
        <v>41</v>
      </c>
      <c r="C88" t="s">
        <v>47</v>
      </c>
      <c r="D88" s="37">
        <f>SUM(I88,K88,M88,O88,Q88,S88,U88,W88,Y88,AA88,AC88,AE88,AG88)</f>
        <v>83.5</v>
      </c>
      <c r="E88" s="38">
        <f>COUNTA(U88,W88,Y88,AA88)</f>
        <v>3</v>
      </c>
      <c r="F88" s="38">
        <f>COUNTA(M88,O88,Q88)</f>
        <v>1</v>
      </c>
      <c r="G88" s="38">
        <f>COUNTA(Table1[[#This Row],[A ASEO]])</f>
        <v>0</v>
      </c>
      <c r="H88" s="1">
        <f>SUM(J88,L88,N88,P88,R88,T88,V88,X88,Z88,AB88,AD88,AF88,AH88)</f>
        <v>130.39100000000002</v>
      </c>
      <c r="I88" s="1">
        <v>27</v>
      </c>
      <c r="J88" s="1">
        <f>I88*1.34</f>
        <v>36.18</v>
      </c>
      <c r="K88" s="1">
        <v>8.6</v>
      </c>
      <c r="L88" s="1">
        <f>K88*1.34</f>
        <v>11.524000000000001</v>
      </c>
      <c r="M88" s="1">
        <v>3.9</v>
      </c>
      <c r="N88" s="1">
        <f>M88*2.36</f>
        <v>9.2039999999999988</v>
      </c>
      <c r="O88" s="1"/>
      <c r="P88" s="1"/>
      <c r="Q88" s="1"/>
      <c r="R88" s="1"/>
      <c r="S88" s="1"/>
      <c r="T88" s="1"/>
      <c r="U88" s="1">
        <v>13.4</v>
      </c>
      <c r="V88" s="1">
        <f>U88*1.34</f>
        <v>17.956000000000003</v>
      </c>
      <c r="W88" s="1">
        <v>11.1</v>
      </c>
      <c r="X88" s="1">
        <f>W88*1.34</f>
        <v>14.874000000000001</v>
      </c>
      <c r="Y88" s="1">
        <v>9.1999999999999993</v>
      </c>
      <c r="Z88" s="1">
        <f>Y88*1.34</f>
        <v>12.327999999999999</v>
      </c>
      <c r="AA88" s="1"/>
      <c r="AB88" s="1"/>
      <c r="AC88" s="1">
        <v>3.6</v>
      </c>
      <c r="AD88" s="1">
        <f>AC88*2.75</f>
        <v>9.9</v>
      </c>
      <c r="AE88" s="1">
        <v>6.7</v>
      </c>
      <c r="AF88" s="1">
        <f>AE88*2.75</f>
        <v>18.425000000000001</v>
      </c>
      <c r="AG88" s="1"/>
      <c r="AH88" s="1"/>
      <c r="AI88" s="39">
        <f>11.2+2.4</f>
        <v>13.6</v>
      </c>
      <c r="AJ88" s="39">
        <f>AI88*0.6</f>
        <v>8.16</v>
      </c>
      <c r="AK88" s="34"/>
      <c r="AL88" s="27">
        <f>SUM(I88,U88,W88,Y88,AA88,AC88,AE88,AG88)</f>
        <v>71</v>
      </c>
      <c r="AM88" s="27">
        <f>SUM(K88,M88,O88,Q88,S88)</f>
        <v>12.5</v>
      </c>
      <c r="AN88" s="27">
        <f>SUM(J88,V88,X88,Z88,AB88,AD88,AF88,AH88)</f>
        <v>109.66300000000001</v>
      </c>
      <c r="AO88" s="27">
        <f>SUM(L88,N88,P88,R88,T88)</f>
        <v>20.728000000000002</v>
      </c>
      <c r="AP88" s="30">
        <f>SUM(AG88,AE88,AC88,AA88,Y88,W88,U88,I88)/D88</f>
        <v>0.85029940119760483</v>
      </c>
      <c r="AQ88" s="30">
        <f>SUM(K88,M88,O88,Q88,S88)/D88</f>
        <v>0.1497005988023952</v>
      </c>
      <c r="AR88" s="30">
        <f>D88/H88</f>
        <v>0.64038162143092692</v>
      </c>
      <c r="AS88" s="30">
        <f>AL88/AN88</f>
        <v>0.64743806023909611</v>
      </c>
      <c r="AT88" s="30">
        <f>AM88/AO88</f>
        <v>0.60304901582400616</v>
      </c>
      <c r="AU88" s="35">
        <f>(((H88/2) - SQRT((H88/2)^2 - 4 * D88)) / 2)</f>
        <v>1.3069637353101982</v>
      </c>
      <c r="AV88" s="27">
        <f>(((H88/2) + SQRT((H88/2)^2 - 4 * D88)) / 2)</f>
        <v>63.888536264689812</v>
      </c>
      <c r="AW88" s="27">
        <f>AU88*2.7*2+AV88*2.7*2</f>
        <v>352.05570000000006</v>
      </c>
      <c r="AX88" s="30">
        <f>AW88/D88</f>
        <v>4.2162359281437132</v>
      </c>
      <c r="AY88" s="30"/>
    </row>
    <row r="89" spans="2:51" x14ac:dyDescent="0.25">
      <c r="B89" s="36" t="s">
        <v>41</v>
      </c>
      <c r="C89" t="s">
        <v>47</v>
      </c>
      <c r="D89" s="37">
        <f>SUM(I89,K89,M89,O89,Q89,S89,U89,W89,Y89,AA89,AC89,AE89,AG89)</f>
        <v>82.7</v>
      </c>
      <c r="E89" s="38">
        <f>COUNTA(U89,W89,Y89,AA89)</f>
        <v>3</v>
      </c>
      <c r="F89" s="38">
        <f>COUNTA(M89,O89,Q89)</f>
        <v>1</v>
      </c>
      <c r="G89" s="38">
        <f>COUNTA(Table1[[#This Row],[A ASEO]])</f>
        <v>0</v>
      </c>
      <c r="H89" s="1">
        <f>SUM(J89,L89,N89,P89,R89,T89,V89,X89,Z89,AB89,AD89,AF89,AH89)</f>
        <v>129.90700000000001</v>
      </c>
      <c r="I89" s="1">
        <v>23.6</v>
      </c>
      <c r="J89" s="1">
        <f>I89*1.34</f>
        <v>31.624000000000002</v>
      </c>
      <c r="K89" s="1">
        <v>8.3000000000000007</v>
      </c>
      <c r="L89" s="1">
        <f>K89*1.34</f>
        <v>11.122000000000002</v>
      </c>
      <c r="M89" s="1">
        <v>4.2</v>
      </c>
      <c r="N89" s="1">
        <f>M89*2.36</f>
        <v>9.911999999999999</v>
      </c>
      <c r="O89" s="1"/>
      <c r="P89" s="1"/>
      <c r="Q89" s="1"/>
      <c r="R89" s="1"/>
      <c r="S89" s="1"/>
      <c r="T89" s="1"/>
      <c r="U89" s="1">
        <v>14.1</v>
      </c>
      <c r="V89" s="1">
        <f>U89*1.34</f>
        <v>18.894000000000002</v>
      </c>
      <c r="W89" s="1">
        <v>11</v>
      </c>
      <c r="X89" s="1">
        <f>W89*1.34</f>
        <v>14.74</v>
      </c>
      <c r="Y89" s="1">
        <v>11</v>
      </c>
      <c r="Z89" s="1">
        <f>Y89*1.34</f>
        <v>14.74</v>
      </c>
      <c r="AA89" s="1"/>
      <c r="AB89" s="1"/>
      <c r="AC89" s="1">
        <v>5.8</v>
      </c>
      <c r="AD89" s="1">
        <f>AC89*2.75</f>
        <v>15.95</v>
      </c>
      <c r="AE89" s="1">
        <v>4.7</v>
      </c>
      <c r="AF89" s="1">
        <f>AE89*2.75</f>
        <v>12.925000000000001</v>
      </c>
      <c r="AG89" s="1"/>
      <c r="AH89" s="1"/>
      <c r="AI89" s="39">
        <f>10.2+3</f>
        <v>13.2</v>
      </c>
      <c r="AJ89" s="39">
        <f>AI89*0.6</f>
        <v>7.919999999999999</v>
      </c>
      <c r="AK89" s="34"/>
      <c r="AL89" s="27">
        <f>SUM(I89,U89,W89,Y89,AA89,AC89,AE89,AG89)</f>
        <v>70.2</v>
      </c>
      <c r="AM89" s="27">
        <f>SUM(K89,M89,O89,Q89,S89)</f>
        <v>12.5</v>
      </c>
      <c r="AN89" s="27">
        <f>SUM(J89,V89,X89,Z89,AB89,AD89,AF89,AH89)</f>
        <v>108.87299999999999</v>
      </c>
      <c r="AO89" s="27">
        <f>SUM(L89,N89,P89,R89,T89)</f>
        <v>21.033999999999999</v>
      </c>
      <c r="AP89" s="30">
        <f>SUM(AG89,AE89,AC89,AA89,Y89,W89,U89,I89)/D89</f>
        <v>0.84885126964933499</v>
      </c>
      <c r="AQ89" s="30">
        <f>SUM(K89,M89,O89,Q89,S89)/D89</f>
        <v>0.15114873035066506</v>
      </c>
      <c r="AR89" s="30">
        <f>D89/H89</f>
        <v>0.63660926662920392</v>
      </c>
      <c r="AS89" s="30">
        <f>AL89/AN89</f>
        <v>0.64478796395800619</v>
      </c>
      <c r="AT89" s="30">
        <f>AM89/AO89</f>
        <v>0.59427593420176861</v>
      </c>
      <c r="AU89" s="35">
        <f>(((H89/2) - SQRT((H89/2)^2 - 4 * D89)) / 2)</f>
        <v>1.2992053474379581</v>
      </c>
      <c r="AV89" s="27">
        <f>(((H89/2) + SQRT((H89/2)^2 - 4 * D89)) / 2)</f>
        <v>63.654294652562044</v>
      </c>
      <c r="AW89" s="27">
        <f>AU89*2.7*2+AV89*2.7*2</f>
        <v>350.74890000000005</v>
      </c>
      <c r="AX89" s="30">
        <f>AW89/D89</f>
        <v>4.2412200725513909</v>
      </c>
      <c r="AY89" s="30"/>
    </row>
    <row r="90" spans="2:51" x14ac:dyDescent="0.25">
      <c r="B90" s="36" t="s">
        <v>41</v>
      </c>
      <c r="C90" t="s">
        <v>47</v>
      </c>
      <c r="D90" s="37">
        <f>SUM(I90,K90,M90,O90,Q90,S90,U90,W90,Y90,AA90,AC90,AE90,AG90)</f>
        <v>93.300000000000011</v>
      </c>
      <c r="E90" s="38">
        <f>COUNTA(U90,W90,Y90,AA90)</f>
        <v>3</v>
      </c>
      <c r="F90" s="38">
        <f>COUNTA(M90,O90,Q90)</f>
        <v>2</v>
      </c>
      <c r="G90" s="38">
        <f>COUNTA(Table1[[#This Row],[A ASEO]])</f>
        <v>0</v>
      </c>
      <c r="H90" s="1">
        <f>SUM(J90,L90,N90,P90,R90,T90,V90,X90,Z90,AB90,AD90,AF90,AH90)</f>
        <v>147</v>
      </c>
      <c r="I90" s="1">
        <v>30.2</v>
      </c>
      <c r="J90" s="1">
        <f>I90*1.34</f>
        <v>40.468000000000004</v>
      </c>
      <c r="K90" s="1">
        <v>9.8000000000000007</v>
      </c>
      <c r="L90" s="1">
        <f>K90*1.34</f>
        <v>13.132000000000001</v>
      </c>
      <c r="M90" s="1">
        <v>4.0999999999999996</v>
      </c>
      <c r="N90" s="1">
        <f>M90*2.36</f>
        <v>9.6759999999999984</v>
      </c>
      <c r="O90" s="1">
        <v>3.9</v>
      </c>
      <c r="P90" s="1">
        <f>O90*2.36</f>
        <v>9.2039999999999988</v>
      </c>
      <c r="Q90" s="1"/>
      <c r="R90" s="1"/>
      <c r="S90" s="1"/>
      <c r="T90" s="1"/>
      <c r="U90" s="1">
        <v>12.9</v>
      </c>
      <c r="V90" s="1">
        <f>U90*1.34</f>
        <v>17.286000000000001</v>
      </c>
      <c r="W90" s="1">
        <v>12.3</v>
      </c>
      <c r="X90" s="1">
        <f>W90*1.34</f>
        <v>16.482000000000003</v>
      </c>
      <c r="Y90" s="1">
        <v>10.3</v>
      </c>
      <c r="Z90" s="1">
        <f>Y90*1.34</f>
        <v>13.802000000000001</v>
      </c>
      <c r="AA90" s="1"/>
      <c r="AB90" s="1"/>
      <c r="AC90" s="1">
        <v>5.4</v>
      </c>
      <c r="AD90" s="1">
        <f>AC90*2.75</f>
        <v>14.850000000000001</v>
      </c>
      <c r="AE90" s="1">
        <v>4.4000000000000004</v>
      </c>
      <c r="AF90" s="1">
        <f>AE90*2.75</f>
        <v>12.100000000000001</v>
      </c>
      <c r="AG90" s="1"/>
      <c r="AH90" s="1"/>
      <c r="AI90" s="39">
        <f>8+1.9</f>
        <v>9.9</v>
      </c>
      <c r="AJ90" s="39">
        <f>AI90*0.6</f>
        <v>5.94</v>
      </c>
      <c r="AK90" s="34"/>
      <c r="AL90" s="27">
        <f>SUM(I90,U90,W90,Y90,AA90,AC90,AE90,AG90)</f>
        <v>75.500000000000014</v>
      </c>
      <c r="AM90" s="27">
        <f>SUM(K90,M90,O90,Q90,S90)</f>
        <v>17.8</v>
      </c>
      <c r="AN90" s="27">
        <f>SUM(J90,V90,X90,Z90,AB90,AD90,AF90,AH90)</f>
        <v>114.988</v>
      </c>
      <c r="AO90" s="27">
        <f>SUM(L90,N90,P90,R90,T90)</f>
        <v>32.012</v>
      </c>
      <c r="AP90" s="30">
        <f>SUM(AG90,AE90,AC90,AA90,Y90,W90,U90,I90)/D90</f>
        <v>0.80921757770632363</v>
      </c>
      <c r="AQ90" s="30">
        <f>SUM(K90,M90,O90,Q90,S90)/D90</f>
        <v>0.19078242229367628</v>
      </c>
      <c r="AR90" s="30">
        <f>D90/H90</f>
        <v>0.63469387755102047</v>
      </c>
      <c r="AS90" s="30">
        <f>AL90/AN90</f>
        <v>0.65659025289595452</v>
      </c>
      <c r="AT90" s="30">
        <f>AM90/AO90</f>
        <v>0.55604148444333379</v>
      </c>
      <c r="AU90" s="35">
        <f>(((H90/2) - SQRT((H90/2)^2 - 4 * D90)) / 2)</f>
        <v>1.2921024311931291</v>
      </c>
      <c r="AV90" s="27">
        <f>(((H90/2) + SQRT((H90/2)^2 - 4 * D90)) / 2)</f>
        <v>72.207897568806871</v>
      </c>
      <c r="AW90" s="27">
        <f>AU90*2.7*2+AV90*2.7*2</f>
        <v>396.9</v>
      </c>
      <c r="AX90" s="30">
        <f>AW90/D90</f>
        <v>4.2540192926045011</v>
      </c>
      <c r="AY90" s="30"/>
    </row>
    <row r="91" spans="2:51" x14ac:dyDescent="0.25">
      <c r="B91" s="36" t="s">
        <v>41</v>
      </c>
      <c r="C91" t="s">
        <v>47</v>
      </c>
      <c r="D91" s="37">
        <f>SUM(I91,K91,M91,O91,Q91,S91,U91,W91,Y91,AA91,AC91,AE91,AG91)</f>
        <v>93.4</v>
      </c>
      <c r="E91" s="38">
        <f>COUNTA(U91,W91,Y91,AA91)</f>
        <v>3</v>
      </c>
      <c r="F91" s="38">
        <f>COUNTA(M91,O91,Q91)</f>
        <v>2</v>
      </c>
      <c r="G91" s="38">
        <f>COUNTA(Table1[[#This Row],[A ASEO]])</f>
        <v>0</v>
      </c>
      <c r="H91" s="1">
        <f>SUM(J91,L91,N91,P91,R91,T91,V91,X91,Z91,AB91,AD91,AF91,AH91)</f>
        <v>147.27500000000001</v>
      </c>
      <c r="I91" s="1">
        <v>30.2</v>
      </c>
      <c r="J91" s="1">
        <f>I91*1.34</f>
        <v>40.468000000000004</v>
      </c>
      <c r="K91" s="1">
        <v>9.8000000000000007</v>
      </c>
      <c r="L91" s="1">
        <f>K91*1.34</f>
        <v>13.132000000000001</v>
      </c>
      <c r="M91" s="1">
        <v>4.0999999999999996</v>
      </c>
      <c r="N91" s="1">
        <f>M91*2.36</f>
        <v>9.6759999999999984</v>
      </c>
      <c r="O91" s="1">
        <v>3.9</v>
      </c>
      <c r="P91" s="1">
        <f>O91*2.36</f>
        <v>9.2039999999999988</v>
      </c>
      <c r="Q91" s="1"/>
      <c r="R91" s="1"/>
      <c r="S91" s="1"/>
      <c r="T91" s="1"/>
      <c r="U91" s="1">
        <v>12.9</v>
      </c>
      <c r="V91" s="1">
        <f>U91*1.34</f>
        <v>17.286000000000001</v>
      </c>
      <c r="W91" s="1">
        <v>12.3</v>
      </c>
      <c r="X91" s="1">
        <f>W91*1.34</f>
        <v>16.482000000000003</v>
      </c>
      <c r="Y91" s="1">
        <v>10.3</v>
      </c>
      <c r="Z91" s="1">
        <f>Y91*1.34</f>
        <v>13.802000000000001</v>
      </c>
      <c r="AA91" s="1"/>
      <c r="AB91" s="1"/>
      <c r="AC91" s="1">
        <v>5.5</v>
      </c>
      <c r="AD91" s="1">
        <f>AC91*2.75</f>
        <v>15.125</v>
      </c>
      <c r="AE91" s="1">
        <v>4.4000000000000004</v>
      </c>
      <c r="AF91" s="1">
        <f>AE91*2.75</f>
        <v>12.100000000000001</v>
      </c>
      <c r="AG91" s="1"/>
      <c r="AH91" s="1"/>
      <c r="AI91" s="39">
        <f>8+1.9</f>
        <v>9.9</v>
      </c>
      <c r="AJ91" s="39">
        <f>AI91*0.6</f>
        <v>5.94</v>
      </c>
      <c r="AK91" s="34"/>
      <c r="AL91" s="27">
        <f>SUM(I91,U91,W91,Y91,AA91,AC91,AE91,AG91)</f>
        <v>75.600000000000009</v>
      </c>
      <c r="AM91" s="27">
        <f>SUM(K91,M91,O91,Q91,S91)</f>
        <v>17.8</v>
      </c>
      <c r="AN91" s="27">
        <f>SUM(J91,V91,X91,Z91,AB91,AD91,AF91,AH91)</f>
        <v>115.26300000000001</v>
      </c>
      <c r="AO91" s="27">
        <f>SUM(L91,N91,P91,R91,T91)</f>
        <v>32.012</v>
      </c>
      <c r="AP91" s="30">
        <f>SUM(AG91,AE91,AC91,AA91,Y91,W91,U91,I91)/D91</f>
        <v>0.80942184154175578</v>
      </c>
      <c r="AQ91" s="30">
        <f>SUM(K91,M91,O91,Q91,S91)/D91</f>
        <v>0.19057815845824411</v>
      </c>
      <c r="AR91" s="30">
        <f>D91/H91</f>
        <v>0.63418774401629607</v>
      </c>
      <c r="AS91" s="30">
        <f>AL91/AN91</f>
        <v>0.65589130944014995</v>
      </c>
      <c r="AT91" s="30">
        <f>AM91/AO91</f>
        <v>0.55604148444333379</v>
      </c>
      <c r="AU91" s="35">
        <f>(((H91/2) - SQRT((H91/2)^2 - 4 * D91)) / 2)</f>
        <v>1.2910094081399563</v>
      </c>
      <c r="AV91" s="27">
        <f>(((H91/2) + SQRT((H91/2)^2 - 4 * D91)) / 2)</f>
        <v>72.346490591860046</v>
      </c>
      <c r="AW91" s="27">
        <f>AU91*2.7*2+AV91*2.7*2</f>
        <v>397.64250000000004</v>
      </c>
      <c r="AX91" s="30">
        <f>AW91/D91</f>
        <v>4.2574143468950751</v>
      </c>
      <c r="AY91" s="30"/>
    </row>
    <row r="92" spans="2:51" x14ac:dyDescent="0.25">
      <c r="B92" s="36" t="s">
        <v>41</v>
      </c>
      <c r="C92" t="s">
        <v>47</v>
      </c>
      <c r="D92" s="37">
        <f>SUM(I92,K92,M92,O92,Q92,S92,U92,W92,Y92,AA92,AC92,AE92,AG92)</f>
        <v>83.7</v>
      </c>
      <c r="E92" s="38">
        <f>COUNTA(U92,W92,Y92,AA92)</f>
        <v>3</v>
      </c>
      <c r="F92" s="38">
        <f>COUNTA(M92,O92,Q92)</f>
        <v>1</v>
      </c>
      <c r="G92" s="38">
        <f>COUNTA(Table1[[#This Row],[A ASEO]])</f>
        <v>0</v>
      </c>
      <c r="H92" s="1">
        <f>SUM(J92,L92,N92,P92,R92,T92,V92,X92,Z92,AB92,AD92,AF92,AH92)</f>
        <v>132.042</v>
      </c>
      <c r="I92" s="1">
        <v>24.1</v>
      </c>
      <c r="J92" s="1">
        <f>I92*1.34</f>
        <v>32.294000000000004</v>
      </c>
      <c r="K92" s="1">
        <v>8.5</v>
      </c>
      <c r="L92" s="1">
        <f>K92*1.34</f>
        <v>11.39</v>
      </c>
      <c r="M92" s="1">
        <v>4.5</v>
      </c>
      <c r="N92" s="1">
        <f>M92*2.36</f>
        <v>10.62</v>
      </c>
      <c r="O92" s="1"/>
      <c r="P92" s="1"/>
      <c r="Q92" s="1"/>
      <c r="R92" s="1"/>
      <c r="S92" s="1"/>
      <c r="T92" s="1"/>
      <c r="U92" s="1">
        <v>13.8</v>
      </c>
      <c r="V92" s="1">
        <f>U92*1.34</f>
        <v>18.492000000000001</v>
      </c>
      <c r="W92" s="1">
        <v>10.8</v>
      </c>
      <c r="X92" s="1">
        <f>W92*1.34</f>
        <v>14.472000000000001</v>
      </c>
      <c r="Y92" s="1">
        <v>10.6</v>
      </c>
      <c r="Z92" s="1">
        <f>Y92*1.34</f>
        <v>14.204000000000001</v>
      </c>
      <c r="AA92" s="1"/>
      <c r="AB92" s="1"/>
      <c r="AC92" s="1">
        <v>4.7</v>
      </c>
      <c r="AD92" s="1">
        <f>AC92*2.75</f>
        <v>12.925000000000001</v>
      </c>
      <c r="AE92" s="1">
        <v>4.7</v>
      </c>
      <c r="AF92" s="1">
        <f>AE92*2.75</f>
        <v>12.925000000000001</v>
      </c>
      <c r="AG92" s="1">
        <v>2</v>
      </c>
      <c r="AH92" s="1">
        <f>AG92*2.36</f>
        <v>4.72</v>
      </c>
      <c r="AI92" s="39">
        <f>8.4+6.9</f>
        <v>15.3</v>
      </c>
      <c r="AJ92" s="39">
        <f>AI92*0.6</f>
        <v>9.18</v>
      </c>
      <c r="AK92" s="34"/>
      <c r="AL92" s="27">
        <f>SUM(I92,U92,W92,Y92,AA92,AC92,AE92,AG92)</f>
        <v>70.7</v>
      </c>
      <c r="AM92" s="27">
        <f>SUM(K92,M92,O92,Q92,S92)</f>
        <v>13</v>
      </c>
      <c r="AN92" s="27">
        <f>SUM(J92,V92,X92,Z92,AB92,AD92,AF92,AH92)</f>
        <v>110.03200000000001</v>
      </c>
      <c r="AO92" s="27">
        <f>SUM(L92,N92,P92,R92,T92)</f>
        <v>22.009999999999998</v>
      </c>
      <c r="AP92" s="30">
        <f>SUM(AG92,AE92,AC92,AA92,Y92,W92,U92,I92)/D92</f>
        <v>0.84468339307048967</v>
      </c>
      <c r="AQ92" s="30">
        <f>SUM(K92,M92,O92,Q92,S92)/D92</f>
        <v>0.15531660692951016</v>
      </c>
      <c r="AR92" s="30">
        <f>D92/H92</f>
        <v>0.63388921706729673</v>
      </c>
      <c r="AS92" s="30">
        <f>AL92/AN92</f>
        <v>0.6425403518976297</v>
      </c>
      <c r="AT92" s="30">
        <f>AM92/AO92</f>
        <v>0.59064061790095412</v>
      </c>
      <c r="AU92" s="35">
        <f>(((H92/2) - SQRT((H92/2)^2 - 4 * D92)) / 2)</f>
        <v>1.2931055570448855</v>
      </c>
      <c r="AV92" s="27">
        <f>(((H92/2) + SQRT((H92/2)^2 - 4 * D92)) / 2)</f>
        <v>64.727894442955119</v>
      </c>
      <c r="AW92" s="27">
        <f>AU92*2.7*2+AV92*2.7*2</f>
        <v>356.51340000000005</v>
      </c>
      <c r="AX92" s="30">
        <f>AW92/D92</f>
        <v>4.2594193548387098</v>
      </c>
      <c r="AY92" s="30"/>
    </row>
    <row r="93" spans="2:51" x14ac:dyDescent="0.25">
      <c r="B93" s="36" t="s">
        <v>41</v>
      </c>
      <c r="C93" t="s">
        <v>47</v>
      </c>
      <c r="D93" s="37">
        <f>SUM(I93,K93,M93,O93,Q93,S93,U93,W93,Y93,AA93,AC93,AE93,AG93)</f>
        <v>92.800000000000011</v>
      </c>
      <c r="E93" s="38">
        <f>COUNTA(U93,W93,Y93,AA93)</f>
        <v>3</v>
      </c>
      <c r="F93" s="38">
        <f>COUNTA(M93,O93,Q93)</f>
        <v>2</v>
      </c>
      <c r="G93" s="38">
        <f>COUNTA(Table1[[#This Row],[A ASEO]])</f>
        <v>0</v>
      </c>
      <c r="H93" s="1">
        <f>SUM(J93,L93,N93,P93,R93,T93,V93,X93,Z93,AB93,AD93,AF93,AH93)</f>
        <v>146.43200000000002</v>
      </c>
      <c r="I93" s="1">
        <v>29.5</v>
      </c>
      <c r="J93" s="1">
        <f>I93*1.34</f>
        <v>39.53</v>
      </c>
      <c r="K93" s="1">
        <v>9.9</v>
      </c>
      <c r="L93" s="1">
        <f>K93*1.34</f>
        <v>13.266000000000002</v>
      </c>
      <c r="M93" s="1">
        <v>4.0999999999999996</v>
      </c>
      <c r="N93" s="1">
        <f>M93*2.36</f>
        <v>9.6759999999999984</v>
      </c>
      <c r="O93" s="1">
        <v>4</v>
      </c>
      <c r="P93" s="1">
        <f>O93*2.36</f>
        <v>9.44</v>
      </c>
      <c r="Q93" s="1"/>
      <c r="R93" s="1"/>
      <c r="S93" s="1"/>
      <c r="T93" s="1"/>
      <c r="U93" s="1">
        <v>12.9</v>
      </c>
      <c r="V93" s="1">
        <f>U93*1.34</f>
        <v>17.286000000000001</v>
      </c>
      <c r="W93" s="1">
        <v>10.3</v>
      </c>
      <c r="X93" s="1">
        <f>W93*1.34</f>
        <v>13.802000000000001</v>
      </c>
      <c r="Y93" s="1">
        <v>12.3</v>
      </c>
      <c r="Z93" s="1">
        <f>Y93*1.34</f>
        <v>16.482000000000003</v>
      </c>
      <c r="AA93" s="1"/>
      <c r="AB93" s="1"/>
      <c r="AC93" s="1">
        <v>5.4</v>
      </c>
      <c r="AD93" s="1">
        <f>AC93*2.75</f>
        <v>14.850000000000001</v>
      </c>
      <c r="AE93" s="1">
        <v>4.4000000000000004</v>
      </c>
      <c r="AF93" s="1">
        <f>AE93*2.75</f>
        <v>12.100000000000001</v>
      </c>
      <c r="AG93" s="1"/>
      <c r="AH93" s="1"/>
      <c r="AI93" s="39">
        <v>10.6</v>
      </c>
      <c r="AJ93" s="39">
        <f>AI93*0.6</f>
        <v>6.3599999999999994</v>
      </c>
      <c r="AK93" s="34"/>
      <c r="AL93" s="27">
        <f>SUM(I93,U93,W93,Y93,AA93,AC93,AE93,AG93)</f>
        <v>74.800000000000011</v>
      </c>
      <c r="AM93" s="27">
        <f>SUM(K93,M93,O93,Q93,S93)</f>
        <v>18</v>
      </c>
      <c r="AN93" s="27">
        <f>SUM(J93,V93,X93,Z93,AB93,AD93,AF93,AH93)</f>
        <v>114.05000000000001</v>
      </c>
      <c r="AO93" s="27">
        <f>SUM(L93,N93,P93,R93,T93)</f>
        <v>32.381999999999998</v>
      </c>
      <c r="AP93" s="30">
        <f>SUM(AG93,AE93,AC93,AA93,Y93,W93,U93,I93)/D93</f>
        <v>0.80603448275862066</v>
      </c>
      <c r="AQ93" s="30">
        <f>SUM(K93,M93,O93,Q93,S93)/D93</f>
        <v>0.19396551724137928</v>
      </c>
      <c r="AR93" s="30">
        <f>D93/H93</f>
        <v>0.63374125874125875</v>
      </c>
      <c r="AS93" s="30">
        <f>AL93/AN93</f>
        <v>0.65585269618588338</v>
      </c>
      <c r="AT93" s="30">
        <f>AM93/AO93</f>
        <v>0.5558643690939411</v>
      </c>
      <c r="AU93" s="35">
        <f>(((H93/2) - SQRT((H93/2)^2 - 4 * D93)) / 2)</f>
        <v>1.2902188692437804</v>
      </c>
      <c r="AV93" s="27">
        <f>(((H93/2) + SQRT((H93/2)^2 - 4 * D93)) / 2)</f>
        <v>71.925781130756235</v>
      </c>
      <c r="AW93" s="27">
        <f>AU93*2.7*2+AV93*2.7*2</f>
        <v>395.36640000000011</v>
      </c>
      <c r="AX93" s="30">
        <f>AW93/D93</f>
        <v>4.2604137931034494</v>
      </c>
      <c r="AY93" s="30"/>
    </row>
    <row r="94" spans="2:51" x14ac:dyDescent="0.25">
      <c r="B94" s="36" t="s">
        <v>41</v>
      </c>
      <c r="C94" t="s">
        <v>47</v>
      </c>
      <c r="D94" s="37">
        <f>SUM(I94,K94,M94,O94,Q94,S94,U94,W94,Y94,AA94,AC94,AE94,AG94)</f>
        <v>91.5</v>
      </c>
      <c r="E94" s="38">
        <f>COUNTA(U94,W94,Y94,AA94)</f>
        <v>3</v>
      </c>
      <c r="F94" s="38">
        <f>COUNTA(M94,O94,Q94)</f>
        <v>2</v>
      </c>
      <c r="G94" s="38">
        <f>COUNTA(Table1[[#This Row],[A ASEO]])</f>
        <v>0</v>
      </c>
      <c r="H94" s="1">
        <f>SUM(J94,L94,N94,P94,R94,T94,V94,X94,Z94,AB94,AD94,AF94,AH94)</f>
        <v>145.07400000000001</v>
      </c>
      <c r="I94" s="1">
        <v>28.6</v>
      </c>
      <c r="J94" s="1">
        <f>I94*1.34</f>
        <v>38.324000000000005</v>
      </c>
      <c r="K94" s="1">
        <v>9.6999999999999993</v>
      </c>
      <c r="L94" s="1">
        <f>K94*1.34</f>
        <v>12.997999999999999</v>
      </c>
      <c r="M94" s="1">
        <v>4.4000000000000004</v>
      </c>
      <c r="N94" s="1">
        <f>M94*2.36</f>
        <v>10.384</v>
      </c>
      <c r="O94" s="1">
        <v>3.8</v>
      </c>
      <c r="P94" s="1">
        <f>O94*2.36</f>
        <v>8.968</v>
      </c>
      <c r="Q94" s="1"/>
      <c r="R94" s="1"/>
      <c r="S94" s="1"/>
      <c r="T94" s="1"/>
      <c r="U94" s="1">
        <v>13.9</v>
      </c>
      <c r="V94" s="1">
        <f>U94*1.34</f>
        <v>18.626000000000001</v>
      </c>
      <c r="W94" s="1">
        <v>10.9</v>
      </c>
      <c r="X94" s="1">
        <f>W94*1.34</f>
        <v>14.606000000000002</v>
      </c>
      <c r="Y94" s="1">
        <v>10.199999999999999</v>
      </c>
      <c r="Z94" s="1">
        <f>Y94*1.34</f>
        <v>13.667999999999999</v>
      </c>
      <c r="AA94" s="1"/>
      <c r="AB94" s="1"/>
      <c r="AC94" s="1">
        <v>7</v>
      </c>
      <c r="AD94" s="1">
        <f>AC94*2.75</f>
        <v>19.25</v>
      </c>
      <c r="AE94" s="1">
        <v>3</v>
      </c>
      <c r="AF94" s="1">
        <f>AE94*2.75</f>
        <v>8.25</v>
      </c>
      <c r="AG94" s="1"/>
      <c r="AH94" s="1"/>
      <c r="AI94" s="39">
        <f>10.2+1.2</f>
        <v>11.399999999999999</v>
      </c>
      <c r="AJ94" s="39">
        <f>AI94*0.6</f>
        <v>6.839999999999999</v>
      </c>
      <c r="AK94" s="34"/>
      <c r="AL94" s="27">
        <f>SUM(I94,U94,W94,Y94,AA94,AC94,AE94,AG94)</f>
        <v>73.599999999999994</v>
      </c>
      <c r="AM94" s="27">
        <f>SUM(K94,M94,O94,Q94,S94)</f>
        <v>17.899999999999999</v>
      </c>
      <c r="AN94" s="27">
        <f>SUM(J94,V94,X94,Z94,AB94,AD94,AF94,AH94)</f>
        <v>112.72400000000002</v>
      </c>
      <c r="AO94" s="27">
        <f>SUM(L94,N94,P94,R94,T94)</f>
        <v>32.349999999999994</v>
      </c>
      <c r="AP94" s="30">
        <f>SUM(AG94,AE94,AC94,AA94,Y94,W94,U94,I94)/D94</f>
        <v>0.80437158469945347</v>
      </c>
      <c r="AQ94" s="30">
        <f>SUM(K94,M94,O94,Q94,S94)/D94</f>
        <v>0.19562841530054642</v>
      </c>
      <c r="AR94" s="30">
        <f>D94/H94</f>
        <v>0.63071260184457578</v>
      </c>
      <c r="AS94" s="30">
        <f>AL94/AN94</f>
        <v>0.65292218161172411</v>
      </c>
      <c r="AT94" s="30">
        <f>AM94/AO94</f>
        <v>0.55332302936630606</v>
      </c>
      <c r="AU94" s="35">
        <f>(((H94/2) - SQRT((H94/2)^2 - 4 * D94)) / 2)</f>
        <v>1.2841593280650798</v>
      </c>
      <c r="AV94" s="27">
        <f>(((H94/2) + SQRT((H94/2)^2 - 4 * D94)) / 2)</f>
        <v>71.252840671934933</v>
      </c>
      <c r="AW94" s="27">
        <f>AU94*2.7*2+AV94*2.7*2</f>
        <v>391.6998000000001</v>
      </c>
      <c r="AX94" s="30">
        <f>AW94/D94</f>
        <v>4.2808721311475422</v>
      </c>
      <c r="AY94" s="30"/>
    </row>
    <row r="95" spans="2:51" x14ac:dyDescent="0.25">
      <c r="B95" s="36" t="s">
        <v>86</v>
      </c>
      <c r="C95" t="s">
        <v>85</v>
      </c>
      <c r="D95" s="37">
        <f>SUM(I95,K95,M95,O95,Q95,S95,U95,W95,Y95,AA95,AC95,AE95,AG95)</f>
        <v>90.5</v>
      </c>
      <c r="E95" s="38">
        <f>COUNTA(U95,W95,Y95,AA95)</f>
        <v>3</v>
      </c>
      <c r="F95" s="38">
        <f>COUNTA(M95,O95,Q95)</f>
        <v>2</v>
      </c>
      <c r="G95" s="38">
        <f>COUNTA(Table1[[#This Row],[A ASEO]])</f>
        <v>0</v>
      </c>
      <c r="H95" s="1">
        <f>SUM(J95,L95,N95,P95,R95,T95,V95,X95,Z95,AB95,AD95,AF95,AH95)</f>
        <v>148.47399999999999</v>
      </c>
      <c r="I95" s="1">
        <v>24.3</v>
      </c>
      <c r="J95" s="1">
        <f>I95*1.34</f>
        <v>32.562000000000005</v>
      </c>
      <c r="K95" s="1">
        <v>9</v>
      </c>
      <c r="L95" s="1">
        <f>K95*1.34</f>
        <v>12.06</v>
      </c>
      <c r="M95" s="1">
        <v>5.4</v>
      </c>
      <c r="N95" s="1">
        <f>M95*2.36</f>
        <v>12.744</v>
      </c>
      <c r="O95" s="1">
        <v>4.5</v>
      </c>
      <c r="P95" s="1">
        <f>O95*2.36</f>
        <v>10.62</v>
      </c>
      <c r="Q95" s="1"/>
      <c r="R95" s="1"/>
      <c r="S95" s="1"/>
      <c r="T95" s="1"/>
      <c r="U95" s="1">
        <v>14.2</v>
      </c>
      <c r="V95" s="1">
        <f>U95*1.34</f>
        <v>19.027999999999999</v>
      </c>
      <c r="W95" s="1">
        <v>11.5</v>
      </c>
      <c r="X95" s="1">
        <f>W95*1.34</f>
        <v>15.41</v>
      </c>
      <c r="Y95" s="1">
        <v>8.5</v>
      </c>
      <c r="Z95" s="1">
        <f>Y95*1.34</f>
        <v>11.39</v>
      </c>
      <c r="AA95" s="1"/>
      <c r="AB95" s="1"/>
      <c r="AC95" s="1">
        <v>4.7</v>
      </c>
      <c r="AD95" s="1">
        <f>AC95*2.75</f>
        <v>12.925000000000001</v>
      </c>
      <c r="AE95" s="1">
        <v>4.9000000000000004</v>
      </c>
      <c r="AF95" s="1">
        <f>AE95*2.75</f>
        <v>13.475000000000001</v>
      </c>
      <c r="AG95" s="1">
        <v>3.5</v>
      </c>
      <c r="AH95" s="1">
        <f>AG95*2.36</f>
        <v>8.26</v>
      </c>
      <c r="AI95" s="39"/>
      <c r="AJ95" s="39"/>
      <c r="AK95" s="34"/>
      <c r="AL95" s="27">
        <f>SUM(I95,U95,W95,Y95,AA95,AC95,AE95,AG95)</f>
        <v>71.600000000000009</v>
      </c>
      <c r="AM95" s="27">
        <f>SUM(K95,M95,O95,Q95,S95)</f>
        <v>18.899999999999999</v>
      </c>
      <c r="AN95" s="27">
        <f>SUM(J95,V95,X95,Z95,AB95,AD95,AF95,AH95)</f>
        <v>113.05</v>
      </c>
      <c r="AO95" s="27">
        <f>SUM(L95,N95,P95,R95,T95)</f>
        <v>35.423999999999999</v>
      </c>
      <c r="AP95" s="30">
        <f>SUM(AG95,AE95,AC95,AA95,Y95,W95,U95,I95)/D95</f>
        <v>0.79116022099447503</v>
      </c>
      <c r="AQ95" s="30">
        <f>SUM(K95,M95,O95,Q95,S95)/D95</f>
        <v>0.20883977900552483</v>
      </c>
      <c r="AR95" s="30">
        <f>D95/H95</f>
        <v>0.60953432924283046</v>
      </c>
      <c r="AS95" s="30">
        <f>AL95/AN95</f>
        <v>0.6333480760725344</v>
      </c>
      <c r="AT95" s="30">
        <f>AM95/AO95</f>
        <v>0.53353658536585358</v>
      </c>
      <c r="AU95" s="35">
        <f>(((H95/2) - SQRT((H95/2)^2 - 4 * D95)) / 2)</f>
        <v>1.2397731238969385</v>
      </c>
      <c r="AV95" s="27">
        <f>(((H95/2) + SQRT((H95/2)^2 - 4 * D95)) / 2)</f>
        <v>72.997226876103056</v>
      </c>
      <c r="AW95" s="27">
        <f>AU95*2.7*2+AV95*2.7*2</f>
        <v>400.87979999999999</v>
      </c>
      <c r="AX95" s="30">
        <f>AW95/D95</f>
        <v>4.4296110497237571</v>
      </c>
      <c r="AY95" s="30"/>
    </row>
    <row r="96" spans="2:51" x14ac:dyDescent="0.25">
      <c r="B96" s="36" t="s">
        <v>86</v>
      </c>
      <c r="C96" t="s">
        <v>85</v>
      </c>
      <c r="D96" s="37">
        <f>SUM(I96,K96,M96,O96,Q96,S96,U96,W96,Y96,AA96,AC96,AE96,AG96)</f>
        <v>90.100000000000009</v>
      </c>
      <c r="E96" s="38">
        <f>COUNTA(U96,W96,Y96,AA96)</f>
        <v>3</v>
      </c>
      <c r="F96" s="38">
        <f>COUNTA(M96,O96,Q96)</f>
        <v>2</v>
      </c>
      <c r="G96" s="38">
        <f>COUNTA(Table1[[#This Row],[A ASEO]])</f>
        <v>0</v>
      </c>
      <c r="H96" s="1">
        <f>SUM(J96,L96,N96,P96,R96,T96,V96,X96,Z96,AB96,AD96,AF96,AH96)</f>
        <v>149.74700000000001</v>
      </c>
      <c r="I96" s="1">
        <v>21.3</v>
      </c>
      <c r="J96" s="1">
        <f>I96*1.34</f>
        <v>28.542000000000002</v>
      </c>
      <c r="K96" s="1">
        <v>9.1999999999999993</v>
      </c>
      <c r="L96" s="1">
        <f>K96*1.34</f>
        <v>12.327999999999999</v>
      </c>
      <c r="M96" s="1">
        <v>5.4</v>
      </c>
      <c r="N96" s="1">
        <f>M96*2.36</f>
        <v>12.744</v>
      </c>
      <c r="O96" s="1">
        <v>4.2</v>
      </c>
      <c r="P96" s="1">
        <f>O96*2.36</f>
        <v>9.911999999999999</v>
      </c>
      <c r="Q96" s="1"/>
      <c r="R96" s="1"/>
      <c r="S96" s="1"/>
      <c r="T96" s="1"/>
      <c r="U96" s="1">
        <v>12.5</v>
      </c>
      <c r="V96" s="1">
        <f>U96*1.34</f>
        <v>16.75</v>
      </c>
      <c r="W96" s="1">
        <v>12.1</v>
      </c>
      <c r="X96" s="1">
        <f>W96*1.34</f>
        <v>16.214000000000002</v>
      </c>
      <c r="Y96" s="1">
        <v>10.8</v>
      </c>
      <c r="Z96" s="1">
        <f>Y96*1.34</f>
        <v>14.472000000000001</v>
      </c>
      <c r="AA96" s="1"/>
      <c r="AB96" s="1"/>
      <c r="AC96" s="1">
        <v>5.2</v>
      </c>
      <c r="AD96" s="1">
        <f>AC96*2.75</f>
        <v>14.3</v>
      </c>
      <c r="AE96" s="1">
        <f>2.9+3</f>
        <v>5.9</v>
      </c>
      <c r="AF96" s="1">
        <f>AE96*2.75</f>
        <v>16.225000000000001</v>
      </c>
      <c r="AG96" s="1">
        <v>3.5</v>
      </c>
      <c r="AH96" s="1">
        <f>AG96*2.36</f>
        <v>8.26</v>
      </c>
      <c r="AI96" s="39"/>
      <c r="AJ96" s="39"/>
      <c r="AK96" s="34"/>
      <c r="AL96" s="27">
        <f>SUM(I96,U96,W96,Y96,AA96,AC96,AE96,AG96)</f>
        <v>71.300000000000011</v>
      </c>
      <c r="AM96" s="27">
        <f>SUM(K96,M96,O96,Q96,S96)</f>
        <v>18.8</v>
      </c>
      <c r="AN96" s="27">
        <f>SUM(J96,V96,X96,Z96,AB96,AD96,AF96,AH96)</f>
        <v>114.76300000000002</v>
      </c>
      <c r="AO96" s="27">
        <f>SUM(L96,N96,P96,R96,T96)</f>
        <v>34.983999999999995</v>
      </c>
      <c r="AP96" s="30">
        <f>SUM(AG96,AE96,AC96,AA96,Y96,W96,U96,I96)/D96</f>
        <v>0.79134295227524964</v>
      </c>
      <c r="AQ96" s="30">
        <f>SUM(K96,M96,O96,Q96,S96)/D96</f>
        <v>0.20865704772475027</v>
      </c>
      <c r="AR96" s="30">
        <f>D96/H96</f>
        <v>0.60168150280139165</v>
      </c>
      <c r="AS96" s="30">
        <f>AL96/AN96</f>
        <v>0.62128037782212031</v>
      </c>
      <c r="AT96" s="30">
        <f>AM96/AO96</f>
        <v>0.5373885204664991</v>
      </c>
      <c r="AU96" s="35">
        <f>(((H96/2) - SQRT((H96/2)^2 - 4 * D96)) / 2)</f>
        <v>1.2233512287924029</v>
      </c>
      <c r="AV96" s="27">
        <f>(((H96/2) + SQRT((H96/2)^2 - 4 * D96)) / 2)</f>
        <v>73.650148771207597</v>
      </c>
      <c r="AW96" s="27">
        <f>AU96*2.7*2+AV96*2.7*2</f>
        <v>404.31690000000003</v>
      </c>
      <c r="AX96" s="30">
        <f>AW96/D96</f>
        <v>4.4874239733629304</v>
      </c>
      <c r="AY96" s="30"/>
    </row>
    <row r="97" spans="1:51" x14ac:dyDescent="0.25">
      <c r="B97" s="36" t="s">
        <v>86</v>
      </c>
      <c r="C97" t="s">
        <v>87</v>
      </c>
      <c r="D97" s="37">
        <f>SUM(I97,K97,M97,O97,Q97,S97,U97,W97,Y97,AA97,AC97,AE97,AG97)</f>
        <v>86.4</v>
      </c>
      <c r="E97" s="38">
        <f>COUNTA(U97,W97,Y97,AA97)</f>
        <v>3</v>
      </c>
      <c r="F97" s="38">
        <f>COUNTA(M97,O97,Q97)</f>
        <v>2</v>
      </c>
      <c r="G97" s="38">
        <f>COUNTA(Table1[[#This Row],[A ASEO]])</f>
        <v>0</v>
      </c>
      <c r="H97" s="1">
        <f>SUM(J97,L97,N97,P97,R97,T97,V97,X97,Z97,AB97,AD97,AF97,AH97)</f>
        <v>144.876</v>
      </c>
      <c r="I97" s="1">
        <v>20.399999999999999</v>
      </c>
      <c r="J97" s="1">
        <f>I97*1.34</f>
        <v>27.335999999999999</v>
      </c>
      <c r="K97" s="1">
        <v>9.1</v>
      </c>
      <c r="L97" s="1">
        <f>K97*1.34</f>
        <v>12.194000000000001</v>
      </c>
      <c r="M97" s="1">
        <v>5.2</v>
      </c>
      <c r="N97" s="1">
        <f>M97*2.36</f>
        <v>12.272</v>
      </c>
      <c r="O97" s="1">
        <v>4.5</v>
      </c>
      <c r="P97" s="1">
        <f>O97*2.36</f>
        <v>10.62</v>
      </c>
      <c r="Q97" s="1"/>
      <c r="R97" s="1"/>
      <c r="S97" s="1"/>
      <c r="T97" s="1"/>
      <c r="U97" s="1">
        <v>15.6</v>
      </c>
      <c r="V97" s="1">
        <f>U97*1.34</f>
        <v>20.904</v>
      </c>
      <c r="W97" s="1">
        <v>8.5</v>
      </c>
      <c r="X97" s="1">
        <f>W97*1.34</f>
        <v>11.39</v>
      </c>
      <c r="Y97" s="1">
        <v>8.4</v>
      </c>
      <c r="Z97" s="1">
        <f>Y97*1.34</f>
        <v>11.256000000000002</v>
      </c>
      <c r="AA97" s="1"/>
      <c r="AB97" s="1"/>
      <c r="AC97" s="1">
        <v>4.3</v>
      </c>
      <c r="AD97" s="1">
        <f>AC97*2.75</f>
        <v>11.824999999999999</v>
      </c>
      <c r="AE97" s="1">
        <v>6.5</v>
      </c>
      <c r="AF97" s="1">
        <f>AE97*2.75</f>
        <v>17.875</v>
      </c>
      <c r="AG97" s="1">
        <v>3.9</v>
      </c>
      <c r="AH97" s="1">
        <f>AG97*2.36</f>
        <v>9.2039999999999988</v>
      </c>
      <c r="AI97" s="39">
        <v>3.7</v>
      </c>
      <c r="AJ97" s="39">
        <f>AI97*0.6</f>
        <v>2.2200000000000002</v>
      </c>
      <c r="AK97" s="34"/>
      <c r="AL97" s="27">
        <f>SUM(I97,U97,W97,Y97,AA97,AC97,AE97,AG97)</f>
        <v>67.599999999999994</v>
      </c>
      <c r="AM97" s="27">
        <f>SUM(K97,M97,O97,Q97,S97)</f>
        <v>18.8</v>
      </c>
      <c r="AN97" s="27">
        <f>SUM(J97,V97,X97,Z97,AB97,AD97,AF97,AH97)</f>
        <v>109.78999999999999</v>
      </c>
      <c r="AO97" s="27">
        <f>SUM(L97,N97,P97,R97,T97)</f>
        <v>35.085999999999999</v>
      </c>
      <c r="AP97" s="30">
        <f>SUM(AG97,AE97,AC97,AA97,Y97,W97,U97,I97)/D97</f>
        <v>0.78240740740740733</v>
      </c>
      <c r="AQ97" s="30">
        <f>SUM(K97,M97,O97,Q97,S97)/D97</f>
        <v>0.21759259259259259</v>
      </c>
      <c r="AR97" s="30">
        <f>D97/H97</f>
        <v>0.59637206990805935</v>
      </c>
      <c r="AS97" s="30">
        <f>AL97/AN97</f>
        <v>0.61572092175972315</v>
      </c>
      <c r="AT97" s="30">
        <f>AM97/AO97</f>
        <v>0.53582625548651885</v>
      </c>
      <c r="AU97" s="35">
        <f>(((H97/2) - SQRT((H97/2)^2 - 4 * D97)) / 2)</f>
        <v>1.2130582043562228</v>
      </c>
      <c r="AV97" s="27">
        <f>(((H97/2) + SQRT((H97/2)^2 - 4 * D97)) / 2)</f>
        <v>71.224941795643787</v>
      </c>
      <c r="AW97" s="27">
        <f>AU97*2.7*2+AV97*2.7*2</f>
        <v>391.16520000000008</v>
      </c>
      <c r="AX97" s="30">
        <f>AW97/D97</f>
        <v>4.527375000000001</v>
      </c>
      <c r="AY97" s="30"/>
    </row>
    <row r="98" spans="1:51" x14ac:dyDescent="0.25">
      <c r="B98" s="36" t="s">
        <v>62</v>
      </c>
      <c r="C98" t="s">
        <v>105</v>
      </c>
      <c r="D98" s="37">
        <f>SUM(I98,K98,M98,O98,Q98,S98,U98,W98,Y98,AA98,AC98,AE98,AG98)</f>
        <v>95.91</v>
      </c>
      <c r="E98" s="38">
        <f>COUNTA(U98,W98,Y98,AA98)</f>
        <v>3</v>
      </c>
      <c r="F98" s="38">
        <f>COUNTA(M98,O98,Q98)</f>
        <v>2</v>
      </c>
      <c r="G98" s="38">
        <f>COUNTA(Table1[[#This Row],[A ASEO]])</f>
        <v>0</v>
      </c>
      <c r="H98" s="1">
        <f>SUM(J98,L98,N98,P98,R98,T98,V98,X98,Z98,AB98,AD98,AF98,AH98)</f>
        <v>145.6404</v>
      </c>
      <c r="I98" s="1">
        <v>29.01</v>
      </c>
      <c r="J98" s="1">
        <f>I98*1.34</f>
        <v>38.873400000000004</v>
      </c>
      <c r="K98" s="1">
        <v>18.88</v>
      </c>
      <c r="L98" s="1">
        <f>K98*1.34</f>
        <v>25.299199999999999</v>
      </c>
      <c r="M98" s="1">
        <v>5.86</v>
      </c>
      <c r="N98" s="1">
        <f>M98*2.36</f>
        <v>13.829599999999999</v>
      </c>
      <c r="O98" s="1">
        <v>4.29</v>
      </c>
      <c r="P98" s="1">
        <f>O98*2.36</f>
        <v>10.1244</v>
      </c>
      <c r="Q98" s="1"/>
      <c r="R98" s="1"/>
      <c r="S98" s="1"/>
      <c r="T98" s="1"/>
      <c r="U98" s="1">
        <v>13.7</v>
      </c>
      <c r="V98" s="1">
        <f>U98*1.34</f>
        <v>18.358000000000001</v>
      </c>
      <c r="W98" s="1">
        <v>10.14</v>
      </c>
      <c r="X98" s="1">
        <f>W98*1.34</f>
        <v>13.587600000000002</v>
      </c>
      <c r="Y98" s="1">
        <v>9.23</v>
      </c>
      <c r="Z98" s="1">
        <f>Y98*1.34</f>
        <v>12.368200000000002</v>
      </c>
      <c r="AA98" s="1"/>
      <c r="AB98" s="1"/>
      <c r="AC98" s="1"/>
      <c r="AD98" s="1"/>
      <c r="AE98" s="1">
        <v>4.8</v>
      </c>
      <c r="AF98" s="1">
        <f>AE98*2.75</f>
        <v>13.2</v>
      </c>
      <c r="AG98" s="1"/>
      <c r="AH98" s="1"/>
      <c r="AI98" s="39">
        <v>59.87</v>
      </c>
      <c r="AJ98" s="39">
        <f>AI98*0.6</f>
        <v>35.921999999999997</v>
      </c>
      <c r="AK98" s="34"/>
      <c r="AL98" s="27">
        <f>SUM(I98,U98,W98,Y98,AA98,AC98,AE98,AG98)</f>
        <v>66.88</v>
      </c>
      <c r="AM98" s="27">
        <f>SUM(K98,M98,O98,Q98,S98)</f>
        <v>29.029999999999998</v>
      </c>
      <c r="AN98" s="27">
        <f>SUM(J98,V98,X98,Z98,AB98,AD98,AF98,AH98)</f>
        <v>96.387200000000021</v>
      </c>
      <c r="AO98" s="27">
        <f>SUM(L98,N98,P98,R98,T98)</f>
        <v>49.2532</v>
      </c>
      <c r="AP98" s="30">
        <f>SUM(AG98,AE98,AC98,AA98,Y98,W98,U98,I98)/D98</f>
        <v>0.69732040454592858</v>
      </c>
      <c r="AQ98" s="30">
        <f>SUM(K98,M98,O98,Q98,S98)/D98</f>
        <v>0.30267959545407153</v>
      </c>
      <c r="AR98" s="30">
        <f>D98/H98</f>
        <v>0.65853980076956664</v>
      </c>
      <c r="AS98" s="30">
        <f>AL98/AN98</f>
        <v>0.69386806546927371</v>
      </c>
      <c r="AT98" s="30">
        <f>AM98/AO98</f>
        <v>0.5894033281086305</v>
      </c>
      <c r="AU98" s="35">
        <f>(((H98/2) - SQRT((H98/2)^2 - 4 * D98)) / 2)</f>
        <v>1.3418040332724459</v>
      </c>
      <c r="AV98" s="27">
        <f>(((H98/2) + SQRT((H98/2)^2 - 4 * D98)) / 2)</f>
        <v>71.478395966727561</v>
      </c>
      <c r="AW98" s="27">
        <f>AU98*2.7*2+AV98*2.7*2</f>
        <v>393.22908000000007</v>
      </c>
      <c r="AX98" s="30">
        <f>AW98/D98</f>
        <v>4.0999799812324058</v>
      </c>
      <c r="AY98" s="30"/>
    </row>
    <row r="99" spans="1:51" x14ac:dyDescent="0.25">
      <c r="B99" s="36" t="s">
        <v>62</v>
      </c>
      <c r="C99" t="s">
        <v>63</v>
      </c>
      <c r="D99" s="37">
        <f>SUM(I99,K99,M99,O99,Q99,S99,U99,W99,Y99,AA99,AC99,AE99,AG99)</f>
        <v>84.090000000000018</v>
      </c>
      <c r="E99" s="38">
        <f>COUNTA(U99,W99,Y99,AA99)</f>
        <v>3</v>
      </c>
      <c r="F99" s="38">
        <f>COUNTA(M99,O99,Q99)</f>
        <v>1</v>
      </c>
      <c r="G99" s="38">
        <f>COUNTA(Table1[[#This Row],[A ASEO]])</f>
        <v>0</v>
      </c>
      <c r="H99" s="1">
        <f>SUM(J99,L99,N99,P99,R99,T99,V99,X99,Z99,AB99,AD99,AF99,AH99)</f>
        <v>127.80000000000001</v>
      </c>
      <c r="I99" s="1">
        <v>25.25</v>
      </c>
      <c r="J99" s="1">
        <f>I99*1.34</f>
        <v>33.835000000000001</v>
      </c>
      <c r="K99" s="1">
        <v>10.73</v>
      </c>
      <c r="L99" s="1">
        <f>K99*1.34</f>
        <v>14.378200000000001</v>
      </c>
      <c r="M99" s="1">
        <v>4.87</v>
      </c>
      <c r="N99" s="1">
        <f>M99*2.36</f>
        <v>11.4932</v>
      </c>
      <c r="O99" s="1"/>
      <c r="P99" s="1"/>
      <c r="Q99" s="1"/>
      <c r="R99" s="1"/>
      <c r="S99" s="1"/>
      <c r="T99" s="1"/>
      <c r="U99" s="1">
        <f>11.77+3.64</f>
        <v>15.41</v>
      </c>
      <c r="V99" s="1">
        <f>U99*1.34</f>
        <v>20.6494</v>
      </c>
      <c r="W99" s="1">
        <v>10.67</v>
      </c>
      <c r="X99" s="1">
        <f>W99*1.34</f>
        <v>14.297800000000001</v>
      </c>
      <c r="Y99" s="1">
        <v>9.9600000000000009</v>
      </c>
      <c r="Z99" s="1">
        <f>Y99*1.34</f>
        <v>13.346400000000003</v>
      </c>
      <c r="AA99" s="1"/>
      <c r="AB99" s="1"/>
      <c r="AC99" s="1">
        <v>5.47</v>
      </c>
      <c r="AD99" s="1">
        <f>AC99*2.75</f>
        <v>15.042499999999999</v>
      </c>
      <c r="AE99" s="1">
        <v>1.73</v>
      </c>
      <c r="AF99" s="1">
        <f>AE99*2.75</f>
        <v>4.7575000000000003</v>
      </c>
      <c r="AG99" s="1"/>
      <c r="AH99" s="1"/>
      <c r="AI99" s="39">
        <f>8.66+3.98</f>
        <v>12.64</v>
      </c>
      <c r="AJ99" s="39">
        <f>AI99*0.6</f>
        <v>7.5839999999999996</v>
      </c>
      <c r="AK99" s="34"/>
      <c r="AL99" s="27">
        <f>SUM(I99,U99,W99,Y99,AA99,AC99,AE99,AG99)</f>
        <v>68.490000000000009</v>
      </c>
      <c r="AM99" s="27">
        <f>SUM(K99,M99,O99,Q99,S99)</f>
        <v>15.600000000000001</v>
      </c>
      <c r="AN99" s="27">
        <f>SUM(J99,V99,X99,Z99,AB99,AD99,AF99,AH99)</f>
        <v>101.92860000000002</v>
      </c>
      <c r="AO99" s="27">
        <f>SUM(L99,N99,P99,R99,T99)</f>
        <v>25.871400000000001</v>
      </c>
      <c r="AP99" s="30">
        <f>SUM(AG99,AE99,AC99,AA99,Y99,W99,U99,I99)/D99</f>
        <v>0.81448448091330694</v>
      </c>
      <c r="AQ99" s="30">
        <f>SUM(K99,M99,O99,Q99,S99)/D99</f>
        <v>0.18551551908669281</v>
      </c>
      <c r="AR99" s="30">
        <f>D99/H99</f>
        <v>0.65798122065727704</v>
      </c>
      <c r="AS99" s="30">
        <f>AL99/AN99</f>
        <v>0.67194094689812278</v>
      </c>
      <c r="AT99" s="30">
        <f>AM99/AO99</f>
        <v>0.60298244393422851</v>
      </c>
      <c r="AU99" s="35">
        <f>(((H99/2) - SQRT((H99/2)^2 - 4 * D99)) / 2)</f>
        <v>1.3442407380571595</v>
      </c>
      <c r="AV99" s="27">
        <f>(((H99/2) + SQRT((H99/2)^2 - 4 * D99)) / 2)</f>
        <v>62.555759261942846</v>
      </c>
      <c r="AW99" s="27">
        <f>AU99*2.7*2+AV99*2.7*2</f>
        <v>345.06000000000006</v>
      </c>
      <c r="AX99" s="30">
        <f>AW99/D99</f>
        <v>4.1034605779521938</v>
      </c>
      <c r="AY99" s="30"/>
    </row>
    <row r="100" spans="1:51" x14ac:dyDescent="0.25">
      <c r="B100" s="36" t="s">
        <v>62</v>
      </c>
      <c r="C100" t="s">
        <v>105</v>
      </c>
      <c r="D100" s="37">
        <f>SUM(I100,K100,M100,O100,Q100,S100,U100,W100,Y100,AA100,AC100,AE100,AG100)</f>
        <v>85.76</v>
      </c>
      <c r="E100" s="38">
        <f>COUNTA(U100,W100,Y100,AA100)</f>
        <v>3</v>
      </c>
      <c r="F100" s="38">
        <f>COUNTA(M100,O100,Q100)</f>
        <v>2</v>
      </c>
      <c r="G100" s="38">
        <f>COUNTA(Table1[[#This Row],[A ASEO]])</f>
        <v>0</v>
      </c>
      <c r="H100" s="1">
        <f>SUM(J100,L100,N100,P100,R100,T100,V100,X100,Z100,AB100,AD100,AF100,AH100)</f>
        <v>130.48510000000002</v>
      </c>
      <c r="I100" s="1">
        <v>26.56</v>
      </c>
      <c r="J100" s="1">
        <f>I100*1.34</f>
        <v>35.590400000000002</v>
      </c>
      <c r="K100" s="1">
        <v>11.42</v>
      </c>
      <c r="L100" s="1">
        <f>K100*1.34</f>
        <v>15.302800000000001</v>
      </c>
      <c r="M100" s="1">
        <v>4.43</v>
      </c>
      <c r="N100" s="1">
        <f>M100*2.36</f>
        <v>10.454799999999999</v>
      </c>
      <c r="O100" s="1">
        <v>4.21</v>
      </c>
      <c r="P100" s="1">
        <f>O100*2.36</f>
        <v>9.9355999999999991</v>
      </c>
      <c r="Q100" s="1"/>
      <c r="R100" s="1"/>
      <c r="S100" s="1"/>
      <c r="T100" s="1"/>
      <c r="U100" s="1">
        <v>13.76</v>
      </c>
      <c r="V100" s="1">
        <f>U100*1.34</f>
        <v>18.438400000000001</v>
      </c>
      <c r="W100" s="1">
        <v>10.46</v>
      </c>
      <c r="X100" s="1">
        <f>W100*1.34</f>
        <v>14.016400000000003</v>
      </c>
      <c r="Y100" s="1">
        <v>10.130000000000001</v>
      </c>
      <c r="Z100" s="1">
        <f>Y100*1.34</f>
        <v>13.574200000000001</v>
      </c>
      <c r="AA100" s="1"/>
      <c r="AB100" s="1"/>
      <c r="AC100" s="1"/>
      <c r="AD100" s="1"/>
      <c r="AE100" s="1">
        <v>4.79</v>
      </c>
      <c r="AF100" s="1">
        <f>AE100*2.75</f>
        <v>13.172499999999999</v>
      </c>
      <c r="AG100" s="1"/>
      <c r="AH100" s="1"/>
      <c r="AI100" s="39"/>
      <c r="AJ100" s="39"/>
      <c r="AK100" s="34"/>
      <c r="AL100" s="27">
        <f>SUM(I100,U100,W100,Y100,AA100,AC100,AE100,AG100)</f>
        <v>65.7</v>
      </c>
      <c r="AM100" s="27">
        <f>SUM(K100,M100,O100,Q100,S100)</f>
        <v>20.059999999999999</v>
      </c>
      <c r="AN100" s="27">
        <f>SUM(J100,V100,X100,Z100,AB100,AD100,AF100,AH100)</f>
        <v>94.791900000000012</v>
      </c>
      <c r="AO100" s="27">
        <f>SUM(L100,N100,P100,R100,T100)</f>
        <v>35.693199999999997</v>
      </c>
      <c r="AP100" s="30">
        <f>SUM(AG100,AE100,AC100,AA100,Y100,W100,U100,I100)/D100</f>
        <v>0.76609141791044777</v>
      </c>
      <c r="AQ100" s="30">
        <f>SUM(K100,M100,O100,Q100,S100)/D100</f>
        <v>0.2339085820895522</v>
      </c>
      <c r="AR100" s="30">
        <f>D100/H100</f>
        <v>0.65723979212952277</v>
      </c>
      <c r="AS100" s="30">
        <f>AL100/AN100</f>
        <v>0.69309719501349798</v>
      </c>
      <c r="AT100" s="30">
        <f>AM100/AO100</f>
        <v>0.56201181177367121</v>
      </c>
      <c r="AU100" s="35">
        <f>(((H100/2) - SQRT((H100/2)^2 - 4 * D100)) / 2)</f>
        <v>1.3420873087311449</v>
      </c>
      <c r="AV100" s="27">
        <f>(((H100/2) + SQRT((H100/2)^2 - 4 * D100)) / 2)</f>
        <v>63.900462691268864</v>
      </c>
      <c r="AW100" s="27">
        <f>AU100*2.7*2+AV100*2.7*2</f>
        <v>352.30977000000007</v>
      </c>
      <c r="AX100" s="30">
        <f>AW100/D100</f>
        <v>4.1080896688432844</v>
      </c>
      <c r="AY100" s="30"/>
    </row>
    <row r="101" spans="1:51" x14ac:dyDescent="0.25">
      <c r="B101" s="36" t="s">
        <v>62</v>
      </c>
      <c r="C101" t="s">
        <v>63</v>
      </c>
      <c r="D101" s="37">
        <f>SUM(I101,K101,M101,O101,Q101,S101,U101,W101,Y101,AA101,AC101,AE101,AG101)</f>
        <v>80.010000000000005</v>
      </c>
      <c r="E101" s="38">
        <f>COUNTA(U101,W101,Y101,AA101)</f>
        <v>3</v>
      </c>
      <c r="F101" s="38">
        <f>COUNTA(M101,O101,Q101)</f>
        <v>1</v>
      </c>
      <c r="G101" s="38">
        <f>COUNTA(Table1[[#This Row],[A ASEO]])</f>
        <v>0</v>
      </c>
      <c r="H101" s="1">
        <f>SUM(J101,L101,N101,P101,R101,T101,V101,X101,Z101,AB101,AD101,AF101,AH101)</f>
        <v>122.25360000000001</v>
      </c>
      <c r="I101" s="1">
        <v>22.99</v>
      </c>
      <c r="J101" s="1">
        <f>I101*1.34</f>
        <v>30.8066</v>
      </c>
      <c r="K101" s="1">
        <v>9</v>
      </c>
      <c r="L101" s="1">
        <f>K101*1.34</f>
        <v>12.06</v>
      </c>
      <c r="M101" s="1">
        <v>4.82</v>
      </c>
      <c r="N101" s="1">
        <f>M101*2.36</f>
        <v>11.3752</v>
      </c>
      <c r="O101" s="1"/>
      <c r="P101" s="1"/>
      <c r="Q101" s="1"/>
      <c r="R101" s="1"/>
      <c r="S101" s="1"/>
      <c r="T101" s="1"/>
      <c r="U101" s="1">
        <f>13.04+3.52</f>
        <v>16.559999999999999</v>
      </c>
      <c r="V101" s="1">
        <f>U101*1.34</f>
        <v>22.1904</v>
      </c>
      <c r="W101" s="1">
        <v>10.73</v>
      </c>
      <c r="X101" s="1">
        <f>W101*1.34</f>
        <v>14.378200000000001</v>
      </c>
      <c r="Y101" s="1">
        <v>8.73</v>
      </c>
      <c r="Z101" s="1">
        <f>Y101*1.34</f>
        <v>11.698200000000002</v>
      </c>
      <c r="AA101" s="1"/>
      <c r="AB101" s="1"/>
      <c r="AC101" s="1">
        <v>5.47</v>
      </c>
      <c r="AD101" s="1">
        <f>AC101*2.75</f>
        <v>15.042499999999999</v>
      </c>
      <c r="AE101" s="1">
        <v>1.71</v>
      </c>
      <c r="AF101" s="1">
        <f>AE101*2.75</f>
        <v>4.7024999999999997</v>
      </c>
      <c r="AG101" s="1"/>
      <c r="AH101" s="1"/>
      <c r="AI101" s="39">
        <f>102.27+4.92</f>
        <v>107.19</v>
      </c>
      <c r="AJ101" s="39">
        <f>AI101*0.6</f>
        <v>64.313999999999993</v>
      </c>
      <c r="AK101" s="34"/>
      <c r="AL101" s="27">
        <f>SUM(I101,U101,W101,Y101,AA101,AC101,AE101,AG101)</f>
        <v>66.19</v>
      </c>
      <c r="AM101" s="27">
        <f>SUM(K101,M101,O101,Q101,S101)</f>
        <v>13.82</v>
      </c>
      <c r="AN101" s="27">
        <f>SUM(J101,V101,X101,Z101,AB101,AD101,AF101,AH101)</f>
        <v>98.818400000000011</v>
      </c>
      <c r="AO101" s="27">
        <f>SUM(L101,N101,P101,R101,T101)</f>
        <v>23.435200000000002</v>
      </c>
      <c r="AP101" s="30">
        <f>SUM(AG101,AE101,AC101,AA101,Y101,W101,U101,I101)/D101</f>
        <v>0.82727159105111858</v>
      </c>
      <c r="AQ101" s="30">
        <f>SUM(K101,M101,O101,Q101,S101)/D101</f>
        <v>0.17272840894888139</v>
      </c>
      <c r="AR101" s="30">
        <f>D101/H101</f>
        <v>0.6544592551875773</v>
      </c>
      <c r="AS101" s="30">
        <f>AL101/AN101</f>
        <v>0.6698145284683823</v>
      </c>
      <c r="AT101" s="30">
        <f>AM101/AO101</f>
        <v>0.5897112036594524</v>
      </c>
      <c r="AU101" s="35">
        <f>(((H101/2) - SQRT((H101/2)^2 - 4 * D101)) / 2)</f>
        <v>1.3382153203439984</v>
      </c>
      <c r="AV101" s="27">
        <f>(((H101/2) + SQRT((H101/2)^2 - 4 * D101)) / 2)</f>
        <v>59.788584679656005</v>
      </c>
      <c r="AW101" s="27">
        <f>AU101*2.7*2+AV101*2.7*2</f>
        <v>330.08472000000006</v>
      </c>
      <c r="AX101" s="30">
        <f>AW101/D101</f>
        <v>4.1255433070866143</v>
      </c>
      <c r="AY101" s="30"/>
    </row>
    <row r="102" spans="1:51" x14ac:dyDescent="0.25">
      <c r="B102" s="36" t="s">
        <v>40</v>
      </c>
      <c r="C102" t="s">
        <v>45</v>
      </c>
      <c r="D102" s="37">
        <f>SUM(I102,K102,M102,O102,Q102,S102,U102,W102,Y102,AA102,AC102,AE102,AG102)</f>
        <v>71.8</v>
      </c>
      <c r="E102" s="38">
        <f>COUNTA(U102,W102,Y102,AA102)</f>
        <v>3</v>
      </c>
      <c r="F102" s="38">
        <f>COUNTA(M102,O102,Q102)</f>
        <v>1</v>
      </c>
      <c r="G102" s="38">
        <f>COUNTA(Table1[[#This Row],[A ASEO]])</f>
        <v>0</v>
      </c>
      <c r="H102" s="1">
        <f>SUM(J102,L102,N102,P102,R102,T102,V102,X102,Z102,AB102,AD102,AF102,AH102)</f>
        <v>111.65</v>
      </c>
      <c r="I102" s="1">
        <v>20.2</v>
      </c>
      <c r="J102" s="1">
        <f>I102*1.34</f>
        <v>27.068000000000001</v>
      </c>
      <c r="K102" s="1">
        <v>8.5</v>
      </c>
      <c r="L102" s="1">
        <f>K102*1.34</f>
        <v>11.39</v>
      </c>
      <c r="M102" s="1">
        <v>3.8</v>
      </c>
      <c r="N102" s="1">
        <f>M102*2.36</f>
        <v>8.968</v>
      </c>
      <c r="O102" s="1"/>
      <c r="P102" s="1"/>
      <c r="Q102" s="1"/>
      <c r="R102" s="1"/>
      <c r="S102" s="1"/>
      <c r="T102" s="1"/>
      <c r="U102" s="1">
        <v>12.8</v>
      </c>
      <c r="V102" s="1">
        <f>U102*1.34</f>
        <v>17.152000000000001</v>
      </c>
      <c r="W102" s="1">
        <v>9.4</v>
      </c>
      <c r="X102" s="1">
        <f>W102*1.34</f>
        <v>12.596000000000002</v>
      </c>
      <c r="Y102" s="1">
        <v>8.9</v>
      </c>
      <c r="Z102" s="1">
        <f>Y102*1.34</f>
        <v>11.926000000000002</v>
      </c>
      <c r="AA102" s="1"/>
      <c r="AB102" s="1"/>
      <c r="AC102" s="1">
        <v>4</v>
      </c>
      <c r="AD102" s="1">
        <f>AC102*2.75</f>
        <v>11</v>
      </c>
      <c r="AE102" s="1">
        <v>4.2</v>
      </c>
      <c r="AF102" s="1">
        <f>AE102*2.75</f>
        <v>11.55</v>
      </c>
      <c r="AG102" s="1"/>
      <c r="AH102" s="1"/>
      <c r="AI102" s="39">
        <v>12.3</v>
      </c>
      <c r="AJ102" s="39">
        <f>AI102*0.6</f>
        <v>7.38</v>
      </c>
      <c r="AK102" s="34"/>
      <c r="AL102" s="27">
        <f>SUM(I102,U102,W102,Y102,AA102,AC102,AE102,AG102)</f>
        <v>59.5</v>
      </c>
      <c r="AM102" s="27">
        <f>SUM(K102,M102,O102,Q102,S102)</f>
        <v>12.3</v>
      </c>
      <c r="AN102" s="27">
        <f>SUM(J102,V102,X102,Z102,AB102,AD102,AF102,AH102)</f>
        <v>91.292000000000002</v>
      </c>
      <c r="AO102" s="27">
        <f>SUM(L102,N102,P102,R102,T102)</f>
        <v>20.358000000000001</v>
      </c>
      <c r="AP102" s="30">
        <f>SUM(AG102,AE102,AC102,AA102,Y102,W102,U102,I102)/D102</f>
        <v>0.82869080779944293</v>
      </c>
      <c r="AQ102" s="30">
        <f>SUM(K102,M102,O102,Q102,S102)/D102</f>
        <v>0.17130919220055713</v>
      </c>
      <c r="AR102" s="30">
        <f>D102/H102</f>
        <v>0.64308105687416028</v>
      </c>
      <c r="AS102" s="30">
        <f>AL102/AN102</f>
        <v>0.65175480874556369</v>
      </c>
      <c r="AT102" s="30">
        <f>AM102/AO102</f>
        <v>0.60418508694370765</v>
      </c>
      <c r="AU102" s="35">
        <f>(((H102/2) - SQRT((H102/2)^2 - 4 * D102)) / 2)</f>
        <v>1.3172437265590524</v>
      </c>
      <c r="AV102" s="27">
        <f>(((H102/2) + SQRT((H102/2)^2 - 4 * D102)) / 2)</f>
        <v>54.507756273440947</v>
      </c>
      <c r="AW102" s="27">
        <f>AU102*2.7*2+AV102*2.7*2</f>
        <v>301.45499999999998</v>
      </c>
      <c r="AX102" s="30">
        <f>AW102/D102</f>
        <v>4.1985376044568241</v>
      </c>
      <c r="AY102" s="30"/>
    </row>
    <row r="103" spans="1:51" x14ac:dyDescent="0.25">
      <c r="B103" s="36" t="s">
        <v>40</v>
      </c>
      <c r="C103" t="s">
        <v>45</v>
      </c>
      <c r="D103" s="37">
        <f>SUM(I103,K103,M103,O103,Q103,S103,U103,W103,Y103,AA103,AC103,AE103,AG103)</f>
        <v>72.2</v>
      </c>
      <c r="E103" s="38">
        <f>COUNTA(U103,W103,Y103,AA103)</f>
        <v>3</v>
      </c>
      <c r="F103" s="38">
        <f>COUNTA(M103,O103,Q103)</f>
        <v>1</v>
      </c>
      <c r="G103" s="38">
        <f>COUNTA(Table1[[#This Row],[A ASEO]])</f>
        <v>0</v>
      </c>
      <c r="H103" s="1">
        <f>SUM(J103,L103,N103,P103,R103,T103,V103,X103,Z103,AB103,AD103,AF103,AH103)</f>
        <v>112.40500000000002</v>
      </c>
      <c r="I103" s="1">
        <v>19.399999999999999</v>
      </c>
      <c r="J103" s="1">
        <f>I103*1.34</f>
        <v>25.995999999999999</v>
      </c>
      <c r="K103" s="1">
        <v>8.1</v>
      </c>
      <c r="L103" s="1">
        <f>K103*1.34</f>
        <v>10.854000000000001</v>
      </c>
      <c r="M103" s="1">
        <v>3.6</v>
      </c>
      <c r="N103" s="1">
        <f>M103*2.36</f>
        <v>8.4960000000000004</v>
      </c>
      <c r="O103" s="1"/>
      <c r="P103" s="1"/>
      <c r="Q103" s="1"/>
      <c r="R103" s="1"/>
      <c r="S103" s="1"/>
      <c r="T103" s="1"/>
      <c r="U103" s="1">
        <v>13.7</v>
      </c>
      <c r="V103" s="1">
        <f>U103*1.34</f>
        <v>18.358000000000001</v>
      </c>
      <c r="W103" s="1">
        <v>9.6</v>
      </c>
      <c r="X103" s="1">
        <f>W103*1.34</f>
        <v>12.864000000000001</v>
      </c>
      <c r="Y103" s="1">
        <v>9.3000000000000007</v>
      </c>
      <c r="Z103" s="1">
        <f>Y103*1.34</f>
        <v>12.462000000000002</v>
      </c>
      <c r="AA103" s="1"/>
      <c r="AB103" s="1"/>
      <c r="AC103" s="1">
        <v>4.7</v>
      </c>
      <c r="AD103" s="1">
        <f>AC103*2.75</f>
        <v>12.925000000000001</v>
      </c>
      <c r="AE103" s="1">
        <v>3.8</v>
      </c>
      <c r="AF103" s="1">
        <f>AE103*2.75</f>
        <v>10.45</v>
      </c>
      <c r="AG103" s="1"/>
      <c r="AH103" s="1"/>
      <c r="AI103" s="39">
        <v>12.1</v>
      </c>
      <c r="AJ103" s="39">
        <f>AI103*0.6</f>
        <v>7.26</v>
      </c>
      <c r="AK103" s="34"/>
      <c r="AL103" s="27">
        <f>SUM(I103,U103,W103,Y103,AA103,AC103,AE103,AG103)</f>
        <v>60.5</v>
      </c>
      <c r="AM103" s="27">
        <f>SUM(K103,M103,O103,Q103,S103)</f>
        <v>11.7</v>
      </c>
      <c r="AN103" s="27">
        <f>SUM(J103,V103,X103,Z103,AB103,AD103,AF103,AH103)</f>
        <v>93.055000000000007</v>
      </c>
      <c r="AO103" s="27">
        <f>SUM(L103,N103,P103,R103,T103)</f>
        <v>19.350000000000001</v>
      </c>
      <c r="AP103" s="30">
        <f>SUM(AG103,AE103,AC103,AA103,Y103,W103,U103,I103)/D103</f>
        <v>0.83795013850415501</v>
      </c>
      <c r="AQ103" s="30">
        <f>SUM(K103,M103,O103,Q103,S103)/D103</f>
        <v>0.16204986149584485</v>
      </c>
      <c r="AR103" s="30">
        <f>D103/H103</f>
        <v>0.64232018148658865</v>
      </c>
      <c r="AS103" s="30">
        <f>AL103/AN103</f>
        <v>0.65015313524259843</v>
      </c>
      <c r="AT103" s="30">
        <f>AM103/AO103</f>
        <v>0.60465116279069764</v>
      </c>
      <c r="AU103" s="35">
        <f>(((H103/2) - SQRT((H103/2)^2 - 4 * D103)) / 2)</f>
        <v>1.3154281615254533</v>
      </c>
      <c r="AV103" s="27">
        <f>(((H103/2) + SQRT((H103/2)^2 - 4 * D103)) / 2)</f>
        <v>54.887071838474554</v>
      </c>
      <c r="AW103" s="27">
        <f>AU103*2.7*2+AV103*2.7*2</f>
        <v>303.49350000000004</v>
      </c>
      <c r="AX103" s="30">
        <f>AW103/D103</f>
        <v>4.2035110803324107</v>
      </c>
      <c r="AY103" s="30"/>
    </row>
    <row r="104" spans="1:51" x14ac:dyDescent="0.25">
      <c r="B104" s="36" t="s">
        <v>40</v>
      </c>
      <c r="C104" t="s">
        <v>45</v>
      </c>
      <c r="D104" s="37">
        <f>SUM(I104,K104,M104,O104,Q104,S104,U104,W104,Y104,AA104,AC104,AE104,AG104)</f>
        <v>72.2</v>
      </c>
      <c r="E104" s="38">
        <f>COUNTA(U104,W104,Y104,AA104)</f>
        <v>3</v>
      </c>
      <c r="F104" s="38">
        <f>COUNTA(M104,O104,Q104)</f>
        <v>1</v>
      </c>
      <c r="G104" s="38">
        <f>COUNTA(Table1[[#This Row],[A ASEO]])</f>
        <v>0</v>
      </c>
      <c r="H104" s="1">
        <f>SUM(J104,L104,N104,P104,R104,T104,V104,X104,Z104,AB104,AD104,AF104,AH104)</f>
        <v>112.648</v>
      </c>
      <c r="I104" s="1">
        <v>20.5</v>
      </c>
      <c r="J104" s="1">
        <f>I104*1.34</f>
        <v>27.470000000000002</v>
      </c>
      <c r="K104" s="1">
        <v>8.4</v>
      </c>
      <c r="L104" s="1">
        <f>K104*1.34</f>
        <v>11.256000000000002</v>
      </c>
      <c r="M104" s="1">
        <v>3.7</v>
      </c>
      <c r="N104" s="1">
        <f>M104*2.36</f>
        <v>8.7319999999999993</v>
      </c>
      <c r="O104" s="1"/>
      <c r="P104" s="1"/>
      <c r="Q104" s="1"/>
      <c r="R104" s="1"/>
      <c r="S104" s="1"/>
      <c r="T104" s="1"/>
      <c r="U104" s="1">
        <v>12.9</v>
      </c>
      <c r="V104" s="1">
        <f>U104*1.34</f>
        <v>17.286000000000001</v>
      </c>
      <c r="W104" s="1">
        <v>9.3000000000000007</v>
      </c>
      <c r="X104" s="1">
        <f>W104*1.34</f>
        <v>12.462000000000002</v>
      </c>
      <c r="Y104" s="1">
        <v>8.8000000000000007</v>
      </c>
      <c r="Z104" s="1">
        <f>Y104*1.34</f>
        <v>11.792000000000002</v>
      </c>
      <c r="AA104" s="1"/>
      <c r="AB104" s="1"/>
      <c r="AC104" s="1">
        <v>2.4</v>
      </c>
      <c r="AD104" s="1">
        <f>AC104*2.75</f>
        <v>6.6</v>
      </c>
      <c r="AE104" s="1">
        <v>6.2</v>
      </c>
      <c r="AF104" s="1">
        <f>AE104*2.75</f>
        <v>17.05</v>
      </c>
      <c r="AG104" s="1"/>
      <c r="AH104" s="1"/>
      <c r="AI104" s="39">
        <v>11.9</v>
      </c>
      <c r="AJ104" s="39">
        <f>AI104*0.6</f>
        <v>7.14</v>
      </c>
      <c r="AK104" s="34"/>
      <c r="AL104" s="27">
        <f>SUM(I104,U104,W104,Y104,AA104,AC104,AE104,AG104)</f>
        <v>60.1</v>
      </c>
      <c r="AM104" s="27">
        <f>SUM(K104,M104,O104,Q104,S104)</f>
        <v>12.100000000000001</v>
      </c>
      <c r="AN104" s="27">
        <f>SUM(J104,V104,X104,Z104,AB104,AD104,AF104,AH104)</f>
        <v>92.66</v>
      </c>
      <c r="AO104" s="27">
        <f>SUM(L104,N104,P104,R104,T104)</f>
        <v>19.988</v>
      </c>
      <c r="AP104" s="30">
        <f>SUM(AG104,AE104,AC104,AA104,Y104,W104,U104,I104)/D104</f>
        <v>0.83240997229916891</v>
      </c>
      <c r="AQ104" s="30">
        <f>SUM(K104,M104,O104,Q104,S104)/D104</f>
        <v>0.16759002770083103</v>
      </c>
      <c r="AR104" s="30">
        <f>D104/H104</f>
        <v>0.64093459271358577</v>
      </c>
      <c r="AS104" s="30">
        <f>AL104/AN104</f>
        <v>0.64860781351176344</v>
      </c>
      <c r="AT104" s="30">
        <f>AM104/AO104</f>
        <v>0.60536321793075853</v>
      </c>
      <c r="AU104" s="35">
        <f>(((H104/2) - SQRT((H104/2)^2 - 4 * D104)) / 2)</f>
        <v>1.3124516983990979</v>
      </c>
      <c r="AV104" s="27">
        <f>(((H104/2) + SQRT((H104/2)^2 - 4 * D104)) / 2)</f>
        <v>55.011548301600897</v>
      </c>
      <c r="AW104" s="27">
        <f>AU104*2.7*2+AV104*2.7*2</f>
        <v>304.14959999999996</v>
      </c>
      <c r="AX104" s="30">
        <f>AW104/D104</f>
        <v>4.2125983379501379</v>
      </c>
      <c r="AY104" s="30"/>
    </row>
    <row r="105" spans="1:51" x14ac:dyDescent="0.25">
      <c r="B105" s="36" t="s">
        <v>72</v>
      </c>
      <c r="C105" t="s">
        <v>73</v>
      </c>
      <c r="D105" s="37">
        <f>SUM(I105,K105,M105,O105,Q105,S105,U105,W105,Y105,AA105,AC105,AE105,AG105)</f>
        <v>84.8</v>
      </c>
      <c r="E105" s="38">
        <f>COUNTA(U105,W105,Y105,AA105)</f>
        <v>3</v>
      </c>
      <c r="F105" s="38">
        <f>COUNTA(M105,O105,Q105)</f>
        <v>1</v>
      </c>
      <c r="G105" s="38">
        <f>COUNTA(Table1[[#This Row],[A ASEO]])</f>
        <v>0</v>
      </c>
      <c r="H105" s="1">
        <f>SUM(J105,L105,N105,P105,R105,T105,V105,X105,Z105,AB105,AD105,AF105,AH105)</f>
        <v>129.33700000000002</v>
      </c>
      <c r="I105" s="1">
        <v>25.7</v>
      </c>
      <c r="J105" s="1">
        <f>I105*1.34</f>
        <v>34.438000000000002</v>
      </c>
      <c r="K105" s="1">
        <v>11.5</v>
      </c>
      <c r="L105" s="1">
        <f>K105*1.34</f>
        <v>15.41</v>
      </c>
      <c r="M105" s="1">
        <v>4.2</v>
      </c>
      <c r="N105" s="1">
        <f>M105*2.36</f>
        <v>9.911999999999999</v>
      </c>
      <c r="O105" s="1"/>
      <c r="P105" s="1"/>
      <c r="Q105" s="1"/>
      <c r="R105" s="1"/>
      <c r="S105" s="1"/>
      <c r="T105" s="1"/>
      <c r="U105" s="1">
        <v>14.05</v>
      </c>
      <c r="V105" s="1">
        <f>U105*1.34</f>
        <v>18.827000000000002</v>
      </c>
      <c r="W105" s="1">
        <v>10.65</v>
      </c>
      <c r="X105" s="1">
        <f>W105*1.34</f>
        <v>14.271000000000001</v>
      </c>
      <c r="Y105" s="1">
        <v>10.6</v>
      </c>
      <c r="Z105" s="1">
        <f>Y105*1.34</f>
        <v>14.204000000000001</v>
      </c>
      <c r="AA105" s="1"/>
      <c r="AB105" s="1"/>
      <c r="AC105" s="1">
        <v>3.85</v>
      </c>
      <c r="AD105" s="1">
        <f>AC105*2.75</f>
        <v>10.5875</v>
      </c>
      <c r="AE105" s="1">
        <v>4.25</v>
      </c>
      <c r="AF105" s="1">
        <f>AE105*2.75</f>
        <v>11.6875</v>
      </c>
      <c r="AG105" s="1"/>
      <c r="AH105" s="1"/>
      <c r="AI105" s="39">
        <v>15.7</v>
      </c>
      <c r="AJ105" s="39">
        <f>AI105*0.6</f>
        <v>9.42</v>
      </c>
      <c r="AK105" s="34"/>
      <c r="AL105" s="27">
        <f>SUM(I105,U105,W105,Y105,AA105,AC105,AE105,AG105)</f>
        <v>69.099999999999994</v>
      </c>
      <c r="AM105" s="27">
        <f>SUM(K105,M105,O105,Q105,S105)</f>
        <v>15.7</v>
      </c>
      <c r="AN105" s="27">
        <f>SUM(J105,V105,X105,Z105,AB105,AD105,AF105,AH105)</f>
        <v>104.01500000000001</v>
      </c>
      <c r="AO105" s="27">
        <f>SUM(L105,N105,P105,R105,T105)</f>
        <v>25.321999999999999</v>
      </c>
      <c r="AP105" s="30">
        <f>SUM(AG105,AE105,AC105,AA105,Y105,W105,U105,I105)/D105</f>
        <v>0.81485849056603787</v>
      </c>
      <c r="AQ105" s="30">
        <f>SUM(K105,M105,O105,Q105,S105)/D105</f>
        <v>0.18514150943396226</v>
      </c>
      <c r="AR105" s="30">
        <f>D105/H105</f>
        <v>0.65565151503436747</v>
      </c>
      <c r="AS105" s="30">
        <f>AL105/AN105</f>
        <v>0.66432726049127511</v>
      </c>
      <c r="AT105" s="30">
        <f>AM105/AO105</f>
        <v>0.62001421688650182</v>
      </c>
      <c r="AU105" s="35">
        <f>(((H105/2) - SQRT((H105/2)^2 - 4 * D105)) / 2)</f>
        <v>1.3390290286550766</v>
      </c>
      <c r="AV105" s="27">
        <f>(((H105/2) + SQRT((H105/2)^2 - 4 * D105)) / 2)</f>
        <v>63.329470971344932</v>
      </c>
      <c r="AW105" s="27">
        <f>AU105*2.7*2+AV105*2.7*2</f>
        <v>349.20990000000006</v>
      </c>
      <c r="AX105" s="30">
        <f>AW105/D105</f>
        <v>4.1180412735849066</v>
      </c>
      <c r="AY105" s="30"/>
    </row>
    <row r="106" spans="1:51" x14ac:dyDescent="0.25">
      <c r="B106" s="36" t="s">
        <v>72</v>
      </c>
      <c r="C106" t="s">
        <v>73</v>
      </c>
      <c r="D106" s="37">
        <f>SUM(I106,K106,M106,O106,Q106,S106,U106,W106,Y106,AA106,AC106,AE106,AG106)</f>
        <v>80.3</v>
      </c>
      <c r="E106" s="38">
        <f>COUNTA(U106,W106,Y106,AA106)</f>
        <v>3</v>
      </c>
      <c r="F106" s="38">
        <f>COUNTA(M106,O106,Q106)</f>
        <v>1</v>
      </c>
      <c r="G106" s="38">
        <f>COUNTA(Table1[[#This Row],[A ASEO]])</f>
        <v>0</v>
      </c>
      <c r="H106" s="1">
        <f>SUM(J106,L106,N106,P106,R106,T106,V106,X106,Z106,AB106,AD106,AF106,AH106)</f>
        <v>124.99900000000002</v>
      </c>
      <c r="I106" s="1">
        <v>22.35</v>
      </c>
      <c r="J106" s="1">
        <f>I106*1.34</f>
        <v>29.949000000000005</v>
      </c>
      <c r="K106" s="1">
        <v>9.65</v>
      </c>
      <c r="L106" s="1">
        <f>K106*1.34</f>
        <v>12.931000000000001</v>
      </c>
      <c r="M106" s="1">
        <v>4.2</v>
      </c>
      <c r="N106" s="1">
        <f>M106*2.36</f>
        <v>9.911999999999999</v>
      </c>
      <c r="O106" s="1"/>
      <c r="P106" s="1"/>
      <c r="Q106" s="1"/>
      <c r="R106" s="1"/>
      <c r="S106" s="1"/>
      <c r="T106" s="1"/>
      <c r="U106" s="1">
        <v>13.65</v>
      </c>
      <c r="V106" s="1">
        <f>U106*1.34</f>
        <v>18.291</v>
      </c>
      <c r="W106" s="1">
        <v>11.95</v>
      </c>
      <c r="X106" s="1">
        <f>W106*1.34</f>
        <v>16.013000000000002</v>
      </c>
      <c r="Y106" s="1">
        <v>9.1999999999999993</v>
      </c>
      <c r="Z106" s="1">
        <f>Y106*1.34</f>
        <v>12.327999999999999</v>
      </c>
      <c r="AA106" s="1"/>
      <c r="AB106" s="1"/>
      <c r="AC106" s="1">
        <v>5.95</v>
      </c>
      <c r="AD106" s="1">
        <f>AC106*2.75</f>
        <v>16.362500000000001</v>
      </c>
      <c r="AE106" s="1">
        <v>3.35</v>
      </c>
      <c r="AF106" s="1">
        <f>AE106*2.75</f>
        <v>9.2125000000000004</v>
      </c>
      <c r="AG106" s="1"/>
      <c r="AH106" s="1"/>
      <c r="AI106" s="39">
        <v>10.9</v>
      </c>
      <c r="AJ106" s="39">
        <f>AI106*0.6</f>
        <v>6.54</v>
      </c>
      <c r="AK106" s="34"/>
      <c r="AL106" s="27">
        <f>SUM(I106,U106,W106,Y106,AA106,AC106,AE106,AG106)</f>
        <v>66.45</v>
      </c>
      <c r="AM106" s="27">
        <f>SUM(K106,M106,O106,Q106,S106)</f>
        <v>13.850000000000001</v>
      </c>
      <c r="AN106" s="27">
        <f>SUM(J106,V106,X106,Z106,AB106,AD106,AF106,AH106)</f>
        <v>102.15600000000002</v>
      </c>
      <c r="AO106" s="27">
        <f>SUM(L106,N106,P106,R106,T106)</f>
        <v>22.843</v>
      </c>
      <c r="AP106" s="30">
        <f>SUM(AG106,AE106,AC106,AA106,Y106,W106,U106,I106)/D106</f>
        <v>0.82752179327521802</v>
      </c>
      <c r="AQ106" s="30">
        <f>SUM(K106,M106,O106,Q106,S106)/D106</f>
        <v>0.17247820672478209</v>
      </c>
      <c r="AR106" s="30">
        <f>D106/H106</f>
        <v>0.64240513924111375</v>
      </c>
      <c r="AS106" s="30">
        <f>AL106/AN106</f>
        <v>0.6504757429813226</v>
      </c>
      <c r="AT106" s="30">
        <f>AM106/AO106</f>
        <v>0.6063126559558728</v>
      </c>
      <c r="AU106" s="35">
        <f>(((H106/2) - SQRT((H106/2)^2 - 4 * D106)) / 2)</f>
        <v>1.312367431336785</v>
      </c>
      <c r="AV106" s="27">
        <f>(((H106/2) + SQRT((H106/2)^2 - 4 * D106)) / 2)</f>
        <v>61.18713256866323</v>
      </c>
      <c r="AW106" s="27">
        <f>AU106*2.7*2+AV106*2.7*2</f>
        <v>337.49730000000011</v>
      </c>
      <c r="AX106" s="30">
        <f>AW106/D106</f>
        <v>4.2029551681195532</v>
      </c>
      <c r="AY106" s="30"/>
    </row>
    <row r="107" spans="1:51" x14ac:dyDescent="0.25">
      <c r="B107" s="36" t="s">
        <v>95</v>
      </c>
      <c r="C107" t="s">
        <v>96</v>
      </c>
      <c r="D107" s="37">
        <f>SUM(I107,K107,M107,O107,Q107,S107,U107,W107,Y107,AA107,AC107,AE107,AG107)</f>
        <v>92.850000000000009</v>
      </c>
      <c r="E107" s="38">
        <f>COUNTA(U107,W107,Y107,AA107)</f>
        <v>3</v>
      </c>
      <c r="F107" s="38">
        <f>COUNTA(M107,O107,Q107)</f>
        <v>2</v>
      </c>
      <c r="G107" s="38">
        <f>COUNTA(Table1[[#This Row],[A ASEO]])</f>
        <v>0</v>
      </c>
      <c r="H107" s="1">
        <f>SUM(J107,L107,N107,P107,R107,T107,V107,X107,Z107,AB107,AD107,AF107,AH107)</f>
        <v>152.56829999999999</v>
      </c>
      <c r="I107" s="1">
        <v>20.25</v>
      </c>
      <c r="J107" s="1">
        <f>I107*1.34</f>
        <v>27.135000000000002</v>
      </c>
      <c r="K107" s="1">
        <v>9.5</v>
      </c>
      <c r="L107" s="1">
        <f>K107*1.34</f>
        <v>12.73</v>
      </c>
      <c r="M107" s="1">
        <v>4.2300000000000004</v>
      </c>
      <c r="N107" s="1">
        <f>M107*2.36</f>
        <v>9.982800000000001</v>
      </c>
      <c r="O107" s="1">
        <v>4.18</v>
      </c>
      <c r="P107" s="1">
        <f>O107*2.36</f>
        <v>9.8647999999999989</v>
      </c>
      <c r="Q107" s="1"/>
      <c r="R107" s="1"/>
      <c r="S107" s="1"/>
      <c r="T107" s="1"/>
      <c r="U107" s="1">
        <v>15.87</v>
      </c>
      <c r="V107" s="1">
        <f>U107*1.34</f>
        <v>21.265799999999999</v>
      </c>
      <c r="W107" s="1">
        <v>11.98</v>
      </c>
      <c r="X107" s="1">
        <f>W107*1.34</f>
        <v>16.0532</v>
      </c>
      <c r="Y107" s="1">
        <v>11.87</v>
      </c>
      <c r="Z107" s="1">
        <f>Y107*1.34</f>
        <v>15.905799999999999</v>
      </c>
      <c r="AA107" s="1"/>
      <c r="AB107" s="1"/>
      <c r="AC107" s="1">
        <v>5.24</v>
      </c>
      <c r="AD107" s="1">
        <f>AC107*2.75</f>
        <v>14.41</v>
      </c>
      <c r="AE107" s="1">
        <v>5.79</v>
      </c>
      <c r="AF107" s="1">
        <f>AE107*2.75</f>
        <v>15.922499999999999</v>
      </c>
      <c r="AG107" s="1">
        <v>3.94</v>
      </c>
      <c r="AH107" s="1">
        <f>AG107*2.36</f>
        <v>9.2983999999999991</v>
      </c>
      <c r="AI107" s="39"/>
      <c r="AJ107" s="39"/>
      <c r="AK107" s="34"/>
      <c r="AL107" s="27">
        <f>SUM(I107,U107,W107,Y107,AA107,AC107,AE107,AG107)</f>
        <v>74.94</v>
      </c>
      <c r="AM107" s="27">
        <f>SUM(K107,M107,O107,Q107,S107)</f>
        <v>17.91</v>
      </c>
      <c r="AN107" s="27">
        <f>SUM(J107,V107,X107,Z107,AB107,AD107,AF107,AH107)</f>
        <v>119.9907</v>
      </c>
      <c r="AO107" s="27">
        <f>SUM(L107,N107,P107,R107,T107)</f>
        <v>32.577600000000004</v>
      </c>
      <c r="AP107" s="30">
        <f>SUM(AG107,AE107,AC107,AA107,Y107,W107,U107,I107)/D107</f>
        <v>0.80710823909531493</v>
      </c>
      <c r="AQ107" s="30">
        <f>SUM(K107,M107,O107,Q107,S107)/D107</f>
        <v>0.19289176090468496</v>
      </c>
      <c r="AR107" s="30">
        <f>D107/H107</f>
        <v>0.60857989503717358</v>
      </c>
      <c r="AS107" s="30">
        <f>AL107/AN107</f>
        <v>0.62454840250119381</v>
      </c>
      <c r="AT107" s="30">
        <f>AM107/AO107</f>
        <v>0.54976425519375272</v>
      </c>
      <c r="AU107" s="35">
        <f>(((H107/2) - SQRT((H107/2)^2 - 4 * D107)) / 2)</f>
        <v>1.2372259242264292</v>
      </c>
      <c r="AV107" s="27">
        <f>(((H107/2) + SQRT((H107/2)^2 - 4 * D107)) / 2)</f>
        <v>75.046924075773575</v>
      </c>
      <c r="AW107" s="27">
        <f>AU107*2.7*2+AV107*2.7*2</f>
        <v>411.93441000000007</v>
      </c>
      <c r="AX107" s="30">
        <f>AW107/D107</f>
        <v>4.4365579967689825</v>
      </c>
      <c r="AY107" s="30"/>
    </row>
    <row r="108" spans="1:51" x14ac:dyDescent="0.25">
      <c r="B108" s="36" t="s">
        <v>119</v>
      </c>
      <c r="C108" t="s">
        <v>120</v>
      </c>
      <c r="D108" s="37">
        <f>SUM(I108,K108,M108,O108,Q108,S108,U108,W108,Y108,AA108,AC108,AE108,AG108)</f>
        <v>85.52</v>
      </c>
      <c r="E108" s="38">
        <f>COUNTA(U108,W108,Y108,AA108)</f>
        <v>3</v>
      </c>
      <c r="F108" s="38">
        <f>COUNTA(M108,O108,Q108)</f>
        <v>2</v>
      </c>
      <c r="G108" s="38">
        <f>COUNTA(Table1[[#This Row],[A ASEO]])</f>
        <v>0</v>
      </c>
      <c r="H108" s="1">
        <f>SUM(J108,L108,N108,P108,R108,T108,V108,X108,Z108,AB108,AD108,AF108,AH108)</f>
        <v>124.8142</v>
      </c>
      <c r="I108" s="1">
        <v>28</v>
      </c>
      <c r="J108" s="1">
        <f>I108*1.34</f>
        <v>37.520000000000003</v>
      </c>
      <c r="K108" s="1">
        <v>10.44</v>
      </c>
      <c r="L108" s="1">
        <f>K108*1.34</f>
        <v>13.989599999999999</v>
      </c>
      <c r="M108" s="1">
        <v>3.73</v>
      </c>
      <c r="N108" s="1">
        <f>M108*2.36</f>
        <v>8.8027999999999995</v>
      </c>
      <c r="O108" s="1">
        <v>3.55</v>
      </c>
      <c r="P108" s="1">
        <f>O108*2.36</f>
        <v>8.3779999999999983</v>
      </c>
      <c r="Q108" s="1"/>
      <c r="R108" s="1"/>
      <c r="S108" s="1"/>
      <c r="T108" s="1"/>
      <c r="U108" s="1">
        <v>14.74</v>
      </c>
      <c r="V108" s="1">
        <f>U108*1.34</f>
        <v>19.7516</v>
      </c>
      <c r="W108" s="1">
        <v>11.92</v>
      </c>
      <c r="X108" s="1">
        <f>W108*1.34</f>
        <v>15.972800000000001</v>
      </c>
      <c r="Y108" s="1">
        <v>11.16</v>
      </c>
      <c r="Z108" s="1">
        <f>Y108*1.34</f>
        <v>14.954400000000001</v>
      </c>
      <c r="AA108" s="1"/>
      <c r="AB108" s="1"/>
      <c r="AC108" s="1"/>
      <c r="AD108" s="1"/>
      <c r="AE108" s="1">
        <v>1.98</v>
      </c>
      <c r="AF108" s="1">
        <f>AE108*2.75</f>
        <v>5.4450000000000003</v>
      </c>
      <c r="AG108" s="1"/>
      <c r="AH108" s="1"/>
      <c r="AI108" s="39">
        <f>26.5+15.96</f>
        <v>42.46</v>
      </c>
      <c r="AJ108" s="39">
        <f>AI108*0.6</f>
        <v>25.475999999999999</v>
      </c>
      <c r="AK108" s="34"/>
      <c r="AL108" s="27">
        <f>SUM(I108,U108,W108,Y108,AA108,AC108,AE108,AG108)</f>
        <v>67.800000000000011</v>
      </c>
      <c r="AM108" s="27">
        <f>SUM(K108,M108,O108,Q108,S108)</f>
        <v>17.72</v>
      </c>
      <c r="AN108" s="27">
        <f>SUM(J108,V108,X108,Z108,AB108,AD108,AF108,AH108)</f>
        <v>93.643800000000027</v>
      </c>
      <c r="AO108" s="27">
        <f>SUM(L108,N108,P108,R108,T108)</f>
        <v>31.170400000000001</v>
      </c>
      <c r="AP108" s="30">
        <f>SUM(AG108,AE108,AC108,AA108,Y108,W108,U108,I108)/D108</f>
        <v>0.79279700654817609</v>
      </c>
      <c r="AQ108" s="30">
        <f>SUM(K108,M108,O108,Q108,S108)/D108</f>
        <v>0.20720299345182414</v>
      </c>
      <c r="AR108" s="30">
        <f>D108/H108</f>
        <v>0.6851784492469607</v>
      </c>
      <c r="AS108" s="30">
        <f>AL108/AN108</f>
        <v>0.72402017004863095</v>
      </c>
      <c r="AT108" s="30">
        <f>AM108/AO108</f>
        <v>0.56848805276801062</v>
      </c>
      <c r="AU108" s="35">
        <f>(((H108/2) - SQRT((H108/2)^2 - 4 * D108)) / 2)</f>
        <v>1.4018464815348182</v>
      </c>
      <c r="AV108" s="27">
        <f>(((H108/2) + SQRT((H108/2)^2 - 4 * D108)) / 2)</f>
        <v>61.005253518465182</v>
      </c>
      <c r="AW108" s="27">
        <f>AU108*2.7*2+AV108*2.7*2</f>
        <v>336.99834000000004</v>
      </c>
      <c r="AX108" s="30">
        <f>AW108/D108</f>
        <v>3.9405792797006556</v>
      </c>
      <c r="AY108" s="30"/>
    </row>
    <row r="109" spans="1:51" x14ac:dyDescent="0.25">
      <c r="B109" s="36" t="s">
        <v>119</v>
      </c>
      <c r="C109" t="s">
        <v>120</v>
      </c>
      <c r="D109" s="37">
        <f>SUM(I109,K109,M109,O109,Q109,S109,U109,W109,Y109,AA109,AC109,AE109,AG109)</f>
        <v>80.290000000000006</v>
      </c>
      <c r="E109" s="38">
        <f>COUNTA(U109,W109,Y109,AA109)</f>
        <v>3</v>
      </c>
      <c r="F109" s="38">
        <f>COUNTA(M109,O109,Q109)</f>
        <v>2</v>
      </c>
      <c r="G109" s="38">
        <f>COUNTA(Table1[[#This Row],[A ASEO]])</f>
        <v>0</v>
      </c>
      <c r="H109" s="1">
        <f>SUM(J109,L109,N109,P109,R109,T109,V109,X109,Z109,AB109,AD109,AF109,AH109)</f>
        <v>117.59330000000001</v>
      </c>
      <c r="I109" s="1">
        <v>25.5</v>
      </c>
      <c r="J109" s="1">
        <f>I109*1.34</f>
        <v>34.17</v>
      </c>
      <c r="K109" s="1">
        <v>9.5299999999999994</v>
      </c>
      <c r="L109" s="1">
        <f>K109*1.34</f>
        <v>12.770199999999999</v>
      </c>
      <c r="M109" s="1">
        <v>3.52</v>
      </c>
      <c r="N109" s="1">
        <f>M109*2.36</f>
        <v>8.3071999999999999</v>
      </c>
      <c r="O109" s="1">
        <v>3.51</v>
      </c>
      <c r="P109" s="1">
        <f>O109*2.36</f>
        <v>8.2835999999999999</v>
      </c>
      <c r="Q109" s="1"/>
      <c r="R109" s="1"/>
      <c r="S109" s="1"/>
      <c r="T109" s="1"/>
      <c r="U109" s="1">
        <v>14.15</v>
      </c>
      <c r="V109" s="1">
        <f>U109*1.34</f>
        <v>18.961000000000002</v>
      </c>
      <c r="W109" s="1">
        <v>11.41</v>
      </c>
      <c r="X109" s="1">
        <f>W109*1.34</f>
        <v>15.289400000000001</v>
      </c>
      <c r="Y109" s="1">
        <v>10.66</v>
      </c>
      <c r="Z109" s="1">
        <f>Y109*1.34</f>
        <v>14.284400000000002</v>
      </c>
      <c r="AA109" s="1"/>
      <c r="AB109" s="1"/>
      <c r="AC109" s="1"/>
      <c r="AD109" s="1"/>
      <c r="AE109" s="1">
        <v>2.0099999999999998</v>
      </c>
      <c r="AF109" s="1">
        <f>AE109*2.75</f>
        <v>5.5274999999999999</v>
      </c>
      <c r="AG109" s="1"/>
      <c r="AH109" s="1"/>
      <c r="AI109" s="39">
        <f>24.99+15.29</f>
        <v>40.28</v>
      </c>
      <c r="AJ109" s="39">
        <f>AI109*0.6</f>
        <v>24.167999999999999</v>
      </c>
      <c r="AK109" s="34"/>
      <c r="AL109" s="27">
        <f>SUM(I109,U109,W109,Y109,AA109,AC109,AE109,AG109)</f>
        <v>63.73</v>
      </c>
      <c r="AM109" s="27">
        <f>SUM(K109,M109,O109,Q109,S109)</f>
        <v>16.559999999999999</v>
      </c>
      <c r="AN109" s="27">
        <f>SUM(J109,V109,X109,Z109,AB109,AD109,AF109,AH109)</f>
        <v>88.232300000000009</v>
      </c>
      <c r="AO109" s="27">
        <f>SUM(L109,N109,P109,R109,T109)</f>
        <v>29.360999999999997</v>
      </c>
      <c r="AP109" s="30">
        <f>SUM(AG109,AE109,AC109,AA109,Y109,W109,U109,I109)/D109</f>
        <v>0.79374766471540659</v>
      </c>
      <c r="AQ109" s="30">
        <f>SUM(K109,M109,O109,Q109,S109)/D109</f>
        <v>0.20625233528459333</v>
      </c>
      <c r="AR109" s="30">
        <f>D109/H109</f>
        <v>0.68277699494784139</v>
      </c>
      <c r="AS109" s="30">
        <f>AL109/AN109</f>
        <v>0.72229784330681612</v>
      </c>
      <c r="AT109" s="30">
        <f>AM109/AO109</f>
        <v>0.56401348727904366</v>
      </c>
      <c r="AU109" s="35">
        <f>(((H109/2) - SQRT((H109/2)^2 - 4 * D109)) / 2)</f>
        <v>1.3988337045206301</v>
      </c>
      <c r="AV109" s="27">
        <f>(((H109/2) + SQRT((H109/2)^2 - 4 * D109)) / 2)</f>
        <v>57.397816295479373</v>
      </c>
      <c r="AW109" s="27">
        <f>AU109*2.7*2+AV109*2.7*2</f>
        <v>317.50191000000001</v>
      </c>
      <c r="AX109" s="30">
        <f>AW109/D109</f>
        <v>3.9544390335035495</v>
      </c>
      <c r="AY109" s="30"/>
    </row>
    <row r="110" spans="1:51" x14ac:dyDescent="0.25">
      <c r="B110" s="36" t="s">
        <v>119</v>
      </c>
      <c r="C110" t="s">
        <v>120</v>
      </c>
      <c r="D110" s="37">
        <f>SUM(I110,K110,M110,O110,Q110,S110,U110,W110,Y110,AA110,AC110,AE110,AG110)</f>
        <v>83.43</v>
      </c>
      <c r="E110" s="38">
        <f>COUNTA(U110,W110,Y110,AA110)</f>
        <v>3</v>
      </c>
      <c r="F110" s="38">
        <f>COUNTA(M110,O110,Q110)</f>
        <v>2</v>
      </c>
      <c r="G110" s="38">
        <f>COUNTA(Table1[[#This Row],[A ASEO]])</f>
        <v>0</v>
      </c>
      <c r="H110" s="1">
        <f>SUM(J110,L110,N110,P110,R110,T110,V110,X110,Z110,AB110,AD110,AF110,AH110)</f>
        <v>122.6298</v>
      </c>
      <c r="I110" s="1">
        <v>23.67</v>
      </c>
      <c r="J110" s="1">
        <f>I110*1.34</f>
        <v>31.717800000000004</v>
      </c>
      <c r="K110" s="1">
        <v>10.94</v>
      </c>
      <c r="L110" s="1">
        <f>K110*1.34</f>
        <v>14.659600000000001</v>
      </c>
      <c r="M110" s="1">
        <v>4.12</v>
      </c>
      <c r="N110" s="1">
        <f>M110*2.36</f>
        <v>9.7232000000000003</v>
      </c>
      <c r="O110" s="1">
        <v>3.93</v>
      </c>
      <c r="P110" s="1">
        <f>O110*2.36</f>
        <v>9.274799999999999</v>
      </c>
      <c r="Q110" s="1"/>
      <c r="R110" s="1"/>
      <c r="S110" s="1"/>
      <c r="T110" s="1"/>
      <c r="U110" s="1">
        <v>15.63</v>
      </c>
      <c r="V110" s="1">
        <f>U110*1.34</f>
        <v>20.944200000000002</v>
      </c>
      <c r="W110" s="1">
        <v>11.8</v>
      </c>
      <c r="X110" s="1">
        <f>W110*1.34</f>
        <v>15.812000000000001</v>
      </c>
      <c r="Y110" s="1">
        <v>11.48</v>
      </c>
      <c r="Z110" s="1">
        <f>Y110*1.34</f>
        <v>15.383200000000002</v>
      </c>
      <c r="AA110" s="1"/>
      <c r="AB110" s="1"/>
      <c r="AC110" s="1"/>
      <c r="AD110" s="1"/>
      <c r="AE110" s="1">
        <v>1.86</v>
      </c>
      <c r="AF110" s="1">
        <f>AE110*2.75</f>
        <v>5.1150000000000002</v>
      </c>
      <c r="AG110" s="1"/>
      <c r="AH110" s="1"/>
      <c r="AI110" s="39">
        <v>16.940000000000001</v>
      </c>
      <c r="AJ110" s="39">
        <f>AI110*0.6</f>
        <v>10.164</v>
      </c>
      <c r="AK110" s="34"/>
      <c r="AL110" s="27">
        <f>SUM(I110,U110,W110,Y110,AA110,AC110,AE110,AG110)</f>
        <v>64.440000000000012</v>
      </c>
      <c r="AM110" s="27">
        <f>SUM(K110,M110,O110,Q110,S110)</f>
        <v>18.989999999999998</v>
      </c>
      <c r="AN110" s="27">
        <f>SUM(J110,V110,X110,Z110,AB110,AD110,AF110,AH110)</f>
        <v>88.972200000000001</v>
      </c>
      <c r="AO110" s="27">
        <f>SUM(L110,N110,P110,R110,T110)</f>
        <v>33.657600000000002</v>
      </c>
      <c r="AP110" s="30">
        <f>SUM(AG110,AE110,AC110,AA110,Y110,W110,U110,I110)/D110</f>
        <v>0.77238403451995674</v>
      </c>
      <c r="AQ110" s="30">
        <f>SUM(K110,M110,O110,Q110,S110)/D110</f>
        <v>0.22761596548004312</v>
      </c>
      <c r="AR110" s="30">
        <f>D110/H110</f>
        <v>0.68034034141782829</v>
      </c>
      <c r="AS110" s="30">
        <f>AL110/AN110</f>
        <v>0.72427117683950726</v>
      </c>
      <c r="AT110" s="30">
        <f>AM110/AO110</f>
        <v>0.56421135196805472</v>
      </c>
      <c r="AU110" s="35">
        <f>(((H110/2) - SQRT((H110/2)^2 - 4 * D110)) / 2)</f>
        <v>1.3922959682423688</v>
      </c>
      <c r="AV110" s="27">
        <f>(((H110/2) + SQRT((H110/2)^2 - 4 * D110)) / 2)</f>
        <v>59.922604031757629</v>
      </c>
      <c r="AW110" s="27">
        <f>AU110*2.7*2+AV110*2.7*2</f>
        <v>331.10046</v>
      </c>
      <c r="AX110" s="30">
        <f>AW110/D110</f>
        <v>3.9686019417475724</v>
      </c>
      <c r="AY110" s="30"/>
    </row>
    <row r="111" spans="1:51" x14ac:dyDescent="0.25">
      <c r="A111" t="s">
        <v>60</v>
      </c>
      <c r="B111" s="36" t="s">
        <v>119</v>
      </c>
      <c r="C111" t="s">
        <v>120</v>
      </c>
      <c r="D111" s="37">
        <f>SUM(I111,K111,M111,O111,Q111,S111,U111,W111,Y111,AA111,AC111,AE111,AG111)</f>
        <v>81.28</v>
      </c>
      <c r="E111" s="38">
        <f>COUNTA(U111,W111,Y111,AA111)</f>
        <v>3</v>
      </c>
      <c r="F111" s="38">
        <f>COUNTA(M111,O111,Q111)</f>
        <v>2</v>
      </c>
      <c r="G111" s="38">
        <f>COUNTA(Table1[[#This Row],[A ASEO]])</f>
        <v>0</v>
      </c>
      <c r="H111" s="1">
        <f>SUM(J111,L111,N111,P111,R111,T111,V111,X111,Z111,AB111,AD111,AF111,AH111)</f>
        <v>119.61800000000002</v>
      </c>
      <c r="I111" s="1">
        <v>24.96</v>
      </c>
      <c r="J111" s="1">
        <f>I111*1.34</f>
        <v>33.446400000000004</v>
      </c>
      <c r="K111" s="1">
        <v>9.61</v>
      </c>
      <c r="L111" s="1">
        <f>K111*1.34</f>
        <v>12.8774</v>
      </c>
      <c r="M111" s="1">
        <v>4.0199999999999996</v>
      </c>
      <c r="N111" s="1">
        <f>M111*2.36</f>
        <v>9.4871999999999979</v>
      </c>
      <c r="O111" s="1">
        <v>3.57</v>
      </c>
      <c r="P111" s="1">
        <f>O111*2.36</f>
        <v>8.4251999999999985</v>
      </c>
      <c r="Q111" s="1"/>
      <c r="R111" s="1"/>
      <c r="S111" s="1"/>
      <c r="T111" s="1"/>
      <c r="U111" s="1">
        <v>14.56</v>
      </c>
      <c r="V111" s="1">
        <f>U111*1.34</f>
        <v>19.510400000000001</v>
      </c>
      <c r="W111" s="1">
        <v>11.4</v>
      </c>
      <c r="X111" s="1">
        <f>W111*1.34</f>
        <v>15.276000000000002</v>
      </c>
      <c r="Y111" s="1">
        <v>11.06</v>
      </c>
      <c r="Z111" s="1">
        <f>Y111*1.34</f>
        <v>14.820400000000001</v>
      </c>
      <c r="AA111" s="1"/>
      <c r="AB111" s="1"/>
      <c r="AC111" s="1"/>
      <c r="AD111" s="1"/>
      <c r="AE111" s="1">
        <v>2.1</v>
      </c>
      <c r="AF111" s="1">
        <f>AE111*2.75</f>
        <v>5.7750000000000004</v>
      </c>
      <c r="AG111" s="1"/>
      <c r="AH111" s="1"/>
      <c r="AI111" s="39">
        <f>29.91+15.23</f>
        <v>45.14</v>
      </c>
      <c r="AJ111" s="39">
        <f>AI111*0.6</f>
        <v>27.084</v>
      </c>
      <c r="AK111" s="34"/>
      <c r="AL111" s="27">
        <f>SUM(I111,U111,W111,Y111,AA111,AC111,AE111,AG111)</f>
        <v>64.08</v>
      </c>
      <c r="AM111" s="27">
        <f>SUM(K111,M111,O111,Q111,S111)</f>
        <v>17.2</v>
      </c>
      <c r="AN111" s="27">
        <f>SUM(J111,V111,X111,Z111,AB111,AD111,AF111,AH111)</f>
        <v>88.82820000000001</v>
      </c>
      <c r="AO111" s="27">
        <f>SUM(L111,N111,P111,R111,T111)</f>
        <v>30.789799999999993</v>
      </c>
      <c r="AP111" s="30">
        <f>SUM(AG111,AE111,AC111,AA111,Y111,W111,U111,I111)/D111</f>
        <v>0.7883858267716537</v>
      </c>
      <c r="AQ111" s="30">
        <f>SUM(K111,M111,O111,Q111,S111)/D111</f>
        <v>0.21161417322834644</v>
      </c>
      <c r="AR111" s="30">
        <f>D111/H111</f>
        <v>0.67949639686334817</v>
      </c>
      <c r="AS111" s="30">
        <f>AL111/AN111</f>
        <v>0.72139253075036969</v>
      </c>
      <c r="AT111" s="30">
        <f>AM111/AO111</f>
        <v>0.55862655814587958</v>
      </c>
      <c r="AU111" s="35">
        <f>(((H111/2) - SQRT((H111/2)^2 - 4 * D111)) / 2)</f>
        <v>1.3913605683274497</v>
      </c>
      <c r="AV111" s="27">
        <f>(((H111/2) + SQRT((H111/2)^2 - 4 * D111)) / 2)</f>
        <v>58.417639431672562</v>
      </c>
      <c r="AW111" s="27">
        <f>AU111*2.7*2+AV111*2.7*2</f>
        <v>322.96860000000009</v>
      </c>
      <c r="AX111" s="30">
        <f>AW111/D111</f>
        <v>3.9735310039370089</v>
      </c>
      <c r="AY111" s="30"/>
    </row>
    <row r="112" spans="1:51" x14ac:dyDescent="0.25">
      <c r="B112" s="36" t="s">
        <v>119</v>
      </c>
      <c r="C112" t="s">
        <v>120</v>
      </c>
      <c r="D112" s="37">
        <f>SUM(I112,K112,M112,O112,Q112,S112,U112,W112,Y112,AA112,AC112,AE112,AG112)</f>
        <v>96.78</v>
      </c>
      <c r="E112" s="38">
        <f>COUNTA(U112,W112,Y112,AA112)</f>
        <v>3</v>
      </c>
      <c r="F112" s="38">
        <f>COUNTA(M112,O112,Q112)</f>
        <v>2</v>
      </c>
      <c r="G112" s="38">
        <f>COUNTA(Table1[[#This Row],[A ASEO]])</f>
        <v>0</v>
      </c>
      <c r="H112" s="1">
        <f>SUM(J112,L112,N112,P112,R112,T112,V112,X112,Z112,AB112,AD112,AF112,AH112)</f>
        <v>146.96339999999998</v>
      </c>
      <c r="I112" s="1">
        <v>29.02</v>
      </c>
      <c r="J112" s="1">
        <f>I112*1.34</f>
        <v>38.886800000000001</v>
      </c>
      <c r="K112" s="1">
        <v>10.15</v>
      </c>
      <c r="L112" s="1">
        <f>K112*1.34</f>
        <v>13.601000000000001</v>
      </c>
      <c r="M112" s="1">
        <v>4.09</v>
      </c>
      <c r="N112" s="1">
        <f>M112*2.36</f>
        <v>9.6523999999999983</v>
      </c>
      <c r="O112" s="1">
        <v>4.03</v>
      </c>
      <c r="P112" s="1">
        <f>O112*2.36</f>
        <v>9.5107999999999997</v>
      </c>
      <c r="Q112" s="1"/>
      <c r="R112" s="1"/>
      <c r="S112" s="1"/>
      <c r="T112" s="1"/>
      <c r="U112" s="1">
        <v>19.16</v>
      </c>
      <c r="V112" s="1">
        <f>U112*1.34</f>
        <v>25.674400000000002</v>
      </c>
      <c r="W112" s="1">
        <v>12.63</v>
      </c>
      <c r="X112" s="1">
        <f>W112*1.34</f>
        <v>16.924200000000003</v>
      </c>
      <c r="Y112" s="1">
        <v>11.32</v>
      </c>
      <c r="Z112" s="1">
        <f>Y112*1.34</f>
        <v>15.168800000000001</v>
      </c>
      <c r="AA112" s="1"/>
      <c r="AB112" s="1"/>
      <c r="AC112" s="1">
        <v>2.46</v>
      </c>
      <c r="AD112" s="1">
        <f>AC112*2.75</f>
        <v>6.7649999999999997</v>
      </c>
      <c r="AE112" s="1">
        <v>3.92</v>
      </c>
      <c r="AF112" s="1">
        <f>AE112*2.75</f>
        <v>10.78</v>
      </c>
      <c r="AG112" s="1"/>
      <c r="AH112" s="1"/>
      <c r="AI112" s="39">
        <f>34.71+27.05</f>
        <v>61.760000000000005</v>
      </c>
      <c r="AJ112" s="39">
        <f>AI112*0.6</f>
        <v>37.056000000000004</v>
      </c>
      <c r="AK112" s="34"/>
      <c r="AL112" s="27">
        <f>SUM(I112,U112,W112,Y112,AA112,AC112,AE112,AG112)</f>
        <v>78.509999999999991</v>
      </c>
      <c r="AM112" s="27">
        <f>SUM(K112,M112,O112,Q112,S112)</f>
        <v>18.27</v>
      </c>
      <c r="AN112" s="27">
        <f>SUM(J112,V112,X112,Z112,AB112,AD112,AF112,AH112)</f>
        <v>114.1992</v>
      </c>
      <c r="AO112" s="27">
        <f>SUM(L112,N112,P112,R112,T112)</f>
        <v>32.764200000000002</v>
      </c>
      <c r="AP112" s="30">
        <f>SUM(AG112,AE112,AC112,AA112,Y112,W112,U112,I112)/D112</f>
        <v>0.81122132672039671</v>
      </c>
      <c r="AQ112" s="30">
        <f>SUM(K112,M112,O112,Q112,S112)/D112</f>
        <v>0.18877867327960321</v>
      </c>
      <c r="AR112" s="30">
        <f>D112/H112</f>
        <v>0.65853130779500213</v>
      </c>
      <c r="AS112" s="30">
        <f>AL112/AN112</f>
        <v>0.68748292457390237</v>
      </c>
      <c r="AT112" s="30">
        <f>AM112/AO112</f>
        <v>0.55762081784386608</v>
      </c>
      <c r="AU112" s="35">
        <f>(((H112/2) - SQRT((H112/2)^2 - 4 * D112)) / 2)</f>
        <v>1.3415553923033627</v>
      </c>
      <c r="AV112" s="27">
        <f>(((H112/2) + SQRT((H112/2)^2 - 4 * D112)) / 2)</f>
        <v>72.140144607696627</v>
      </c>
      <c r="AW112" s="27">
        <f>AU112*2.7*2+AV112*2.7*2</f>
        <v>396.80117999999993</v>
      </c>
      <c r="AX112" s="30">
        <f>AW112/D112</f>
        <v>4.1000328580285172</v>
      </c>
      <c r="AY112" s="30"/>
    </row>
    <row r="113" spans="2:51" x14ac:dyDescent="0.25">
      <c r="B113" s="36" t="s">
        <v>119</v>
      </c>
      <c r="C113" t="s">
        <v>120</v>
      </c>
      <c r="D113" s="37">
        <f>SUM(I113,K113,M113,O113,Q113,S113,U113,W113,Y113,AA113,AC113,AE113,AG113)</f>
        <v>96.45999999999998</v>
      </c>
      <c r="E113" s="38">
        <f>COUNTA(U113,W113,Y113,AA113)</f>
        <v>3</v>
      </c>
      <c r="F113" s="38">
        <f>COUNTA(M113,O113,Q113)</f>
        <v>2</v>
      </c>
      <c r="G113" s="38">
        <f>COUNTA(Table1[[#This Row],[A ASEO]])</f>
        <v>0</v>
      </c>
      <c r="H113" s="1">
        <f>SUM(J113,L113,N113,P113,R113,T113,V113,X113,Z113,AB113,AD113,AF113,AH113)</f>
        <v>146.53460000000001</v>
      </c>
      <c r="I113" s="1">
        <v>28.82</v>
      </c>
      <c r="J113" s="1">
        <f>I113*1.34</f>
        <v>38.6188</v>
      </c>
      <c r="K113" s="1">
        <v>9.84</v>
      </c>
      <c r="L113" s="1">
        <f>K113*1.34</f>
        <v>13.185600000000001</v>
      </c>
      <c r="M113" s="1">
        <v>4.09</v>
      </c>
      <c r="N113" s="1">
        <f>M113*2.36</f>
        <v>9.6523999999999983</v>
      </c>
      <c r="O113" s="1">
        <v>4.03</v>
      </c>
      <c r="P113" s="1">
        <f>O113*2.36</f>
        <v>9.5107999999999997</v>
      </c>
      <c r="Q113" s="1"/>
      <c r="R113" s="1"/>
      <c r="S113" s="1"/>
      <c r="T113" s="1"/>
      <c r="U113" s="1">
        <v>19.16</v>
      </c>
      <c r="V113" s="1">
        <f>U113*1.34</f>
        <v>25.674400000000002</v>
      </c>
      <c r="W113" s="1">
        <v>12.82</v>
      </c>
      <c r="X113" s="1">
        <f>W113*1.34</f>
        <v>17.178800000000003</v>
      </c>
      <c r="Y113" s="1">
        <v>11.32</v>
      </c>
      <c r="Z113" s="1">
        <f>Y113*1.34</f>
        <v>15.168800000000001</v>
      </c>
      <c r="AA113" s="1"/>
      <c r="AB113" s="1"/>
      <c r="AC113" s="1">
        <v>2.46</v>
      </c>
      <c r="AD113" s="1">
        <f>AC113*2.75</f>
        <v>6.7649999999999997</v>
      </c>
      <c r="AE113" s="1">
        <v>3.92</v>
      </c>
      <c r="AF113" s="1">
        <f>AE113*2.75</f>
        <v>10.78</v>
      </c>
      <c r="AG113" s="1"/>
      <c r="AH113" s="1"/>
      <c r="AI113" s="39">
        <v>32.61</v>
      </c>
      <c r="AJ113" s="39">
        <f>AI113*0.6</f>
        <v>19.565999999999999</v>
      </c>
      <c r="AK113" s="34"/>
      <c r="AL113" s="27">
        <f>SUM(I113,U113,W113,Y113,AA113,AC113,AE113,AG113)</f>
        <v>78.5</v>
      </c>
      <c r="AM113" s="27">
        <f>SUM(K113,M113,O113,Q113,S113)</f>
        <v>17.96</v>
      </c>
      <c r="AN113" s="27">
        <f>SUM(J113,V113,X113,Z113,AB113,AD113,AF113,AH113)</f>
        <v>114.18580000000001</v>
      </c>
      <c r="AO113" s="27">
        <f>SUM(L113,N113,P113,R113,T113)</f>
        <v>32.348799999999997</v>
      </c>
      <c r="AP113" s="30">
        <f>SUM(AG113,AE113,AC113,AA113,Y113,W113,U113,I113)/D113</f>
        <v>0.81380883267675741</v>
      </c>
      <c r="AQ113" s="30">
        <f>SUM(K113,M113,O113,Q113,S113)/D113</f>
        <v>0.18619116732324284</v>
      </c>
      <c r="AR113" s="30">
        <f>D113/H113</f>
        <v>0.65827456450558419</v>
      </c>
      <c r="AS113" s="30">
        <f>AL113/AN113</f>
        <v>0.68747602591565671</v>
      </c>
      <c r="AT113" s="30">
        <f>AM113/AO113</f>
        <v>0.55519833811455144</v>
      </c>
      <c r="AU113" s="35">
        <f>(((H113/2) - SQRT((H113/2)^2 - 4 * D113)) / 2)</f>
        <v>1.3410967865740844</v>
      </c>
      <c r="AV113" s="27">
        <f>(((H113/2) + SQRT((H113/2)^2 - 4 * D113)) / 2)</f>
        <v>71.926203213425921</v>
      </c>
      <c r="AW113" s="27">
        <f>AU113*2.7*2+AV113*2.7*2</f>
        <v>395.64342000000005</v>
      </c>
      <c r="AX113" s="30">
        <f>AW113/D113</f>
        <v>4.1016319718017842</v>
      </c>
      <c r="AY113" s="30"/>
    </row>
    <row r="114" spans="2:51" x14ac:dyDescent="0.25">
      <c r="B114" s="36" t="s">
        <v>119</v>
      </c>
      <c r="C114" t="s">
        <v>120</v>
      </c>
      <c r="D114" s="37">
        <f>SUM(I114,K114,M114,O114,Q114,S114,U114,W114,Y114,AA114,AC114,AE114,AG114)</f>
        <v>91.399999999999991</v>
      </c>
      <c r="E114" s="38">
        <f>COUNTA(U114,W114,Y114,AA114)</f>
        <v>3</v>
      </c>
      <c r="F114" s="38">
        <f>COUNTA(M114,O114,Q114)</f>
        <v>2</v>
      </c>
      <c r="G114" s="38">
        <f>COUNTA(Table1[[#This Row],[A ASEO]])</f>
        <v>0</v>
      </c>
      <c r="H114" s="1">
        <f>SUM(J114,L114,N114,P114,R114,T114,V114,X114,Z114,AB114,AD114,AF114,AH114)</f>
        <v>142.43620000000001</v>
      </c>
      <c r="I114" s="1">
        <v>26.43</v>
      </c>
      <c r="J114" s="1">
        <f>I114*1.34</f>
        <v>35.416200000000003</v>
      </c>
      <c r="K114" s="1">
        <v>11.98</v>
      </c>
      <c r="L114" s="1">
        <f>K114*1.34</f>
        <v>16.0532</v>
      </c>
      <c r="M114" s="1">
        <v>3.8</v>
      </c>
      <c r="N114" s="1">
        <f>M114*2.36</f>
        <v>8.968</v>
      </c>
      <c r="O114" s="1">
        <v>3.77</v>
      </c>
      <c r="P114" s="1">
        <f>O114*2.36</f>
        <v>8.8971999999999998</v>
      </c>
      <c r="Q114" s="1"/>
      <c r="R114" s="1"/>
      <c r="S114" s="1"/>
      <c r="T114" s="1"/>
      <c r="U114" s="1">
        <v>14.87</v>
      </c>
      <c r="V114" s="1">
        <f>U114*1.34</f>
        <v>19.925799999999999</v>
      </c>
      <c r="W114" s="1">
        <v>11.47</v>
      </c>
      <c r="X114" s="1">
        <f>W114*1.34</f>
        <v>15.369800000000001</v>
      </c>
      <c r="Y114" s="1">
        <v>10.4</v>
      </c>
      <c r="Z114" s="1">
        <f>Y114*1.34</f>
        <v>13.936000000000002</v>
      </c>
      <c r="AA114" s="1"/>
      <c r="AB114" s="1"/>
      <c r="AC114" s="1">
        <v>5.96</v>
      </c>
      <c r="AD114" s="1">
        <f>AC114*2.75</f>
        <v>16.39</v>
      </c>
      <c r="AE114" s="1">
        <v>2.72</v>
      </c>
      <c r="AF114" s="1">
        <f>AE114*2.75</f>
        <v>7.48</v>
      </c>
      <c r="AG114" s="1"/>
      <c r="AH114" s="1"/>
      <c r="AI114" s="39">
        <v>13.71</v>
      </c>
      <c r="AJ114" s="39">
        <f>AI114*0.6</f>
        <v>8.2260000000000009</v>
      </c>
      <c r="AK114" s="34"/>
      <c r="AL114" s="27">
        <f>SUM(I114,U114,W114,Y114,AA114,AC114,AE114,AG114)</f>
        <v>71.849999999999994</v>
      </c>
      <c r="AM114" s="27">
        <f>SUM(K114,M114,O114,Q114,S114)</f>
        <v>19.55</v>
      </c>
      <c r="AN114" s="27">
        <f>SUM(J114,V114,X114,Z114,AB114,AD114,AF114,AH114)</f>
        <v>108.51780000000001</v>
      </c>
      <c r="AO114" s="27">
        <f>SUM(L114,N114,P114,R114,T114)</f>
        <v>33.918399999999998</v>
      </c>
      <c r="AP114" s="30">
        <f>SUM(AG114,AE114,AC114,AA114,Y114,W114,U114,I114)/D114</f>
        <v>0.78610503282275712</v>
      </c>
      <c r="AQ114" s="30">
        <f>SUM(K114,M114,O114,Q114,S114)/D114</f>
        <v>0.21389496717724291</v>
      </c>
      <c r="AR114" s="30">
        <f>D114/H114</f>
        <v>0.6416908061293406</v>
      </c>
      <c r="AS114" s="30">
        <f>AL114/AN114</f>
        <v>0.66210336000176917</v>
      </c>
      <c r="AT114" s="30">
        <f>AM114/AO114</f>
        <v>0.57638331996792302</v>
      </c>
      <c r="AU114" s="35">
        <f>(((H114/2) - SQRT((H114/2)^2 - 4 * D114)) / 2)</f>
        <v>1.3073817912597718</v>
      </c>
      <c r="AV114" s="27">
        <f>(((H114/2) + SQRT((H114/2)^2 - 4 * D114)) / 2)</f>
        <v>69.910718208740235</v>
      </c>
      <c r="AW114" s="27">
        <f>AU114*2.7*2+AV114*2.7*2</f>
        <v>384.57774000000006</v>
      </c>
      <c r="AX114" s="30">
        <f>AW114/D114</f>
        <v>4.2076339168490167</v>
      </c>
      <c r="AY114" s="30"/>
    </row>
    <row r="115" spans="2:51" x14ac:dyDescent="0.25">
      <c r="B115" s="36" t="s">
        <v>119</v>
      </c>
      <c r="C115" t="s">
        <v>120</v>
      </c>
      <c r="D115" s="37">
        <f>SUM(I115,K115,M115,O115,Q115,S115,U115,W115,Y115,AA115,AC115,AE115,AG115)</f>
        <v>82.42</v>
      </c>
      <c r="E115" s="38">
        <f>COUNTA(U115,W115,Y115,AA115)</f>
        <v>3</v>
      </c>
      <c r="F115" s="38">
        <f>COUNTA(M115,O115,Q115)</f>
        <v>2</v>
      </c>
      <c r="G115" s="38">
        <f>COUNTA(Table1[[#This Row],[A ASEO]])</f>
        <v>0</v>
      </c>
      <c r="H115" s="1">
        <f>SUM(J115,L115,N115,P115,R115,T115,V115,X115,Z115,AB115,AD115,AF115,AH115)</f>
        <v>128.99030000000002</v>
      </c>
      <c r="I115" s="1">
        <v>23.04</v>
      </c>
      <c r="J115" s="1">
        <f>I115*1.34</f>
        <v>30.8736</v>
      </c>
      <c r="K115" s="1">
        <v>9.1300000000000008</v>
      </c>
      <c r="L115" s="1">
        <f>K115*1.34</f>
        <v>12.234200000000001</v>
      </c>
      <c r="M115" s="1">
        <v>4.04</v>
      </c>
      <c r="N115" s="1">
        <f>M115*2.36</f>
        <v>9.5343999999999998</v>
      </c>
      <c r="O115" s="1">
        <v>3.79</v>
      </c>
      <c r="P115" s="1">
        <f>O115*2.36</f>
        <v>8.9443999999999999</v>
      </c>
      <c r="Q115" s="1"/>
      <c r="R115" s="1"/>
      <c r="S115" s="1"/>
      <c r="T115" s="1"/>
      <c r="U115" s="1">
        <v>14.91</v>
      </c>
      <c r="V115" s="1">
        <f>U115*1.34</f>
        <v>19.979400000000002</v>
      </c>
      <c r="W115" s="1">
        <v>10.75</v>
      </c>
      <c r="X115" s="1">
        <f>W115*1.34</f>
        <v>14.405000000000001</v>
      </c>
      <c r="Y115" s="1">
        <v>9.27</v>
      </c>
      <c r="Z115" s="1">
        <f>Y115*1.34</f>
        <v>12.421799999999999</v>
      </c>
      <c r="AA115" s="1"/>
      <c r="AB115" s="1"/>
      <c r="AC115" s="1">
        <v>5.15</v>
      </c>
      <c r="AD115" s="1">
        <f>AC115*2.75</f>
        <v>14.162500000000001</v>
      </c>
      <c r="AE115" s="1">
        <v>2.34</v>
      </c>
      <c r="AF115" s="1">
        <f>AE115*2.75</f>
        <v>6.4349999999999996</v>
      </c>
      <c r="AG115" s="1"/>
      <c r="AH115" s="1"/>
      <c r="AI115" s="39">
        <v>20.56</v>
      </c>
      <c r="AJ115" s="39">
        <f>AI115*0.6</f>
        <v>12.335999999999999</v>
      </c>
      <c r="AK115" s="34"/>
      <c r="AL115" s="27">
        <f>SUM(I115,U115,W115,Y115,AA115,AC115,AE115,AG115)</f>
        <v>65.459999999999994</v>
      </c>
      <c r="AM115" s="27">
        <f>SUM(K115,M115,O115,Q115,S115)</f>
        <v>16.96</v>
      </c>
      <c r="AN115" s="27">
        <f>SUM(J115,V115,X115,Z115,AB115,AD115,AF115,AH115)</f>
        <v>98.277300000000025</v>
      </c>
      <c r="AO115" s="27">
        <f>SUM(L115,N115,P115,R115,T115)</f>
        <v>30.713000000000001</v>
      </c>
      <c r="AP115" s="30">
        <f>SUM(AG115,AE115,AC115,AA115,Y115,W115,U115,I115)/D115</f>
        <v>0.79422470274205303</v>
      </c>
      <c r="AQ115" s="30">
        <f>SUM(K115,M115,O115,Q115,S115)/D115</f>
        <v>0.2057752972579471</v>
      </c>
      <c r="AR115" s="30">
        <f>D115/H115</f>
        <v>0.63896277472026963</v>
      </c>
      <c r="AS115" s="30">
        <f>AL115/AN115</f>
        <v>0.66607446480519894</v>
      </c>
      <c r="AT115" s="30">
        <f>AM115/AO115</f>
        <v>0.55220916224400096</v>
      </c>
      <c r="AU115" s="35">
        <f>(((H115/2) - SQRT((H115/2)^2 - 4 * D115)) / 2)</f>
        <v>1.304302817171223</v>
      </c>
      <c r="AV115" s="27">
        <f>(((H115/2) + SQRT((H115/2)^2 - 4 * D115)) / 2)</f>
        <v>63.19084718282879</v>
      </c>
      <c r="AW115" s="27">
        <f>AU115*2.7*2+AV115*2.7*2</f>
        <v>348.27381000000008</v>
      </c>
      <c r="AX115" s="30">
        <f>AW115/D115</f>
        <v>4.2255982771172054</v>
      </c>
      <c r="AY115" s="30"/>
    </row>
    <row r="116" spans="2:51" x14ac:dyDescent="0.25">
      <c r="B116" s="36" t="s">
        <v>119</v>
      </c>
      <c r="C116" t="s">
        <v>120</v>
      </c>
      <c r="D116" s="37">
        <f>SUM(I116,K116,M116,O116,Q116,S116,U116,W116,Y116,AA116,AC116,AE116,AG116)</f>
        <v>89.569999999999979</v>
      </c>
      <c r="E116" s="38">
        <f>COUNTA(U116,W116,Y116,AA116)</f>
        <v>3</v>
      </c>
      <c r="F116" s="38">
        <f>COUNTA(M116,O116,Q116)</f>
        <v>2</v>
      </c>
      <c r="G116" s="38">
        <f>COUNTA(Table1[[#This Row],[A ASEO]])</f>
        <v>0</v>
      </c>
      <c r="H116" s="1">
        <f>SUM(J116,L116,N116,P116,R116,T116,V116,X116,Z116,AB116,AD116,AF116,AH116)</f>
        <v>140.9461</v>
      </c>
      <c r="I116" s="1">
        <v>25.34</v>
      </c>
      <c r="J116" s="1">
        <f>I116*1.34</f>
        <v>33.955600000000004</v>
      </c>
      <c r="K116" s="1">
        <v>12.43</v>
      </c>
      <c r="L116" s="1">
        <f>K116*1.34</f>
        <v>16.656200000000002</v>
      </c>
      <c r="M116" s="1">
        <v>3.88</v>
      </c>
      <c r="N116" s="1">
        <f>M116*2.36</f>
        <v>9.1567999999999987</v>
      </c>
      <c r="O116" s="1">
        <v>3.79</v>
      </c>
      <c r="P116" s="1">
        <f>O116*2.36</f>
        <v>8.9443999999999999</v>
      </c>
      <c r="Q116" s="1"/>
      <c r="R116" s="1"/>
      <c r="S116" s="1"/>
      <c r="T116" s="1"/>
      <c r="U116" s="1">
        <v>14.86</v>
      </c>
      <c r="V116" s="1">
        <f>U116*1.34</f>
        <v>19.912400000000002</v>
      </c>
      <c r="W116" s="1">
        <v>10.74</v>
      </c>
      <c r="X116" s="1">
        <f>W116*1.34</f>
        <v>14.3916</v>
      </c>
      <c r="Y116" s="1">
        <v>9.24</v>
      </c>
      <c r="Z116" s="1">
        <f>Y116*1.34</f>
        <v>12.381600000000001</v>
      </c>
      <c r="AA116" s="1"/>
      <c r="AB116" s="1"/>
      <c r="AC116" s="1">
        <v>6.94</v>
      </c>
      <c r="AD116" s="1">
        <f>AC116*2.75</f>
        <v>19.085000000000001</v>
      </c>
      <c r="AE116" s="1">
        <v>2.35</v>
      </c>
      <c r="AF116" s="1">
        <f>AE116*2.75</f>
        <v>6.4625000000000004</v>
      </c>
      <c r="AG116" s="1"/>
      <c r="AH116" s="1"/>
      <c r="AI116" s="39">
        <v>13.41</v>
      </c>
      <c r="AJ116" s="39">
        <f>AI116*0.6</f>
        <v>8.0459999999999994</v>
      </c>
      <c r="AK116" s="34"/>
      <c r="AL116" s="27">
        <f>SUM(I116,U116,W116,Y116,AA116,AC116,AE116,AG116)</f>
        <v>69.47</v>
      </c>
      <c r="AM116" s="27">
        <f>SUM(K116,M116,O116,Q116,S116)</f>
        <v>20.099999999999998</v>
      </c>
      <c r="AN116" s="27">
        <f>SUM(J116,V116,X116,Z116,AB116,AD116,AF116,AH116)</f>
        <v>106.18870000000001</v>
      </c>
      <c r="AO116" s="27">
        <f>SUM(L116,N116,P116,R116,T116)</f>
        <v>34.757400000000004</v>
      </c>
      <c r="AP116" s="30">
        <f>SUM(AG116,AE116,AC116,AA116,Y116,W116,U116,I116)/D116</f>
        <v>0.77559450708942745</v>
      </c>
      <c r="AQ116" s="30">
        <f>SUM(K116,M116,O116,Q116,S116)/D116</f>
        <v>0.22440549291057277</v>
      </c>
      <c r="AR116" s="30">
        <f>D116/H116</f>
        <v>0.63549115583900495</v>
      </c>
      <c r="AS116" s="30">
        <f>AL116/AN116</f>
        <v>0.65421273638343813</v>
      </c>
      <c r="AT116" s="30">
        <f>AM116/AO116</f>
        <v>0.57829411866250047</v>
      </c>
      <c r="AU116" s="35">
        <f>(((H116/2) - SQRT((H116/2)^2 - 4 * D116)) / 2)</f>
        <v>1.2947705657397535</v>
      </c>
      <c r="AV116" s="27">
        <f>(((H116/2) + SQRT((H116/2)^2 - 4 * D116)) / 2)</f>
        <v>69.178279434260247</v>
      </c>
      <c r="AW116" s="27">
        <f>AU116*2.7*2+AV116*2.7*2</f>
        <v>380.55447000000004</v>
      </c>
      <c r="AX116" s="30">
        <f>AW116/D116</f>
        <v>4.2486822596851637</v>
      </c>
      <c r="AY116" s="30"/>
    </row>
    <row r="117" spans="2:51" x14ac:dyDescent="0.25">
      <c r="B117" s="36" t="s">
        <v>119</v>
      </c>
      <c r="C117" t="s">
        <v>120</v>
      </c>
      <c r="D117" s="37">
        <f>SUM(I117,K117,M117,O117,Q117,S117,U117,W117,Y117,AA117,AC117,AE117,AG117)</f>
        <v>89.73</v>
      </c>
      <c r="E117" s="38">
        <f>COUNTA(U117,W117,Y117,AA117)</f>
        <v>3</v>
      </c>
      <c r="F117" s="38">
        <f>COUNTA(M117,O117,Q117)</f>
        <v>2</v>
      </c>
      <c r="G117" s="38">
        <f>COUNTA(Table1[[#This Row],[A ASEO]])</f>
        <v>0</v>
      </c>
      <c r="H117" s="1">
        <f>SUM(J117,L117,N117,P117,R117,T117,V117,X117,Z117,AB117,AD117,AF117,AH117)</f>
        <v>142.13159999999999</v>
      </c>
      <c r="I117" s="1">
        <v>24.48</v>
      </c>
      <c r="J117" s="1">
        <f>I117*1.34</f>
        <v>32.803200000000004</v>
      </c>
      <c r="K117" s="1">
        <v>10.65</v>
      </c>
      <c r="L117" s="1">
        <f>K117*1.34</f>
        <v>14.271000000000001</v>
      </c>
      <c r="M117" s="1">
        <v>3.69</v>
      </c>
      <c r="N117" s="1">
        <f>M117*2.36</f>
        <v>8.7083999999999993</v>
      </c>
      <c r="O117" s="1">
        <v>3.49</v>
      </c>
      <c r="P117" s="1">
        <f>O117*2.36</f>
        <v>8.2363999999999997</v>
      </c>
      <c r="Q117" s="1"/>
      <c r="R117" s="1"/>
      <c r="S117" s="1"/>
      <c r="T117" s="1"/>
      <c r="U117" s="1">
        <v>13.76</v>
      </c>
      <c r="V117" s="1">
        <f>U117*1.34</f>
        <v>18.438400000000001</v>
      </c>
      <c r="W117" s="1">
        <v>11.79</v>
      </c>
      <c r="X117" s="1">
        <f>W117*1.34</f>
        <v>15.7986</v>
      </c>
      <c r="Y117" s="1">
        <v>10.92</v>
      </c>
      <c r="Z117" s="1">
        <f>Y117*1.34</f>
        <v>14.632800000000001</v>
      </c>
      <c r="AA117" s="1"/>
      <c r="AB117" s="1"/>
      <c r="AC117" s="1">
        <v>2.2400000000000002</v>
      </c>
      <c r="AD117" s="1">
        <f>AC117*2.75</f>
        <v>6.16</v>
      </c>
      <c r="AE117" s="1">
        <v>6.48</v>
      </c>
      <c r="AF117" s="1">
        <f>AE117*2.75</f>
        <v>17.82</v>
      </c>
      <c r="AG117" s="1">
        <v>2.23</v>
      </c>
      <c r="AH117" s="1">
        <f>AG117*2.36</f>
        <v>5.2627999999999995</v>
      </c>
      <c r="AI117" s="39">
        <v>16.7</v>
      </c>
      <c r="AJ117" s="39">
        <f>AI117*0.6</f>
        <v>10.02</v>
      </c>
      <c r="AK117" s="34"/>
      <c r="AL117" s="27">
        <f>SUM(I117,U117,W117,Y117,AA117,AC117,AE117,AG117)</f>
        <v>71.900000000000006</v>
      </c>
      <c r="AM117" s="27">
        <f>SUM(K117,M117,O117,Q117,S117)</f>
        <v>17.829999999999998</v>
      </c>
      <c r="AN117" s="27">
        <f>SUM(J117,V117,X117,Z117,AB117,AD117,AF117,AH117)</f>
        <v>110.91579999999999</v>
      </c>
      <c r="AO117" s="27">
        <f>SUM(L117,N117,P117,R117,T117)</f>
        <v>31.215799999999998</v>
      </c>
      <c r="AP117" s="30">
        <f>SUM(AG117,AE117,AC117,AA117,Y117,W117,U117,I117)/D117</f>
        <v>0.80129276719046016</v>
      </c>
      <c r="AQ117" s="30">
        <f>SUM(K117,M117,O117,Q117,S117)/D117</f>
        <v>0.1987072328095397</v>
      </c>
      <c r="AR117" s="30">
        <f>D117/H117</f>
        <v>0.63131632937362281</v>
      </c>
      <c r="AS117" s="30">
        <f>AL117/AN117</f>
        <v>0.64823947534976989</v>
      </c>
      <c r="AT117" s="30">
        <f>AM117/AO117</f>
        <v>0.57118510497888886</v>
      </c>
      <c r="AU117" s="35">
        <f>(((H117/2) - SQRT((H117/2)^2 - 4 * D117)) / 2)</f>
        <v>1.2859003882091926</v>
      </c>
      <c r="AV117" s="27">
        <f>(((H117/2) + SQRT((H117/2)^2 - 4 * D117)) / 2)</f>
        <v>69.779899611790796</v>
      </c>
      <c r="AW117" s="27">
        <f>AU117*2.7*2+AV117*2.7*2</f>
        <v>383.75531999999998</v>
      </c>
      <c r="AX117" s="30">
        <f>AW117/D117</f>
        <v>4.276778335005015</v>
      </c>
      <c r="AY117" s="30"/>
    </row>
    <row r="118" spans="2:51" x14ac:dyDescent="0.25">
      <c r="B118" s="36" t="s">
        <v>134</v>
      </c>
      <c r="C118" t="s">
        <v>51</v>
      </c>
      <c r="D118" s="37">
        <f>SUM(I118,K118,M118,O118,Q118,S118,U118,W118,Y118,AA118,AC118,AE118,AG118)</f>
        <v>79.61</v>
      </c>
      <c r="E118" s="38">
        <f>COUNTA(U118,W118,Y118,AA118)</f>
        <v>3</v>
      </c>
      <c r="F118" s="38">
        <f>COUNTA(M118,O118,Q118)</f>
        <v>1</v>
      </c>
      <c r="G118" s="38">
        <f>COUNTA(Table1[[#This Row],[A ASEO]])</f>
        <v>0</v>
      </c>
      <c r="H118" s="1">
        <f>SUM(J118,L118,N118,P118,R118,T118,V118,X118,Z118,AB118,AD118,AF118,AH118)</f>
        <v>121.70410000000001</v>
      </c>
      <c r="I118" s="1">
        <v>24.24</v>
      </c>
      <c r="J118" s="1">
        <f>I118*1.34</f>
        <v>32.4816</v>
      </c>
      <c r="K118" s="1">
        <v>9.6</v>
      </c>
      <c r="L118" s="1">
        <f>K118*1.34</f>
        <v>12.864000000000001</v>
      </c>
      <c r="M118" s="1">
        <v>4.24</v>
      </c>
      <c r="N118" s="1">
        <f>M118*2.36</f>
        <v>10.006399999999999</v>
      </c>
      <c r="O118" s="1"/>
      <c r="P118" s="1"/>
      <c r="Q118" s="1"/>
      <c r="R118" s="1"/>
      <c r="S118" s="1"/>
      <c r="T118" s="1"/>
      <c r="U118" s="1">
        <v>11.87</v>
      </c>
      <c r="V118" s="1">
        <f>U118*1.34</f>
        <v>15.905799999999999</v>
      </c>
      <c r="W118" s="1">
        <v>11.28</v>
      </c>
      <c r="X118" s="1">
        <f>W118*1.34</f>
        <v>15.1152</v>
      </c>
      <c r="Y118" s="1">
        <v>10.79</v>
      </c>
      <c r="Z118" s="1">
        <f>Y118*1.34</f>
        <v>14.458600000000001</v>
      </c>
      <c r="AA118" s="1"/>
      <c r="AB118" s="1"/>
      <c r="AC118" s="1">
        <v>2.59</v>
      </c>
      <c r="AD118" s="1">
        <f>AC118*2.75</f>
        <v>7.1224999999999996</v>
      </c>
      <c r="AE118" s="1">
        <v>5</v>
      </c>
      <c r="AF118" s="1">
        <f>AE118*2.75</f>
        <v>13.75</v>
      </c>
      <c r="AG118" s="1"/>
      <c r="AH118" s="1"/>
      <c r="AI118" s="39"/>
      <c r="AJ118" s="39"/>
      <c r="AK118" s="34"/>
      <c r="AL118" s="27">
        <f>SUM(I118,U118,W118,Y118,AA118,AC118,AE118,AG118)</f>
        <v>65.77</v>
      </c>
      <c r="AM118" s="27">
        <f>SUM(K118,M118,O118,Q118,S118)</f>
        <v>13.84</v>
      </c>
      <c r="AN118" s="27">
        <f>SUM(J118,V118,X118,Z118,AB118,AD118,AF118,AH118)</f>
        <v>98.833700000000007</v>
      </c>
      <c r="AO118" s="27">
        <f>SUM(L118,N118,P118,R118,T118)</f>
        <v>22.8704</v>
      </c>
      <c r="AP118" s="30">
        <f>SUM(AG118,AE118,AC118,AA118,Y118,W118,U118,I118)/D118</f>
        <v>0.82615249340535102</v>
      </c>
      <c r="AQ118" s="30">
        <f>SUM(K118,M118,O118,Q118,S118)/D118</f>
        <v>0.17384750659464893</v>
      </c>
      <c r="AR118" s="30">
        <f>D118/H118</f>
        <v>0.65412751090554877</v>
      </c>
      <c r="AS118" s="30">
        <f>AL118/AN118</f>
        <v>0.66546127484855866</v>
      </c>
      <c r="AT118" s="30">
        <f>AM118/AO118</f>
        <v>0.60514901357212814</v>
      </c>
      <c r="AU118" s="35">
        <f>(((H118/2) - SQRT((H118/2)^2 - 4 * D118)) / 2)</f>
        <v>1.3376596746568623</v>
      </c>
      <c r="AV118" s="27">
        <f>(((H118/2) + SQRT((H118/2)^2 - 4 * D118)) / 2)</f>
        <v>59.514390325343143</v>
      </c>
      <c r="AW118" s="27">
        <f>AU118*2.7*2+AV118*2.7*2</f>
        <v>328.60107000000005</v>
      </c>
      <c r="AX118" s="30">
        <f>AW118/D118</f>
        <v>4.1276355985428976</v>
      </c>
      <c r="AY118" s="30"/>
    </row>
    <row r="119" spans="2:51" x14ac:dyDescent="0.25">
      <c r="B119" s="36" t="s">
        <v>42</v>
      </c>
      <c r="C119" t="s">
        <v>54</v>
      </c>
      <c r="D119" s="37">
        <f>SUM(I119,K119,M119,O119,Q119,S119,U119,W119,Y119,AA119,AC119,AE119,AG119)</f>
        <v>78.63</v>
      </c>
      <c r="E119" s="38">
        <f>COUNTA(U119,W119,Y119,AA119)</f>
        <v>3</v>
      </c>
      <c r="F119" s="38">
        <f>COUNTA(M119,O119,Q119)</f>
        <v>1</v>
      </c>
      <c r="G119" s="38">
        <f>COUNTA(Table1[[#This Row],[A ASEO]])</f>
        <v>0</v>
      </c>
      <c r="H119" s="1">
        <f>SUM(J119,L119,N119,P119,R119,T119,V119,X119,Z119,AB119,AD119,AF119,AH119)</f>
        <v>117.3918</v>
      </c>
      <c r="I119" s="1">
        <v>22.1</v>
      </c>
      <c r="J119" s="1">
        <f>I119*1.34</f>
        <v>29.614000000000004</v>
      </c>
      <c r="K119" s="1">
        <v>10.95</v>
      </c>
      <c r="L119" s="1">
        <f>K119*1.34</f>
        <v>14.673</v>
      </c>
      <c r="M119" s="1">
        <v>4.41</v>
      </c>
      <c r="N119" s="1">
        <f>M119*2.36</f>
        <v>10.4076</v>
      </c>
      <c r="O119" s="1"/>
      <c r="P119" s="1"/>
      <c r="Q119" s="1"/>
      <c r="R119" s="1"/>
      <c r="S119" s="1"/>
      <c r="T119" s="1"/>
      <c r="U119" s="1">
        <v>15.87</v>
      </c>
      <c r="V119" s="1">
        <f>U119*1.34</f>
        <v>21.265799999999999</v>
      </c>
      <c r="W119" s="1">
        <v>11.4</v>
      </c>
      <c r="X119" s="1">
        <f>W119*1.34</f>
        <v>15.276000000000002</v>
      </c>
      <c r="Y119" s="1">
        <v>8.56</v>
      </c>
      <c r="Z119" s="1">
        <f>Y119*1.34</f>
        <v>11.470400000000001</v>
      </c>
      <c r="AA119" s="1"/>
      <c r="AB119" s="1"/>
      <c r="AC119" s="1">
        <v>3.05</v>
      </c>
      <c r="AD119" s="1">
        <f>AC119*2.75</f>
        <v>8.3874999999999993</v>
      </c>
      <c r="AE119" s="1">
        <v>2.29</v>
      </c>
      <c r="AF119" s="1">
        <f>AE119*2.75</f>
        <v>6.2975000000000003</v>
      </c>
      <c r="AG119" s="1"/>
      <c r="AH119" s="1"/>
      <c r="AI119" s="39"/>
      <c r="AJ119" s="39"/>
      <c r="AK119" s="34"/>
      <c r="AL119" s="27">
        <f>SUM(I119,U119,W119,Y119,AA119,AC119,AE119,AG119)</f>
        <v>63.269999999999996</v>
      </c>
      <c r="AM119" s="27">
        <f>SUM(K119,M119,O119,Q119,S119)</f>
        <v>15.36</v>
      </c>
      <c r="AN119" s="27">
        <f>SUM(J119,V119,X119,Z119,AB119,AD119,AF119,AH119)</f>
        <v>92.311199999999999</v>
      </c>
      <c r="AO119" s="27">
        <f>SUM(L119,N119,P119,R119,T119)</f>
        <v>25.0806</v>
      </c>
      <c r="AP119" s="30">
        <f>SUM(AG119,AE119,AC119,AA119,Y119,W119,U119,I119)/D119</f>
        <v>0.80465471194200699</v>
      </c>
      <c r="AQ119" s="30">
        <f>SUM(K119,M119,O119,Q119,S119)/D119</f>
        <v>0.19534528805799314</v>
      </c>
      <c r="AR119" s="30">
        <f>D119/H119</f>
        <v>0.66980828303169382</v>
      </c>
      <c r="AS119" s="30">
        <f>AL119/AN119</f>
        <v>0.68539895483971602</v>
      </c>
      <c r="AT119" s="30">
        <f>AM119/AO119</f>
        <v>0.61242554005885019</v>
      </c>
      <c r="AU119" s="35">
        <f>(((H119/2) - SQRT((H119/2)^2 - 4 * D119)) / 2)</f>
        <v>1.3716713124672353</v>
      </c>
      <c r="AV119" s="27">
        <f>(((H119/2) + SQRT((H119/2)^2 - 4 * D119)) / 2)</f>
        <v>57.324228687532766</v>
      </c>
      <c r="AW119" s="27">
        <f>AU119*2.7*2+AV119*2.7*2</f>
        <v>316.95786000000004</v>
      </c>
      <c r="AX119" s="30">
        <f>AW119/D119</f>
        <v>4.0310041968714234</v>
      </c>
      <c r="AY119" s="30"/>
    </row>
    <row r="120" spans="2:51" x14ac:dyDescent="0.25">
      <c r="B120" s="36" t="s">
        <v>42</v>
      </c>
      <c r="C120" t="s">
        <v>56</v>
      </c>
      <c r="D120" s="37">
        <f>SUM(I120,K120,M120,O120,Q120,S120,U120,W120,Y120,AA120,AC120,AE120,AG120)</f>
        <v>77.400000000000006</v>
      </c>
      <c r="E120" s="38">
        <f>COUNTA(U120,W120,Y120,AA120)</f>
        <v>3</v>
      </c>
      <c r="F120" s="38">
        <f>COUNTA(M120,O120,Q120)</f>
        <v>1</v>
      </c>
      <c r="G120" s="38">
        <f>COUNTA(Table1[[#This Row],[A ASEO]])</f>
        <v>0</v>
      </c>
      <c r="H120" s="1">
        <f>SUM(J120,L120,N120,P120,R120,T120,V120,X120,Z120,AB120,AD120,AF120,AH120)</f>
        <v>115.929</v>
      </c>
      <c r="I120" s="1">
        <v>24.25</v>
      </c>
      <c r="J120" s="1">
        <f>I120*1.34</f>
        <v>32.495000000000005</v>
      </c>
      <c r="K120" s="1">
        <v>11.3</v>
      </c>
      <c r="L120" s="1">
        <f>K120*1.34</f>
        <v>15.142000000000001</v>
      </c>
      <c r="M120" s="1">
        <v>5.2</v>
      </c>
      <c r="N120" s="1">
        <f>M120*2.36</f>
        <v>12.272</v>
      </c>
      <c r="O120" s="1"/>
      <c r="P120" s="1"/>
      <c r="Q120" s="1"/>
      <c r="R120" s="1"/>
      <c r="S120" s="1"/>
      <c r="T120" s="1"/>
      <c r="U120" s="1">
        <v>13.5</v>
      </c>
      <c r="V120" s="1">
        <f>U120*1.34</f>
        <v>18.09</v>
      </c>
      <c r="W120" s="1">
        <v>9.3000000000000007</v>
      </c>
      <c r="X120" s="1">
        <f>W120*1.34</f>
        <v>12.462000000000002</v>
      </c>
      <c r="Y120" s="1">
        <v>8.9499999999999993</v>
      </c>
      <c r="Z120" s="1">
        <f>Y120*1.34</f>
        <v>11.993</v>
      </c>
      <c r="AA120" s="1"/>
      <c r="AB120" s="1"/>
      <c r="AC120" s="1"/>
      <c r="AD120" s="1"/>
      <c r="AE120" s="1">
        <v>4.9000000000000004</v>
      </c>
      <c r="AF120" s="1">
        <f>AE120*2.75</f>
        <v>13.475000000000001</v>
      </c>
      <c r="AG120" s="1"/>
      <c r="AH120" s="1"/>
      <c r="AI120" s="39"/>
      <c r="AJ120" s="39"/>
      <c r="AK120" s="34"/>
      <c r="AL120" s="27">
        <f>SUM(I120,U120,W120,Y120,AA120,AC120,AE120,AG120)</f>
        <v>60.9</v>
      </c>
      <c r="AM120" s="27">
        <f>SUM(K120,M120,O120,Q120,S120)</f>
        <v>16.5</v>
      </c>
      <c r="AN120" s="27">
        <f>SUM(J120,V120,X120,Z120,AB120,AD120,AF120,AH120)</f>
        <v>88.515000000000015</v>
      </c>
      <c r="AO120" s="27">
        <f>SUM(L120,N120,P120,R120,T120)</f>
        <v>27.414000000000001</v>
      </c>
      <c r="AP120" s="30">
        <f>SUM(AG120,AE120,AC120,AA120,Y120,W120,U120,I120)/D120</f>
        <v>0.78682170542635654</v>
      </c>
      <c r="AQ120" s="30">
        <f>SUM(K120,M120,O120,Q120,S120)/D120</f>
        <v>0.2131782945736434</v>
      </c>
      <c r="AR120" s="30">
        <f>D120/H120</f>
        <v>0.66765002717180344</v>
      </c>
      <c r="AS120" s="30">
        <f>AL120/AN120</f>
        <v>0.68801897983392635</v>
      </c>
      <c r="AT120" s="30">
        <f>AM120/AO120</f>
        <v>0.60188224994528339</v>
      </c>
      <c r="AU120" s="35">
        <f>(((H120/2) - SQRT((H120/2)^2 - 4 * D120)) / 2)</f>
        <v>1.3675652278991244</v>
      </c>
      <c r="AV120" s="27">
        <f>(((H120/2) + SQRT((H120/2)^2 - 4 * D120)) / 2)</f>
        <v>56.59693477210088</v>
      </c>
      <c r="AW120" s="27">
        <f>AU120*2.7*2+AV120*2.7*2</f>
        <v>313.00830000000002</v>
      </c>
      <c r="AX120" s="30">
        <f>AW120/D120</f>
        <v>4.0440348837209301</v>
      </c>
      <c r="AY120" s="30"/>
    </row>
    <row r="121" spans="2:51" x14ac:dyDescent="0.25">
      <c r="B121" s="36" t="s">
        <v>42</v>
      </c>
      <c r="C121" t="s">
        <v>54</v>
      </c>
      <c r="D121" s="37">
        <f>SUM(I121,K121,M121,O121,Q121,S121,U121,W121,Y121,AA121,AC121,AE121,AG121)</f>
        <v>73.399999999999991</v>
      </c>
      <c r="E121" s="38">
        <f>COUNTA(U121,W121,Y121,AA121)</f>
        <v>3</v>
      </c>
      <c r="F121" s="38">
        <f>COUNTA(M121,O121,Q121)</f>
        <v>1</v>
      </c>
      <c r="G121" s="38">
        <f>COUNTA(Table1[[#This Row],[A ASEO]])</f>
        <v>0</v>
      </c>
      <c r="H121" s="1">
        <f>SUM(J121,L121,N121,P121,R121,T121,V121,X121,Z121,AB121,AD121,AF121,AH121)</f>
        <v>109.9885</v>
      </c>
      <c r="I121" s="1">
        <v>19.62</v>
      </c>
      <c r="J121" s="1">
        <f>I121*1.34</f>
        <v>26.290800000000004</v>
      </c>
      <c r="K121" s="1">
        <v>7.95</v>
      </c>
      <c r="L121" s="1">
        <f>K121*1.34</f>
        <v>10.653</v>
      </c>
      <c r="M121" s="1">
        <v>3.76</v>
      </c>
      <c r="N121" s="1">
        <f>M121*2.36</f>
        <v>8.8735999999999997</v>
      </c>
      <c r="O121" s="1"/>
      <c r="P121" s="1"/>
      <c r="Q121" s="1"/>
      <c r="R121" s="1"/>
      <c r="S121" s="1"/>
      <c r="T121" s="1"/>
      <c r="U121" s="1">
        <v>15.97</v>
      </c>
      <c r="V121" s="1">
        <f>U121*1.34</f>
        <v>21.399800000000003</v>
      </c>
      <c r="W121" s="1">
        <v>10.97</v>
      </c>
      <c r="X121" s="1">
        <f>W121*1.34</f>
        <v>14.699800000000002</v>
      </c>
      <c r="Y121" s="1">
        <v>9.6</v>
      </c>
      <c r="Z121" s="1">
        <f>Y121*1.34</f>
        <v>12.864000000000001</v>
      </c>
      <c r="AA121" s="1"/>
      <c r="AB121" s="1"/>
      <c r="AC121" s="1">
        <v>2.75</v>
      </c>
      <c r="AD121" s="1">
        <f>AC121*2.75</f>
        <v>7.5625</v>
      </c>
      <c r="AE121" s="1">
        <v>2.78</v>
      </c>
      <c r="AF121" s="1">
        <f>AE121*2.75</f>
        <v>7.6449999999999996</v>
      </c>
      <c r="AG121" s="1"/>
      <c r="AH121" s="1"/>
      <c r="AI121" s="39"/>
      <c r="AJ121" s="39"/>
      <c r="AK121" s="34"/>
      <c r="AL121" s="27">
        <f>SUM(I121,U121,W121,Y121,AA121,AC121,AE121,AG121)</f>
        <v>61.690000000000005</v>
      </c>
      <c r="AM121" s="27">
        <f>SUM(K121,M121,O121,Q121,S121)</f>
        <v>11.71</v>
      </c>
      <c r="AN121" s="27">
        <f>SUM(J121,V121,X121,Z121,AB121,AD121,AF121,AH121)</f>
        <v>90.4619</v>
      </c>
      <c r="AO121" s="27">
        <f>SUM(L121,N121,P121,R121,T121)</f>
        <v>19.526600000000002</v>
      </c>
      <c r="AP121" s="30">
        <f>SUM(AG121,AE121,AC121,AA121,Y121,W121,U121,I121)/D121</f>
        <v>0.8404632152588557</v>
      </c>
      <c r="AQ121" s="30">
        <f>SUM(K121,M121,O121,Q121,S121)/D121</f>
        <v>0.15953678474114444</v>
      </c>
      <c r="AR121" s="30">
        <f>D121/H121</f>
        <v>0.66734249489719366</v>
      </c>
      <c r="AS121" s="30">
        <f>AL121/AN121</f>
        <v>0.68194455345289018</v>
      </c>
      <c r="AT121" s="30">
        <f>AM121/AO121</f>
        <v>0.59969477533211102</v>
      </c>
      <c r="AU121" s="35">
        <f>(((H121/2) - SQRT((H121/2)^2 - 4 * D121)) / 2)</f>
        <v>1.3687518538275611</v>
      </c>
      <c r="AV121" s="27">
        <f>(((H121/2) + SQRT((H121/2)^2 - 4 * D121)) / 2)</f>
        <v>53.62549814617244</v>
      </c>
      <c r="AW121" s="27">
        <f>AU121*2.7*2+AV121*2.7*2</f>
        <v>296.96895000000001</v>
      </c>
      <c r="AX121" s="30">
        <f>AW121/D121</f>
        <v>4.045898501362398</v>
      </c>
      <c r="AY121" s="30"/>
    </row>
    <row r="122" spans="2:51" x14ac:dyDescent="0.25">
      <c r="B122" s="36" t="s">
        <v>42</v>
      </c>
      <c r="C122" t="s">
        <v>54</v>
      </c>
      <c r="D122" s="37">
        <f>SUM(I122,K122,M122,O122,Q122,S122,U122,W122,Y122,AA122,AC122,AE122,AG122)</f>
        <v>80.639999999999986</v>
      </c>
      <c r="E122" s="38">
        <f>COUNTA(U122,W122,Y122,AA122)</f>
        <v>3</v>
      </c>
      <c r="F122" s="38">
        <f>COUNTA(M122,O122,Q122)</f>
        <v>1</v>
      </c>
      <c r="G122" s="38">
        <f>COUNTA(Table1[[#This Row],[A ASEO]])</f>
        <v>0</v>
      </c>
      <c r="H122" s="1">
        <f>SUM(J122,L122,N122,P122,R122,T122,V122,X122,Z122,AB122,AD122,AF122,AH122)</f>
        <v>120.83970000000001</v>
      </c>
      <c r="I122" s="1">
        <v>25.47</v>
      </c>
      <c r="J122" s="1">
        <f>I122*1.34</f>
        <v>34.129800000000003</v>
      </c>
      <c r="K122" s="1">
        <v>8.25</v>
      </c>
      <c r="L122" s="1">
        <f>K122*1.34</f>
        <v>11.055000000000001</v>
      </c>
      <c r="M122" s="1">
        <v>4.03</v>
      </c>
      <c r="N122" s="1">
        <f>M122*2.36</f>
        <v>9.5107999999999997</v>
      </c>
      <c r="O122" s="1"/>
      <c r="P122" s="1"/>
      <c r="Q122" s="1"/>
      <c r="R122" s="1"/>
      <c r="S122" s="1"/>
      <c r="T122" s="1"/>
      <c r="U122" s="1">
        <v>17.29</v>
      </c>
      <c r="V122" s="1">
        <f>U122*1.34</f>
        <v>23.168600000000001</v>
      </c>
      <c r="W122" s="1">
        <v>10.4</v>
      </c>
      <c r="X122" s="1">
        <f>W122*1.34</f>
        <v>13.936000000000002</v>
      </c>
      <c r="Y122" s="1">
        <v>9.0500000000000007</v>
      </c>
      <c r="Z122" s="1">
        <f>Y122*1.34</f>
        <v>12.127000000000002</v>
      </c>
      <c r="AA122" s="1"/>
      <c r="AB122" s="1"/>
      <c r="AC122" s="1">
        <v>3.35</v>
      </c>
      <c r="AD122" s="1">
        <f>AC122*2.75</f>
        <v>9.2125000000000004</v>
      </c>
      <c r="AE122" s="1">
        <v>2.8</v>
      </c>
      <c r="AF122" s="1">
        <f>AE122*2.75</f>
        <v>7.6999999999999993</v>
      </c>
      <c r="AG122" s="1"/>
      <c r="AH122" s="1"/>
      <c r="AI122" s="39"/>
      <c r="AJ122" s="39"/>
      <c r="AK122" s="34"/>
      <c r="AL122" s="27">
        <f>SUM(I122,U122,W122,Y122,AA122,AC122,AE122,AG122)</f>
        <v>68.359999999999985</v>
      </c>
      <c r="AM122" s="27">
        <f>SUM(K122,M122,O122,Q122,S122)</f>
        <v>12.280000000000001</v>
      </c>
      <c r="AN122" s="27">
        <f>SUM(J122,V122,X122,Z122,AB122,AD122,AF122,AH122)</f>
        <v>100.27390000000001</v>
      </c>
      <c r="AO122" s="27">
        <f>SUM(L122,N122,P122,R122,T122)</f>
        <v>20.565800000000003</v>
      </c>
      <c r="AP122" s="30">
        <f>SUM(AG122,AE122,AC122,AA122,Y122,W122,U122,I122)/D122</f>
        <v>0.84771825396825407</v>
      </c>
      <c r="AQ122" s="30">
        <f>SUM(K122,M122,O122,Q122,S122)/D122</f>
        <v>0.15228174603174607</v>
      </c>
      <c r="AR122" s="30">
        <f>D122/H122</f>
        <v>0.66733035583504408</v>
      </c>
      <c r="AS122" s="30">
        <f>AL122/AN122</f>
        <v>0.68173273404146018</v>
      </c>
      <c r="AT122" s="30">
        <f>AM122/AO122</f>
        <v>0.59710781977846716</v>
      </c>
      <c r="AU122" s="35">
        <f>(((H122/2) - SQRT((H122/2)^2 - 4 * D122)) / 2)</f>
        <v>1.3655222759770069</v>
      </c>
      <c r="AV122" s="27">
        <f>(((H122/2) + SQRT((H122/2)^2 - 4 * D122)) / 2)</f>
        <v>59.054327724022997</v>
      </c>
      <c r="AW122" s="27">
        <f>AU122*2.7*2+AV122*2.7*2</f>
        <v>326.26719000000003</v>
      </c>
      <c r="AX122" s="30">
        <f>AW122/D122</f>
        <v>4.0459720982142864</v>
      </c>
      <c r="AY122" s="30"/>
    </row>
    <row r="123" spans="2:51" x14ac:dyDescent="0.25">
      <c r="B123" s="36" t="s">
        <v>42</v>
      </c>
      <c r="C123" t="s">
        <v>58</v>
      </c>
      <c r="D123" s="37">
        <f>SUM(I123,K123,M123,O123,Q123,S123,U123,W123,Y123,AA123,AC123,AE123,AG123)</f>
        <v>71.080000000000013</v>
      </c>
      <c r="E123" s="38">
        <f>COUNTA(U123,W123,Y123,AA123)</f>
        <v>3</v>
      </c>
      <c r="F123" s="38">
        <f>COUNTA(M123,O123,Q123)</f>
        <v>1</v>
      </c>
      <c r="G123" s="38">
        <f>COUNTA(Table1[[#This Row],[A ASEO]])</f>
        <v>0</v>
      </c>
      <c r="H123" s="1">
        <f>SUM(J123,L123,N123,P123,R123,T123,V123,X123,Z123,AB123,AD123,AF123,AH123)</f>
        <v>106.6451</v>
      </c>
      <c r="I123" s="1">
        <v>19.62</v>
      </c>
      <c r="J123" s="1">
        <f>I123*1.34</f>
        <v>26.290800000000004</v>
      </c>
      <c r="K123" s="1">
        <v>8.08</v>
      </c>
      <c r="L123" s="1">
        <f>K123*1.34</f>
        <v>10.827200000000001</v>
      </c>
      <c r="M123" s="1">
        <v>3.53</v>
      </c>
      <c r="N123" s="1">
        <f>M123*2.36</f>
        <v>8.3308</v>
      </c>
      <c r="O123" s="1"/>
      <c r="P123" s="1"/>
      <c r="Q123" s="1"/>
      <c r="R123" s="1"/>
      <c r="S123" s="1"/>
      <c r="T123" s="1"/>
      <c r="U123" s="1">
        <v>14.53</v>
      </c>
      <c r="V123" s="1">
        <f>U123*1.34</f>
        <v>19.470200000000002</v>
      </c>
      <c r="W123" s="1">
        <v>10.97</v>
      </c>
      <c r="X123" s="1">
        <f>W123*1.34</f>
        <v>14.699800000000002</v>
      </c>
      <c r="Y123" s="1">
        <v>8.82</v>
      </c>
      <c r="Z123" s="1">
        <f>Y123*1.34</f>
        <v>11.818800000000001</v>
      </c>
      <c r="AA123" s="1"/>
      <c r="AB123" s="1"/>
      <c r="AC123" s="1">
        <v>2.75</v>
      </c>
      <c r="AD123" s="1">
        <f>AC123*2.75</f>
        <v>7.5625</v>
      </c>
      <c r="AE123" s="1">
        <v>2.78</v>
      </c>
      <c r="AF123" s="1">
        <f>AE123*2.75</f>
        <v>7.6449999999999996</v>
      </c>
      <c r="AG123" s="1"/>
      <c r="AH123" s="1"/>
      <c r="AI123" s="39">
        <v>2.82</v>
      </c>
      <c r="AJ123" s="39">
        <f>AI123*0.6</f>
        <v>1.6919999999999999</v>
      </c>
      <c r="AK123" s="34"/>
      <c r="AL123" s="27">
        <f>SUM(I123,U123,W123,Y123,AA123,AC123,AE123,AG123)</f>
        <v>59.47</v>
      </c>
      <c r="AM123" s="27">
        <f>SUM(K123,M123,O123,Q123,S123)</f>
        <v>11.61</v>
      </c>
      <c r="AN123" s="27">
        <f>SUM(J123,V123,X123,Z123,AB123,AD123,AF123,AH123)</f>
        <v>87.487100000000012</v>
      </c>
      <c r="AO123" s="27">
        <f>SUM(L123,N123,P123,R123,T123)</f>
        <v>19.158000000000001</v>
      </c>
      <c r="AP123" s="30">
        <f>SUM(AG123,AE123,AC123,AA123,Y123,W123,U123,I123)/D123</f>
        <v>0.83666291502532342</v>
      </c>
      <c r="AQ123" s="30">
        <f>SUM(K123,M123,O123,Q123,S123)/D123</f>
        <v>0.16333708497467639</v>
      </c>
      <c r="AR123" s="30">
        <f>D123/H123</f>
        <v>0.66650975994208839</v>
      </c>
      <c r="AS123" s="30">
        <f>AL123/AN123</f>
        <v>0.67975735851342645</v>
      </c>
      <c r="AT123" s="30">
        <f>AM123/AO123</f>
        <v>0.60601315377388032</v>
      </c>
      <c r="AU123" s="35">
        <f>(((H123/2) - SQRT((H123/2)^2 - 4 * D123)) / 2)</f>
        <v>1.3681220801755316</v>
      </c>
      <c r="AV123" s="27">
        <f>(((H123/2) + SQRT((H123/2)^2 - 4 * D123)) / 2)</f>
        <v>51.954427919824468</v>
      </c>
      <c r="AW123" s="27">
        <f>AU123*2.7*2+AV123*2.7*2</f>
        <v>287.94177000000002</v>
      </c>
      <c r="AX123" s="30">
        <f>AW123/D123</f>
        <v>4.0509534327518288</v>
      </c>
      <c r="AY123" s="30"/>
    </row>
    <row r="124" spans="2:51" x14ac:dyDescent="0.25">
      <c r="B124" s="36" t="s">
        <v>42</v>
      </c>
      <c r="C124" t="s">
        <v>54</v>
      </c>
      <c r="D124" s="37">
        <f>SUM(I124,K124,M124,O124,Q124,S124,U124,W124,Y124,AA124,AC124,AE124,AG124)</f>
        <v>67.259999999999991</v>
      </c>
      <c r="E124" s="38">
        <f>COUNTA(U124,W124,Y124,AA124)</f>
        <v>3</v>
      </c>
      <c r="F124" s="38">
        <f>COUNTA(M124,O124,Q124)</f>
        <v>1</v>
      </c>
      <c r="G124" s="38">
        <f>COUNTA(Table1[[#This Row],[A ASEO]])</f>
        <v>0</v>
      </c>
      <c r="H124" s="1">
        <f>SUM(J124,L124,N124,P124,R124,T124,V124,X124,Z124,AB124,AD124,AF124,AH124)</f>
        <v>101.59230000000001</v>
      </c>
      <c r="I124" s="1">
        <v>18.760000000000002</v>
      </c>
      <c r="J124" s="1">
        <f>I124*1.34</f>
        <v>25.138400000000004</v>
      </c>
      <c r="K124" s="1">
        <v>7.34</v>
      </c>
      <c r="L124" s="1">
        <f>K124*1.34</f>
        <v>9.8356000000000012</v>
      </c>
      <c r="M124" s="1">
        <v>3.65</v>
      </c>
      <c r="N124" s="1">
        <f>M124*2.36</f>
        <v>8.613999999999999</v>
      </c>
      <c r="O124" s="1"/>
      <c r="P124" s="1"/>
      <c r="Q124" s="1"/>
      <c r="R124" s="1"/>
      <c r="S124" s="1"/>
      <c r="T124" s="1"/>
      <c r="U124" s="1">
        <v>13.19</v>
      </c>
      <c r="V124" s="1">
        <f>U124*1.34</f>
        <v>17.674600000000002</v>
      </c>
      <c r="W124" s="1">
        <v>10.36</v>
      </c>
      <c r="X124" s="1">
        <f>W124*1.34</f>
        <v>13.882400000000001</v>
      </c>
      <c r="Y124" s="1">
        <v>8.4700000000000006</v>
      </c>
      <c r="Z124" s="1">
        <f>Y124*1.34</f>
        <v>11.349800000000002</v>
      </c>
      <c r="AA124" s="1"/>
      <c r="AB124" s="1"/>
      <c r="AC124" s="1">
        <v>2.2799999999999998</v>
      </c>
      <c r="AD124" s="1">
        <f>AC124*2.75</f>
        <v>6.27</v>
      </c>
      <c r="AE124" s="1">
        <v>3.21</v>
      </c>
      <c r="AF124" s="1">
        <f>AE124*2.75</f>
        <v>8.8275000000000006</v>
      </c>
      <c r="AG124" s="1"/>
      <c r="AH124" s="1"/>
      <c r="AI124" s="39"/>
      <c r="AJ124" s="39"/>
      <c r="AK124" s="34"/>
      <c r="AL124" s="27">
        <f>SUM(I124,U124,W124,Y124,AA124,AC124,AE124,AG124)</f>
        <v>56.27</v>
      </c>
      <c r="AM124" s="27">
        <f>SUM(K124,M124,O124,Q124,S124)</f>
        <v>10.99</v>
      </c>
      <c r="AN124" s="27">
        <f>SUM(J124,V124,X124,Z124,AB124,AD124,AF124,AH124)</f>
        <v>83.142700000000005</v>
      </c>
      <c r="AO124" s="27">
        <f>SUM(L124,N124,P124,R124,T124)</f>
        <v>18.4496</v>
      </c>
      <c r="AP124" s="30">
        <f>SUM(AG124,AE124,AC124,AA124,Y124,W124,U124,I124)/D124</f>
        <v>0.83660422242045795</v>
      </c>
      <c r="AQ124" s="30">
        <f>SUM(K124,M124,O124,Q124,S124)/D124</f>
        <v>0.1633957775795421</v>
      </c>
      <c r="AR124" s="30">
        <f>D124/H124</f>
        <v>0.66205804967502446</v>
      </c>
      <c r="AS124" s="30">
        <f>AL124/AN124</f>
        <v>0.67678822073375056</v>
      </c>
      <c r="AT124" s="30">
        <f>AM124/AO124</f>
        <v>0.5956768710432746</v>
      </c>
      <c r="AU124" s="35">
        <f>(((H124/2) - SQRT((H124/2)^2 - 4 * D124)) / 2)</f>
        <v>1.3605582042570354</v>
      </c>
      <c r="AV124" s="27">
        <f>(((H124/2) + SQRT((H124/2)^2 - 4 * D124)) / 2)</f>
        <v>49.435591795742965</v>
      </c>
      <c r="AW124" s="27">
        <f>AU124*2.7*2+AV124*2.7*2</f>
        <v>274.29921000000002</v>
      </c>
      <c r="AX124" s="30">
        <f>AW124/D124</f>
        <v>4.0781922390722576</v>
      </c>
      <c r="AY124" s="30"/>
    </row>
    <row r="125" spans="2:51" x14ac:dyDescent="0.25">
      <c r="B125" s="36" t="s">
        <v>42</v>
      </c>
      <c r="C125" t="s">
        <v>54</v>
      </c>
      <c r="D125" s="37">
        <f>SUM(I125,K125,M125,O125,Q125,S125,U125,W125,Y125,AA125,AC125,AE125,AG125)</f>
        <v>71.91</v>
      </c>
      <c r="E125" s="38">
        <f>COUNTA(U125,W125,Y125,AA125)</f>
        <v>3</v>
      </c>
      <c r="F125" s="38">
        <f>COUNTA(M125,O125,Q125)</f>
        <v>1</v>
      </c>
      <c r="G125" s="38">
        <f>COUNTA(Table1[[#This Row],[A ASEO]])</f>
        <v>0</v>
      </c>
      <c r="H125" s="1">
        <f>SUM(J125,L125,N125,P125,R125,T125,V125,X125,Z125,AB125,AD125,AF125,AH125)</f>
        <v>109.1523</v>
      </c>
      <c r="I125" s="1">
        <v>19.690000000000001</v>
      </c>
      <c r="J125" s="1">
        <f>I125*1.34</f>
        <v>26.384600000000002</v>
      </c>
      <c r="K125" s="1">
        <v>11.87</v>
      </c>
      <c r="L125" s="1">
        <f>K125*1.34</f>
        <v>15.905799999999999</v>
      </c>
      <c r="M125" s="1">
        <v>4.87</v>
      </c>
      <c r="N125" s="1">
        <f>M125*2.36</f>
        <v>11.4932</v>
      </c>
      <c r="O125" s="1"/>
      <c r="P125" s="1"/>
      <c r="Q125" s="1"/>
      <c r="R125" s="1"/>
      <c r="S125" s="1"/>
      <c r="T125" s="1"/>
      <c r="U125" s="1">
        <v>12.59</v>
      </c>
      <c r="V125" s="1">
        <f>U125*1.34</f>
        <v>16.8706</v>
      </c>
      <c r="W125" s="1">
        <v>8.84</v>
      </c>
      <c r="X125" s="1">
        <f>W125*1.34</f>
        <v>11.845600000000001</v>
      </c>
      <c r="Y125" s="1">
        <v>8.5</v>
      </c>
      <c r="Z125" s="1">
        <f>Y125*1.34</f>
        <v>11.39</v>
      </c>
      <c r="AA125" s="1"/>
      <c r="AB125" s="1"/>
      <c r="AC125" s="1">
        <v>2.78</v>
      </c>
      <c r="AD125" s="1">
        <f>AC125*2.75</f>
        <v>7.6449999999999996</v>
      </c>
      <c r="AE125" s="1">
        <v>2.77</v>
      </c>
      <c r="AF125" s="1">
        <f>AE125*2.75</f>
        <v>7.6174999999999997</v>
      </c>
      <c r="AG125" s="1"/>
      <c r="AH125" s="1"/>
      <c r="AI125" s="39"/>
      <c r="AJ125" s="39"/>
      <c r="AK125" s="34"/>
      <c r="AL125" s="27">
        <f>SUM(I125,U125,W125,Y125,AA125,AC125,AE125,AG125)</f>
        <v>55.170000000000009</v>
      </c>
      <c r="AM125" s="27">
        <f>SUM(K125,M125,O125,Q125,S125)</f>
        <v>16.739999999999998</v>
      </c>
      <c r="AN125" s="27">
        <f>SUM(J125,V125,X125,Z125,AB125,AD125,AF125,AH125)</f>
        <v>81.753299999999996</v>
      </c>
      <c r="AO125" s="27">
        <f>SUM(L125,N125,P125,R125,T125)</f>
        <v>27.399000000000001</v>
      </c>
      <c r="AP125" s="30">
        <f>SUM(AG125,AE125,AC125,AA125,Y125,W125,U125,I125)/D125</f>
        <v>0.76720901126408014</v>
      </c>
      <c r="AQ125" s="30">
        <f>SUM(K125,M125,O125,Q125,S125)/D125</f>
        <v>0.23279098873591988</v>
      </c>
      <c r="AR125" s="30">
        <f>D125/H125</f>
        <v>0.65880425790386454</v>
      </c>
      <c r="AS125" s="30">
        <f>AL125/AN125</f>
        <v>0.67483514426940583</v>
      </c>
      <c r="AT125" s="30">
        <f>AM125/AO125</f>
        <v>0.61097120332858856</v>
      </c>
      <c r="AU125" s="35">
        <f>(((H125/2) - SQRT((H125/2)^2 - 4 * D125)) / 2)</f>
        <v>1.3510544076955497</v>
      </c>
      <c r="AV125" s="27">
        <f>(((H125/2) + SQRT((H125/2)^2 - 4 * D125)) / 2)</f>
        <v>53.225095592304449</v>
      </c>
      <c r="AW125" s="27">
        <f>AU125*2.7*2+AV125*2.7*2</f>
        <v>294.71120999999999</v>
      </c>
      <c r="AX125" s="30">
        <f>AW125/D125</f>
        <v>4.0983341677096368</v>
      </c>
      <c r="AY125" s="30"/>
    </row>
    <row r="126" spans="2:51" x14ac:dyDescent="0.25">
      <c r="B126" s="36" t="s">
        <v>42</v>
      </c>
      <c r="C126" t="s">
        <v>54</v>
      </c>
      <c r="D126" s="37">
        <f>SUM(I126,K126,M126,O126,Q126,S126,U126,W126,Y126,AA126,AC126,AE126,AG126)</f>
        <v>69.37</v>
      </c>
      <c r="E126" s="38">
        <f>COUNTA(U126,W126,Y126,AA126)</f>
        <v>3</v>
      </c>
      <c r="F126" s="38">
        <f>COUNTA(M126,O126,Q126)</f>
        <v>1</v>
      </c>
      <c r="G126" s="38">
        <f>COUNTA(Table1[[#This Row],[A ASEO]])</f>
        <v>0</v>
      </c>
      <c r="H126" s="1">
        <f>SUM(J126,L126,N126,P126,R126,T126,V126,X126,Z126,AB126,AD126,AF126,AH126)</f>
        <v>105.7424</v>
      </c>
      <c r="I126" s="1">
        <v>20.29</v>
      </c>
      <c r="J126" s="1">
        <f>I126*1.34</f>
        <v>27.188600000000001</v>
      </c>
      <c r="K126" s="1">
        <v>7.14</v>
      </c>
      <c r="L126" s="1">
        <f>K126*1.34</f>
        <v>9.5676000000000005</v>
      </c>
      <c r="M126" s="1">
        <v>3.44</v>
      </c>
      <c r="N126" s="1">
        <f>M126*2.36</f>
        <v>8.1183999999999994</v>
      </c>
      <c r="O126" s="1"/>
      <c r="P126" s="1"/>
      <c r="Q126" s="1"/>
      <c r="R126" s="1"/>
      <c r="S126" s="1"/>
      <c r="T126" s="1"/>
      <c r="U126" s="1">
        <v>12.35</v>
      </c>
      <c r="V126" s="1">
        <f>U126*1.34</f>
        <v>16.548999999999999</v>
      </c>
      <c r="W126" s="1">
        <v>10.89</v>
      </c>
      <c r="X126" s="1">
        <f>W126*1.34</f>
        <v>14.592600000000001</v>
      </c>
      <c r="Y126" s="1">
        <v>8.68</v>
      </c>
      <c r="Z126" s="1">
        <f>Y126*1.34</f>
        <v>11.6312</v>
      </c>
      <c r="AA126" s="1"/>
      <c r="AB126" s="1"/>
      <c r="AC126" s="1">
        <v>2.82</v>
      </c>
      <c r="AD126" s="1">
        <f>AC126*2.75</f>
        <v>7.7549999999999999</v>
      </c>
      <c r="AE126" s="1">
        <v>3.76</v>
      </c>
      <c r="AF126" s="1">
        <f>AE126*2.75</f>
        <v>10.34</v>
      </c>
      <c r="AG126" s="1"/>
      <c r="AH126" s="1"/>
      <c r="AI126" s="39"/>
      <c r="AJ126" s="39"/>
      <c r="AK126" s="34"/>
      <c r="AL126" s="27">
        <f>SUM(I126,U126,W126,Y126,AA126,AC126,AE126,AG126)</f>
        <v>58.79</v>
      </c>
      <c r="AM126" s="27">
        <f>SUM(K126,M126,O126,Q126,S126)</f>
        <v>10.58</v>
      </c>
      <c r="AN126" s="27">
        <f>SUM(J126,V126,X126,Z126,AB126,AD126,AF126,AH126)</f>
        <v>88.056399999999996</v>
      </c>
      <c r="AO126" s="27">
        <f>SUM(L126,N126,P126,R126,T126)</f>
        <v>17.686</v>
      </c>
      <c r="AP126" s="30">
        <f>SUM(AG126,AE126,AC126,AA126,Y126,W126,U126,I126)/D126</f>
        <v>0.84748450338763148</v>
      </c>
      <c r="AQ126" s="30">
        <f>SUM(K126,M126,O126,Q126,S126)/D126</f>
        <v>0.15251549661236846</v>
      </c>
      <c r="AR126" s="30">
        <f>D126/H126</f>
        <v>0.65602823465327065</v>
      </c>
      <c r="AS126" s="30">
        <f>AL126/AN126</f>
        <v>0.6676402850900105</v>
      </c>
      <c r="AT126" s="30">
        <f>AM126/AO126</f>
        <v>0.59821327603754382</v>
      </c>
      <c r="AU126" s="35">
        <f>(((H126/2) - SQRT((H126/2)^2 - 4 * D126)) / 2)</f>
        <v>1.3463403983298043</v>
      </c>
      <c r="AV126" s="27">
        <f>(((H126/2) + SQRT((H126/2)^2 - 4 * D126)) / 2)</f>
        <v>51.524859601670201</v>
      </c>
      <c r="AW126" s="27">
        <f>AU126*2.7*2+AV126*2.7*2</f>
        <v>285.50448000000006</v>
      </c>
      <c r="AX126" s="30">
        <f>AW126/D126</f>
        <v>4.1156765172264675</v>
      </c>
      <c r="AY126" s="30"/>
    </row>
    <row r="127" spans="2:51" x14ac:dyDescent="0.25">
      <c r="B127" s="36" t="s">
        <v>42</v>
      </c>
      <c r="C127" t="s">
        <v>56</v>
      </c>
      <c r="D127" s="37">
        <f>SUM(I127,K127,M127,O127,Q127,S127,U127,W127,Y127,AA127,AC127,AE127,AG127)</f>
        <v>69.45</v>
      </c>
      <c r="E127" s="38">
        <f>COUNTA(U127,W127,Y127,AA127)</f>
        <v>3</v>
      </c>
      <c r="F127" s="38">
        <f>COUNTA(M127,O127,Q127)</f>
        <v>1</v>
      </c>
      <c r="G127" s="38">
        <f>COUNTA(Table1[[#This Row],[A ASEO]])</f>
        <v>0</v>
      </c>
      <c r="H127" s="1">
        <f>SUM(J127,L127,N127,P127,R127,T127,V127,X127,Z127,AB127,AD127,AF127,AH127)</f>
        <v>106.461</v>
      </c>
      <c r="I127" s="1">
        <v>19.399999999999999</v>
      </c>
      <c r="J127" s="1">
        <f>I127*1.34</f>
        <v>25.995999999999999</v>
      </c>
      <c r="K127" s="1">
        <v>7.1</v>
      </c>
      <c r="L127" s="1">
        <f>K127*1.34</f>
        <v>9.5139999999999993</v>
      </c>
      <c r="M127" s="1">
        <v>3.85</v>
      </c>
      <c r="N127" s="1">
        <f>M127*2.36</f>
        <v>9.0860000000000003</v>
      </c>
      <c r="O127" s="1"/>
      <c r="P127" s="1"/>
      <c r="Q127" s="1"/>
      <c r="R127" s="1"/>
      <c r="S127" s="1"/>
      <c r="T127" s="1"/>
      <c r="U127" s="1">
        <v>12.95</v>
      </c>
      <c r="V127" s="1">
        <f>U127*1.34</f>
        <v>17.353000000000002</v>
      </c>
      <c r="W127" s="1">
        <v>9.35</v>
      </c>
      <c r="X127" s="1">
        <f>W127*1.34</f>
        <v>12.529</v>
      </c>
      <c r="Y127" s="1">
        <v>9.35</v>
      </c>
      <c r="Z127" s="1">
        <f>Y127*1.34</f>
        <v>12.529</v>
      </c>
      <c r="AA127" s="1"/>
      <c r="AB127" s="1"/>
      <c r="AC127" s="1"/>
      <c r="AD127" s="1"/>
      <c r="AE127" s="1">
        <v>4.8</v>
      </c>
      <c r="AF127" s="1">
        <f>AE127*2.75</f>
        <v>13.2</v>
      </c>
      <c r="AG127" s="1">
        <v>2.65</v>
      </c>
      <c r="AH127" s="1">
        <f>AG127*2.36</f>
        <v>6.2539999999999996</v>
      </c>
      <c r="AI127" s="39"/>
      <c r="AJ127" s="39"/>
      <c r="AK127" s="34"/>
      <c r="AL127" s="27">
        <f>SUM(I127,U127,W127,Y127,AA127,AC127,AE127,AG127)</f>
        <v>58.499999999999993</v>
      </c>
      <c r="AM127" s="27">
        <f>SUM(K127,M127,O127,Q127,S127)</f>
        <v>10.95</v>
      </c>
      <c r="AN127" s="27">
        <f>SUM(J127,V127,X127,Z127,AB127,AD127,AF127,AH127)</f>
        <v>87.861000000000004</v>
      </c>
      <c r="AO127" s="27">
        <f>SUM(L127,N127,P127,R127,T127)</f>
        <v>18.600000000000001</v>
      </c>
      <c r="AP127" s="30">
        <f>SUM(AG127,AE127,AC127,AA127,Y127,W127,U127,I127)/D127</f>
        <v>0.84233261339092858</v>
      </c>
      <c r="AQ127" s="30">
        <f>SUM(K127,M127,O127,Q127,S127)/D127</f>
        <v>0.15766738660907126</v>
      </c>
      <c r="AR127" s="30">
        <f>D127/H127</f>
        <v>0.65235156536196359</v>
      </c>
      <c r="AS127" s="30">
        <f>AL127/AN127</f>
        <v>0.66582442722026824</v>
      </c>
      <c r="AT127" s="30">
        <f>AM127/AO127</f>
        <v>0.58870967741935476</v>
      </c>
      <c r="AU127" s="35">
        <f>(((H127/2) - SQRT((H127/2)^2 - 4 * D127)) / 2)</f>
        <v>1.3383527900475904</v>
      </c>
      <c r="AV127" s="27">
        <f>(((H127/2) + SQRT((H127/2)^2 - 4 * D127)) / 2)</f>
        <v>51.892147209952412</v>
      </c>
      <c r="AW127" s="27">
        <f>AU127*2.7*2+AV127*2.7*2</f>
        <v>287.44470000000001</v>
      </c>
      <c r="AX127" s="30">
        <f>AW127/D127</f>
        <v>4.1388725701943843</v>
      </c>
      <c r="AY127" s="30"/>
    </row>
    <row r="128" spans="2:51" x14ac:dyDescent="0.25">
      <c r="B128" s="36" t="s">
        <v>42</v>
      </c>
      <c r="C128" t="s">
        <v>54</v>
      </c>
      <c r="D128" s="37">
        <f>SUM(I128,K128,M128,O128,Q128,S128,U128,W128,Y128,AA128,AC128,AE128,AG128)</f>
        <v>69.75</v>
      </c>
      <c r="E128" s="38">
        <f>COUNTA(U128,W128,Y128,AA128)</f>
        <v>3</v>
      </c>
      <c r="F128" s="38">
        <f>COUNTA(M128,O128,Q128)</f>
        <v>2</v>
      </c>
      <c r="G128" s="38">
        <f>COUNTA(Table1[[#This Row],[A ASEO]])</f>
        <v>0</v>
      </c>
      <c r="H128" s="1">
        <f>SUM(J128,L128,N128,P128,R128,T128,V128,X128,Z128,AB128,AD128,AF128,AH128)</f>
        <v>107.343</v>
      </c>
      <c r="I128" s="1">
        <v>18.04</v>
      </c>
      <c r="J128" s="1">
        <f>I128*1.34</f>
        <v>24.1736</v>
      </c>
      <c r="K128" s="1">
        <v>9.76</v>
      </c>
      <c r="L128" s="1">
        <f>K128*1.34</f>
        <v>13.0784</v>
      </c>
      <c r="M128" s="1">
        <v>4.6100000000000003</v>
      </c>
      <c r="N128" s="1">
        <f>M128*2.36</f>
        <v>10.8796</v>
      </c>
      <c r="O128" s="1">
        <v>3.19</v>
      </c>
      <c r="P128" s="1">
        <f>O128*2.36</f>
        <v>7.5283999999999995</v>
      </c>
      <c r="Q128" s="1"/>
      <c r="R128" s="1"/>
      <c r="S128" s="1"/>
      <c r="T128" s="1"/>
      <c r="U128" s="1">
        <v>12.92</v>
      </c>
      <c r="V128" s="1">
        <f>U128*1.34</f>
        <v>17.312799999999999</v>
      </c>
      <c r="W128" s="1">
        <v>8.64</v>
      </c>
      <c r="X128" s="1">
        <f>W128*1.34</f>
        <v>11.577600000000002</v>
      </c>
      <c r="Y128" s="1">
        <v>8.39</v>
      </c>
      <c r="Z128" s="1">
        <f>Y128*1.34</f>
        <v>11.242600000000001</v>
      </c>
      <c r="AA128" s="1"/>
      <c r="AB128" s="1"/>
      <c r="AC128" s="1">
        <v>2.11</v>
      </c>
      <c r="AD128" s="1">
        <f>AC128*2.75</f>
        <v>5.8024999999999993</v>
      </c>
      <c r="AE128" s="1">
        <v>2.09</v>
      </c>
      <c r="AF128" s="1">
        <f>AE128*2.75</f>
        <v>5.7474999999999996</v>
      </c>
      <c r="AG128" s="1"/>
      <c r="AH128" s="1"/>
      <c r="AI128" s="39"/>
      <c r="AJ128" s="39"/>
      <c r="AK128" s="34"/>
      <c r="AL128" s="27">
        <f>SUM(I128,U128,W128,Y128,AA128,AC128,AE128,AG128)</f>
        <v>52.19</v>
      </c>
      <c r="AM128" s="27">
        <f>SUM(K128,M128,O128,Q128,S128)</f>
        <v>17.560000000000002</v>
      </c>
      <c r="AN128" s="27">
        <f>SUM(J128,V128,X128,Z128,AB128,AD128,AF128,AH128)</f>
        <v>75.8566</v>
      </c>
      <c r="AO128" s="27">
        <f>SUM(L128,N128,P128,R128,T128)</f>
        <v>31.486399999999996</v>
      </c>
      <c r="AP128" s="30">
        <f>SUM(AG128,AE128,AC128,AA128,Y128,W128,U128,I128)/D128</f>
        <v>0.74824372759856628</v>
      </c>
      <c r="AQ128" s="30">
        <f>SUM(K128,M128,O128,Q128,S128)/D128</f>
        <v>0.25175627240143372</v>
      </c>
      <c r="AR128" s="30">
        <f>D128/H128</f>
        <v>0.64978619937955895</v>
      </c>
      <c r="AS128" s="30">
        <f>AL128/AN128</f>
        <v>0.68800869008102128</v>
      </c>
      <c r="AT128" s="30">
        <f>AM128/AO128</f>
        <v>0.55770110269830797</v>
      </c>
      <c r="AU128" s="35">
        <f>(((H128/2) - SQRT((H128/2)^2 - 4 * D128)) / 2)</f>
        <v>1.3326623817820824</v>
      </c>
      <c r="AV128" s="27">
        <f>(((H128/2) + SQRT((H128/2)^2 - 4 * D128)) / 2)</f>
        <v>52.338837618217923</v>
      </c>
      <c r="AW128" s="27">
        <f>AU128*2.7*2+AV128*2.7*2</f>
        <v>289.82610000000005</v>
      </c>
      <c r="AX128" s="30">
        <f>AW128/D128</f>
        <v>4.1552129032258076</v>
      </c>
      <c r="AY128" s="30"/>
    </row>
    <row r="129" spans="2:51" x14ac:dyDescent="0.25">
      <c r="B129" s="36" t="s">
        <v>42</v>
      </c>
      <c r="C129" t="s">
        <v>55</v>
      </c>
      <c r="D129" s="37">
        <f>SUM(I129,K129,M129,O129,Q129,S129,U129,W129,Y129,AA129,AC129,AE129,AG129)</f>
        <v>68.11</v>
      </c>
      <c r="E129" s="38">
        <f>COUNTA(U129,W129,Y129,AA129)</f>
        <v>3</v>
      </c>
      <c r="F129" s="38">
        <f>COUNTA(M129,O129,Q129)</f>
        <v>2</v>
      </c>
      <c r="G129" s="38">
        <f>COUNTA(Table1[[#This Row],[A ASEO]])</f>
        <v>0</v>
      </c>
      <c r="H129" s="1">
        <f>SUM(J129,L129,N129,P129,R129,T129,V129,X129,Z129,AB129,AD129,AF129,AH129)</f>
        <v>104.90930000000002</v>
      </c>
      <c r="I129" s="1">
        <v>18.53</v>
      </c>
      <c r="J129" s="1">
        <f>I129*1.34</f>
        <v>24.830200000000001</v>
      </c>
      <c r="K129" s="1">
        <v>7.99</v>
      </c>
      <c r="L129" s="1">
        <f>K129*1.34</f>
        <v>10.706600000000002</v>
      </c>
      <c r="M129" s="1">
        <v>3.36</v>
      </c>
      <c r="N129" s="1">
        <f>M129*2.36</f>
        <v>7.9295999999999989</v>
      </c>
      <c r="O129" s="1">
        <v>2.37</v>
      </c>
      <c r="P129" s="1">
        <f>O129*2.36</f>
        <v>5.5932000000000004</v>
      </c>
      <c r="Q129" s="1"/>
      <c r="R129" s="1"/>
      <c r="S129" s="1"/>
      <c r="T129" s="1"/>
      <c r="U129" s="1">
        <v>12.93</v>
      </c>
      <c r="V129" s="1">
        <f>U129*1.34</f>
        <v>17.3262</v>
      </c>
      <c r="W129" s="1">
        <v>8.7100000000000009</v>
      </c>
      <c r="X129" s="1">
        <f>W129*1.34</f>
        <v>11.671400000000002</v>
      </c>
      <c r="Y129" s="1">
        <v>8.69</v>
      </c>
      <c r="Z129" s="1">
        <f>Y129*1.34</f>
        <v>11.644600000000001</v>
      </c>
      <c r="AA129" s="1"/>
      <c r="AB129" s="1"/>
      <c r="AC129" s="1">
        <v>1.1000000000000001</v>
      </c>
      <c r="AD129" s="1">
        <f>AC129*2.75</f>
        <v>3.0250000000000004</v>
      </c>
      <c r="AE129" s="1">
        <v>4.43</v>
      </c>
      <c r="AF129" s="1">
        <f>AE129*2.75</f>
        <v>12.182499999999999</v>
      </c>
      <c r="AG129" s="1"/>
      <c r="AH129" s="1"/>
      <c r="AI129" s="39"/>
      <c r="AJ129" s="39"/>
      <c r="AK129" s="34"/>
      <c r="AL129" s="27">
        <f>SUM(I129,U129,W129,Y129,AA129,AC129,AE129,AG129)</f>
        <v>54.39</v>
      </c>
      <c r="AM129" s="27">
        <f>SUM(K129,M129,O129,Q129,S129)</f>
        <v>13.719999999999999</v>
      </c>
      <c r="AN129" s="27">
        <f>SUM(J129,V129,X129,Z129,AB129,AD129,AF129,AH129)</f>
        <v>80.679900000000018</v>
      </c>
      <c r="AO129" s="27">
        <f>SUM(L129,N129,P129,R129,T129)</f>
        <v>24.229400000000002</v>
      </c>
      <c r="AP129" s="30">
        <f>SUM(AG129,AE129,AC129,AA129,Y129,W129,U129,I129)/D129</f>
        <v>0.79856115107913672</v>
      </c>
      <c r="AQ129" s="30">
        <f>SUM(K129,M129,O129,Q129,S129)/D129</f>
        <v>0.20143884892086331</v>
      </c>
      <c r="AR129" s="30">
        <f>D129/H129</f>
        <v>0.64922747554315952</v>
      </c>
      <c r="AS129" s="30">
        <f>AL129/AN129</f>
        <v>0.6741456050391732</v>
      </c>
      <c r="AT129" s="30">
        <f>AM129/AO129</f>
        <v>0.5662542200797378</v>
      </c>
      <c r="AU129" s="35">
        <f>(((H129/2) - SQRT((H129/2)^2 - 4 * D129)) / 2)</f>
        <v>1.3322938360182022</v>
      </c>
      <c r="AV129" s="27">
        <f>(((H129/2) + SQRT((H129/2)^2 - 4 * D129)) / 2)</f>
        <v>51.122356163981806</v>
      </c>
      <c r="AW129" s="27">
        <f>AU129*2.7*2+AV129*2.7*2</f>
        <v>283.25511000000006</v>
      </c>
      <c r="AX129" s="30">
        <f>AW129/D129</f>
        <v>4.1587888709440621</v>
      </c>
      <c r="AY129" s="30"/>
    </row>
    <row r="130" spans="2:51" x14ac:dyDescent="0.25">
      <c r="B130" s="36" t="s">
        <v>42</v>
      </c>
      <c r="C130" t="s">
        <v>78</v>
      </c>
      <c r="D130" s="37">
        <f>SUM(I130,K130,M130,O130,Q130,S130,U130,W130,Y130,AA130,AC130,AE130,AG130)</f>
        <v>67.97999999999999</v>
      </c>
      <c r="E130" s="38">
        <f>COUNTA(U130,W130,Y130,AA130)</f>
        <v>3</v>
      </c>
      <c r="F130" s="38">
        <f>COUNTA(M130,O130,Q130)</f>
        <v>2</v>
      </c>
      <c r="G130" s="38">
        <f>COUNTA(Table1[[#This Row],[A ASEO]])</f>
        <v>0</v>
      </c>
      <c r="H130" s="1">
        <f>SUM(J130,L130,N130,P130,R130,T130,V130,X130,Z130,AB130,AD130,AF130,AH130)</f>
        <v>105.05549999999999</v>
      </c>
      <c r="I130" s="1">
        <v>19.399999999999999</v>
      </c>
      <c r="J130" s="1">
        <f>I130*1.34</f>
        <v>25.995999999999999</v>
      </c>
      <c r="K130" s="1">
        <v>8.02</v>
      </c>
      <c r="L130" s="1">
        <f>K130*1.34</f>
        <v>10.7468</v>
      </c>
      <c r="M130" s="1">
        <v>3.56</v>
      </c>
      <c r="N130" s="1">
        <f>M130*2.36</f>
        <v>8.4016000000000002</v>
      </c>
      <c r="O130" s="1">
        <v>2.65</v>
      </c>
      <c r="P130" s="1">
        <f>O130*2.36</f>
        <v>6.2539999999999996</v>
      </c>
      <c r="Q130" s="1"/>
      <c r="R130" s="1"/>
      <c r="S130" s="1"/>
      <c r="T130" s="1"/>
      <c r="U130" s="1">
        <v>11.94</v>
      </c>
      <c r="V130" s="1">
        <f>U130*1.34</f>
        <v>15.999600000000001</v>
      </c>
      <c r="W130" s="1">
        <v>8.94</v>
      </c>
      <c r="X130" s="1">
        <f>W130*1.34</f>
        <v>11.9796</v>
      </c>
      <c r="Y130" s="1">
        <v>8.06</v>
      </c>
      <c r="Z130" s="1">
        <f>Y130*1.34</f>
        <v>10.800400000000002</v>
      </c>
      <c r="AA130" s="1"/>
      <c r="AB130" s="1"/>
      <c r="AC130" s="1">
        <v>2.2799999999999998</v>
      </c>
      <c r="AD130" s="1">
        <f>AC130*2.75</f>
        <v>6.27</v>
      </c>
      <c r="AE130" s="1">
        <v>3.13</v>
      </c>
      <c r="AF130" s="1">
        <f>AE130*2.75</f>
        <v>8.6074999999999999</v>
      </c>
      <c r="AG130" s="1"/>
      <c r="AH130" s="1"/>
      <c r="AI130" s="39"/>
      <c r="AJ130" s="39"/>
      <c r="AK130" s="34"/>
      <c r="AL130" s="27">
        <f>SUM(I130,U130,W130,Y130,AA130,AC130,AE130,AG130)</f>
        <v>53.75</v>
      </c>
      <c r="AM130" s="27">
        <f>SUM(K130,M130,O130,Q130,S130)</f>
        <v>14.23</v>
      </c>
      <c r="AN130" s="27">
        <f>SUM(J130,V130,X130,Z130,AB130,AD130,AF130,AH130)</f>
        <v>79.653099999999995</v>
      </c>
      <c r="AO130" s="27">
        <f>SUM(L130,N130,P130,R130,T130)</f>
        <v>25.4024</v>
      </c>
      <c r="AP130" s="30">
        <f>SUM(AG130,AE130,AC130,AA130,Y130,W130,U130,I130)/D130</f>
        <v>0.79067372756693155</v>
      </c>
      <c r="AQ130" s="30">
        <f>SUM(K130,M130,O130,Q130,S130)/D130</f>
        <v>0.20932627243306859</v>
      </c>
      <c r="AR130" s="30">
        <f>D130/H130</f>
        <v>0.64708653997172916</v>
      </c>
      <c r="AS130" s="30">
        <f>AL130/AN130</f>
        <v>0.67480110629718115</v>
      </c>
      <c r="AT130" s="30">
        <f>AM130/AO130</f>
        <v>0.560183289767896</v>
      </c>
      <c r="AU130" s="35">
        <f>(((H130/2) - SQRT((H130/2)^2 - 4 * D130)) / 2)</f>
        <v>1.327733959020442</v>
      </c>
      <c r="AV130" s="27">
        <f>(((H130/2) + SQRT((H130/2)^2 - 4 * D130)) / 2)</f>
        <v>51.200016040979555</v>
      </c>
      <c r="AW130" s="27">
        <f>AU130*2.7*2+AV130*2.7*2</f>
        <v>283.64985000000001</v>
      </c>
      <c r="AX130" s="30">
        <f>AW130/D130</f>
        <v>4.172548543689321</v>
      </c>
      <c r="AY130" s="30"/>
    </row>
    <row r="131" spans="2:51" x14ac:dyDescent="0.25">
      <c r="B131" s="36" t="s">
        <v>42</v>
      </c>
      <c r="C131" t="s">
        <v>78</v>
      </c>
      <c r="D131" s="37">
        <f>SUM(I131,K131,M131,O131,Q131,S131,U131,W131,Y131,AA131,AC131,AE131,AG131)</f>
        <v>69.929999999999993</v>
      </c>
      <c r="E131" s="38">
        <f>COUNTA(U131,W131,Y131,AA131)</f>
        <v>3</v>
      </c>
      <c r="F131" s="38">
        <f>COUNTA(M131,O131,Q131)</f>
        <v>2</v>
      </c>
      <c r="G131" s="38">
        <f>COUNTA(Table1[[#This Row],[A ASEO]])</f>
        <v>0</v>
      </c>
      <c r="H131" s="1">
        <f>SUM(J131,L131,N131,P131,R131,T131,V131,X131,Z131,AB131,AD131,AF131,AH131)</f>
        <v>108.38910000000001</v>
      </c>
      <c r="I131" s="1">
        <v>19.09</v>
      </c>
      <c r="J131" s="1">
        <f>I131*1.34</f>
        <v>25.5806</v>
      </c>
      <c r="K131" s="1">
        <v>7.49</v>
      </c>
      <c r="L131" s="1">
        <f>K131*1.34</f>
        <v>10.036600000000002</v>
      </c>
      <c r="M131" s="1">
        <v>3.52</v>
      </c>
      <c r="N131" s="1">
        <f>M131*2.36</f>
        <v>8.3071999999999999</v>
      </c>
      <c r="O131" s="1">
        <v>2.65</v>
      </c>
      <c r="P131" s="1">
        <f>O131*2.36</f>
        <v>6.2539999999999996</v>
      </c>
      <c r="Q131" s="1"/>
      <c r="R131" s="1"/>
      <c r="S131" s="1"/>
      <c r="T131" s="1"/>
      <c r="U131" s="1">
        <v>13.13</v>
      </c>
      <c r="V131" s="1">
        <f>U131*1.34</f>
        <v>17.594200000000001</v>
      </c>
      <c r="W131" s="1">
        <v>9.17</v>
      </c>
      <c r="X131" s="1">
        <f>W131*1.34</f>
        <v>12.287800000000001</v>
      </c>
      <c r="Y131" s="1">
        <v>8.93</v>
      </c>
      <c r="Z131" s="1">
        <f>Y131*1.34</f>
        <v>11.966200000000001</v>
      </c>
      <c r="AA131" s="1"/>
      <c r="AB131" s="1"/>
      <c r="AC131" s="1">
        <v>2.4900000000000002</v>
      </c>
      <c r="AD131" s="1">
        <f>AC131*2.75</f>
        <v>6.8475000000000001</v>
      </c>
      <c r="AE131" s="1">
        <v>3.46</v>
      </c>
      <c r="AF131" s="1">
        <f>AE131*2.75</f>
        <v>9.5150000000000006</v>
      </c>
      <c r="AG131" s="1"/>
      <c r="AH131" s="1"/>
      <c r="AI131" s="39"/>
      <c r="AJ131" s="39"/>
      <c r="AK131" s="34"/>
      <c r="AL131" s="27">
        <f>SUM(I131,U131,W131,Y131,AA131,AC131,AE131,AG131)</f>
        <v>56.27</v>
      </c>
      <c r="AM131" s="27">
        <f>SUM(K131,M131,O131,Q131,S131)</f>
        <v>13.66</v>
      </c>
      <c r="AN131" s="27">
        <f>SUM(J131,V131,X131,Z131,AB131,AD131,AF131,AH131)</f>
        <v>83.791300000000007</v>
      </c>
      <c r="AO131" s="27">
        <f>SUM(L131,N131,P131,R131,T131)</f>
        <v>24.597799999999999</v>
      </c>
      <c r="AP131" s="30">
        <f>SUM(AG131,AE131,AC131,AA131,Y131,W131,U131,I131)/D131</f>
        <v>0.8046618046618047</v>
      </c>
      <c r="AQ131" s="30">
        <f>SUM(K131,M131,O131,Q131,S131)/D131</f>
        <v>0.19533819533819535</v>
      </c>
      <c r="AR131" s="30">
        <f>D131/H131</f>
        <v>0.64517557577284046</v>
      </c>
      <c r="AS131" s="30">
        <f>AL131/AN131</f>
        <v>0.67154943293635494</v>
      </c>
      <c r="AT131" s="30">
        <f>AM131/AO131</f>
        <v>0.55533421688118456</v>
      </c>
      <c r="AU131" s="35">
        <f>(((H131/2) - SQRT((H131/2)^2 - 4 * D131)) / 2)</f>
        <v>1.3226302415241804</v>
      </c>
      <c r="AV131" s="27">
        <f>(((H131/2) + SQRT((H131/2)^2 - 4 * D131)) / 2)</f>
        <v>52.871919758475826</v>
      </c>
      <c r="AW131" s="27">
        <f>AU131*2.7*2+AV131*2.7*2</f>
        <v>292.65057000000007</v>
      </c>
      <c r="AX131" s="30">
        <f>AW131/D131</f>
        <v>4.1849073359073374</v>
      </c>
      <c r="AY131" s="30"/>
    </row>
    <row r="132" spans="2:51" x14ac:dyDescent="0.25">
      <c r="B132" s="36" t="s">
        <v>42</v>
      </c>
      <c r="C132" t="s">
        <v>78</v>
      </c>
      <c r="D132" s="37">
        <f>SUM(I132,K132,M132,O132,Q132,S132,U132,W132,Y132,AA132,AC132,AE132,AG132)</f>
        <v>66.759999999999991</v>
      </c>
      <c r="E132" s="38">
        <f>COUNTA(U132,W132,Y132,AA132)</f>
        <v>3</v>
      </c>
      <c r="F132" s="38">
        <f>COUNTA(M132,O132,Q132)</f>
        <v>2</v>
      </c>
      <c r="G132" s="38">
        <f>COUNTA(Table1[[#This Row],[A ASEO]])</f>
        <v>0</v>
      </c>
      <c r="H132" s="1">
        <f>SUM(J132,L132,N132,P132,R132,T132,V132,X132,Z132,AB132,AD132,AF132,AH132)</f>
        <v>103.61960000000001</v>
      </c>
      <c r="I132" s="1">
        <v>18.420000000000002</v>
      </c>
      <c r="J132" s="1">
        <f>I132*1.34</f>
        <v>24.682800000000004</v>
      </c>
      <c r="K132" s="1">
        <v>7.42</v>
      </c>
      <c r="L132" s="1">
        <f>K132*1.34</f>
        <v>9.9428000000000001</v>
      </c>
      <c r="M132" s="1">
        <v>3.52</v>
      </c>
      <c r="N132" s="1">
        <f>M132*2.36</f>
        <v>8.3071999999999999</v>
      </c>
      <c r="O132" s="1">
        <v>2.65</v>
      </c>
      <c r="P132" s="1">
        <f>O132*2.36</f>
        <v>6.2539999999999996</v>
      </c>
      <c r="Q132" s="1"/>
      <c r="R132" s="1"/>
      <c r="S132" s="1"/>
      <c r="T132" s="1"/>
      <c r="U132" s="1">
        <v>10.41</v>
      </c>
      <c r="V132" s="1">
        <f>U132*1.34</f>
        <v>13.949400000000001</v>
      </c>
      <c r="W132" s="1">
        <v>9.86</v>
      </c>
      <c r="X132" s="1">
        <f>W132*1.34</f>
        <v>13.212400000000001</v>
      </c>
      <c r="Y132" s="1">
        <v>8.9</v>
      </c>
      <c r="Z132" s="1">
        <f>Y132*1.34</f>
        <v>11.926000000000002</v>
      </c>
      <c r="AA132" s="1"/>
      <c r="AB132" s="1"/>
      <c r="AC132" s="1">
        <v>2.2599999999999998</v>
      </c>
      <c r="AD132" s="1">
        <f>AC132*2.75</f>
        <v>6.2149999999999999</v>
      </c>
      <c r="AE132" s="1">
        <v>3.32</v>
      </c>
      <c r="AF132" s="1">
        <f>AE132*2.75</f>
        <v>9.129999999999999</v>
      </c>
      <c r="AG132" s="1"/>
      <c r="AH132" s="1"/>
      <c r="AI132" s="39"/>
      <c r="AJ132" s="39"/>
      <c r="AK132" s="34"/>
      <c r="AL132" s="27">
        <f>SUM(I132,U132,W132,Y132,AA132,AC132,AE132,AG132)</f>
        <v>53.169999999999995</v>
      </c>
      <c r="AM132" s="27">
        <f>SUM(K132,M132,O132,Q132,S132)</f>
        <v>13.59</v>
      </c>
      <c r="AN132" s="27">
        <f>SUM(J132,V132,X132,Z132,AB132,AD132,AF132,AH132)</f>
        <v>79.115600000000001</v>
      </c>
      <c r="AO132" s="27">
        <f>SUM(L132,N132,P132,R132,T132)</f>
        <v>24.503999999999998</v>
      </c>
      <c r="AP132" s="30">
        <f>SUM(AG132,AE132,AC132,AA132,Y132,W132,U132,I132)/D132</f>
        <v>0.79643499101258253</v>
      </c>
      <c r="AQ132" s="30">
        <f>SUM(K132,M132,O132,Q132,S132)/D132</f>
        <v>0.20356500898741764</v>
      </c>
      <c r="AR132" s="30">
        <f>D132/H132</f>
        <v>0.64427965365625794</v>
      </c>
      <c r="AS132" s="30">
        <f>AL132/AN132</f>
        <v>0.67205456319613321</v>
      </c>
      <c r="AT132" s="30">
        <f>AM132/AO132</f>
        <v>0.55460333006856033</v>
      </c>
      <c r="AU132" s="35">
        <f>(((H132/2) - SQRT((H132/2)^2 - 4 * D132)) / 2)</f>
        <v>1.3223077036208402</v>
      </c>
      <c r="AV132" s="27">
        <f>(((H132/2) + SQRT((H132/2)^2 - 4 * D132)) / 2)</f>
        <v>50.487492296379159</v>
      </c>
      <c r="AW132" s="27">
        <f>AU132*2.7*2+AV132*2.7*2</f>
        <v>279.77292</v>
      </c>
      <c r="AX132" s="30">
        <f>AW132/D132</f>
        <v>4.1907267825044947</v>
      </c>
      <c r="AY132" s="30"/>
    </row>
    <row r="133" spans="2:51" x14ac:dyDescent="0.25">
      <c r="B133" s="36" t="s">
        <v>42</v>
      </c>
      <c r="C133" t="s">
        <v>65</v>
      </c>
      <c r="D133" s="37">
        <f>SUM(I133,K133,M133,O133,Q133,S133,U133,W133,Y133,AA133,AC133,AE133,AG133)</f>
        <v>74.440000000000012</v>
      </c>
      <c r="E133" s="38">
        <f>COUNTA(U133,W133,Y133,AA133)</f>
        <v>3</v>
      </c>
      <c r="F133" s="38">
        <f>COUNTA(M133,O133,Q133)</f>
        <v>1</v>
      </c>
      <c r="G133" s="38">
        <f>COUNTA(Table1[[#This Row],[A ASEO]])</f>
        <v>0</v>
      </c>
      <c r="H133" s="1">
        <f>SUM(J133,L133,N133,P133,R133,T133,V133,X133,Z133,AB133,AD133,AF133,AH133)</f>
        <v>115.55540000000001</v>
      </c>
      <c r="I133" s="1">
        <v>18.88</v>
      </c>
      <c r="J133" s="1">
        <f>I133*1.34</f>
        <v>25.299199999999999</v>
      </c>
      <c r="K133" s="1">
        <v>8.0299999999999994</v>
      </c>
      <c r="L133" s="1">
        <f>K133*1.34</f>
        <v>10.760199999999999</v>
      </c>
      <c r="M133" s="1">
        <v>3.75</v>
      </c>
      <c r="N133" s="1">
        <f>M133*2.36</f>
        <v>8.85</v>
      </c>
      <c r="O133" s="1"/>
      <c r="P133" s="1"/>
      <c r="Q133" s="1"/>
      <c r="R133" s="1"/>
      <c r="S133" s="1"/>
      <c r="T133" s="1"/>
      <c r="U133" s="1">
        <v>12.34</v>
      </c>
      <c r="V133" s="1">
        <f>U133*1.34</f>
        <v>16.535600000000002</v>
      </c>
      <c r="W133" s="1">
        <v>12.08</v>
      </c>
      <c r="X133" s="1">
        <f>W133*1.34</f>
        <v>16.187200000000001</v>
      </c>
      <c r="Y133" s="1">
        <v>10.130000000000001</v>
      </c>
      <c r="Z133" s="1">
        <f>Y133*1.34</f>
        <v>13.574200000000001</v>
      </c>
      <c r="AA133" s="1"/>
      <c r="AB133" s="1"/>
      <c r="AC133" s="1">
        <v>4.04</v>
      </c>
      <c r="AD133" s="1">
        <f>AC133*2.75</f>
        <v>11.11</v>
      </c>
      <c r="AE133" s="1">
        <v>2.54</v>
      </c>
      <c r="AF133" s="1">
        <f>AE133*2.75</f>
        <v>6.9850000000000003</v>
      </c>
      <c r="AG133" s="1">
        <v>2.65</v>
      </c>
      <c r="AH133" s="1">
        <f>AG133*2.36</f>
        <v>6.2539999999999996</v>
      </c>
      <c r="AI133" s="39">
        <v>3.01</v>
      </c>
      <c r="AJ133" s="39">
        <f>AI133*0.6</f>
        <v>1.8059999999999998</v>
      </c>
      <c r="AK133" s="34"/>
      <c r="AL133" s="27">
        <f>SUM(I133,U133,W133,Y133,AA133,AC133,AE133,AG133)</f>
        <v>62.66</v>
      </c>
      <c r="AM133" s="27">
        <f>SUM(K133,M133,O133,Q133,S133)</f>
        <v>11.78</v>
      </c>
      <c r="AN133" s="27">
        <f>SUM(J133,V133,X133,Z133,AB133,AD133,AF133,AH133)</f>
        <v>95.945200000000014</v>
      </c>
      <c r="AO133" s="27">
        <f>SUM(L133,N133,P133,R133,T133)</f>
        <v>19.610199999999999</v>
      </c>
      <c r="AP133" s="30">
        <f>SUM(AG133,AE133,AC133,AA133,Y133,W133,U133,I133)/D133</f>
        <v>0.84175174637291761</v>
      </c>
      <c r="AQ133" s="30">
        <f>SUM(K133,M133,O133,Q133,S133)/D133</f>
        <v>0.15824825362708217</v>
      </c>
      <c r="AR133" s="30">
        <f>D133/H133</f>
        <v>0.64419317487542782</v>
      </c>
      <c r="AS133" s="30">
        <f>AL133/AN133</f>
        <v>0.65308113381388533</v>
      </c>
      <c r="AT133" s="30">
        <f>AM133/AO133</f>
        <v>0.60070779492305026</v>
      </c>
      <c r="AU133" s="35">
        <f>(((H133/2) - SQRT((H133/2)^2 - 4 * D133)) / 2)</f>
        <v>1.318473609342945</v>
      </c>
      <c r="AV133" s="27">
        <f>(((H133/2) + SQRT((H133/2)^2 - 4 * D133)) / 2)</f>
        <v>56.459226390657058</v>
      </c>
      <c r="AW133" s="27">
        <f>AU133*2.7*2+AV133*2.7*2</f>
        <v>311.99958000000004</v>
      </c>
      <c r="AX133" s="30">
        <f>AW133/D133</f>
        <v>4.191289360558839</v>
      </c>
      <c r="AY133" s="30"/>
    </row>
    <row r="134" spans="2:51" x14ac:dyDescent="0.25">
      <c r="B134" s="36" t="s">
        <v>42</v>
      </c>
      <c r="C134" t="s">
        <v>78</v>
      </c>
      <c r="D134" s="37">
        <f>SUM(I134,K134,M134,O134,Q134,S134,U134,W134,Y134,AA134,AC134,AE134,AG134)</f>
        <v>66.63000000000001</v>
      </c>
      <c r="E134" s="38">
        <f>COUNTA(U134,W134,Y134,AA134)</f>
        <v>3</v>
      </c>
      <c r="F134" s="38">
        <f>COUNTA(M134,O134,Q134)</f>
        <v>2</v>
      </c>
      <c r="G134" s="38">
        <f>COUNTA(Table1[[#This Row],[A ASEO]])</f>
        <v>0</v>
      </c>
      <c r="H134" s="1">
        <f>SUM(J134,L134,N134,P134,R134,T134,V134,X134,Z134,AB134,AD134,AF134,AH134)</f>
        <v>103.51410000000001</v>
      </c>
      <c r="I134" s="1">
        <v>18.600000000000001</v>
      </c>
      <c r="J134" s="1">
        <f>I134*1.34</f>
        <v>24.924000000000003</v>
      </c>
      <c r="K134" s="1">
        <v>7.42</v>
      </c>
      <c r="L134" s="1">
        <f>K134*1.34</f>
        <v>9.9428000000000001</v>
      </c>
      <c r="M134" s="1">
        <v>3.58</v>
      </c>
      <c r="N134" s="1">
        <f>M134*2.36</f>
        <v>8.4488000000000003</v>
      </c>
      <c r="O134" s="1">
        <v>2.4500000000000002</v>
      </c>
      <c r="P134" s="1">
        <f>O134*2.36</f>
        <v>5.782</v>
      </c>
      <c r="Q134" s="1"/>
      <c r="R134" s="1"/>
      <c r="S134" s="1"/>
      <c r="T134" s="1"/>
      <c r="U134" s="1">
        <v>11.61</v>
      </c>
      <c r="V134" s="1">
        <f>U134*1.34</f>
        <v>15.557399999999999</v>
      </c>
      <c r="W134" s="1">
        <v>8.9</v>
      </c>
      <c r="X134" s="1">
        <f>W134*1.34</f>
        <v>11.926000000000002</v>
      </c>
      <c r="Y134" s="1">
        <v>8.34</v>
      </c>
      <c r="Z134" s="1">
        <f>Y134*1.34</f>
        <v>11.175600000000001</v>
      </c>
      <c r="AA134" s="1"/>
      <c r="AB134" s="1"/>
      <c r="AC134" s="1">
        <v>2.2599999999999998</v>
      </c>
      <c r="AD134" s="1">
        <f>AC134*2.75</f>
        <v>6.2149999999999999</v>
      </c>
      <c r="AE134" s="1">
        <v>3.47</v>
      </c>
      <c r="AF134" s="1">
        <f>AE134*2.75</f>
        <v>9.5425000000000004</v>
      </c>
      <c r="AG134" s="1"/>
      <c r="AH134" s="1"/>
      <c r="AI134" s="39"/>
      <c r="AJ134" s="39"/>
      <c r="AK134" s="34"/>
      <c r="AL134" s="27">
        <f>SUM(I134,U134,W134,Y134,AA134,AC134,AE134,AG134)</f>
        <v>53.18</v>
      </c>
      <c r="AM134" s="27">
        <f>SUM(K134,M134,O134,Q134,S134)</f>
        <v>13.45</v>
      </c>
      <c r="AN134" s="27">
        <f>SUM(J134,V134,X134,Z134,AB134,AD134,AF134,AH134)</f>
        <v>79.340500000000006</v>
      </c>
      <c r="AO134" s="27">
        <f>SUM(L134,N134,P134,R134,T134)</f>
        <v>24.1736</v>
      </c>
      <c r="AP134" s="30">
        <f>SUM(AG134,AE134,AC134,AA134,Y134,W134,U134,I134)/D134</f>
        <v>0.79813897643704024</v>
      </c>
      <c r="AQ134" s="30">
        <f>SUM(K134,M134,O134,Q134,S134)/D134</f>
        <v>0.2018610235629596</v>
      </c>
      <c r="AR134" s="30">
        <f>D134/H134</f>
        <v>0.643680426144844</v>
      </c>
      <c r="AS134" s="30">
        <f>AL134/AN134</f>
        <v>0.67027558434847267</v>
      </c>
      <c r="AT134" s="30">
        <f>AM134/AO134</f>
        <v>0.55639209716384808</v>
      </c>
      <c r="AU134" s="35">
        <f>(((H134/2) - SQRT((H134/2)^2 - 4 * D134)) / 2)</f>
        <v>1.3210809926195708</v>
      </c>
      <c r="AV134" s="27">
        <f>(((H134/2) + SQRT((H134/2)^2 - 4 * D134)) / 2)</f>
        <v>50.435969007380436</v>
      </c>
      <c r="AW134" s="27">
        <f>AU134*2.7*2+AV134*2.7*2</f>
        <v>279.48807000000005</v>
      </c>
      <c r="AX134" s="30">
        <f>AW134/D134</f>
        <v>4.194628095452499</v>
      </c>
      <c r="AY134" s="30"/>
    </row>
    <row r="135" spans="2:51" x14ac:dyDescent="0.25">
      <c r="B135" s="36" t="s">
        <v>42</v>
      </c>
      <c r="C135" t="s">
        <v>54</v>
      </c>
      <c r="D135" s="37">
        <f>SUM(I135,K135,M135,O135,Q135,S135,U135,W135,Y135,AA135,AC135,AE135,AG135)</f>
        <v>70.900000000000006</v>
      </c>
      <c r="E135" s="38">
        <f>COUNTA(U135,W135,Y135,AA135)</f>
        <v>3</v>
      </c>
      <c r="F135" s="38">
        <f>COUNTA(M135,O135,Q135)</f>
        <v>1</v>
      </c>
      <c r="G135" s="38">
        <f>COUNTA(Table1[[#This Row],[A ASEO]])</f>
        <v>0</v>
      </c>
      <c r="H135" s="1">
        <f>SUM(J135,L135,N135,P135,R135,T135,V135,X135,Z135,AB135,AD135,AF135,AH135)</f>
        <v>110.15989999999998</v>
      </c>
      <c r="I135" s="1">
        <v>18.48</v>
      </c>
      <c r="J135" s="1">
        <f>I135*1.34</f>
        <v>24.763200000000001</v>
      </c>
      <c r="K135" s="1">
        <v>10.02</v>
      </c>
      <c r="L135" s="1">
        <f>K135*1.34</f>
        <v>13.4268</v>
      </c>
      <c r="M135" s="1">
        <v>4.42</v>
      </c>
      <c r="N135" s="1">
        <f>M135*2.36</f>
        <v>10.431199999999999</v>
      </c>
      <c r="O135" s="1"/>
      <c r="P135" s="1"/>
      <c r="Q135" s="1"/>
      <c r="R135" s="1"/>
      <c r="S135" s="1"/>
      <c r="T135" s="1"/>
      <c r="U135" s="1">
        <v>13.97</v>
      </c>
      <c r="V135" s="1">
        <f>U135*1.34</f>
        <v>18.719800000000003</v>
      </c>
      <c r="W135" s="1">
        <v>8.4600000000000009</v>
      </c>
      <c r="X135" s="1">
        <f>W135*1.34</f>
        <v>11.336400000000001</v>
      </c>
      <c r="Y135" s="1">
        <v>8</v>
      </c>
      <c r="Z135" s="1">
        <f>Y135*1.34</f>
        <v>10.72</v>
      </c>
      <c r="AA135" s="1"/>
      <c r="AB135" s="1"/>
      <c r="AC135" s="1">
        <v>3.61</v>
      </c>
      <c r="AD135" s="1">
        <f>AC135*2.75</f>
        <v>9.9275000000000002</v>
      </c>
      <c r="AE135" s="1">
        <v>3.94</v>
      </c>
      <c r="AF135" s="1">
        <f>AE135*2.75</f>
        <v>10.834999999999999</v>
      </c>
      <c r="AG135" s="1"/>
      <c r="AH135" s="1"/>
      <c r="AI135" s="39"/>
      <c r="AJ135" s="39"/>
      <c r="AK135" s="34"/>
      <c r="AL135" s="27">
        <f>SUM(I135,U135,W135,Y135,AA135,AC135,AE135,AG135)</f>
        <v>56.46</v>
      </c>
      <c r="AM135" s="27">
        <f>SUM(K135,M135,O135,Q135,S135)</f>
        <v>14.44</v>
      </c>
      <c r="AN135" s="27">
        <f>SUM(J135,V135,X135,Z135,AB135,AD135,AF135,AH135)</f>
        <v>86.301899999999989</v>
      </c>
      <c r="AO135" s="27">
        <f>SUM(L135,N135,P135,R135,T135)</f>
        <v>23.857999999999997</v>
      </c>
      <c r="AP135" s="30">
        <f>SUM(AG135,AE135,AC135,AA135,Y135,W135,U135,I135)/D135</f>
        <v>0.79633286318758822</v>
      </c>
      <c r="AQ135" s="30">
        <f>SUM(K135,M135,O135,Q135,S135)/D135</f>
        <v>0.20366713681241183</v>
      </c>
      <c r="AR135" s="30">
        <f>D135/H135</f>
        <v>0.6436098798201525</v>
      </c>
      <c r="AS135" s="30">
        <f>AL135/AN135</f>
        <v>0.6542150288695846</v>
      </c>
      <c r="AT135" s="30">
        <f>AM135/AO135</f>
        <v>0.60524771565093471</v>
      </c>
      <c r="AU135" s="35">
        <f>(((H135/2) - SQRT((H135/2)^2 - 4 * D135)) / 2)</f>
        <v>1.3187960981919211</v>
      </c>
      <c r="AV135" s="27">
        <f>(((H135/2) + SQRT((H135/2)^2 - 4 * D135)) / 2)</f>
        <v>53.761153901808072</v>
      </c>
      <c r="AW135" s="27">
        <f>AU135*2.7*2+AV135*2.7*2</f>
        <v>297.43173000000002</v>
      </c>
      <c r="AX135" s="30">
        <f>AW135/D135</f>
        <v>4.1950878702397745</v>
      </c>
      <c r="AY135" s="30"/>
    </row>
    <row r="136" spans="2:51" x14ac:dyDescent="0.25">
      <c r="B136" s="36" t="s">
        <v>42</v>
      </c>
      <c r="C136" t="s">
        <v>78</v>
      </c>
      <c r="D136" s="37">
        <f>SUM(I136,K136,M136,O136,Q136,S136,U136,W136,Y136,AA136,AC136,AE136,AG136)</f>
        <v>68.319999999999993</v>
      </c>
      <c r="E136" s="38">
        <f>COUNTA(U136,W136,Y136,AA136)</f>
        <v>3</v>
      </c>
      <c r="F136" s="38">
        <f>COUNTA(M136,O136,Q136)</f>
        <v>2</v>
      </c>
      <c r="G136" s="38">
        <f>COUNTA(Table1[[#This Row],[A ASEO]])</f>
        <v>0</v>
      </c>
      <c r="H136" s="1">
        <f>SUM(J136,L136,N136,P136,R136,T136,V136,X136,Z136,AB136,AD136,AF136,AH136)</f>
        <v>106.18639999999999</v>
      </c>
      <c r="I136" s="1">
        <v>19.36</v>
      </c>
      <c r="J136" s="1">
        <f>I136*1.34</f>
        <v>25.942399999999999</v>
      </c>
      <c r="K136" s="1">
        <v>7.49</v>
      </c>
      <c r="L136" s="1">
        <f>K136*1.34</f>
        <v>10.036600000000002</v>
      </c>
      <c r="M136" s="1">
        <v>3.6</v>
      </c>
      <c r="N136" s="1">
        <f>M136*2.36</f>
        <v>8.4960000000000004</v>
      </c>
      <c r="O136" s="1">
        <v>2.65</v>
      </c>
      <c r="P136" s="1">
        <f>O136*2.36</f>
        <v>6.2539999999999996</v>
      </c>
      <c r="Q136" s="1"/>
      <c r="R136" s="1"/>
      <c r="S136" s="1"/>
      <c r="T136" s="1"/>
      <c r="U136" s="1">
        <v>11.54</v>
      </c>
      <c r="V136" s="1">
        <f>U136*1.34</f>
        <v>15.4636</v>
      </c>
      <c r="W136" s="1">
        <v>9.2899999999999991</v>
      </c>
      <c r="X136" s="1">
        <f>W136*1.34</f>
        <v>12.448599999999999</v>
      </c>
      <c r="Y136" s="1">
        <v>8.5299999999999994</v>
      </c>
      <c r="Z136" s="1">
        <f>Y136*1.34</f>
        <v>11.430199999999999</v>
      </c>
      <c r="AA136" s="1"/>
      <c r="AB136" s="1"/>
      <c r="AC136" s="1">
        <v>2.42</v>
      </c>
      <c r="AD136" s="1">
        <f>AC136*2.75</f>
        <v>6.6549999999999994</v>
      </c>
      <c r="AE136" s="1">
        <v>3.44</v>
      </c>
      <c r="AF136" s="1">
        <f>AE136*2.75</f>
        <v>9.4599999999999991</v>
      </c>
      <c r="AG136" s="1"/>
      <c r="AH136" s="1"/>
      <c r="AI136" s="39"/>
      <c r="AJ136" s="39"/>
      <c r="AK136" s="34"/>
      <c r="AL136" s="27">
        <f>SUM(I136,U136,W136,Y136,AA136,AC136,AE136,AG136)</f>
        <v>54.58</v>
      </c>
      <c r="AM136" s="27">
        <f>SUM(K136,M136,O136,Q136,S136)</f>
        <v>13.74</v>
      </c>
      <c r="AN136" s="27">
        <f>SUM(J136,V136,X136,Z136,AB136,AD136,AF136,AH136)</f>
        <v>81.399799999999985</v>
      </c>
      <c r="AO136" s="27">
        <f>SUM(L136,N136,P136,R136,T136)</f>
        <v>24.7866</v>
      </c>
      <c r="AP136" s="30">
        <f>SUM(AG136,AE136,AC136,AA136,Y136,W136,U136,I136)/D136</f>
        <v>0.79888758782201408</v>
      </c>
      <c r="AQ136" s="30">
        <f>SUM(K136,M136,O136,Q136,S136)/D136</f>
        <v>0.20111241217798598</v>
      </c>
      <c r="AR136" s="30">
        <f>D136/H136</f>
        <v>0.64339689451756532</v>
      </c>
      <c r="AS136" s="30">
        <f>AL136/AN136</f>
        <v>0.67051761797940546</v>
      </c>
      <c r="AT136" s="30">
        <f>AM136/AO136</f>
        <v>0.55433177604027983</v>
      </c>
      <c r="AU136" s="35">
        <f>(((H136/2) - SQRT((H136/2)^2 - 4 * D136)) / 2)</f>
        <v>1.3195912284472371</v>
      </c>
      <c r="AV136" s="27">
        <f>(((H136/2) + SQRT((H136/2)^2 - 4 * D136)) / 2)</f>
        <v>51.773608771552759</v>
      </c>
      <c r="AW136" s="27">
        <f>AU136*2.7*2+AV136*2.7*2</f>
        <v>286.70328000000001</v>
      </c>
      <c r="AX136" s="30">
        <f>AW136/D136</f>
        <v>4.1964765807962534</v>
      </c>
      <c r="AY136" s="30"/>
    </row>
    <row r="137" spans="2:51" x14ac:dyDescent="0.25">
      <c r="B137" s="36" t="s">
        <v>42</v>
      </c>
      <c r="C137" t="s">
        <v>78</v>
      </c>
      <c r="D137" s="37">
        <f>SUM(I137,K137,M137,O137,Q137,S137,U137,W137,Y137,AA137,AC137,AE137,AG137)</f>
        <v>66.61999999999999</v>
      </c>
      <c r="E137" s="38">
        <f>COUNTA(U137,W137,Y137,AA137)</f>
        <v>3</v>
      </c>
      <c r="F137" s="38">
        <f>COUNTA(M137,O137,Q137)</f>
        <v>2</v>
      </c>
      <c r="G137" s="38">
        <f>COUNTA(Table1[[#This Row],[A ASEO]])</f>
        <v>0</v>
      </c>
      <c r="H137" s="1">
        <f>SUM(J137,L137,N137,P137,R137,T137,V137,X137,Z137,AB137,AD137,AF137,AH137)</f>
        <v>103.91140000000001</v>
      </c>
      <c r="I137" s="1">
        <v>18.38</v>
      </c>
      <c r="J137" s="1">
        <f>I137*1.34</f>
        <v>24.629200000000001</v>
      </c>
      <c r="K137" s="1">
        <v>7.42</v>
      </c>
      <c r="L137" s="1">
        <f>K137*1.34</f>
        <v>9.9428000000000001</v>
      </c>
      <c r="M137" s="1">
        <v>3.52</v>
      </c>
      <c r="N137" s="1">
        <f>M137*2.36</f>
        <v>8.3071999999999999</v>
      </c>
      <c r="O137" s="1">
        <v>2.65</v>
      </c>
      <c r="P137" s="1">
        <f>O137*2.36</f>
        <v>6.2539999999999996</v>
      </c>
      <c r="Q137" s="1"/>
      <c r="R137" s="1"/>
      <c r="S137" s="1"/>
      <c r="T137" s="1"/>
      <c r="U137" s="1">
        <v>11.59</v>
      </c>
      <c r="V137" s="1">
        <f>U137*1.34</f>
        <v>15.530600000000002</v>
      </c>
      <c r="W137" s="1">
        <v>9.1</v>
      </c>
      <c r="X137" s="1">
        <f>W137*1.34</f>
        <v>12.194000000000001</v>
      </c>
      <c r="Y137" s="1">
        <v>8.0399999999999991</v>
      </c>
      <c r="Z137" s="1">
        <f>Y137*1.34</f>
        <v>10.7736</v>
      </c>
      <c r="AA137" s="1"/>
      <c r="AB137" s="1"/>
      <c r="AC137" s="1">
        <v>2.2599999999999998</v>
      </c>
      <c r="AD137" s="1">
        <f>AC137*2.75</f>
        <v>6.2149999999999999</v>
      </c>
      <c r="AE137" s="1">
        <v>3.66</v>
      </c>
      <c r="AF137" s="1">
        <f>AE137*2.75</f>
        <v>10.065000000000001</v>
      </c>
      <c r="AG137" s="1"/>
      <c r="AH137" s="1"/>
      <c r="AI137" s="39"/>
      <c r="AJ137" s="39"/>
      <c r="AK137" s="34"/>
      <c r="AL137" s="27">
        <f>SUM(I137,U137,W137,Y137,AA137,AC137,AE137,AG137)</f>
        <v>53.03</v>
      </c>
      <c r="AM137" s="27">
        <f>SUM(K137,M137,O137,Q137,S137)</f>
        <v>13.59</v>
      </c>
      <c r="AN137" s="27">
        <f>SUM(J137,V137,X137,Z137,AB137,AD137,AF137,AH137)</f>
        <v>79.40740000000001</v>
      </c>
      <c r="AO137" s="27">
        <f>SUM(L137,N137,P137,R137,T137)</f>
        <v>24.503999999999998</v>
      </c>
      <c r="AP137" s="30">
        <f>SUM(AG137,AE137,AC137,AA137,Y137,W137,U137,I137)/D137</f>
        <v>0.79600720504353062</v>
      </c>
      <c r="AQ137" s="30">
        <f>SUM(K137,M137,O137,Q137,S137)/D137</f>
        <v>0.20399279495646955</v>
      </c>
      <c r="AR137" s="30">
        <f>D137/H137</f>
        <v>0.64112311065003436</v>
      </c>
      <c r="AS137" s="30">
        <f>AL137/AN137</f>
        <v>0.66782189065502706</v>
      </c>
      <c r="AT137" s="30">
        <f>AM137/AO137</f>
        <v>0.55460333006856033</v>
      </c>
      <c r="AU137" s="35">
        <f>(((H137/2) - SQRT((H137/2)^2 - 4 * D137)) / 2)</f>
        <v>1.3155571093845779</v>
      </c>
      <c r="AV137" s="27">
        <f>(((H137/2) + SQRT((H137/2)^2 - 4 * D137)) / 2)</f>
        <v>50.640142890615429</v>
      </c>
      <c r="AW137" s="27">
        <f>AU137*2.7*2+AV137*2.7*2</f>
        <v>280.56078000000002</v>
      </c>
      <c r="AX137" s="30">
        <f>AW137/D137</f>
        <v>4.2113596517562302</v>
      </c>
      <c r="AY137" s="30"/>
    </row>
    <row r="138" spans="2:51" x14ac:dyDescent="0.25">
      <c r="B138" s="36" t="s">
        <v>42</v>
      </c>
      <c r="C138" t="s">
        <v>77</v>
      </c>
      <c r="D138" s="37">
        <f>SUM(I138,K138,M138,O138,Q138,S138,U138,W138,Y138,AA138,AC138,AE138,AG138)</f>
        <v>68.2</v>
      </c>
      <c r="E138" s="38">
        <f>COUNTA(U138,W138,Y138,AA138)</f>
        <v>3</v>
      </c>
      <c r="F138" s="38">
        <f>COUNTA(M138,O138,Q138)</f>
        <v>2</v>
      </c>
      <c r="G138" s="38">
        <f>COUNTA(Table1[[#This Row],[A ASEO]])</f>
        <v>0</v>
      </c>
      <c r="H138" s="1">
        <f>SUM(J138,L138,N138,P138,R138,T138,V138,X138,Z138,AB138,AD138,AF138,AH138)</f>
        <v>106.41949999999999</v>
      </c>
      <c r="I138" s="1">
        <v>18</v>
      </c>
      <c r="J138" s="1">
        <f>I138*1.34</f>
        <v>24.12</v>
      </c>
      <c r="K138" s="1">
        <v>7.15</v>
      </c>
      <c r="L138" s="1">
        <f>K138*1.34</f>
        <v>9.5810000000000013</v>
      </c>
      <c r="M138" s="1">
        <v>3.5</v>
      </c>
      <c r="N138" s="1">
        <f>M138*2.36</f>
        <v>8.26</v>
      </c>
      <c r="O138" s="1">
        <v>3.15</v>
      </c>
      <c r="P138" s="1">
        <f>O138*2.36</f>
        <v>7.4339999999999993</v>
      </c>
      <c r="Q138" s="1"/>
      <c r="R138" s="1"/>
      <c r="S138" s="1"/>
      <c r="T138" s="1"/>
      <c r="U138" s="1">
        <v>12.05</v>
      </c>
      <c r="V138" s="1">
        <f>U138*1.34</f>
        <v>16.147000000000002</v>
      </c>
      <c r="W138" s="1">
        <v>11.3</v>
      </c>
      <c r="X138" s="1">
        <f>W138*1.34</f>
        <v>15.142000000000001</v>
      </c>
      <c r="Y138" s="1">
        <v>7.2</v>
      </c>
      <c r="Z138" s="1">
        <f>Y138*1.34</f>
        <v>9.6480000000000015</v>
      </c>
      <c r="AA138" s="1"/>
      <c r="AB138" s="1"/>
      <c r="AC138" s="1">
        <v>2.2000000000000002</v>
      </c>
      <c r="AD138" s="1">
        <f>AC138*2.75</f>
        <v>6.0500000000000007</v>
      </c>
      <c r="AE138" s="1">
        <v>3.65</v>
      </c>
      <c r="AF138" s="1">
        <f>AE138*2.75</f>
        <v>10.0375</v>
      </c>
      <c r="AG138" s="1"/>
      <c r="AH138" s="1"/>
      <c r="AI138" s="39"/>
      <c r="AJ138" s="39"/>
      <c r="AK138" s="34"/>
      <c r="AL138" s="27">
        <f>SUM(I138,U138,W138,Y138,AA138,AC138,AE138,AG138)</f>
        <v>54.400000000000006</v>
      </c>
      <c r="AM138" s="27">
        <f>SUM(K138,M138,O138,Q138,S138)</f>
        <v>13.8</v>
      </c>
      <c r="AN138" s="27">
        <f>SUM(J138,V138,X138,Z138,AB138,AD138,AF138,AH138)</f>
        <v>81.144499999999994</v>
      </c>
      <c r="AO138" s="27">
        <f>SUM(L138,N138,P138,R138,T138)</f>
        <v>25.274999999999999</v>
      </c>
      <c r="AP138" s="30">
        <f>SUM(AG138,AE138,AC138,AA138,Y138,W138,U138,I138)/D138</f>
        <v>0.79765395894428159</v>
      </c>
      <c r="AQ138" s="30">
        <f>SUM(K138,M138,O138,Q138,S138)/D138</f>
        <v>0.20234604105571849</v>
      </c>
      <c r="AR138" s="30">
        <f>D138/H138</f>
        <v>0.64085999276448402</v>
      </c>
      <c r="AS138" s="30">
        <f>AL138/AN138</f>
        <v>0.67040896179038645</v>
      </c>
      <c r="AT138" s="30">
        <f>AM138/AO138</f>
        <v>0.5459940652818992</v>
      </c>
      <c r="AU138" s="35">
        <f>(((H138/2) - SQRT((H138/2)^2 - 4 * D138)) / 2)</f>
        <v>1.3141776239760432</v>
      </c>
      <c r="AV138" s="27">
        <f>(((H138/2) + SQRT((H138/2)^2 - 4 * D138)) / 2)</f>
        <v>51.895572376023949</v>
      </c>
      <c r="AW138" s="27">
        <f>AU138*2.7*2+AV138*2.7*2</f>
        <v>287.33265</v>
      </c>
      <c r="AX138" s="30">
        <f>AW138/D138</f>
        <v>4.213088709677419</v>
      </c>
      <c r="AY138" s="30"/>
    </row>
    <row r="139" spans="2:51" x14ac:dyDescent="0.25">
      <c r="B139" s="36" t="s">
        <v>42</v>
      </c>
      <c r="C139" t="s">
        <v>78</v>
      </c>
      <c r="D139" s="37">
        <f>SUM(I139,K139,M139,O139,Q139,S139,U139,W139,Y139,AA139,AC139,AE139,AG139)</f>
        <v>67.61999999999999</v>
      </c>
      <c r="E139" s="38">
        <f>COUNTA(U139,W139,Y139,AA139)</f>
        <v>3</v>
      </c>
      <c r="F139" s="38">
        <f>COUNTA(M139,O139,Q139)</f>
        <v>2</v>
      </c>
      <c r="G139" s="38">
        <f>COUNTA(Table1[[#This Row],[A ASEO]])</f>
        <v>0</v>
      </c>
      <c r="H139" s="1">
        <f>SUM(J139,L139,N139,P139,R139,T139,V139,X139,Z139,AB139,AD139,AF139,AH139)</f>
        <v>105.5244</v>
      </c>
      <c r="I139" s="1">
        <v>18.48</v>
      </c>
      <c r="J139" s="1">
        <f>I139*1.34</f>
        <v>24.763200000000001</v>
      </c>
      <c r="K139" s="1">
        <v>7.49</v>
      </c>
      <c r="L139" s="1">
        <f>K139*1.34</f>
        <v>10.036600000000002</v>
      </c>
      <c r="M139" s="1">
        <v>4.01</v>
      </c>
      <c r="N139" s="1">
        <f>M139*2.36</f>
        <v>9.4635999999999996</v>
      </c>
      <c r="O139" s="1">
        <v>2.87</v>
      </c>
      <c r="P139" s="1">
        <f>O139*2.36</f>
        <v>6.7732000000000001</v>
      </c>
      <c r="Q139" s="1"/>
      <c r="R139" s="1"/>
      <c r="S139" s="1"/>
      <c r="T139" s="1"/>
      <c r="U139" s="1">
        <v>13.1</v>
      </c>
      <c r="V139" s="1">
        <f>U139*1.34</f>
        <v>17.554000000000002</v>
      </c>
      <c r="W139" s="1">
        <v>8.07</v>
      </c>
      <c r="X139" s="1">
        <f>W139*1.34</f>
        <v>10.813800000000001</v>
      </c>
      <c r="Y139" s="1">
        <v>8</v>
      </c>
      <c r="Z139" s="1">
        <f>Y139*1.34</f>
        <v>10.72</v>
      </c>
      <c r="AA139" s="1"/>
      <c r="AB139" s="1"/>
      <c r="AC139" s="1">
        <v>2.41</v>
      </c>
      <c r="AD139" s="1">
        <f>AC139*2.75</f>
        <v>6.6275000000000004</v>
      </c>
      <c r="AE139" s="1">
        <v>3.19</v>
      </c>
      <c r="AF139" s="1">
        <f>AE139*2.75</f>
        <v>8.7724999999999991</v>
      </c>
      <c r="AG139" s="1"/>
      <c r="AH139" s="1"/>
      <c r="AI139" s="39"/>
      <c r="AJ139" s="39"/>
      <c r="AK139" s="34"/>
      <c r="AL139" s="27">
        <f>SUM(I139,U139,W139,Y139,AA139,AC139,AE139,AG139)</f>
        <v>53.25</v>
      </c>
      <c r="AM139" s="27">
        <f>SUM(K139,M139,O139,Q139,S139)</f>
        <v>14.370000000000001</v>
      </c>
      <c r="AN139" s="27">
        <f>SUM(J139,V139,X139,Z139,AB139,AD139,AF139,AH139)</f>
        <v>79.250999999999991</v>
      </c>
      <c r="AO139" s="27">
        <f>SUM(L139,N139,P139,R139,T139)</f>
        <v>26.273399999999999</v>
      </c>
      <c r="AP139" s="30">
        <f>SUM(AG139,AE139,AC139,AA139,Y139,W139,U139,I139)/D139</f>
        <v>0.78748890860692111</v>
      </c>
      <c r="AQ139" s="30">
        <f>SUM(K139,M139,O139,Q139,S139)/D139</f>
        <v>0.21251109139307903</v>
      </c>
      <c r="AR139" s="30">
        <f>D139/H139</f>
        <v>0.64079966339538519</v>
      </c>
      <c r="AS139" s="30">
        <f>AL139/AN139</f>
        <v>0.67191581178786397</v>
      </c>
      <c r="AT139" s="30">
        <f>AM139/AO139</f>
        <v>0.54694101258306882</v>
      </c>
      <c r="AU139" s="35">
        <f>(((H139/2) - SQRT((H139/2)^2 - 4 * D139)) / 2)</f>
        <v>1.314340392703329</v>
      </c>
      <c r="AV139" s="27">
        <f>(((H139/2) + SQRT((H139/2)^2 - 4 * D139)) / 2)</f>
        <v>51.447859607296671</v>
      </c>
      <c r="AW139" s="27">
        <f>AU139*2.7*2+AV139*2.7*2</f>
        <v>284.91588000000002</v>
      </c>
      <c r="AX139" s="30">
        <f>AW139/D139</f>
        <v>4.2134853593611368</v>
      </c>
      <c r="AY139" s="30"/>
    </row>
    <row r="140" spans="2:51" x14ac:dyDescent="0.25">
      <c r="B140" s="36" t="s">
        <v>42</v>
      </c>
      <c r="C140" t="s">
        <v>71</v>
      </c>
      <c r="D140" s="37">
        <f>SUM(I140,K140,M140,O140,Q140,S140,U140,W140,Y140,AA140,AC140,AE140,AG140)</f>
        <v>67.949999999999989</v>
      </c>
      <c r="E140" s="38">
        <f>COUNTA(U140,W140,Y140,AA140)</f>
        <v>3</v>
      </c>
      <c r="F140" s="38">
        <f>COUNTA(M140,O140,Q140)</f>
        <v>1</v>
      </c>
      <c r="G140" s="38">
        <f>COUNTA(Table1[[#This Row],[A ASEO]])</f>
        <v>1</v>
      </c>
      <c r="H140" s="1">
        <f>SUM(J140,L140,N140,P140,R140,T140,V140,X140,Z140,AB140,AD140,AF140,AH140)</f>
        <v>106.20180000000002</v>
      </c>
      <c r="I140" s="1">
        <v>19.75</v>
      </c>
      <c r="J140" s="1">
        <f>I140*1.34</f>
        <v>26.465</v>
      </c>
      <c r="K140" s="1">
        <v>10</v>
      </c>
      <c r="L140" s="1">
        <f>K140*1.34</f>
        <v>13.4</v>
      </c>
      <c r="M140" s="1">
        <v>3.82</v>
      </c>
      <c r="N140" s="1">
        <f>M140*2.36</f>
        <v>9.0151999999999983</v>
      </c>
      <c r="O140" s="1"/>
      <c r="P140" s="1"/>
      <c r="Q140" s="1"/>
      <c r="R140" s="1"/>
      <c r="S140" s="1">
        <v>2.2400000000000002</v>
      </c>
      <c r="T140" s="1">
        <f>S140*2.36</f>
        <v>5.2864000000000004</v>
      </c>
      <c r="U140" s="1">
        <v>10.37</v>
      </c>
      <c r="V140" s="1">
        <f>U140*1.34</f>
        <v>13.895799999999999</v>
      </c>
      <c r="W140" s="1">
        <v>7.72</v>
      </c>
      <c r="X140" s="1">
        <f>W140*1.34</f>
        <v>10.344800000000001</v>
      </c>
      <c r="Y140" s="1">
        <v>7.69</v>
      </c>
      <c r="Z140" s="1">
        <f>Y140*1.34</f>
        <v>10.304600000000001</v>
      </c>
      <c r="AA140" s="1"/>
      <c r="AB140" s="1"/>
      <c r="AC140" s="1">
        <v>2.56</v>
      </c>
      <c r="AD140" s="1">
        <f>AC140*2.75</f>
        <v>7.04</v>
      </c>
      <c r="AE140" s="1">
        <v>3.8</v>
      </c>
      <c r="AF140" s="1">
        <f>AE140*2.75</f>
        <v>10.45</v>
      </c>
      <c r="AG140" s="1"/>
      <c r="AH140" s="1"/>
      <c r="AI140" s="39"/>
      <c r="AJ140" s="39"/>
      <c r="AK140" s="34"/>
      <c r="AL140" s="27">
        <f>SUM(I140,U140,W140,Y140,AA140,AC140,AE140,AG140)</f>
        <v>51.889999999999993</v>
      </c>
      <c r="AM140" s="27">
        <f>SUM(K140,M140,O140,Q140,S140)</f>
        <v>16.060000000000002</v>
      </c>
      <c r="AN140" s="27">
        <f>SUM(J140,V140,X140,Z140,AB140,AD140,AF140,AH140)</f>
        <v>78.500200000000007</v>
      </c>
      <c r="AO140" s="27">
        <f>SUM(L140,N140,P140,R140,T140)</f>
        <v>27.701599999999999</v>
      </c>
      <c r="AP140" s="30">
        <f>SUM(AG140,AE140,AC140,AA140,Y140,W140,U140,I140)/D140</f>
        <v>0.76364974245768957</v>
      </c>
      <c r="AQ140" s="30">
        <f>SUM(K140,M140,O140,Q140,S140)/D140</f>
        <v>0.23635025754231059</v>
      </c>
      <c r="AR140" s="30">
        <f>D140/H140</f>
        <v>0.63981966407349</v>
      </c>
      <c r="AS140" s="30">
        <f>AL140/AN140</f>
        <v>0.66101742415942877</v>
      </c>
      <c r="AT140" s="30">
        <f>AM140/AO140</f>
        <v>0.57974990614260558</v>
      </c>
      <c r="AU140" s="35">
        <f>(((H140/2) - SQRT((H140/2)^2 - 4 * D140)) / 2)</f>
        <v>1.3120587041487539</v>
      </c>
      <c r="AV140" s="27">
        <f>(((H140/2) + SQRT((H140/2)^2 - 4 * D140)) / 2)</f>
        <v>51.788841295851256</v>
      </c>
      <c r="AW140" s="27">
        <f>AU140*2.7*2+AV140*2.7*2</f>
        <v>286.74486000000007</v>
      </c>
      <c r="AX140" s="30">
        <f>AW140/D140</f>
        <v>4.2199390728476835</v>
      </c>
      <c r="AY140" s="30"/>
    </row>
    <row r="141" spans="2:51" x14ac:dyDescent="0.25">
      <c r="B141" s="36" t="s">
        <v>42</v>
      </c>
      <c r="C141" t="s">
        <v>69</v>
      </c>
      <c r="D141" s="37">
        <f>SUM(I141,K141,M141,O141,Q141,S141,U141,W141,Y141,AA141,AC141,AE141,AG141)</f>
        <v>68.84</v>
      </c>
      <c r="E141" s="38">
        <f>COUNTA(U141,W141,Y141,AA141)</f>
        <v>3</v>
      </c>
      <c r="F141" s="38">
        <f>COUNTA(M141,O141,Q141)</f>
        <v>1</v>
      </c>
      <c r="G141" s="38">
        <f>COUNTA(Table1[[#This Row],[A ASEO]])</f>
        <v>1</v>
      </c>
      <c r="H141" s="1">
        <f>SUM(J141,L141,N141,P141,R141,T141,V141,X141,Z141,AB141,AD141,AF141,AH141)</f>
        <v>107.6764</v>
      </c>
      <c r="I141" s="1">
        <v>19.47</v>
      </c>
      <c r="J141" s="1">
        <f>I141*1.34</f>
        <v>26.0898</v>
      </c>
      <c r="K141" s="1">
        <v>9.84</v>
      </c>
      <c r="L141" s="1">
        <f>K141*1.34</f>
        <v>13.185600000000001</v>
      </c>
      <c r="M141" s="1">
        <v>3.2</v>
      </c>
      <c r="N141" s="1">
        <f>M141*2.36</f>
        <v>7.5519999999999996</v>
      </c>
      <c r="O141" s="1"/>
      <c r="P141" s="1"/>
      <c r="Q141" s="1"/>
      <c r="R141" s="1"/>
      <c r="S141" s="1">
        <v>2.86</v>
      </c>
      <c r="T141" s="1">
        <f>S141*2.36</f>
        <v>6.7495999999999992</v>
      </c>
      <c r="U141" s="1">
        <v>11.62</v>
      </c>
      <c r="V141" s="1">
        <f>U141*1.34</f>
        <v>15.5708</v>
      </c>
      <c r="W141" s="1">
        <v>7.99</v>
      </c>
      <c r="X141" s="1">
        <f>W141*1.34</f>
        <v>10.706600000000002</v>
      </c>
      <c r="Y141" s="1">
        <v>7.3</v>
      </c>
      <c r="Z141" s="1">
        <f>Y141*1.34</f>
        <v>9.782</v>
      </c>
      <c r="AA141" s="1"/>
      <c r="AB141" s="1"/>
      <c r="AC141" s="1">
        <v>2.58</v>
      </c>
      <c r="AD141" s="1">
        <f>AC141*2.75</f>
        <v>7.0950000000000006</v>
      </c>
      <c r="AE141" s="1">
        <v>3.98</v>
      </c>
      <c r="AF141" s="1">
        <f>AE141*2.75</f>
        <v>10.945</v>
      </c>
      <c r="AG141" s="1"/>
      <c r="AH141" s="1"/>
      <c r="AI141" s="39">
        <v>2.06</v>
      </c>
      <c r="AJ141" s="39">
        <f>AI141*0.6</f>
        <v>1.236</v>
      </c>
      <c r="AK141" s="34"/>
      <c r="AL141" s="27">
        <f>SUM(I141,U141,W141,Y141,AA141,AC141,AE141,AG141)</f>
        <v>52.939999999999991</v>
      </c>
      <c r="AM141" s="27">
        <f>SUM(K141,M141,O141,Q141,S141)</f>
        <v>15.899999999999999</v>
      </c>
      <c r="AN141" s="27">
        <f>SUM(J141,V141,X141,Z141,AB141,AD141,AF141,AH141)</f>
        <v>80.1892</v>
      </c>
      <c r="AO141" s="27">
        <f>SUM(L141,N141,P141,R141,T141)</f>
        <v>27.487200000000001</v>
      </c>
      <c r="AP141" s="30">
        <f>SUM(AG141,AE141,AC141,AA141,Y141,W141,U141,I141)/D141</f>
        <v>0.76902963393375934</v>
      </c>
      <c r="AQ141" s="30">
        <f>SUM(K141,M141,O141,Q141,S141)/D141</f>
        <v>0.23097036606624052</v>
      </c>
      <c r="AR141" s="30">
        <f>D141/H141</f>
        <v>0.63932300857012314</v>
      </c>
      <c r="AS141" s="30">
        <f>AL141/AN141</f>
        <v>0.66018865383368319</v>
      </c>
      <c r="AT141" s="30">
        <f>AM141/AO141</f>
        <v>0.57845106085741715</v>
      </c>
      <c r="AU141" s="35">
        <f>(((H141/2) - SQRT((H141/2)^2 - 4 * D141)) / 2)</f>
        <v>1.3105478189414228</v>
      </c>
      <c r="AV141" s="27">
        <f>(((H141/2) + SQRT((H141/2)^2 - 4 * D141)) / 2)</f>
        <v>52.527652181058578</v>
      </c>
      <c r="AW141" s="27">
        <f>AU141*2.7*2+AV141*2.7*2</f>
        <v>290.72628000000003</v>
      </c>
      <c r="AX141" s="30">
        <f>AW141/D141</f>
        <v>4.2232173155142361</v>
      </c>
      <c r="AY141" s="30"/>
    </row>
    <row r="142" spans="2:51" x14ac:dyDescent="0.25">
      <c r="B142" s="36" t="s">
        <v>42</v>
      </c>
      <c r="C142" t="s">
        <v>77</v>
      </c>
      <c r="D142" s="37">
        <f>SUM(I142,K142,M142,O142,Q142,S142,U142,W142,Y142,AA142,AC142,AE142,AG142)</f>
        <v>68.95</v>
      </c>
      <c r="E142" s="38">
        <f>COUNTA(U142,W142,Y142,AA142)</f>
        <v>3</v>
      </c>
      <c r="F142" s="38">
        <f>COUNTA(M142,O142,Q142)</f>
        <v>2</v>
      </c>
      <c r="G142" s="38">
        <f>COUNTA(Table1[[#This Row],[A ASEO]])</f>
        <v>0</v>
      </c>
      <c r="H142" s="1">
        <f>SUM(J142,L142,N142,P142,R142,T142,V142,X142,Z142,AB142,AD142,AF142,AH142)</f>
        <v>107.94800000000001</v>
      </c>
      <c r="I142" s="1">
        <v>18</v>
      </c>
      <c r="J142" s="1">
        <f>I142*1.34</f>
        <v>24.12</v>
      </c>
      <c r="K142" s="1">
        <v>7</v>
      </c>
      <c r="L142" s="1">
        <f>K142*1.34</f>
        <v>9.3800000000000008</v>
      </c>
      <c r="M142" s="1">
        <v>3.45</v>
      </c>
      <c r="N142" s="1">
        <f>M142*2.36</f>
        <v>8.1419999999999995</v>
      </c>
      <c r="O142" s="1">
        <v>2.4</v>
      </c>
      <c r="P142" s="1">
        <f>O142*2.36</f>
        <v>5.6639999999999997</v>
      </c>
      <c r="Q142" s="1"/>
      <c r="R142" s="1"/>
      <c r="S142" s="1"/>
      <c r="T142" s="1"/>
      <c r="U142" s="1">
        <v>13.15</v>
      </c>
      <c r="V142" s="1">
        <f>U142*1.34</f>
        <v>17.621000000000002</v>
      </c>
      <c r="W142" s="1">
        <v>9.6</v>
      </c>
      <c r="X142" s="1">
        <f>W142*1.34</f>
        <v>12.864000000000001</v>
      </c>
      <c r="Y142" s="1">
        <v>8.5500000000000007</v>
      </c>
      <c r="Z142" s="1">
        <f>Y142*1.34</f>
        <v>11.457000000000003</v>
      </c>
      <c r="AA142" s="1"/>
      <c r="AB142" s="1"/>
      <c r="AC142" s="1">
        <v>2.5</v>
      </c>
      <c r="AD142" s="1">
        <f>AC142*2.75</f>
        <v>6.875</v>
      </c>
      <c r="AE142" s="1">
        <v>4.3</v>
      </c>
      <c r="AF142" s="1">
        <f>AE142*2.75</f>
        <v>11.824999999999999</v>
      </c>
      <c r="AG142" s="1"/>
      <c r="AH142" s="1"/>
      <c r="AI142" s="39"/>
      <c r="AJ142" s="39"/>
      <c r="AK142" s="34"/>
      <c r="AL142" s="27">
        <f>SUM(I142,U142,W142,Y142,AA142,AC142,AE142,AG142)</f>
        <v>56.099999999999994</v>
      </c>
      <c r="AM142" s="27">
        <f>SUM(K142,M142,O142,Q142,S142)</f>
        <v>12.85</v>
      </c>
      <c r="AN142" s="27">
        <f>SUM(J142,V142,X142,Z142,AB142,AD142,AF142,AH142)</f>
        <v>84.762000000000015</v>
      </c>
      <c r="AO142" s="27">
        <f>SUM(L142,N142,P142,R142,T142)</f>
        <v>23.186</v>
      </c>
      <c r="AP142" s="30">
        <f>SUM(AG142,AE142,AC142,AA142,Y142,W142,U142,I142)/D142</f>
        <v>0.81363306744017405</v>
      </c>
      <c r="AQ142" s="30">
        <f>SUM(K142,M142,O142,Q142,S142)/D142</f>
        <v>0.18636693255982595</v>
      </c>
      <c r="AR142" s="30">
        <f>D142/H142</f>
        <v>0.63873346426056987</v>
      </c>
      <c r="AS142" s="30">
        <f>AL142/AN142</f>
        <v>0.66185318892900102</v>
      </c>
      <c r="AT142" s="30">
        <f>AM142/AO142</f>
        <v>0.55421374967652892</v>
      </c>
      <c r="AU142" s="35">
        <f>(((H142/2) - SQRT((H142/2)^2 - 4 * D142)) / 2)</f>
        <v>1.309224220154892</v>
      </c>
      <c r="AV142" s="27">
        <f>(((H142/2) + SQRT((H142/2)^2 - 4 * D142)) / 2)</f>
        <v>52.664775779845115</v>
      </c>
      <c r="AW142" s="27">
        <f>AU142*2.7*2+AV142*2.7*2</f>
        <v>291.45960000000008</v>
      </c>
      <c r="AX142" s="30">
        <f>AW142/D142</f>
        <v>4.2271153009427129</v>
      </c>
      <c r="AY142" s="30"/>
    </row>
    <row r="143" spans="2:51" x14ac:dyDescent="0.25">
      <c r="B143" s="36" t="s">
        <v>42</v>
      </c>
      <c r="C143" t="s">
        <v>68</v>
      </c>
      <c r="D143" s="37">
        <f>SUM(I143,K143,M143,O143,Q143,S143,U143,W143,Y143,AA143,AC143,AE143,AG143)</f>
        <v>70</v>
      </c>
      <c r="E143" s="38">
        <f>COUNTA(U143,W143,Y143,AA143)</f>
        <v>3</v>
      </c>
      <c r="F143" s="38">
        <f>COUNTA(M143,O143,Q143)</f>
        <v>2</v>
      </c>
      <c r="G143" s="38">
        <f>COUNTA(Table1[[#This Row],[A ASEO]])</f>
        <v>0</v>
      </c>
      <c r="H143" s="1">
        <f>SUM(J143,L143,N143,P143,R143,T143,V143,X143,Z143,AB143,AD143,AF143,AH143)</f>
        <v>109.67150000000001</v>
      </c>
      <c r="I143" s="1">
        <v>18.2</v>
      </c>
      <c r="J143" s="1">
        <f>I143*1.34</f>
        <v>24.388000000000002</v>
      </c>
      <c r="K143" s="1">
        <v>7</v>
      </c>
      <c r="L143" s="1">
        <f>K143*1.34</f>
        <v>9.3800000000000008</v>
      </c>
      <c r="M143" s="1">
        <v>3.4</v>
      </c>
      <c r="N143" s="1">
        <f>M143*2.36</f>
        <v>8.0239999999999991</v>
      </c>
      <c r="O143" s="1">
        <v>2</v>
      </c>
      <c r="P143" s="1">
        <f>O143*2.36</f>
        <v>4.72</v>
      </c>
      <c r="Q143" s="1"/>
      <c r="R143" s="1"/>
      <c r="S143" s="1"/>
      <c r="T143" s="1"/>
      <c r="U143" s="1">
        <v>11.9</v>
      </c>
      <c r="V143" s="1">
        <f>U143*1.34</f>
        <v>15.946000000000002</v>
      </c>
      <c r="W143" s="1">
        <v>11.5</v>
      </c>
      <c r="X143" s="1">
        <f>W143*1.34</f>
        <v>15.41</v>
      </c>
      <c r="Y143" s="1">
        <v>8.65</v>
      </c>
      <c r="Z143" s="1">
        <f>Y143*1.34</f>
        <v>11.591000000000001</v>
      </c>
      <c r="AA143" s="1"/>
      <c r="AB143" s="1"/>
      <c r="AC143" s="1">
        <v>7.35</v>
      </c>
      <c r="AD143" s="1">
        <f>AC143*2.75</f>
        <v>20.212499999999999</v>
      </c>
      <c r="AE143" s="1"/>
      <c r="AF143" s="1"/>
      <c r="AG143" s="1"/>
      <c r="AH143" s="1"/>
      <c r="AI143" s="39"/>
      <c r="AJ143" s="39"/>
      <c r="AK143" s="34"/>
      <c r="AL143" s="27">
        <f>SUM(I143,U143,W143,Y143,AA143,AC143,AE143,AG143)</f>
        <v>57.6</v>
      </c>
      <c r="AM143" s="27">
        <f>SUM(K143,M143,O143,Q143,S143)</f>
        <v>12.4</v>
      </c>
      <c r="AN143" s="27">
        <f>SUM(J143,V143,X143,Z143,AB143,AD143,AF143,AH143)</f>
        <v>87.547500000000014</v>
      </c>
      <c r="AO143" s="27">
        <f>SUM(L143,N143,P143,R143,T143)</f>
        <v>22.123999999999999</v>
      </c>
      <c r="AP143" s="30">
        <f>SUM(AG143,AE143,AC143,AA143,Y143,W143,U143,I143)/D143</f>
        <v>0.82285714285714273</v>
      </c>
      <c r="AQ143" s="30">
        <f>SUM(K143,M143,O143,Q143,S143)/D143</f>
        <v>0.17714285714285716</v>
      </c>
      <c r="AR143" s="30">
        <f>D143/H143</f>
        <v>0.63826974191107078</v>
      </c>
      <c r="AS143" s="30">
        <f>AL143/AN143</f>
        <v>0.6579285530711898</v>
      </c>
      <c r="AT143" s="30">
        <f>AM143/AO143</f>
        <v>0.56047730970891341</v>
      </c>
      <c r="AU143" s="35">
        <f>(((H143/2) - SQRT((H143/2)^2 - 4 * D143)) / 2)</f>
        <v>1.3077262161338865</v>
      </c>
      <c r="AV143" s="27">
        <f>(((H143/2) + SQRT((H143/2)^2 - 4 * D143)) / 2)</f>
        <v>53.528023783866118</v>
      </c>
      <c r="AW143" s="27">
        <f>AU143*2.7*2+AV143*2.7*2</f>
        <v>296.11305000000004</v>
      </c>
      <c r="AX143" s="30">
        <f>AW143/D143</f>
        <v>4.2301864285714288</v>
      </c>
      <c r="AY143" s="30"/>
    </row>
    <row r="144" spans="2:51" x14ac:dyDescent="0.25">
      <c r="B144" s="36" t="s">
        <v>42</v>
      </c>
      <c r="C144" t="s">
        <v>57</v>
      </c>
      <c r="D144" s="37">
        <f>SUM(I144,K144,M144,O144,Q144,S144,U144,W144,Y144,AA144,AC144,AE144,AG144)</f>
        <v>66.78</v>
      </c>
      <c r="E144" s="38">
        <f>COUNTA(U144,W144,Y144,AA144)</f>
        <v>3</v>
      </c>
      <c r="F144" s="38">
        <f>COUNTA(M144,O144,Q144)</f>
        <v>2</v>
      </c>
      <c r="G144" s="38">
        <f>COUNTA(Table1[[#This Row],[A ASEO]])</f>
        <v>0</v>
      </c>
      <c r="H144" s="1">
        <f>SUM(J144,L144,N144,P144,R144,T144,V144,X144,Z144,AB144,AD144,AF144,AH144)</f>
        <v>104.75640000000001</v>
      </c>
      <c r="I144" s="1">
        <v>18.02</v>
      </c>
      <c r="J144" s="1">
        <f>I144*1.34</f>
        <v>24.146800000000002</v>
      </c>
      <c r="K144" s="1">
        <v>7.02</v>
      </c>
      <c r="L144" s="1">
        <f>K144*1.34</f>
        <v>9.4068000000000005</v>
      </c>
      <c r="M144" s="1">
        <v>2.86</v>
      </c>
      <c r="N144" s="1">
        <f>M144*2.36</f>
        <v>6.7495999999999992</v>
      </c>
      <c r="O144" s="1">
        <v>2.85</v>
      </c>
      <c r="P144" s="1">
        <f>O144*2.36</f>
        <v>6.726</v>
      </c>
      <c r="Q144" s="1"/>
      <c r="R144" s="1"/>
      <c r="S144" s="1"/>
      <c r="T144" s="1"/>
      <c r="U144" s="1">
        <v>12.31</v>
      </c>
      <c r="V144" s="1">
        <f>U144*1.34</f>
        <v>16.4954</v>
      </c>
      <c r="W144" s="1">
        <v>8.82</v>
      </c>
      <c r="X144" s="1">
        <f>W144*1.34</f>
        <v>11.818800000000001</v>
      </c>
      <c r="Y144" s="1">
        <v>8.1999999999999993</v>
      </c>
      <c r="Z144" s="1">
        <f>Y144*1.34</f>
        <v>10.988</v>
      </c>
      <c r="AA144" s="1"/>
      <c r="AB144" s="1"/>
      <c r="AC144" s="1">
        <v>3.22</v>
      </c>
      <c r="AD144" s="1">
        <f>AC144*2.75</f>
        <v>8.8550000000000004</v>
      </c>
      <c r="AE144" s="1">
        <v>3.48</v>
      </c>
      <c r="AF144" s="1">
        <f>AE144*2.75</f>
        <v>9.57</v>
      </c>
      <c r="AG144" s="1"/>
      <c r="AH144" s="1"/>
      <c r="AI144" s="39">
        <v>13.11</v>
      </c>
      <c r="AJ144" s="39">
        <f>AI144*0.6</f>
        <v>7.8659999999999997</v>
      </c>
      <c r="AK144" s="34"/>
      <c r="AL144" s="27">
        <f>SUM(I144,U144,W144,Y144,AA144,AC144,AE144,AG144)</f>
        <v>54.04999999999999</v>
      </c>
      <c r="AM144" s="27">
        <f>SUM(K144,M144,O144,Q144,S144)</f>
        <v>12.729999999999999</v>
      </c>
      <c r="AN144" s="27">
        <f>SUM(J144,V144,X144,Z144,AB144,AD144,AF144,AH144)</f>
        <v>81.873999999999995</v>
      </c>
      <c r="AO144" s="27">
        <f>SUM(L144,N144,P144,R144,T144)</f>
        <v>22.882399999999997</v>
      </c>
      <c r="AP144" s="30">
        <f>SUM(AG144,AE144,AC144,AA144,Y144,W144,U144,I144)/D144</f>
        <v>0.80937406409104518</v>
      </c>
      <c r="AQ144" s="30">
        <f>SUM(K144,M144,O144,Q144,S144)/D144</f>
        <v>0.19062593590895474</v>
      </c>
      <c r="AR144" s="30">
        <f>D144/H144</f>
        <v>0.63747895116670672</v>
      </c>
      <c r="AS144" s="30">
        <f>AL144/AN144</f>
        <v>0.6601607347876004</v>
      </c>
      <c r="AT144" s="30">
        <f>AM144/AO144</f>
        <v>0.5563227633465021</v>
      </c>
      <c r="AU144" s="35">
        <f>(((H144/2) - SQRT((H144/2)^2 - 4 * D144)) / 2)</f>
        <v>1.30760167674784</v>
      </c>
      <c r="AV144" s="27">
        <f>(((H144/2) + SQRT((H144/2)^2 - 4 * D144)) / 2)</f>
        <v>51.07059832325217</v>
      </c>
      <c r="AW144" s="27">
        <f>AU144*2.7*2+AV144*2.7*2</f>
        <v>282.84228000000007</v>
      </c>
      <c r="AX144" s="30">
        <f>AW144/D144</f>
        <v>4.2354339622641524</v>
      </c>
      <c r="AY144" s="30"/>
    </row>
    <row r="145" spans="1:51" x14ac:dyDescent="0.25">
      <c r="B145" s="36" t="s">
        <v>42</v>
      </c>
      <c r="C145" t="s">
        <v>65</v>
      </c>
      <c r="D145" s="37">
        <f>SUM(I145,K145,M145,O145,Q145,S145,U145,W145,Y145,AA145,AC145,AE145,AG145)</f>
        <v>75.3</v>
      </c>
      <c r="E145" s="38">
        <f>COUNTA(U145,W145,Y145,AA145)</f>
        <v>3</v>
      </c>
      <c r="F145" s="38">
        <f>COUNTA(M145,O145,Q145)</f>
        <v>1</v>
      </c>
      <c r="G145" s="38">
        <f>COUNTA(Table1[[#This Row],[A ASEO]])</f>
        <v>0</v>
      </c>
      <c r="H145" s="1">
        <f>SUM(J145,L145,N145,P145,R145,T145,V145,X145,Z145,AB145,AD145,AF145,AH145)</f>
        <v>118.1793</v>
      </c>
      <c r="I145" s="1">
        <v>19.04</v>
      </c>
      <c r="J145" s="1">
        <f>I145*1.34</f>
        <v>25.5136</v>
      </c>
      <c r="K145" s="1">
        <v>8.0500000000000007</v>
      </c>
      <c r="L145" s="1">
        <f>K145*1.34</f>
        <v>10.787000000000001</v>
      </c>
      <c r="M145" s="1">
        <v>4.49</v>
      </c>
      <c r="N145" s="1">
        <f>M145*2.36</f>
        <v>10.596399999999999</v>
      </c>
      <c r="O145" s="1"/>
      <c r="P145" s="1"/>
      <c r="Q145" s="1"/>
      <c r="R145" s="1"/>
      <c r="S145" s="1"/>
      <c r="T145" s="1"/>
      <c r="U145" s="1">
        <v>14.24</v>
      </c>
      <c r="V145" s="1">
        <f>U145*1.34</f>
        <v>19.081600000000002</v>
      </c>
      <c r="W145" s="1">
        <v>9.9700000000000006</v>
      </c>
      <c r="X145" s="1">
        <f>W145*1.34</f>
        <v>13.359800000000002</v>
      </c>
      <c r="Y145" s="1">
        <v>9.7799999999999994</v>
      </c>
      <c r="Z145" s="1">
        <f>Y145*1.34</f>
        <v>13.1052</v>
      </c>
      <c r="AA145" s="1"/>
      <c r="AB145" s="1"/>
      <c r="AC145" s="1">
        <v>3.95</v>
      </c>
      <c r="AD145" s="1">
        <f>AC145*2.75</f>
        <v>10.862500000000001</v>
      </c>
      <c r="AE145" s="1">
        <v>3.16</v>
      </c>
      <c r="AF145" s="1">
        <f>AE145*2.75</f>
        <v>8.6900000000000013</v>
      </c>
      <c r="AG145" s="1">
        <v>2.62</v>
      </c>
      <c r="AH145" s="1">
        <f>AG145*2.36</f>
        <v>6.1832000000000003</v>
      </c>
      <c r="AI145" s="39">
        <f>3.18+3.03</f>
        <v>6.21</v>
      </c>
      <c r="AJ145" s="39">
        <f>AI145*0.6</f>
        <v>3.726</v>
      </c>
      <c r="AK145" s="34"/>
      <c r="AL145" s="27">
        <f>SUM(I145,U145,W145,Y145,AA145,AC145,AE145,AG145)</f>
        <v>62.76</v>
      </c>
      <c r="AM145" s="27">
        <f>SUM(K145,M145,O145,Q145,S145)</f>
        <v>12.540000000000001</v>
      </c>
      <c r="AN145" s="27">
        <f>SUM(J145,V145,X145,Z145,AB145,AD145,AF145,AH145)</f>
        <v>96.795900000000003</v>
      </c>
      <c r="AO145" s="27">
        <f>SUM(L145,N145,P145,R145,T145)</f>
        <v>21.383400000000002</v>
      </c>
      <c r="AP145" s="30">
        <f>SUM(AG145,AE145,AC145,AA145,Y145,W145,U145,I145)/D145</f>
        <v>0.83346613545816739</v>
      </c>
      <c r="AQ145" s="30">
        <f>SUM(K145,M145,O145,Q145,S145)/D145</f>
        <v>0.16653386454183269</v>
      </c>
      <c r="AR145" s="30">
        <f>D145/H145</f>
        <v>0.63716742272123794</v>
      </c>
      <c r="AS145" s="30">
        <f>AL145/AN145</f>
        <v>0.64837456958404227</v>
      </c>
      <c r="AT145" s="30">
        <f>AM145/AO145</f>
        <v>0.58643620752546366</v>
      </c>
      <c r="AU145" s="35">
        <f>(((H145/2) - SQRT((H145/2)^2 - 4 * D145)) / 2)</f>
        <v>1.3030707294058104</v>
      </c>
      <c r="AV145" s="27">
        <f>(((H145/2) + SQRT((H145/2)^2 - 4 * D145)) / 2)</f>
        <v>57.786579270594189</v>
      </c>
      <c r="AW145" s="27">
        <f>AU145*2.7*2+AV145*2.7*2</f>
        <v>319.08411000000001</v>
      </c>
      <c r="AX145" s="30">
        <f>AW145/D145</f>
        <v>4.2375047808764945</v>
      </c>
      <c r="AY145" s="30"/>
    </row>
    <row r="146" spans="1:51" x14ac:dyDescent="0.25">
      <c r="B146" s="36" t="s">
        <v>42</v>
      </c>
      <c r="C146" t="s">
        <v>68</v>
      </c>
      <c r="D146" s="37">
        <f>SUM(I146,K146,M146,O146,Q146,S146,U146,W146,Y146,AA146,AC146,AE146,AG146)</f>
        <v>69.2</v>
      </c>
      <c r="E146" s="38">
        <f>COUNTA(U146,W146,Y146,AA146)</f>
        <v>3</v>
      </c>
      <c r="F146" s="38">
        <f>COUNTA(M146,O146,Q146)</f>
        <v>2</v>
      </c>
      <c r="G146" s="38">
        <f>COUNTA(Table1[[#This Row],[A ASEO]])</f>
        <v>0</v>
      </c>
      <c r="H146" s="1">
        <f>SUM(J146,L146,N146,P146,R146,T146,V146,X146,Z146,AB146,AD146,AF146,AH146)</f>
        <v>108.63250000000002</v>
      </c>
      <c r="I146" s="1">
        <v>19.100000000000001</v>
      </c>
      <c r="J146" s="1">
        <f>I146*1.34</f>
        <v>25.594000000000005</v>
      </c>
      <c r="K146" s="1">
        <v>7</v>
      </c>
      <c r="L146" s="1">
        <f>K146*1.34</f>
        <v>9.3800000000000008</v>
      </c>
      <c r="M146" s="1">
        <v>3.25</v>
      </c>
      <c r="N146" s="1">
        <f>M146*2.36</f>
        <v>7.67</v>
      </c>
      <c r="O146" s="1">
        <v>3.15</v>
      </c>
      <c r="P146" s="1">
        <f>O146*2.36</f>
        <v>7.4339999999999993</v>
      </c>
      <c r="Q146" s="1"/>
      <c r="R146" s="1"/>
      <c r="S146" s="1"/>
      <c r="T146" s="1"/>
      <c r="U146" s="1">
        <v>11.8</v>
      </c>
      <c r="V146" s="1">
        <f>U146*1.34</f>
        <v>15.812000000000001</v>
      </c>
      <c r="W146" s="1">
        <v>10.1</v>
      </c>
      <c r="X146" s="1">
        <f>W146*1.34</f>
        <v>13.534000000000001</v>
      </c>
      <c r="Y146" s="1">
        <v>8.15</v>
      </c>
      <c r="Z146" s="1">
        <f>Y146*1.34</f>
        <v>10.921000000000001</v>
      </c>
      <c r="AA146" s="1"/>
      <c r="AB146" s="1"/>
      <c r="AC146" s="1">
        <v>6.65</v>
      </c>
      <c r="AD146" s="1">
        <f>AC146*2.75</f>
        <v>18.287500000000001</v>
      </c>
      <c r="AE146" s="1"/>
      <c r="AF146" s="1"/>
      <c r="AG146" s="1"/>
      <c r="AH146" s="1"/>
      <c r="AI146" s="39">
        <v>1.6</v>
      </c>
      <c r="AJ146" s="39">
        <f>AI146*0.6</f>
        <v>0.96</v>
      </c>
      <c r="AK146" s="34"/>
      <c r="AL146" s="27">
        <f>SUM(I146,U146,W146,Y146,AA146,AC146,AE146,AG146)</f>
        <v>55.8</v>
      </c>
      <c r="AM146" s="27">
        <f>SUM(K146,M146,O146,Q146,S146)</f>
        <v>13.4</v>
      </c>
      <c r="AN146" s="27">
        <f>SUM(J146,V146,X146,Z146,AB146,AD146,AF146,AH146)</f>
        <v>84.148500000000013</v>
      </c>
      <c r="AO146" s="27">
        <f>SUM(L146,N146,P146,R146,T146)</f>
        <v>24.484000000000002</v>
      </c>
      <c r="AP146" s="30">
        <f>SUM(AG146,AE146,AC146,AA146,Y146,W146,U146,I146)/D146</f>
        <v>0.80635838150289019</v>
      </c>
      <c r="AQ146" s="30">
        <f>SUM(K146,M146,O146,Q146,S146)/D146</f>
        <v>0.19364161849710981</v>
      </c>
      <c r="AR146" s="30">
        <f>D146/H146</f>
        <v>0.63701010286976723</v>
      </c>
      <c r="AS146" s="30">
        <f>AL146/AN146</f>
        <v>0.66311342448171973</v>
      </c>
      <c r="AT146" s="30">
        <f>AM146/AO146</f>
        <v>0.54729619343244562</v>
      </c>
      <c r="AU146" s="35">
        <f>(((H146/2) - SQRT((H146/2)^2 - 4 * D146)) / 2)</f>
        <v>1.3053929680536491</v>
      </c>
      <c r="AV146" s="27">
        <f>(((H146/2) + SQRT((H146/2)^2 - 4 * D146)) / 2)</f>
        <v>53.010857031946358</v>
      </c>
      <c r="AW146" s="27">
        <f>AU146*2.7*2+AV146*2.7*2</f>
        <v>293.30775000000006</v>
      </c>
      <c r="AX146" s="30">
        <f>AW146/D146</f>
        <v>4.2385513005780355</v>
      </c>
      <c r="AY146" s="30"/>
    </row>
    <row r="147" spans="1:51" x14ac:dyDescent="0.25">
      <c r="B147" s="36" t="s">
        <v>42</v>
      </c>
      <c r="C147" t="s">
        <v>54</v>
      </c>
      <c r="D147" s="37">
        <f>SUM(I147,K147,M147,O147,Q147,S147,U147,W147,Y147,AA147,AC147,AE147,AG147)</f>
        <v>67.91</v>
      </c>
      <c r="E147" s="38">
        <f>COUNTA(U147,W147,Y147,AA147)</f>
        <v>3</v>
      </c>
      <c r="F147" s="38">
        <f>COUNTA(M147,O147,Q147)</f>
        <v>2</v>
      </c>
      <c r="G147" s="38">
        <f>COUNTA(Table1[[#This Row],[A ASEO]])</f>
        <v>0</v>
      </c>
      <c r="H147" s="1">
        <f>SUM(J147,L147,N147,P147,R147,T147,V147,X147,Z147,AB147,AD147,AF147,AH147)</f>
        <v>106.6156</v>
      </c>
      <c r="I147" s="1">
        <v>18.23</v>
      </c>
      <c r="J147" s="1">
        <f>I147*1.34</f>
        <v>24.4282</v>
      </c>
      <c r="K147" s="1">
        <v>7.03</v>
      </c>
      <c r="L147" s="1">
        <f>K147*1.34</f>
        <v>9.4202000000000012</v>
      </c>
      <c r="M147" s="1">
        <v>4.58</v>
      </c>
      <c r="N147" s="1">
        <f>M147*2.36</f>
        <v>10.8088</v>
      </c>
      <c r="O147" s="1">
        <v>3.21</v>
      </c>
      <c r="P147" s="1">
        <f>O147*2.36</f>
        <v>7.5755999999999997</v>
      </c>
      <c r="Q147" s="1"/>
      <c r="R147" s="1"/>
      <c r="S147" s="1"/>
      <c r="T147" s="1"/>
      <c r="U147" s="1">
        <v>12.01</v>
      </c>
      <c r="V147" s="1">
        <f>U147*1.34</f>
        <v>16.093399999999999</v>
      </c>
      <c r="W147" s="1">
        <v>8.8699999999999992</v>
      </c>
      <c r="X147" s="1">
        <f>W147*1.34</f>
        <v>11.8858</v>
      </c>
      <c r="Y147" s="1">
        <v>8.5399999999999991</v>
      </c>
      <c r="Z147" s="1">
        <f>Y147*1.34</f>
        <v>11.4436</v>
      </c>
      <c r="AA147" s="1"/>
      <c r="AB147" s="1"/>
      <c r="AC147" s="1">
        <v>2.25</v>
      </c>
      <c r="AD147" s="1">
        <f>AC147*2.75</f>
        <v>6.1875</v>
      </c>
      <c r="AE147" s="1">
        <v>3.19</v>
      </c>
      <c r="AF147" s="1">
        <f>AE147*2.75</f>
        <v>8.7724999999999991</v>
      </c>
      <c r="AG147" s="1"/>
      <c r="AH147" s="1"/>
      <c r="AI147" s="39"/>
      <c r="AJ147" s="39"/>
      <c r="AK147" s="34"/>
      <c r="AL147" s="27">
        <f>SUM(I147,U147,W147,Y147,AA147,AC147,AE147,AG147)</f>
        <v>53.089999999999996</v>
      </c>
      <c r="AM147" s="27">
        <f>SUM(K147,M147,O147,Q147,S147)</f>
        <v>14.82</v>
      </c>
      <c r="AN147" s="27">
        <f>SUM(J147,V147,X147,Z147,AB147,AD147,AF147,AH147)</f>
        <v>78.810999999999993</v>
      </c>
      <c r="AO147" s="27">
        <f>SUM(L147,N147,P147,R147,T147)</f>
        <v>27.804600000000001</v>
      </c>
      <c r="AP147" s="30">
        <f>SUM(AG147,AE147,AC147,AA147,Y147,W147,U147,I147)/D147</f>
        <v>0.78176998969223976</v>
      </c>
      <c r="AQ147" s="30">
        <f>SUM(K147,M147,O147,Q147,S147)/D147</f>
        <v>0.21823001030776029</v>
      </c>
      <c r="AR147" s="30">
        <f>D147/H147</f>
        <v>0.63696119517218863</v>
      </c>
      <c r="AS147" s="30">
        <f>AL147/AN147</f>
        <v>0.67363692885510906</v>
      </c>
      <c r="AT147" s="30">
        <f>AM147/AO147</f>
        <v>0.53300533005330053</v>
      </c>
      <c r="AU147" s="35">
        <f>(((H147/2) - SQRT((H147/2)^2 - 4 * D147)) / 2)</f>
        <v>1.3059141784401334</v>
      </c>
      <c r="AV147" s="27">
        <f>(((H147/2) + SQRT((H147/2)^2 - 4 * D147)) / 2)</f>
        <v>52.001885821559867</v>
      </c>
      <c r="AW147" s="27">
        <f>AU147*2.7*2+AV147*2.7*2</f>
        <v>287.86212</v>
      </c>
      <c r="AX147" s="30">
        <f>AW147/D147</f>
        <v>4.2388767486379031</v>
      </c>
      <c r="AY147" s="30"/>
    </row>
    <row r="148" spans="1:51" x14ac:dyDescent="0.25">
      <c r="B148" s="36" t="s">
        <v>42</v>
      </c>
      <c r="C148" t="s">
        <v>71</v>
      </c>
      <c r="D148" s="37">
        <f>SUM(I148,K148,M148,O148,Q148,S148,U148,W148,Y148,AA148,AC148,AE148,AG148)</f>
        <v>69.8</v>
      </c>
      <c r="E148" s="38">
        <f>COUNTA(U148,W148,Y148,AA148)</f>
        <v>3</v>
      </c>
      <c r="F148" s="38">
        <f>COUNTA(M148,O148,Q148)</f>
        <v>1</v>
      </c>
      <c r="G148" s="38">
        <f>COUNTA(Table1[[#This Row],[A ASEO]])</f>
        <v>1</v>
      </c>
      <c r="H148" s="1">
        <f>SUM(J148,L148,N148,P148,R148,T148,V148,X148,Z148,AB148,AD148,AF148,AH148)</f>
        <v>109.64320000000002</v>
      </c>
      <c r="I148" s="1">
        <v>18.93</v>
      </c>
      <c r="J148" s="1">
        <f>I148*1.34</f>
        <v>25.366200000000003</v>
      </c>
      <c r="K148" s="1">
        <v>10</v>
      </c>
      <c r="L148" s="1">
        <f>K148*1.34</f>
        <v>13.4</v>
      </c>
      <c r="M148" s="1">
        <v>4.41</v>
      </c>
      <c r="N148" s="1">
        <f>M148*2.36</f>
        <v>10.4076</v>
      </c>
      <c r="O148" s="1"/>
      <c r="P148" s="1"/>
      <c r="Q148" s="1"/>
      <c r="R148" s="1"/>
      <c r="S148" s="1">
        <v>2.4</v>
      </c>
      <c r="T148" s="1">
        <f>S148*2.36</f>
        <v>5.6639999999999997</v>
      </c>
      <c r="U148" s="1">
        <v>10.91</v>
      </c>
      <c r="V148" s="1">
        <f>U148*1.34</f>
        <v>14.619400000000001</v>
      </c>
      <c r="W148" s="1">
        <v>8.5</v>
      </c>
      <c r="X148" s="1">
        <f>W148*1.34</f>
        <v>11.39</v>
      </c>
      <c r="Y148" s="1">
        <v>8.15</v>
      </c>
      <c r="Z148" s="1">
        <f>Y148*1.34</f>
        <v>10.921000000000001</v>
      </c>
      <c r="AA148" s="1"/>
      <c r="AB148" s="1"/>
      <c r="AC148" s="1">
        <v>2.54</v>
      </c>
      <c r="AD148" s="1">
        <f>AC148*2.75</f>
        <v>6.9850000000000003</v>
      </c>
      <c r="AE148" s="1">
        <v>3.96</v>
      </c>
      <c r="AF148" s="1">
        <f>AE148*2.75</f>
        <v>10.89</v>
      </c>
      <c r="AG148" s="1"/>
      <c r="AH148" s="1"/>
      <c r="AI148" s="39"/>
      <c r="AJ148" s="39"/>
      <c r="AK148" s="34"/>
      <c r="AL148" s="27">
        <f>SUM(I148,U148,W148,Y148,AA148,AC148,AE148,AG148)</f>
        <v>52.99</v>
      </c>
      <c r="AM148" s="27">
        <f>SUM(K148,M148,O148,Q148,S148)</f>
        <v>16.809999999999999</v>
      </c>
      <c r="AN148" s="27">
        <f>SUM(J148,V148,X148,Z148,AB148,AD148,AF148,AH148)</f>
        <v>80.171600000000012</v>
      </c>
      <c r="AO148" s="27">
        <f>SUM(L148,N148,P148,R148,T148)</f>
        <v>29.471600000000002</v>
      </c>
      <c r="AP148" s="30">
        <f>SUM(AG148,AE148,AC148,AA148,Y148,W148,U148,I148)/D148</f>
        <v>0.75916905444126082</v>
      </c>
      <c r="AQ148" s="30">
        <f>SUM(K148,M148,O148,Q148,S148)/D148</f>
        <v>0.24083094555873924</v>
      </c>
      <c r="AR148" s="30">
        <f>D148/H148</f>
        <v>0.63661038714667195</v>
      </c>
      <c r="AS148" s="30">
        <f>AL148/AN148</f>
        <v>0.6609572467058159</v>
      </c>
      <c r="AT148" s="30">
        <f>AM148/AO148</f>
        <v>0.57037961970167883</v>
      </c>
      <c r="AU148" s="35">
        <f>(((H148/2) - SQRT((H148/2)^2 - 4 * D148)) / 2)</f>
        <v>1.3042499284183471</v>
      </c>
      <c r="AV148" s="27">
        <f>(((H148/2) + SQRT((H148/2)^2 - 4 * D148)) / 2)</f>
        <v>53.51735007158166</v>
      </c>
      <c r="AW148" s="27">
        <f>AU148*2.7*2+AV148*2.7*2</f>
        <v>296.03664000000009</v>
      </c>
      <c r="AX148" s="30">
        <f>AW148/D148</f>
        <v>4.2412126074498584</v>
      </c>
      <c r="AY148" s="30"/>
    </row>
    <row r="149" spans="1:51" x14ac:dyDescent="0.25">
      <c r="B149" s="36" t="s">
        <v>42</v>
      </c>
      <c r="C149" t="s">
        <v>54</v>
      </c>
      <c r="D149" s="37">
        <f>SUM(I149,K149,M149,O149,Q149,S149,U149,W149,Y149,AA149,AC149,AE149,AG149)</f>
        <v>69.94</v>
      </c>
      <c r="E149" s="38">
        <f>COUNTA(U149,W149,Y149,AA149)</f>
        <v>3</v>
      </c>
      <c r="F149" s="38">
        <f>COUNTA(M149,O149,Q149)</f>
        <v>2</v>
      </c>
      <c r="G149" s="38">
        <f>COUNTA(Table1[[#This Row],[A ASEO]])</f>
        <v>0</v>
      </c>
      <c r="H149" s="1">
        <f>SUM(J149,L149,N149,P149,R149,T149,V149,X149,Z149,AB149,AD149,AF149,AH149)</f>
        <v>109.8719</v>
      </c>
      <c r="I149" s="1">
        <v>18.079999999999998</v>
      </c>
      <c r="J149" s="1">
        <f>I149*1.34</f>
        <v>24.2272</v>
      </c>
      <c r="K149" s="1">
        <v>7.02</v>
      </c>
      <c r="L149" s="1">
        <f>K149*1.34</f>
        <v>9.4068000000000005</v>
      </c>
      <c r="M149" s="1">
        <v>3.76</v>
      </c>
      <c r="N149" s="1">
        <f>M149*2.36</f>
        <v>8.8735999999999997</v>
      </c>
      <c r="O149" s="1">
        <v>2.8</v>
      </c>
      <c r="P149" s="1">
        <f>O149*2.36</f>
        <v>6.6079999999999997</v>
      </c>
      <c r="Q149" s="1"/>
      <c r="R149" s="1"/>
      <c r="S149" s="1"/>
      <c r="T149" s="1"/>
      <c r="U149" s="1">
        <v>13.76</v>
      </c>
      <c r="V149" s="1">
        <f>U149*1.34</f>
        <v>18.438400000000001</v>
      </c>
      <c r="W149" s="1">
        <v>9.59</v>
      </c>
      <c r="X149" s="1">
        <f>W149*1.34</f>
        <v>12.8506</v>
      </c>
      <c r="Y149" s="1">
        <v>8.2200000000000006</v>
      </c>
      <c r="Z149" s="1">
        <f>Y149*1.34</f>
        <v>11.014800000000001</v>
      </c>
      <c r="AA149" s="1"/>
      <c r="AB149" s="1"/>
      <c r="AC149" s="1">
        <v>3.22</v>
      </c>
      <c r="AD149" s="1">
        <f>AC149*2.75</f>
        <v>8.8550000000000004</v>
      </c>
      <c r="AE149" s="1">
        <v>3.49</v>
      </c>
      <c r="AF149" s="1">
        <f>AE149*2.75</f>
        <v>9.5975000000000001</v>
      </c>
      <c r="AG149" s="1"/>
      <c r="AH149" s="1"/>
      <c r="AI149" s="39"/>
      <c r="AJ149" s="39"/>
      <c r="AK149" s="34"/>
      <c r="AL149" s="27">
        <f>SUM(I149,U149,W149,Y149,AA149,AC149,AE149,AG149)</f>
        <v>56.359999999999992</v>
      </c>
      <c r="AM149" s="27">
        <f>SUM(K149,M149,O149,Q149,S149)</f>
        <v>13.579999999999998</v>
      </c>
      <c r="AN149" s="27">
        <f>SUM(J149,V149,X149,Z149,AB149,AD149,AF149,AH149)</f>
        <v>84.983500000000006</v>
      </c>
      <c r="AO149" s="27">
        <f>SUM(L149,N149,P149,R149,T149)</f>
        <v>24.888400000000001</v>
      </c>
      <c r="AP149" s="30">
        <f>SUM(AG149,AE149,AC149,AA149,Y149,W149,U149,I149)/D149</f>
        <v>0.80583357163282821</v>
      </c>
      <c r="AQ149" s="30">
        <f>SUM(K149,M149,O149,Q149,S149)/D149</f>
        <v>0.19416642836717185</v>
      </c>
      <c r="AR149" s="30">
        <f>D149/H149</f>
        <v>0.63655948427213871</v>
      </c>
      <c r="AS149" s="30">
        <f>AL149/AN149</f>
        <v>0.66318755993810552</v>
      </c>
      <c r="AT149" s="30">
        <f>AM149/AO149</f>
        <v>0.54563571784445752</v>
      </c>
      <c r="AU149" s="35">
        <f>(((H149/2) - SQRT((H149/2)^2 - 4 * D149)) / 2)</f>
        <v>1.3040752409689489</v>
      </c>
      <c r="AV149" s="27">
        <f>(((H149/2) + SQRT((H149/2)^2 - 4 * D149)) / 2)</f>
        <v>53.631874759031049</v>
      </c>
      <c r="AW149" s="27">
        <f>AU149*2.7*2+AV149*2.7*2</f>
        <v>296.65413000000001</v>
      </c>
      <c r="AX149" s="30">
        <f>AW149/D149</f>
        <v>4.2415517586502718</v>
      </c>
      <c r="AY149" s="30"/>
    </row>
    <row r="150" spans="1:51" x14ac:dyDescent="0.25">
      <c r="B150" s="36" t="s">
        <v>42</v>
      </c>
      <c r="C150" t="s">
        <v>71</v>
      </c>
      <c r="D150" s="37">
        <f>SUM(I150,K150,M150,O150,Q150,S150,U150,W150,Y150,AA150,AC150,AE150,AG150)</f>
        <v>63.38</v>
      </c>
      <c r="E150" s="38">
        <f>COUNTA(U150,W150,Y150,AA150)</f>
        <v>3</v>
      </c>
      <c r="F150" s="38">
        <f>COUNTA(M150,O150,Q150)</f>
        <v>1</v>
      </c>
      <c r="G150" s="38">
        <f>COUNTA(Table1[[#This Row],[A ASEO]])</f>
        <v>1</v>
      </c>
      <c r="H150" s="1">
        <f>SUM(J150,L150,N150,P150,R150,T150,V150,X150,Z150,AB150,AD150,AF150,AH150)</f>
        <v>99.63730000000001</v>
      </c>
      <c r="I150" s="1">
        <v>18.62</v>
      </c>
      <c r="J150" s="1">
        <f>I150*1.34</f>
        <v>24.950800000000005</v>
      </c>
      <c r="K150" s="1">
        <v>7.88</v>
      </c>
      <c r="L150" s="1">
        <f>K150*1.34</f>
        <v>10.559200000000001</v>
      </c>
      <c r="M150" s="1">
        <v>3.6</v>
      </c>
      <c r="N150" s="1">
        <f>M150*2.36</f>
        <v>8.4960000000000004</v>
      </c>
      <c r="O150" s="1"/>
      <c r="P150" s="1"/>
      <c r="Q150" s="1"/>
      <c r="R150" s="1"/>
      <c r="S150" s="1">
        <v>2.1800000000000002</v>
      </c>
      <c r="T150" s="1">
        <f>S150*2.36</f>
        <v>5.1448</v>
      </c>
      <c r="U150" s="1">
        <v>10.11</v>
      </c>
      <c r="V150" s="1">
        <f>U150*1.34</f>
        <v>13.5474</v>
      </c>
      <c r="W150" s="1">
        <v>7.38</v>
      </c>
      <c r="X150" s="1">
        <f>W150*1.34</f>
        <v>9.8892000000000007</v>
      </c>
      <c r="Y150" s="1">
        <v>7.36</v>
      </c>
      <c r="Z150" s="1">
        <f>Y150*1.34</f>
        <v>9.8624000000000009</v>
      </c>
      <c r="AA150" s="1"/>
      <c r="AB150" s="1"/>
      <c r="AC150" s="1">
        <v>2.56</v>
      </c>
      <c r="AD150" s="1">
        <f>AC150*2.75</f>
        <v>7.04</v>
      </c>
      <c r="AE150" s="1">
        <v>3.69</v>
      </c>
      <c r="AF150" s="1">
        <f>AE150*2.75</f>
        <v>10.147499999999999</v>
      </c>
      <c r="AG150" s="1"/>
      <c r="AH150" s="1"/>
      <c r="AI150" s="39"/>
      <c r="AJ150" s="39"/>
      <c r="AK150" s="34"/>
      <c r="AL150" s="27">
        <f>SUM(I150,U150,W150,Y150,AA150,AC150,AE150,AG150)</f>
        <v>49.72</v>
      </c>
      <c r="AM150" s="27">
        <f>SUM(K150,M150,O150,Q150,S150)</f>
        <v>13.66</v>
      </c>
      <c r="AN150" s="27">
        <f>SUM(J150,V150,X150,Z150,AB150,AD150,AF150,AH150)</f>
        <v>75.437300000000008</v>
      </c>
      <c r="AO150" s="27">
        <f>SUM(L150,N150,P150,R150,T150)</f>
        <v>24.2</v>
      </c>
      <c r="AP150" s="30">
        <f>SUM(AG150,AE150,AC150,AA150,Y150,W150,U150,I150)/D150</f>
        <v>0.78447459766487848</v>
      </c>
      <c r="AQ150" s="30">
        <f>SUM(K150,M150,O150,Q150,S150)/D150</f>
        <v>0.21552540233512149</v>
      </c>
      <c r="AR150" s="30">
        <f>D150/H150</f>
        <v>0.63610716067175643</v>
      </c>
      <c r="AS150" s="30">
        <f>AL150/AN150</f>
        <v>0.65909039692565874</v>
      </c>
      <c r="AT150" s="30">
        <f>AM150/AO150</f>
        <v>0.56446280991735542</v>
      </c>
      <c r="AU150" s="35">
        <f>(((H150/2) - SQRT((H150/2)^2 - 4 * D150)) / 2)</f>
        <v>1.3064761898325052</v>
      </c>
      <c r="AV150" s="27">
        <f>(((H150/2) + SQRT((H150/2)^2 - 4 * D150)) / 2)</f>
        <v>48.512173810167496</v>
      </c>
      <c r="AW150" s="27">
        <f>AU150*2.7*2+AV150*2.7*2</f>
        <v>269.02071000000001</v>
      </c>
      <c r="AX150" s="30">
        <f>AW150/D150</f>
        <v>4.2445678447459763</v>
      </c>
      <c r="AY150" s="30"/>
    </row>
    <row r="151" spans="1:51" x14ac:dyDescent="0.25">
      <c r="B151" s="36" t="s">
        <v>42</v>
      </c>
      <c r="C151" t="s">
        <v>65</v>
      </c>
      <c r="D151" s="37">
        <f>SUM(I151,K151,M151,O151,Q151,S151,U151,W151,Y151,AA151,AC151,AE151,AG151)</f>
        <v>80.11</v>
      </c>
      <c r="E151" s="38">
        <f>COUNTA(U151,W151,Y151,AA151)</f>
        <v>3</v>
      </c>
      <c r="F151" s="38">
        <f>COUNTA(M151,O151,Q151)</f>
        <v>1</v>
      </c>
      <c r="G151" s="38">
        <f>COUNTA(Table1[[#This Row],[A ASEO]])</f>
        <v>0</v>
      </c>
      <c r="H151" s="1">
        <f>SUM(J151,L151,N151,P151,R151,T151,V151,X151,Z151,AB151,AD151,AF151,AH151)</f>
        <v>126.14150000000001</v>
      </c>
      <c r="I151" s="1">
        <v>22.9</v>
      </c>
      <c r="J151" s="1">
        <f>I151*1.34</f>
        <v>30.686</v>
      </c>
      <c r="K151" s="1">
        <v>10.27</v>
      </c>
      <c r="L151" s="1">
        <f>K151*1.34</f>
        <v>13.761800000000001</v>
      </c>
      <c r="M151" s="1">
        <v>7.27</v>
      </c>
      <c r="N151" s="1">
        <f>M151*2.36</f>
        <v>17.1572</v>
      </c>
      <c r="O151" s="1"/>
      <c r="P151" s="1"/>
      <c r="Q151" s="1"/>
      <c r="R151" s="1"/>
      <c r="S151" s="1"/>
      <c r="T151" s="1"/>
      <c r="U151" s="1">
        <v>14.59</v>
      </c>
      <c r="V151" s="1">
        <f>U151*1.34</f>
        <v>19.550599999999999</v>
      </c>
      <c r="W151" s="1">
        <v>8.7100000000000009</v>
      </c>
      <c r="X151" s="1">
        <f>W151*1.34</f>
        <v>11.671400000000002</v>
      </c>
      <c r="Y151" s="1">
        <v>8.3000000000000007</v>
      </c>
      <c r="Z151" s="1">
        <f>Y151*1.34</f>
        <v>11.122000000000002</v>
      </c>
      <c r="AA151" s="1"/>
      <c r="AB151" s="1"/>
      <c r="AC151" s="1">
        <v>4.21</v>
      </c>
      <c r="AD151" s="1">
        <f>AC151*2.75</f>
        <v>11.577500000000001</v>
      </c>
      <c r="AE151" s="1">
        <v>3.86</v>
      </c>
      <c r="AF151" s="1">
        <f>AE151*2.75</f>
        <v>10.615</v>
      </c>
      <c r="AG151" s="1"/>
      <c r="AH151" s="1"/>
      <c r="AI151" s="39">
        <v>30.82</v>
      </c>
      <c r="AJ151" s="39">
        <f>AI151*0.6</f>
        <v>18.492000000000001</v>
      </c>
      <c r="AK151" s="34"/>
      <c r="AL151" s="27">
        <f>SUM(I151,U151,W151,Y151,AA151,AC151,AE151,AG151)</f>
        <v>62.57</v>
      </c>
      <c r="AM151" s="27">
        <f>SUM(K151,M151,O151,Q151,S151)</f>
        <v>17.54</v>
      </c>
      <c r="AN151" s="27">
        <f>SUM(J151,V151,X151,Z151,AB151,AD151,AF151,AH151)</f>
        <v>95.222499999999997</v>
      </c>
      <c r="AO151" s="27">
        <f>SUM(L151,N151,P151,R151,T151)</f>
        <v>30.919</v>
      </c>
      <c r="AP151" s="30">
        <f>SUM(AG151,AE151,AC151,AA151,Y151,W151,U151,I151)/D151</f>
        <v>0.78105105479965053</v>
      </c>
      <c r="AQ151" s="30">
        <f>SUM(K151,M151,O151,Q151,S151)/D151</f>
        <v>0.21894894520034952</v>
      </c>
      <c r="AR151" s="30">
        <f>D151/H151</f>
        <v>0.63508044537285502</v>
      </c>
      <c r="AS151" s="30">
        <f>AL151/AN151</f>
        <v>0.65709259891307203</v>
      </c>
      <c r="AT151" s="30">
        <f>AM151/AO151</f>
        <v>0.5672887221449594</v>
      </c>
      <c r="AU151" s="35">
        <f>(((H151/2) - SQRT((H151/2)^2 - 4 * D151)) / 2)</f>
        <v>1.2968254912913366</v>
      </c>
      <c r="AV151" s="27">
        <f>(((H151/2) + SQRT((H151/2)^2 - 4 * D151)) / 2)</f>
        <v>61.773924508708667</v>
      </c>
      <c r="AW151" s="27">
        <f>AU151*2.7*2+AV151*2.7*2</f>
        <v>340.58205000000004</v>
      </c>
      <c r="AX151" s="30">
        <f>AW151/D151</f>
        <v>4.2514299088752967</v>
      </c>
      <c r="AY151" s="30"/>
    </row>
    <row r="152" spans="1:51" x14ac:dyDescent="0.25">
      <c r="B152" s="36" t="s">
        <v>42</v>
      </c>
      <c r="C152" t="s">
        <v>71</v>
      </c>
      <c r="D152" s="37">
        <f>SUM(I152,K152,M152,O152,Q152,S152,U152,W152,Y152,AA152,AC152,AE152,AG152)</f>
        <v>64.190000000000012</v>
      </c>
      <c r="E152" s="38">
        <f>COUNTA(U152,W152,Y152,AA152)</f>
        <v>3</v>
      </c>
      <c r="F152" s="38">
        <f>COUNTA(M152,O152,Q152)</f>
        <v>1</v>
      </c>
      <c r="G152" s="38">
        <f>COUNTA(Table1[[#This Row],[A ASEO]])</f>
        <v>1</v>
      </c>
      <c r="H152" s="1">
        <f>SUM(J152,L152,N152,P152,R152,T152,V152,X152,Z152,AB152,AD152,AF152,AH152)</f>
        <v>101.1001</v>
      </c>
      <c r="I152" s="1">
        <v>18.62</v>
      </c>
      <c r="J152" s="1">
        <f>I152*1.34</f>
        <v>24.950800000000005</v>
      </c>
      <c r="K152" s="1">
        <v>8.23</v>
      </c>
      <c r="L152" s="1">
        <f>K152*1.34</f>
        <v>11.028200000000002</v>
      </c>
      <c r="M152" s="1">
        <v>3.75</v>
      </c>
      <c r="N152" s="1">
        <f>M152*2.36</f>
        <v>8.85</v>
      </c>
      <c r="O152" s="1"/>
      <c r="P152" s="1"/>
      <c r="Q152" s="1"/>
      <c r="R152" s="1"/>
      <c r="S152" s="1">
        <v>2.4</v>
      </c>
      <c r="T152" s="1">
        <f>S152*2.36</f>
        <v>5.6639999999999997</v>
      </c>
      <c r="U152" s="1">
        <v>10.199999999999999</v>
      </c>
      <c r="V152" s="1">
        <f>U152*1.34</f>
        <v>13.667999999999999</v>
      </c>
      <c r="W152" s="1">
        <v>7.38</v>
      </c>
      <c r="X152" s="1">
        <f>W152*1.34</f>
        <v>9.8892000000000007</v>
      </c>
      <c r="Y152" s="1">
        <v>7.36</v>
      </c>
      <c r="Z152" s="1">
        <f>Y152*1.34</f>
        <v>9.8624000000000009</v>
      </c>
      <c r="AA152" s="1"/>
      <c r="AB152" s="1"/>
      <c r="AC152" s="1">
        <v>2.56</v>
      </c>
      <c r="AD152" s="1">
        <f>AC152*2.75</f>
        <v>7.04</v>
      </c>
      <c r="AE152" s="1">
        <v>3.69</v>
      </c>
      <c r="AF152" s="1">
        <f>AE152*2.75</f>
        <v>10.147499999999999</v>
      </c>
      <c r="AG152" s="1"/>
      <c r="AH152" s="1"/>
      <c r="AI152" s="39"/>
      <c r="AJ152" s="39"/>
      <c r="AK152" s="34"/>
      <c r="AL152" s="27">
        <f>SUM(I152,U152,W152,Y152,AA152,AC152,AE152,AG152)</f>
        <v>49.81</v>
      </c>
      <c r="AM152" s="27">
        <f>SUM(K152,M152,O152,Q152,S152)</f>
        <v>14.38</v>
      </c>
      <c r="AN152" s="27">
        <f>SUM(J152,V152,X152,Z152,AB152,AD152,AF152,AH152)</f>
        <v>75.557900000000004</v>
      </c>
      <c r="AO152" s="27">
        <f>SUM(L152,N152,P152,R152,T152)</f>
        <v>25.542200000000001</v>
      </c>
      <c r="AP152" s="30">
        <f>SUM(AG152,AE152,AC152,AA152,Y152,W152,U152,I152)/D152</f>
        <v>0.77597756659915862</v>
      </c>
      <c r="AQ152" s="30">
        <f>SUM(K152,M152,O152,Q152,S152)/D152</f>
        <v>0.22402243340084121</v>
      </c>
      <c r="AR152" s="30">
        <f>D152/H152</f>
        <v>0.63491529681968673</v>
      </c>
      <c r="AS152" s="30">
        <f>AL152/AN152</f>
        <v>0.65922954449501636</v>
      </c>
      <c r="AT152" s="30">
        <f>AM152/AO152</f>
        <v>0.56298987557845448</v>
      </c>
      <c r="AU152" s="35">
        <f>(((H152/2) - SQRT((H152/2)^2 - 4 * D152)) / 2)</f>
        <v>1.3034399720836163</v>
      </c>
      <c r="AV152" s="27">
        <f>(((H152/2) + SQRT((H152/2)^2 - 4 * D152)) / 2)</f>
        <v>49.246610027916383</v>
      </c>
      <c r="AW152" s="27">
        <f>AU152*2.7*2+AV152*2.7*2</f>
        <v>272.97026999999997</v>
      </c>
      <c r="AX152" s="30">
        <f>AW152/D152</f>
        <v>4.2525357532325891</v>
      </c>
      <c r="AY152" s="30"/>
    </row>
    <row r="153" spans="1:51" x14ac:dyDescent="0.25">
      <c r="B153" s="36" t="s">
        <v>42</v>
      </c>
      <c r="C153" t="s">
        <v>71</v>
      </c>
      <c r="D153" s="37">
        <f>SUM(I153,K153,M153,O153,Q153,S153,U153,W153,Y153,AA153,AC153,AE153,AG153)</f>
        <v>65.27</v>
      </c>
      <c r="E153" s="38">
        <f>COUNTA(U153,W153,Y153,AA153)</f>
        <v>3</v>
      </c>
      <c r="F153" s="38">
        <f>COUNTA(M153,O153,Q153)</f>
        <v>1</v>
      </c>
      <c r="G153" s="38">
        <f>COUNTA(Table1[[#This Row],[A ASEO]])</f>
        <v>1</v>
      </c>
      <c r="H153" s="1">
        <f>SUM(J153,L153,N153,P153,R153,T153,V153,X153,Z153,AB153,AD153,AF153,AH153)</f>
        <v>102.90400000000001</v>
      </c>
      <c r="I153" s="1">
        <v>19.2</v>
      </c>
      <c r="J153" s="1">
        <f>I153*1.34</f>
        <v>25.728000000000002</v>
      </c>
      <c r="K153" s="1">
        <v>8.42</v>
      </c>
      <c r="L153" s="1">
        <f>K153*1.34</f>
        <v>11.2828</v>
      </c>
      <c r="M153" s="1">
        <v>3.67</v>
      </c>
      <c r="N153" s="1">
        <f>M153*2.36</f>
        <v>8.6611999999999991</v>
      </c>
      <c r="O153" s="1"/>
      <c r="P153" s="1"/>
      <c r="Q153" s="1"/>
      <c r="R153" s="1"/>
      <c r="S153" s="1">
        <v>2.1800000000000002</v>
      </c>
      <c r="T153" s="1">
        <f>S153*2.36</f>
        <v>5.1448</v>
      </c>
      <c r="U153" s="1">
        <v>10.28</v>
      </c>
      <c r="V153" s="1">
        <f>U153*1.34</f>
        <v>13.7752</v>
      </c>
      <c r="W153" s="1">
        <v>7.41</v>
      </c>
      <c r="X153" s="1">
        <f>W153*1.34</f>
        <v>9.9294000000000011</v>
      </c>
      <c r="Y153" s="1">
        <v>7.39</v>
      </c>
      <c r="Z153" s="1">
        <f>Y153*1.34</f>
        <v>9.9025999999999996</v>
      </c>
      <c r="AA153" s="1"/>
      <c r="AB153" s="1"/>
      <c r="AC153" s="1">
        <v>3</v>
      </c>
      <c r="AD153" s="1">
        <f>AC153*2.75</f>
        <v>8.25</v>
      </c>
      <c r="AE153" s="1">
        <v>3.72</v>
      </c>
      <c r="AF153" s="1">
        <f>AE153*2.75</f>
        <v>10.23</v>
      </c>
      <c r="AG153" s="1"/>
      <c r="AH153" s="1"/>
      <c r="AI153" s="39"/>
      <c r="AJ153" s="39"/>
      <c r="AK153" s="34"/>
      <c r="AL153" s="27">
        <f>SUM(I153,U153,W153,Y153,AA153,AC153,AE153,AG153)</f>
        <v>51</v>
      </c>
      <c r="AM153" s="27">
        <f>SUM(K153,M153,O153,Q153,S153)</f>
        <v>14.27</v>
      </c>
      <c r="AN153" s="27">
        <f>SUM(J153,V153,X153,Z153,AB153,AD153,AF153,AH153)</f>
        <v>77.815200000000004</v>
      </c>
      <c r="AO153" s="27">
        <f>SUM(L153,N153,P153,R153,T153)</f>
        <v>25.088799999999999</v>
      </c>
      <c r="AP153" s="30">
        <f>SUM(AG153,AE153,AC153,AA153,Y153,W153,U153,I153)/D153</f>
        <v>0.78136969511260923</v>
      </c>
      <c r="AQ153" s="30">
        <f>SUM(K153,M153,O153,Q153,S153)/D153</f>
        <v>0.21863030488739085</v>
      </c>
      <c r="AR153" s="30">
        <f>D153/H153</f>
        <v>0.63428049444142098</v>
      </c>
      <c r="AS153" s="30">
        <f>AL153/AN153</f>
        <v>0.65539894519322694</v>
      </c>
      <c r="AT153" s="30">
        <f>AM153/AO153</f>
        <v>0.56877969452504706</v>
      </c>
      <c r="AU153" s="35">
        <f>(((H153/2) - SQRT((H153/2)^2 - 4 * D153)) / 2)</f>
        <v>1.3014820723110283</v>
      </c>
      <c r="AV153" s="27">
        <f>(((H153/2) + SQRT((H153/2)^2 - 4 * D153)) / 2)</f>
        <v>50.150517927688981</v>
      </c>
      <c r="AW153" s="27">
        <f>AU153*2.7*2+AV153*2.7*2</f>
        <v>277.84080000000012</v>
      </c>
      <c r="AX153" s="30">
        <f>AW153/D153</f>
        <v>4.2567917879577157</v>
      </c>
      <c r="AY153" s="30"/>
    </row>
    <row r="154" spans="1:51" x14ac:dyDescent="0.25">
      <c r="A154" t="s">
        <v>60</v>
      </c>
      <c r="B154" s="36" t="s">
        <v>42</v>
      </c>
      <c r="C154" t="s">
        <v>65</v>
      </c>
      <c r="D154" s="37">
        <f>SUM(I154,K154,M154,O154,Q154,S154,U154,W154,Y154,AA154,AC154,AE154,AG154)</f>
        <v>84.49</v>
      </c>
      <c r="E154" s="38">
        <f>COUNTA(U154,W154,Y154,AA154)</f>
        <v>3</v>
      </c>
      <c r="F154" s="38">
        <f>COUNTA(M154,O154,Q154)</f>
        <v>1</v>
      </c>
      <c r="G154" s="38">
        <f>COUNTA(Table1[[#This Row],[A ASEO]])</f>
        <v>0</v>
      </c>
      <c r="H154" s="1">
        <f>SUM(J154,L154,N154,P154,R154,T154,V154,X154,Z154,AB154,AD154,AF154,AH154)</f>
        <v>133.26229999999998</v>
      </c>
      <c r="I154" s="1">
        <v>24.75</v>
      </c>
      <c r="J154" s="1">
        <f>I154*1.34</f>
        <v>33.164999999999999</v>
      </c>
      <c r="K154" s="1">
        <v>8.14</v>
      </c>
      <c r="L154" s="1">
        <f>K154*1.34</f>
        <v>10.907600000000002</v>
      </c>
      <c r="M154" s="1">
        <v>6.33</v>
      </c>
      <c r="N154" s="1">
        <f>M154*2.36</f>
        <v>14.938799999999999</v>
      </c>
      <c r="O154" s="1"/>
      <c r="P154" s="1"/>
      <c r="Q154" s="1"/>
      <c r="R154" s="1"/>
      <c r="S154" s="1"/>
      <c r="T154" s="1"/>
      <c r="U154" s="1">
        <v>12.87</v>
      </c>
      <c r="V154" s="1">
        <f>U154*1.34</f>
        <v>17.245799999999999</v>
      </c>
      <c r="W154" s="1">
        <v>11.23</v>
      </c>
      <c r="X154" s="1">
        <f>W154*1.34</f>
        <v>15.048200000000001</v>
      </c>
      <c r="Y154" s="1">
        <v>10.78</v>
      </c>
      <c r="Z154" s="1">
        <f>Y154*1.34</f>
        <v>14.4452</v>
      </c>
      <c r="AA154" s="1"/>
      <c r="AB154" s="1"/>
      <c r="AC154" s="1">
        <v>3.36</v>
      </c>
      <c r="AD154" s="1">
        <f>AC154*2.75</f>
        <v>9.24</v>
      </c>
      <c r="AE154" s="1">
        <v>4.3099999999999996</v>
      </c>
      <c r="AF154" s="1">
        <f>AE154*2.75</f>
        <v>11.852499999999999</v>
      </c>
      <c r="AG154" s="1">
        <v>2.72</v>
      </c>
      <c r="AH154" s="1">
        <f>AG154*2.36</f>
        <v>6.4192</v>
      </c>
      <c r="AI154" s="39">
        <v>2.64</v>
      </c>
      <c r="AJ154" s="39">
        <f>AI154*0.6</f>
        <v>1.5840000000000001</v>
      </c>
      <c r="AK154" s="34"/>
      <c r="AL154" s="27">
        <f>SUM(I154,U154,W154,Y154,AA154,AC154,AE154,AG154)</f>
        <v>70.02</v>
      </c>
      <c r="AM154" s="27">
        <f>SUM(K154,M154,O154,Q154,S154)</f>
        <v>14.47</v>
      </c>
      <c r="AN154" s="27">
        <f>SUM(J154,V154,X154,Z154,AB154,AD154,AF154,AH154)</f>
        <v>107.41590000000001</v>
      </c>
      <c r="AO154" s="27">
        <f>SUM(L154,N154,P154,R154,T154)</f>
        <v>25.846400000000003</v>
      </c>
      <c r="AP154" s="30">
        <f>SUM(AG154,AE154,AC154,AA154,Y154,W154,U154,I154)/D154</f>
        <v>0.82873712865427862</v>
      </c>
      <c r="AQ154" s="30">
        <f>SUM(K154,M154,O154,Q154,S154)/D154</f>
        <v>0.17126287134572141</v>
      </c>
      <c r="AR154" s="30">
        <f>D154/H154</f>
        <v>0.63401277030337921</v>
      </c>
      <c r="AS154" s="30">
        <f>AL154/AN154</f>
        <v>0.65185880302636756</v>
      </c>
      <c r="AT154" s="30">
        <f>AM154/AO154</f>
        <v>0.55984585861087033</v>
      </c>
      <c r="AU154" s="35">
        <f>(((H154/2) - SQRT((H154/2)^2 - 4 * D154)) / 2)</f>
        <v>1.2931213529006769</v>
      </c>
      <c r="AV154" s="27">
        <f>(((H154/2) + SQRT((H154/2)^2 - 4 * D154)) / 2)</f>
        <v>65.338028647099321</v>
      </c>
      <c r="AW154" s="27">
        <f>AU154*2.7*2+AV154*2.7*2</f>
        <v>359.80820999999997</v>
      </c>
      <c r="AX154" s="30">
        <f>AW154/D154</f>
        <v>4.2585893005089357</v>
      </c>
      <c r="AY154" s="30"/>
    </row>
    <row r="155" spans="1:51" x14ac:dyDescent="0.25">
      <c r="B155" s="36" t="s">
        <v>42</v>
      </c>
      <c r="C155" t="s">
        <v>55</v>
      </c>
      <c r="D155" s="37">
        <f>SUM(I155,K155,M155,O155,Q155,S155,U155,W155,Y155,AA155,AC155,AE155,AG155)</f>
        <v>69.11</v>
      </c>
      <c r="E155" s="38">
        <f>COUNTA(U155,W155,Y155,AA155)</f>
        <v>3</v>
      </c>
      <c r="F155" s="38">
        <f>COUNTA(M155,O155,Q155)</f>
        <v>2</v>
      </c>
      <c r="G155" s="38">
        <f>COUNTA(Table1[[#This Row],[A ASEO]])</f>
        <v>0</v>
      </c>
      <c r="H155" s="1">
        <f>SUM(J155,L155,N155,P155,R155,T155,V155,X155,Z155,AB155,AD155,AF155,AH155)</f>
        <v>109.06810000000002</v>
      </c>
      <c r="I155" s="1">
        <v>19.53</v>
      </c>
      <c r="J155" s="1">
        <f>I155*1.34</f>
        <v>26.170200000000005</v>
      </c>
      <c r="K155" s="1">
        <v>7.48</v>
      </c>
      <c r="L155" s="1">
        <f>K155*1.34</f>
        <v>10.023200000000001</v>
      </c>
      <c r="M155" s="1">
        <v>3.57</v>
      </c>
      <c r="N155" s="1">
        <f>M155*2.36</f>
        <v>8.4251999999999985</v>
      </c>
      <c r="O155" s="1">
        <v>2.38</v>
      </c>
      <c r="P155" s="1">
        <f>O155*2.36</f>
        <v>5.6167999999999996</v>
      </c>
      <c r="Q155" s="1"/>
      <c r="R155" s="1"/>
      <c r="S155" s="1"/>
      <c r="T155" s="1"/>
      <c r="U155" s="1">
        <v>12.4</v>
      </c>
      <c r="V155" s="1">
        <f>U155*1.34</f>
        <v>16.616000000000003</v>
      </c>
      <c r="W155" s="1">
        <v>8.2100000000000009</v>
      </c>
      <c r="X155" s="1">
        <f>W155*1.34</f>
        <v>11.001400000000002</v>
      </c>
      <c r="Y155" s="1">
        <v>8.17</v>
      </c>
      <c r="Z155" s="1">
        <f>Y155*1.34</f>
        <v>10.947800000000001</v>
      </c>
      <c r="AA155" s="1"/>
      <c r="AB155" s="1"/>
      <c r="AC155" s="1">
        <v>1.26</v>
      </c>
      <c r="AD155" s="1">
        <f>AC155*2.75</f>
        <v>3.4649999999999999</v>
      </c>
      <c r="AE155" s="1">
        <v>6.11</v>
      </c>
      <c r="AF155" s="1">
        <f>AE155*2.75</f>
        <v>16.802500000000002</v>
      </c>
      <c r="AG155" s="1"/>
      <c r="AH155" s="1"/>
      <c r="AI155" s="39"/>
      <c r="AJ155" s="39"/>
      <c r="AK155" s="34"/>
      <c r="AL155" s="27">
        <f>SUM(I155,U155,W155,Y155,AA155,AC155,AE155,AG155)</f>
        <v>55.68</v>
      </c>
      <c r="AM155" s="27">
        <f>SUM(K155,M155,O155,Q155,S155)</f>
        <v>13.43</v>
      </c>
      <c r="AN155" s="27">
        <f>SUM(J155,V155,X155,Z155,AB155,AD155,AF155,AH155)</f>
        <v>85.002900000000011</v>
      </c>
      <c r="AO155" s="27">
        <f>SUM(L155,N155,P155,R155,T155)</f>
        <v>24.065199999999997</v>
      </c>
      <c r="AP155" s="30">
        <f>SUM(AG155,AE155,AC155,AA155,Y155,W155,U155,I155)/D155</f>
        <v>0.80567211691506291</v>
      </c>
      <c r="AQ155" s="30">
        <f>SUM(K155,M155,O155,Q155,S155)/D155</f>
        <v>0.19432788308493706</v>
      </c>
      <c r="AR155" s="30">
        <f>D155/H155</f>
        <v>0.63364081706750175</v>
      </c>
      <c r="AS155" s="30">
        <f>AL155/AN155</f>
        <v>0.65503647522613928</v>
      </c>
      <c r="AT155" s="30">
        <f>AM155/AO155</f>
        <v>0.55806725063577289</v>
      </c>
      <c r="AU155" s="35">
        <f>(((H155/2) - SQRT((H155/2)^2 - 4 * D155)) / 2)</f>
        <v>1.2981849729478689</v>
      </c>
      <c r="AV155" s="27">
        <f>(((H155/2) + SQRT((H155/2)^2 - 4 * D155)) / 2)</f>
        <v>53.235865027052142</v>
      </c>
      <c r="AW155" s="27">
        <f>AU155*2.7*2+AV155*2.7*2</f>
        <v>294.48387000000008</v>
      </c>
      <c r="AX155" s="30">
        <f>AW155/D155</f>
        <v>4.2610891332658092</v>
      </c>
      <c r="AY155" s="30"/>
    </row>
    <row r="156" spans="1:51" x14ac:dyDescent="0.25">
      <c r="B156" s="36" t="s">
        <v>42</v>
      </c>
      <c r="C156" t="s">
        <v>71</v>
      </c>
      <c r="D156" s="37">
        <f>SUM(I156,K156,M156,O156,Q156,S156,U156,W156,Y156,AA156,AC156,AE156,AG156)</f>
        <v>66.55</v>
      </c>
      <c r="E156" s="38">
        <f>COUNTA(U156,W156,Y156,AA156)</f>
        <v>3</v>
      </c>
      <c r="F156" s="38">
        <f>COUNTA(M156,O156,Q156)</f>
        <v>1</v>
      </c>
      <c r="G156" s="38">
        <f>COUNTA(Table1[[#This Row],[A ASEO]])</f>
        <v>1</v>
      </c>
      <c r="H156" s="1">
        <f>SUM(J156,L156,N156,P156,R156,T156,V156,X156,Z156,AB156,AD156,AF156,AH156)</f>
        <v>105.09769999999999</v>
      </c>
      <c r="I156" s="1">
        <v>18.809999999999999</v>
      </c>
      <c r="J156" s="1">
        <f>I156*1.34</f>
        <v>25.205400000000001</v>
      </c>
      <c r="K156" s="1">
        <v>10.02</v>
      </c>
      <c r="L156" s="1">
        <f>K156*1.34</f>
        <v>13.4268</v>
      </c>
      <c r="M156" s="1">
        <v>3.6</v>
      </c>
      <c r="N156" s="1">
        <f>M156*2.36</f>
        <v>8.4960000000000004</v>
      </c>
      <c r="O156" s="1"/>
      <c r="P156" s="1"/>
      <c r="Q156" s="1"/>
      <c r="R156" s="1"/>
      <c r="S156" s="1">
        <v>2.1800000000000002</v>
      </c>
      <c r="T156" s="1">
        <f>S156*2.36</f>
        <v>5.1448</v>
      </c>
      <c r="U156" s="1">
        <v>10.11</v>
      </c>
      <c r="V156" s="1">
        <f>U156*1.34</f>
        <v>13.5474</v>
      </c>
      <c r="W156" s="1">
        <v>7.38</v>
      </c>
      <c r="X156" s="1">
        <f>W156*1.34</f>
        <v>9.8892000000000007</v>
      </c>
      <c r="Y156" s="1">
        <v>7.34</v>
      </c>
      <c r="Z156" s="1">
        <f>Y156*1.34</f>
        <v>9.8356000000000012</v>
      </c>
      <c r="AA156" s="1"/>
      <c r="AB156" s="1"/>
      <c r="AC156" s="1">
        <v>3.42</v>
      </c>
      <c r="AD156" s="1">
        <f>AC156*2.75</f>
        <v>9.4049999999999994</v>
      </c>
      <c r="AE156" s="1">
        <v>3.69</v>
      </c>
      <c r="AF156" s="1">
        <f>AE156*2.75</f>
        <v>10.147499999999999</v>
      </c>
      <c r="AG156" s="1"/>
      <c r="AH156" s="1"/>
      <c r="AI156" s="39"/>
      <c r="AJ156" s="39"/>
      <c r="AK156" s="34"/>
      <c r="AL156" s="27">
        <f>SUM(I156,U156,W156,Y156,AA156,AC156,AE156,AG156)</f>
        <v>50.75</v>
      </c>
      <c r="AM156" s="27">
        <f>SUM(K156,M156,O156,Q156,S156)</f>
        <v>15.799999999999999</v>
      </c>
      <c r="AN156" s="27">
        <f>SUM(J156,V156,X156,Z156,AB156,AD156,AF156,AH156)</f>
        <v>78.03009999999999</v>
      </c>
      <c r="AO156" s="27">
        <f>SUM(L156,N156,P156,R156,T156)</f>
        <v>27.067600000000002</v>
      </c>
      <c r="AP156" s="30">
        <f>SUM(AG156,AE156,AC156,AA156,Y156,W156,U156,I156)/D156</f>
        <v>0.76258452291510148</v>
      </c>
      <c r="AQ156" s="30">
        <f>SUM(K156,M156,O156,Q156,S156)/D156</f>
        <v>0.23741547708489857</v>
      </c>
      <c r="AR156" s="30">
        <f>D156/H156</f>
        <v>0.63322032737157907</v>
      </c>
      <c r="AS156" s="30">
        <f>AL156/AN156</f>
        <v>0.65039004179156512</v>
      </c>
      <c r="AT156" s="30">
        <f>AM156/AO156</f>
        <v>0.5837237139606023</v>
      </c>
      <c r="AU156" s="35">
        <f>(((H156/2) - SQRT((H156/2)^2 - 4 * D156)) / 2)</f>
        <v>1.2985284379018722</v>
      </c>
      <c r="AV156" s="27">
        <f>(((H156/2) + SQRT((H156/2)^2 - 4 * D156)) / 2)</f>
        <v>51.250321562098122</v>
      </c>
      <c r="AW156" s="27">
        <f>AU156*2.7*2+AV156*2.7*2</f>
        <v>283.76378999999997</v>
      </c>
      <c r="AX156" s="30">
        <f>AW156/D156</f>
        <v>4.2639187077385419</v>
      </c>
      <c r="AY156" s="30"/>
    </row>
    <row r="157" spans="1:51" x14ac:dyDescent="0.25">
      <c r="B157" s="36" t="s">
        <v>42</v>
      </c>
      <c r="C157" t="s">
        <v>65</v>
      </c>
      <c r="D157" s="37">
        <f>SUM(I157,K157,M157,O157,Q157,S157,U157,W157,Y157,AA157,AC157,AE157,AG157)</f>
        <v>74.28</v>
      </c>
      <c r="E157" s="38">
        <f>COUNTA(U157,W157,Y157,AA157)</f>
        <v>3</v>
      </c>
      <c r="F157" s="38">
        <f>COUNTA(M157,O157,Q157)</f>
        <v>1</v>
      </c>
      <c r="G157" s="38">
        <f>COUNTA(Table1[[#This Row],[A ASEO]])</f>
        <v>0</v>
      </c>
      <c r="H157" s="1">
        <f>SUM(J157,L157,N157,P157,R157,T157,V157,X157,Z157,AB157,AD157,AF157,AH157)</f>
        <v>117.62280000000001</v>
      </c>
      <c r="I157" s="1">
        <v>18.48</v>
      </c>
      <c r="J157" s="1">
        <f>I157*1.34</f>
        <v>24.763200000000001</v>
      </c>
      <c r="K157" s="1">
        <v>7.82</v>
      </c>
      <c r="L157" s="1">
        <f>K157*1.34</f>
        <v>10.478800000000001</v>
      </c>
      <c r="M157" s="1">
        <v>4.3</v>
      </c>
      <c r="N157" s="1">
        <f>M157*2.36</f>
        <v>10.148</v>
      </c>
      <c r="O157" s="1"/>
      <c r="P157" s="1"/>
      <c r="Q157" s="1"/>
      <c r="R157" s="1"/>
      <c r="S157" s="1"/>
      <c r="T157" s="1"/>
      <c r="U157" s="1">
        <v>15.73</v>
      </c>
      <c r="V157" s="1">
        <f>U157*1.34</f>
        <v>21.078200000000002</v>
      </c>
      <c r="W157" s="1">
        <v>9.51</v>
      </c>
      <c r="X157" s="1">
        <f>W157*1.34</f>
        <v>12.743400000000001</v>
      </c>
      <c r="Y157" s="1">
        <v>8.02</v>
      </c>
      <c r="Z157" s="1">
        <f>Y157*1.34</f>
        <v>10.7468</v>
      </c>
      <c r="AA157" s="1"/>
      <c r="AB157" s="1"/>
      <c r="AC157" s="1">
        <v>2.72</v>
      </c>
      <c r="AD157" s="1">
        <f>AC157*2.75</f>
        <v>7.48</v>
      </c>
      <c r="AE157" s="1">
        <v>5.16</v>
      </c>
      <c r="AF157" s="1">
        <f>AE157*2.75</f>
        <v>14.190000000000001</v>
      </c>
      <c r="AG157" s="1">
        <v>2.54</v>
      </c>
      <c r="AH157" s="1">
        <f>AG157*2.36</f>
        <v>5.9943999999999997</v>
      </c>
      <c r="AI157" s="39">
        <v>3.55</v>
      </c>
      <c r="AJ157" s="39">
        <f>AI157*0.6</f>
        <v>2.13</v>
      </c>
      <c r="AK157" s="34"/>
      <c r="AL157" s="27">
        <f>SUM(I157,U157,W157,Y157,AA157,AC157,AE157,AG157)</f>
        <v>62.159999999999989</v>
      </c>
      <c r="AM157" s="27">
        <f>SUM(K157,M157,O157,Q157,S157)</f>
        <v>12.120000000000001</v>
      </c>
      <c r="AN157" s="27">
        <f>SUM(J157,V157,X157,Z157,AB157,AD157,AF157,AH157)</f>
        <v>96.996000000000009</v>
      </c>
      <c r="AO157" s="27">
        <f>SUM(L157,N157,P157,R157,T157)</f>
        <v>20.626800000000003</v>
      </c>
      <c r="AP157" s="30">
        <f>SUM(AG157,AE157,AC157,AA157,Y157,W157,U157,I157)/D157</f>
        <v>0.83683360258481421</v>
      </c>
      <c r="AQ157" s="30">
        <f>SUM(K157,M157,O157,Q157,S157)/D157</f>
        <v>0.16316639741518579</v>
      </c>
      <c r="AR157" s="30">
        <f>D157/H157</f>
        <v>0.63151021740682922</v>
      </c>
      <c r="AS157" s="30">
        <f>AL157/AN157</f>
        <v>0.64085116912037587</v>
      </c>
      <c r="AT157" s="30">
        <f>AM157/AO157</f>
        <v>0.58758508348362326</v>
      </c>
      <c r="AU157" s="35">
        <f>(((H157/2) - SQRT((H157/2)^2 - 4 * D157)) / 2)</f>
        <v>1.2913763821357414</v>
      </c>
      <c r="AV157" s="27">
        <f>(((H157/2) + SQRT((H157/2)^2 - 4 * D157)) / 2)</f>
        <v>57.520023617864268</v>
      </c>
      <c r="AW157" s="27">
        <f>AU157*2.7*2+AV157*2.7*2</f>
        <v>317.58156000000008</v>
      </c>
      <c r="AX157" s="30">
        <f>AW157/D157</f>
        <v>4.2754652665589674</v>
      </c>
      <c r="AY157" s="30"/>
    </row>
    <row r="158" spans="1:51" x14ac:dyDescent="0.25">
      <c r="B158" s="36" t="s">
        <v>42</v>
      </c>
      <c r="C158" t="s">
        <v>55</v>
      </c>
      <c r="D158" s="37">
        <f>SUM(I158,K158,M158,O158,Q158,S158,U158,W158,Y158,AA158,AC158,AE158,AG158)</f>
        <v>67.95</v>
      </c>
      <c r="E158" s="38">
        <f>COUNTA(U158,W158,Y158,AA158)</f>
        <v>3</v>
      </c>
      <c r="F158" s="38">
        <f>COUNTA(M158,O158,Q158)</f>
        <v>2</v>
      </c>
      <c r="G158" s="38">
        <f>COUNTA(Table1[[#This Row],[A ASEO]])</f>
        <v>0</v>
      </c>
      <c r="H158" s="1">
        <f>SUM(J158,L158,N158,P158,R158,T158,V158,X158,Z158,AB158,AD158,AF158,AH158)</f>
        <v>107.6001</v>
      </c>
      <c r="I158" s="1">
        <v>18.14</v>
      </c>
      <c r="J158" s="1">
        <f>I158*1.34</f>
        <v>24.307600000000001</v>
      </c>
      <c r="K158" s="1">
        <v>7.57</v>
      </c>
      <c r="L158" s="1">
        <f>K158*1.34</f>
        <v>10.143800000000001</v>
      </c>
      <c r="M158" s="1">
        <v>3.57</v>
      </c>
      <c r="N158" s="1">
        <f>M158*2.36</f>
        <v>8.4251999999999985</v>
      </c>
      <c r="O158" s="1">
        <v>2.52</v>
      </c>
      <c r="P158" s="1">
        <f>O158*2.36</f>
        <v>5.9471999999999996</v>
      </c>
      <c r="Q158" s="1"/>
      <c r="R158" s="1"/>
      <c r="S158" s="1"/>
      <c r="T158" s="1"/>
      <c r="U158" s="1">
        <v>12.44</v>
      </c>
      <c r="V158" s="1">
        <f>U158*1.34</f>
        <v>16.669599999999999</v>
      </c>
      <c r="W158" s="1">
        <v>8.26</v>
      </c>
      <c r="X158" s="1">
        <f>W158*1.34</f>
        <v>11.0684</v>
      </c>
      <c r="Y158" s="1">
        <v>8.1199999999999992</v>
      </c>
      <c r="Z158" s="1">
        <f>Y158*1.34</f>
        <v>10.880799999999999</v>
      </c>
      <c r="AA158" s="1"/>
      <c r="AB158" s="1"/>
      <c r="AC158" s="1">
        <v>1.27</v>
      </c>
      <c r="AD158" s="1">
        <f>AC158*2.75</f>
        <v>3.4925000000000002</v>
      </c>
      <c r="AE158" s="1">
        <v>6.06</v>
      </c>
      <c r="AF158" s="1">
        <f>AE158*2.75</f>
        <v>16.664999999999999</v>
      </c>
      <c r="AG158" s="1"/>
      <c r="AH158" s="1"/>
      <c r="AI158" s="39"/>
      <c r="AJ158" s="39"/>
      <c r="AK158" s="34"/>
      <c r="AL158" s="27">
        <f>SUM(I158,U158,W158,Y158,AA158,AC158,AE158,AG158)</f>
        <v>54.29</v>
      </c>
      <c r="AM158" s="27">
        <f>SUM(K158,M158,O158,Q158,S158)</f>
        <v>13.66</v>
      </c>
      <c r="AN158" s="27">
        <f>SUM(J158,V158,X158,Z158,AB158,AD158,AF158,AH158)</f>
        <v>83.0839</v>
      </c>
      <c r="AO158" s="27">
        <f>SUM(L158,N158,P158,R158,T158)</f>
        <v>24.516199999999998</v>
      </c>
      <c r="AP158" s="30">
        <f>SUM(AG158,AE158,AC158,AA158,Y158,W158,U158,I158)/D158</f>
        <v>0.79896983075791017</v>
      </c>
      <c r="AQ158" s="30">
        <f>SUM(K158,M158,O158,Q158,S158)/D158</f>
        <v>0.20103016924208977</v>
      </c>
      <c r="AR158" s="30">
        <f>D158/H158</f>
        <v>0.63150498930763077</v>
      </c>
      <c r="AS158" s="30">
        <f>AL158/AN158</f>
        <v>0.65343586422880962</v>
      </c>
      <c r="AT158" s="30">
        <f>AM158/AO158</f>
        <v>0.55718259762932276</v>
      </c>
      <c r="AU158" s="35">
        <f>(((H158/2) - SQRT((H158/2)^2 - 4 * D158)) / 2)</f>
        <v>1.2941400318793903</v>
      </c>
      <c r="AV158" s="27">
        <f>(((H158/2) + SQRT((H158/2)^2 - 4 * D158)) / 2)</f>
        <v>52.505909968120605</v>
      </c>
      <c r="AW158" s="27">
        <f>AU158*2.7*2+AV158*2.7*2</f>
        <v>290.52026999999998</v>
      </c>
      <c r="AX158" s="30">
        <f>AW158/D158</f>
        <v>4.2755006622516554</v>
      </c>
      <c r="AY158" s="30"/>
    </row>
    <row r="159" spans="1:51" x14ac:dyDescent="0.25">
      <c r="B159" s="36" t="s">
        <v>42</v>
      </c>
      <c r="C159" t="s">
        <v>55</v>
      </c>
      <c r="D159" s="37">
        <f>SUM(I159,K159,M159,O159,Q159,S159,U159,W159,Y159,AA159,AC159,AE159,AG159)</f>
        <v>66.75</v>
      </c>
      <c r="E159" s="38">
        <f>COUNTA(U159,W159,Y159,AA159)</f>
        <v>3</v>
      </c>
      <c r="F159" s="38">
        <f>COUNTA(M159,O159,Q159)</f>
        <v>2</v>
      </c>
      <c r="G159" s="38">
        <f>COUNTA(Table1[[#This Row],[A ASEO]])</f>
        <v>0</v>
      </c>
      <c r="H159" s="1">
        <f>SUM(J159,L159,N159,P159,R159,T159,V159,X159,Z159,AB159,AD159,AF159,AH159)</f>
        <v>105.72359999999999</v>
      </c>
      <c r="I159" s="1">
        <v>18.149999999999999</v>
      </c>
      <c r="J159" s="1">
        <f>I159*1.34</f>
        <v>24.320999999999998</v>
      </c>
      <c r="K159" s="1">
        <v>7.26</v>
      </c>
      <c r="L159" s="1">
        <f>K159*1.34</f>
        <v>9.7284000000000006</v>
      </c>
      <c r="M159" s="1">
        <v>3.36</v>
      </c>
      <c r="N159" s="1">
        <f>M159*2.36</f>
        <v>7.9295999999999989</v>
      </c>
      <c r="O159" s="1">
        <v>2.37</v>
      </c>
      <c r="P159" s="1">
        <f>O159*2.36</f>
        <v>5.5932000000000004</v>
      </c>
      <c r="Q159" s="1"/>
      <c r="R159" s="1"/>
      <c r="S159" s="1"/>
      <c r="T159" s="1"/>
      <c r="U159" s="1">
        <v>12.12</v>
      </c>
      <c r="V159" s="1">
        <f>U159*1.34</f>
        <v>16.2408</v>
      </c>
      <c r="W159" s="1">
        <v>8.09</v>
      </c>
      <c r="X159" s="1">
        <f>W159*1.34</f>
        <v>10.8406</v>
      </c>
      <c r="Y159" s="1">
        <v>8</v>
      </c>
      <c r="Z159" s="1">
        <f>Y159*1.34</f>
        <v>10.72</v>
      </c>
      <c r="AA159" s="1"/>
      <c r="AB159" s="1"/>
      <c r="AC159" s="1">
        <v>1.1499999999999999</v>
      </c>
      <c r="AD159" s="1">
        <f>AC159*2.75</f>
        <v>3.1624999999999996</v>
      </c>
      <c r="AE159" s="1">
        <v>6.25</v>
      </c>
      <c r="AF159" s="1">
        <f>AE159*2.75</f>
        <v>17.1875</v>
      </c>
      <c r="AG159" s="1"/>
      <c r="AH159" s="1"/>
      <c r="AI159" s="39"/>
      <c r="AJ159" s="39"/>
      <c r="AK159" s="34"/>
      <c r="AL159" s="27">
        <f>SUM(I159,U159,W159,Y159,AA159,AC159,AE159,AG159)</f>
        <v>53.76</v>
      </c>
      <c r="AM159" s="27">
        <f>SUM(K159,M159,O159,Q159,S159)</f>
        <v>12.989999999999998</v>
      </c>
      <c r="AN159" s="27">
        <f>SUM(J159,V159,X159,Z159,AB159,AD159,AF159,AH159)</f>
        <v>82.472399999999993</v>
      </c>
      <c r="AO159" s="27">
        <f>SUM(L159,N159,P159,R159,T159)</f>
        <v>23.251200000000001</v>
      </c>
      <c r="AP159" s="30">
        <f>SUM(AG159,AE159,AC159,AA159,Y159,W159,U159,I159)/D159</f>
        <v>0.8053932584269663</v>
      </c>
      <c r="AQ159" s="30">
        <f>SUM(K159,M159,O159,Q159,S159)/D159</f>
        <v>0.19460674157303368</v>
      </c>
      <c r="AR159" s="30">
        <f>D159/H159</f>
        <v>0.631363290693847</v>
      </c>
      <c r="AS159" s="30">
        <f>AL159/AN159</f>
        <v>0.65185443857581449</v>
      </c>
      <c r="AT159" s="30">
        <f>AM159/AO159</f>
        <v>0.55868084227910808</v>
      </c>
      <c r="AU159" s="35">
        <f>(((H159/2) - SQRT((H159/2)^2 - 4 * D159)) / 2)</f>
        <v>1.29442302310445</v>
      </c>
      <c r="AV159" s="27">
        <f>(((H159/2) + SQRT((H159/2)^2 - 4 * D159)) / 2)</f>
        <v>51.567376976895545</v>
      </c>
      <c r="AW159" s="27">
        <f>AU159*2.7*2+AV159*2.7*2</f>
        <v>285.45371999999998</v>
      </c>
      <c r="AX159" s="30">
        <f>AW159/D159</f>
        <v>4.2764602247191004</v>
      </c>
      <c r="AY159" s="30"/>
    </row>
    <row r="160" spans="1:51" x14ac:dyDescent="0.25">
      <c r="B160" s="36" t="s">
        <v>42</v>
      </c>
      <c r="C160" t="s">
        <v>54</v>
      </c>
      <c r="D160" s="37">
        <f>SUM(I160,K160,M160,O160,Q160,S160,U160,W160,Y160,AA160,AC160,AE160,AG160)</f>
        <v>78.48</v>
      </c>
      <c r="E160" s="38">
        <f>COUNTA(U160,W160,Y160,AA160)</f>
        <v>3</v>
      </c>
      <c r="F160" s="38">
        <f>COUNTA(M160,O160,Q160)</f>
        <v>1</v>
      </c>
      <c r="G160" s="38">
        <f>COUNTA(Table1[[#This Row],[A ASEO]])</f>
        <v>0</v>
      </c>
      <c r="H160" s="1">
        <f>SUM(J160,L160,N160,P160,R160,T160,V160,X160,Z160,AB160,AD160,AF160,AH160)</f>
        <v>124.35960000000001</v>
      </c>
      <c r="I160" s="1">
        <v>19.510000000000002</v>
      </c>
      <c r="J160" s="1">
        <f>I160*1.34</f>
        <v>26.143400000000003</v>
      </c>
      <c r="K160" s="1">
        <v>8.25</v>
      </c>
      <c r="L160" s="1">
        <f>K160*1.34</f>
        <v>11.055000000000001</v>
      </c>
      <c r="M160" s="1">
        <v>5.19</v>
      </c>
      <c r="N160" s="1">
        <f>M160*2.36</f>
        <v>12.2484</v>
      </c>
      <c r="O160" s="1"/>
      <c r="P160" s="1"/>
      <c r="Q160" s="1"/>
      <c r="R160" s="1"/>
      <c r="S160" s="1"/>
      <c r="T160" s="1"/>
      <c r="U160" s="1">
        <v>14.45</v>
      </c>
      <c r="V160" s="1">
        <f>U160*1.34</f>
        <v>19.363</v>
      </c>
      <c r="W160" s="1">
        <v>13</v>
      </c>
      <c r="X160" s="1">
        <f>W160*1.34</f>
        <v>17.420000000000002</v>
      </c>
      <c r="Y160" s="1">
        <v>8.2200000000000006</v>
      </c>
      <c r="Z160" s="1">
        <f>Y160*1.34</f>
        <v>11.014800000000001</v>
      </c>
      <c r="AA160" s="1"/>
      <c r="AB160" s="1"/>
      <c r="AC160" s="1">
        <v>4.91</v>
      </c>
      <c r="AD160" s="1">
        <f>AC160*2.75</f>
        <v>13.502500000000001</v>
      </c>
      <c r="AE160" s="1">
        <v>4.95</v>
      </c>
      <c r="AF160" s="1">
        <f>AE160*2.75</f>
        <v>13.612500000000001</v>
      </c>
      <c r="AG160" s="1"/>
      <c r="AH160" s="1"/>
      <c r="AI160" s="39"/>
      <c r="AJ160" s="39"/>
      <c r="AK160" s="34"/>
      <c r="AL160" s="27">
        <f>SUM(I160,U160,W160,Y160,AA160,AC160,AE160,AG160)</f>
        <v>65.040000000000006</v>
      </c>
      <c r="AM160" s="27">
        <f>SUM(K160,M160,O160,Q160,S160)</f>
        <v>13.440000000000001</v>
      </c>
      <c r="AN160" s="27">
        <f>SUM(J160,V160,X160,Z160,AB160,AD160,AF160,AH160)</f>
        <v>101.0562</v>
      </c>
      <c r="AO160" s="27">
        <f>SUM(L160,N160,P160,R160,T160)</f>
        <v>23.303400000000003</v>
      </c>
      <c r="AP160" s="30">
        <f>SUM(AG160,AE160,AC160,AA160,Y160,W160,U160,I160)/D160</f>
        <v>0.82874617737003065</v>
      </c>
      <c r="AQ160" s="30">
        <f>SUM(K160,M160,O160,Q160,S160)/D160</f>
        <v>0.17125382262996944</v>
      </c>
      <c r="AR160" s="30">
        <f>D160/H160</f>
        <v>0.63107311377649977</v>
      </c>
      <c r="AS160" s="30">
        <f>AL160/AN160</f>
        <v>0.64360227279474203</v>
      </c>
      <c r="AT160" s="30">
        <f>AM160/AO160</f>
        <v>0.57673987486804501</v>
      </c>
      <c r="AU160" s="35">
        <f>(((H160/2) - SQRT((H160/2)^2 - 4 * D160)) / 2)</f>
        <v>1.2888617293289606</v>
      </c>
      <c r="AV160" s="27">
        <f>(((H160/2) + SQRT((H160/2)^2 - 4 * D160)) / 2)</f>
        <v>60.890938270671043</v>
      </c>
      <c r="AW160" s="27">
        <f>AU160*2.7*2+AV160*2.7*2</f>
        <v>335.77092000000005</v>
      </c>
      <c r="AX160" s="30">
        <f>AW160/D160</f>
        <v>4.2784266055045874</v>
      </c>
      <c r="AY160" s="30"/>
    </row>
    <row r="161" spans="1:51" x14ac:dyDescent="0.25">
      <c r="A161" t="s">
        <v>60</v>
      </c>
      <c r="B161" s="36" t="s">
        <v>42</v>
      </c>
      <c r="C161" t="s">
        <v>55</v>
      </c>
      <c r="D161" s="37">
        <f>SUM(I161,K161,M161,O161,Q161,S161,U161,W161,Y161,AA161,AC161,AE161,AG161)</f>
        <v>69.990000000000009</v>
      </c>
      <c r="E161" s="38">
        <f>COUNTA(U161,W161,Y161,AA161)</f>
        <v>3</v>
      </c>
      <c r="F161" s="38">
        <f>COUNTA(M161,O161,Q161)</f>
        <v>2</v>
      </c>
      <c r="G161" s="38">
        <f>COUNTA(Table1[[#This Row],[A ASEO]])</f>
        <v>0</v>
      </c>
      <c r="H161" s="1">
        <f>SUM(J161,L161,N161,P161,R161,T161,V161,X161,Z161,AB161,AD161,AF161,AH161)</f>
        <v>111.08610000000002</v>
      </c>
      <c r="I161" s="1">
        <v>19.96</v>
      </c>
      <c r="J161" s="1">
        <f>I161*1.34</f>
        <v>26.746400000000001</v>
      </c>
      <c r="K161" s="1">
        <v>7.09</v>
      </c>
      <c r="L161" s="1">
        <f>K161*1.34</f>
        <v>9.5006000000000004</v>
      </c>
      <c r="M161" s="1">
        <v>3.92</v>
      </c>
      <c r="N161" s="1">
        <f>M161*2.36</f>
        <v>9.251199999999999</v>
      </c>
      <c r="O161" s="1">
        <v>2.88</v>
      </c>
      <c r="P161" s="1">
        <f>O161*2.36</f>
        <v>6.7967999999999993</v>
      </c>
      <c r="Q161" s="1"/>
      <c r="R161" s="1"/>
      <c r="S161" s="1"/>
      <c r="T161" s="1"/>
      <c r="U161" s="1">
        <v>12</v>
      </c>
      <c r="V161" s="1">
        <f>U161*1.34</f>
        <v>16.080000000000002</v>
      </c>
      <c r="W161" s="1">
        <v>8.41</v>
      </c>
      <c r="X161" s="1">
        <f>W161*1.34</f>
        <v>11.269400000000001</v>
      </c>
      <c r="Y161" s="1">
        <v>8.3800000000000008</v>
      </c>
      <c r="Z161" s="1">
        <f>Y161*1.34</f>
        <v>11.229200000000002</v>
      </c>
      <c r="AA161" s="1"/>
      <c r="AB161" s="1"/>
      <c r="AC161" s="1">
        <v>1.17</v>
      </c>
      <c r="AD161" s="1">
        <f>AC161*2.75</f>
        <v>3.2174999999999998</v>
      </c>
      <c r="AE161" s="1">
        <v>6.18</v>
      </c>
      <c r="AF161" s="1">
        <f>AE161*2.75</f>
        <v>16.994999999999997</v>
      </c>
      <c r="AG161" s="1"/>
      <c r="AH161" s="1"/>
      <c r="AI161" s="39"/>
      <c r="AJ161" s="39"/>
      <c r="AK161" s="34"/>
      <c r="AL161" s="27">
        <f>SUM(I161,U161,W161,Y161,AA161,AC161,AE161,AG161)</f>
        <v>56.100000000000009</v>
      </c>
      <c r="AM161" s="27">
        <f>SUM(K161,M161,O161,Q161,S161)</f>
        <v>13.89</v>
      </c>
      <c r="AN161" s="27">
        <f>SUM(J161,V161,X161,Z161,AB161,AD161,AF161,AH161)</f>
        <v>85.537500000000023</v>
      </c>
      <c r="AO161" s="27">
        <f>SUM(L161,N161,P161,R161,T161)</f>
        <v>25.5486</v>
      </c>
      <c r="AP161" s="30">
        <f>SUM(AG161,AE161,AC161,AA161,Y161,W161,U161,I161)/D161</f>
        <v>0.80154307758251175</v>
      </c>
      <c r="AQ161" s="30">
        <f>SUM(K161,M161,O161,Q161,S161)/D161</f>
        <v>0.19845692241748819</v>
      </c>
      <c r="AR161" s="30">
        <f>D161/H161</f>
        <v>0.63005182466573229</v>
      </c>
      <c r="AS161" s="30">
        <f>AL161/AN161</f>
        <v>0.65585269618588327</v>
      </c>
      <c r="AT161" s="30">
        <f>AM161/AO161</f>
        <v>0.54366971184331037</v>
      </c>
      <c r="AU161" s="35">
        <f>(((H161/2) - SQRT((H161/2)^2 - 4 * D161)) / 2)</f>
        <v>1.2900673206043081</v>
      </c>
      <c r="AV161" s="27">
        <f>(((H161/2) + SQRT((H161/2)^2 - 4 * D161)) / 2)</f>
        <v>54.2529826793957</v>
      </c>
      <c r="AW161" s="27">
        <f>AU161*2.7*2+AV161*2.7*2</f>
        <v>299.93247000000008</v>
      </c>
      <c r="AX161" s="30">
        <f>AW161/D161</f>
        <v>4.2853617659665675</v>
      </c>
      <c r="AY161" s="30"/>
    </row>
    <row r="162" spans="1:51" x14ac:dyDescent="0.25">
      <c r="B162" s="36" t="s">
        <v>42</v>
      </c>
      <c r="C162" t="s">
        <v>77</v>
      </c>
      <c r="D162" s="37">
        <f>SUM(I162,K162,M162,O162,Q162,S162,U162,W162,Y162,AA162,AC162,AE162,AG162)</f>
        <v>69.75</v>
      </c>
      <c r="E162" s="38">
        <f>COUNTA(U162,W162,Y162,AA162)</f>
        <v>3</v>
      </c>
      <c r="F162" s="38">
        <f>COUNTA(M162,O162,Q162)</f>
        <v>2</v>
      </c>
      <c r="G162" s="38">
        <f>COUNTA(Table1[[#This Row],[A ASEO]])</f>
        <v>0</v>
      </c>
      <c r="H162" s="1">
        <f>SUM(J162,L162,N162,P162,R162,T162,V162,X162,Z162,AB162,AD162,AF162,AH162)</f>
        <v>110.709</v>
      </c>
      <c r="I162" s="1">
        <v>18</v>
      </c>
      <c r="J162" s="1">
        <f>I162*1.34</f>
        <v>24.12</v>
      </c>
      <c r="K162" s="1">
        <v>7.1</v>
      </c>
      <c r="L162" s="1">
        <f>K162*1.34</f>
        <v>9.5139999999999993</v>
      </c>
      <c r="M162" s="1">
        <v>4.1500000000000004</v>
      </c>
      <c r="N162" s="1">
        <f>M162*2.36</f>
        <v>9.7940000000000005</v>
      </c>
      <c r="O162" s="1">
        <v>2.25</v>
      </c>
      <c r="P162" s="1">
        <f>O162*2.36</f>
        <v>5.31</v>
      </c>
      <c r="Q162" s="1"/>
      <c r="R162" s="1"/>
      <c r="S162" s="1"/>
      <c r="T162" s="1"/>
      <c r="U162" s="1">
        <v>11.75</v>
      </c>
      <c r="V162" s="1">
        <f>U162*1.34</f>
        <v>15.745000000000001</v>
      </c>
      <c r="W162" s="1">
        <v>9.75</v>
      </c>
      <c r="X162" s="1">
        <f>W162*1.34</f>
        <v>13.065000000000001</v>
      </c>
      <c r="Y162" s="1">
        <v>9.15</v>
      </c>
      <c r="Z162" s="1">
        <f>Y162*1.34</f>
        <v>12.261000000000001</v>
      </c>
      <c r="AA162" s="1"/>
      <c r="AB162" s="1"/>
      <c r="AC162" s="1">
        <v>2.75</v>
      </c>
      <c r="AD162" s="1">
        <f>AC162*2.75</f>
        <v>7.5625</v>
      </c>
      <c r="AE162" s="1">
        <v>4.8499999999999996</v>
      </c>
      <c r="AF162" s="1">
        <f>AE162*2.75</f>
        <v>13.337499999999999</v>
      </c>
      <c r="AG162" s="1"/>
      <c r="AH162" s="1"/>
      <c r="AI162" s="39"/>
      <c r="AJ162" s="39"/>
      <c r="AK162" s="34"/>
      <c r="AL162" s="27">
        <f>SUM(I162,U162,W162,Y162,AA162,AC162,AE162,AG162)</f>
        <v>56.25</v>
      </c>
      <c r="AM162" s="27">
        <f>SUM(K162,M162,O162,Q162,S162)</f>
        <v>13.5</v>
      </c>
      <c r="AN162" s="27">
        <f>SUM(J162,V162,X162,Z162,AB162,AD162,AF162,AH162)</f>
        <v>86.091000000000008</v>
      </c>
      <c r="AO162" s="27">
        <f>SUM(L162,N162,P162,R162,T162)</f>
        <v>24.617999999999999</v>
      </c>
      <c r="AP162" s="30">
        <f>SUM(AG162,AE162,AC162,AA162,Y162,W162,U162,I162)/D162</f>
        <v>0.80645161290322576</v>
      </c>
      <c r="AQ162" s="30">
        <f>SUM(K162,M162,O162,Q162,S162)/D162</f>
        <v>0.19354838709677419</v>
      </c>
      <c r="AR162" s="30">
        <f>D162/H162</f>
        <v>0.63003007885537754</v>
      </c>
      <c r="AS162" s="30">
        <f>AL162/AN162</f>
        <v>0.6533784019235459</v>
      </c>
      <c r="AT162" s="30">
        <f>AM162/AO162</f>
        <v>0.54837923470631245</v>
      </c>
      <c r="AU162" s="35">
        <f>(((H162/2) - SQRT((H162/2)^2 - 4 * D162)) / 2)</f>
        <v>1.2901287556789356</v>
      </c>
      <c r="AV162" s="27">
        <f>(((H162/2) + SQRT((H162/2)^2 - 4 * D162)) / 2)</f>
        <v>54.064371244321066</v>
      </c>
      <c r="AW162" s="27">
        <f>AU162*2.7*2+AV162*2.7*2</f>
        <v>298.91430000000003</v>
      </c>
      <c r="AX162" s="30">
        <f>AW162/D162</f>
        <v>4.2855096774193555</v>
      </c>
      <c r="AY162" s="30"/>
    </row>
    <row r="163" spans="1:51" x14ac:dyDescent="0.25">
      <c r="B163" s="36" t="s">
        <v>42</v>
      </c>
      <c r="C163" t="s">
        <v>65</v>
      </c>
      <c r="D163" s="37">
        <f>SUM(I163,K163,M163,O163,Q163,S163,U163,W163,Y163,AA163,AC163,AE163,AG163)</f>
        <v>72.150000000000006</v>
      </c>
      <c r="E163" s="38">
        <f>COUNTA(U163,W163,Y163,AA163)</f>
        <v>3</v>
      </c>
      <c r="F163" s="38">
        <f>COUNTA(M163,O163,Q163)</f>
        <v>1</v>
      </c>
      <c r="G163" s="38">
        <f>COUNTA(Table1[[#This Row],[A ASEO]])</f>
        <v>0</v>
      </c>
      <c r="H163" s="1">
        <f>SUM(J163,L163,N163,P163,R163,T163,V163,X163,Z163,AB163,AD163,AF163,AH163)</f>
        <v>114.55289999999999</v>
      </c>
      <c r="I163" s="1">
        <v>19.2</v>
      </c>
      <c r="J163" s="1">
        <f>I163*1.34</f>
        <v>25.728000000000002</v>
      </c>
      <c r="K163" s="1">
        <v>7.87</v>
      </c>
      <c r="L163" s="1">
        <f>K163*1.34</f>
        <v>10.545800000000002</v>
      </c>
      <c r="M163" s="1">
        <v>4.79</v>
      </c>
      <c r="N163" s="1">
        <f>M163*2.36</f>
        <v>11.304399999999999</v>
      </c>
      <c r="O163" s="1"/>
      <c r="P163" s="1"/>
      <c r="Q163" s="1"/>
      <c r="R163" s="1"/>
      <c r="S163" s="1"/>
      <c r="T163" s="1"/>
      <c r="U163" s="1">
        <v>12.7</v>
      </c>
      <c r="V163" s="1">
        <f>U163*1.34</f>
        <v>17.018000000000001</v>
      </c>
      <c r="W163" s="1">
        <v>9.4600000000000009</v>
      </c>
      <c r="X163" s="1">
        <f>W163*1.34</f>
        <v>12.676400000000003</v>
      </c>
      <c r="Y163" s="1">
        <v>8.92</v>
      </c>
      <c r="Z163" s="1">
        <f>Y163*1.34</f>
        <v>11.9528</v>
      </c>
      <c r="AA163" s="1"/>
      <c r="AB163" s="1"/>
      <c r="AC163" s="1">
        <v>3.69</v>
      </c>
      <c r="AD163" s="1">
        <f>AC163*2.75</f>
        <v>10.147499999999999</v>
      </c>
      <c r="AE163" s="1">
        <v>5.52</v>
      </c>
      <c r="AF163" s="1">
        <f>AE163*2.75</f>
        <v>15.18</v>
      </c>
      <c r="AG163" s="1"/>
      <c r="AH163" s="1"/>
      <c r="AI163" s="39">
        <v>23.82</v>
      </c>
      <c r="AJ163" s="39">
        <f>AI163*0.6</f>
        <v>14.292</v>
      </c>
      <c r="AK163" s="34"/>
      <c r="AL163" s="27">
        <f>SUM(I163,U163,W163,Y163,AA163,AC163,AE163,AG163)</f>
        <v>59.489999999999995</v>
      </c>
      <c r="AM163" s="27">
        <f>SUM(K163,M163,O163,Q163,S163)</f>
        <v>12.66</v>
      </c>
      <c r="AN163" s="27">
        <f>SUM(J163,V163,X163,Z163,AB163,AD163,AF163,AH163)</f>
        <v>92.702699999999993</v>
      </c>
      <c r="AO163" s="27">
        <f>SUM(L163,N163,P163,R163,T163)</f>
        <v>21.850200000000001</v>
      </c>
      <c r="AP163" s="30">
        <f>SUM(AG163,AE163,AC163,AA163,Y163,W163,U163,I163)/D163</f>
        <v>0.82453222453222441</v>
      </c>
      <c r="AQ163" s="30">
        <f>SUM(K163,M163,O163,Q163,S163)/D163</f>
        <v>0.17546777546777545</v>
      </c>
      <c r="AR163" s="30">
        <f>D163/H163</f>
        <v>0.62984001278012181</v>
      </c>
      <c r="AS163" s="30">
        <f>AL163/AN163</f>
        <v>0.64172888168305775</v>
      </c>
      <c r="AT163" s="30">
        <f>AM163/AO163</f>
        <v>0.5793997308949117</v>
      </c>
      <c r="AU163" s="35">
        <f>(((H163/2) - SQRT((H163/2)^2 - 4 * D163)) / 2)</f>
        <v>1.2886741599839056</v>
      </c>
      <c r="AV163" s="27">
        <f>(((H163/2) + SQRT((H163/2)^2 - 4 * D163)) / 2)</f>
        <v>55.987775840016091</v>
      </c>
      <c r="AW163" s="27">
        <f>AU163*2.7*2+AV163*2.7*2</f>
        <v>309.29282999999998</v>
      </c>
      <c r="AX163" s="30">
        <f>AW163/D163</f>
        <v>4.2868029106029102</v>
      </c>
      <c r="AY163" s="30"/>
    </row>
    <row r="164" spans="1:51" x14ac:dyDescent="0.25">
      <c r="A164" t="s">
        <v>60</v>
      </c>
      <c r="B164" s="36" t="s">
        <v>42</v>
      </c>
      <c r="C164" t="s">
        <v>68</v>
      </c>
      <c r="D164" s="37">
        <f>SUM(I164,K164,M164,O164,Q164,S164,U164,W164,Y164,AA164,AC164,AE164,AG164)</f>
        <v>70</v>
      </c>
      <c r="E164" s="38">
        <f>COUNTA(U164,W164,Y164,AA164)</f>
        <v>3</v>
      </c>
      <c r="F164" s="38">
        <f>COUNTA(M164,O164,Q164)</f>
        <v>2</v>
      </c>
      <c r="G164" s="38">
        <f>COUNTA(Table1[[#This Row],[A ASEO]])</f>
        <v>0</v>
      </c>
      <c r="H164" s="1">
        <f>SUM(J164,L164,N164,P164,R164,T164,V164,X164,Z164,AB164,AD164,AF164,AH164)</f>
        <v>111.2045</v>
      </c>
      <c r="I164" s="1">
        <v>18.3</v>
      </c>
      <c r="J164" s="1">
        <f>I164*1.34</f>
        <v>24.522000000000002</v>
      </c>
      <c r="K164" s="1">
        <v>7.6</v>
      </c>
      <c r="L164" s="1">
        <f>K164*1.34</f>
        <v>10.183999999999999</v>
      </c>
      <c r="M164" s="1">
        <v>3.75</v>
      </c>
      <c r="N164" s="1">
        <f>M164*2.36</f>
        <v>8.85</v>
      </c>
      <c r="O164" s="1">
        <v>2.6</v>
      </c>
      <c r="P164" s="1">
        <f>O164*2.36</f>
        <v>6.1360000000000001</v>
      </c>
      <c r="Q164" s="1"/>
      <c r="R164" s="1"/>
      <c r="S164" s="1"/>
      <c r="T164" s="1"/>
      <c r="U164" s="1">
        <v>10.9</v>
      </c>
      <c r="V164" s="1">
        <f>U164*1.34</f>
        <v>14.606000000000002</v>
      </c>
      <c r="W164" s="1">
        <v>10.45</v>
      </c>
      <c r="X164" s="1">
        <f>W164*1.34</f>
        <v>14.003</v>
      </c>
      <c r="Y164" s="1">
        <v>8.65</v>
      </c>
      <c r="Z164" s="1">
        <f>Y164*1.34</f>
        <v>11.591000000000001</v>
      </c>
      <c r="AA164" s="1"/>
      <c r="AB164" s="1"/>
      <c r="AC164" s="1">
        <v>2.75</v>
      </c>
      <c r="AD164" s="1">
        <f>AC164*2.75</f>
        <v>7.5625</v>
      </c>
      <c r="AE164" s="1">
        <v>5</v>
      </c>
      <c r="AF164" s="1">
        <f>AE164*2.75</f>
        <v>13.75</v>
      </c>
      <c r="AG164" s="1"/>
      <c r="AH164" s="1"/>
      <c r="AI164" s="39"/>
      <c r="AJ164" s="39"/>
      <c r="AK164" s="34"/>
      <c r="AL164" s="27">
        <f>SUM(I164,U164,W164,Y164,AA164,AC164,AE164,AG164)</f>
        <v>56.050000000000004</v>
      </c>
      <c r="AM164" s="27">
        <f>SUM(K164,M164,O164,Q164,S164)</f>
        <v>13.95</v>
      </c>
      <c r="AN164" s="27">
        <f>SUM(J164,V164,X164,Z164,AB164,AD164,AF164,AH164)</f>
        <v>86.034500000000008</v>
      </c>
      <c r="AO164" s="27">
        <f>SUM(L164,N164,P164,R164,T164)</f>
        <v>25.169999999999998</v>
      </c>
      <c r="AP164" s="30">
        <f>SUM(AG164,AE164,AC164,AA164,Y164,W164,U164,I164)/D164</f>
        <v>0.80071428571428571</v>
      </c>
      <c r="AQ164" s="30">
        <f>SUM(K164,M164,O164,Q164,S164)/D164</f>
        <v>0.19928571428571429</v>
      </c>
      <c r="AR164" s="30">
        <f>D164/H164</f>
        <v>0.62947092968360097</v>
      </c>
      <c r="AS164" s="30">
        <f>AL164/AN164</f>
        <v>0.65148283537418128</v>
      </c>
      <c r="AT164" s="30">
        <f>AM164/AO164</f>
        <v>0.55423122765196664</v>
      </c>
      <c r="AU164" s="35">
        <f>(((H164/2) - SQRT((H164/2)^2 - 4 * D164)) / 2)</f>
        <v>1.2888155708758546</v>
      </c>
      <c r="AV164" s="27">
        <f>(((H164/2) + SQRT((H164/2)^2 - 4 * D164)) / 2)</f>
        <v>54.313434429124143</v>
      </c>
      <c r="AW164" s="27">
        <f>AU164*2.7*2+AV164*2.7*2</f>
        <v>300.25215000000003</v>
      </c>
      <c r="AX164" s="30">
        <f>AW164/D164</f>
        <v>4.2893164285714294</v>
      </c>
      <c r="AY164" s="30"/>
    </row>
    <row r="165" spans="1:51" x14ac:dyDescent="0.25">
      <c r="B165" s="36" t="s">
        <v>42</v>
      </c>
      <c r="C165" t="s">
        <v>55</v>
      </c>
      <c r="D165" s="37">
        <f>SUM(I165,K165,M165,O165,Q165,S165,U165,W165,Y165,AA165,AC165,AE165,AG165)</f>
        <v>68.540000000000006</v>
      </c>
      <c r="E165" s="38">
        <f>COUNTA(U165,W165,Y165,AA165)</f>
        <v>3</v>
      </c>
      <c r="F165" s="38">
        <f>COUNTA(M165,O165,Q165)</f>
        <v>2</v>
      </c>
      <c r="G165" s="38">
        <f>COUNTA(Table1[[#This Row],[A ASEO]])</f>
        <v>0</v>
      </c>
      <c r="H165" s="1">
        <f>SUM(J165,L165,N165,P165,R165,T165,V165,X165,Z165,AB165,AD165,AF165,AH165)</f>
        <v>108.99760000000001</v>
      </c>
      <c r="I165" s="1">
        <v>18.489999999999998</v>
      </c>
      <c r="J165" s="1">
        <f>I165*1.34</f>
        <v>24.776599999999998</v>
      </c>
      <c r="K165" s="1">
        <v>7.59</v>
      </c>
      <c r="L165" s="1">
        <f>K165*1.34</f>
        <v>10.1706</v>
      </c>
      <c r="M165" s="1">
        <v>3.78</v>
      </c>
      <c r="N165" s="1">
        <f>M165*2.36</f>
        <v>8.9207999999999998</v>
      </c>
      <c r="O165" s="1">
        <v>3.14</v>
      </c>
      <c r="P165" s="1">
        <f>O165*2.36</f>
        <v>7.4104000000000001</v>
      </c>
      <c r="Q165" s="1"/>
      <c r="R165" s="1"/>
      <c r="S165" s="1"/>
      <c r="T165" s="1"/>
      <c r="U165" s="1">
        <v>12.03</v>
      </c>
      <c r="V165" s="1">
        <f>U165*1.34</f>
        <v>16.120200000000001</v>
      </c>
      <c r="W165" s="1">
        <v>8.25</v>
      </c>
      <c r="X165" s="1">
        <f>W165*1.34</f>
        <v>11.055000000000001</v>
      </c>
      <c r="Y165" s="1">
        <v>8.1</v>
      </c>
      <c r="Z165" s="1">
        <f>Y165*1.34</f>
        <v>10.854000000000001</v>
      </c>
      <c r="AA165" s="1"/>
      <c r="AB165" s="1"/>
      <c r="AC165" s="1">
        <v>1.24</v>
      </c>
      <c r="AD165" s="1">
        <f>AC165*2.75</f>
        <v>3.41</v>
      </c>
      <c r="AE165" s="1">
        <v>5.92</v>
      </c>
      <c r="AF165" s="1">
        <f>AE165*2.75</f>
        <v>16.28</v>
      </c>
      <c r="AG165" s="1"/>
      <c r="AH165" s="1"/>
      <c r="AI165" s="39"/>
      <c r="AJ165" s="39"/>
      <c r="AK165" s="34"/>
      <c r="AL165" s="27">
        <f>SUM(I165,U165,W165,Y165,AA165,AC165,AE165,AG165)</f>
        <v>54.03</v>
      </c>
      <c r="AM165" s="27">
        <f>SUM(K165,M165,O165,Q165,S165)</f>
        <v>14.51</v>
      </c>
      <c r="AN165" s="27">
        <f>SUM(J165,V165,X165,Z165,AB165,AD165,AF165,AH165)</f>
        <v>82.495800000000003</v>
      </c>
      <c r="AO165" s="27">
        <f>SUM(L165,N165,P165,R165,T165)</f>
        <v>26.501799999999999</v>
      </c>
      <c r="AP165" s="30">
        <f>SUM(AG165,AE165,AC165,AA165,Y165,W165,U165,I165)/D165</f>
        <v>0.78829880361832505</v>
      </c>
      <c r="AQ165" s="30">
        <f>SUM(K165,M165,O165,Q165,S165)/D165</f>
        <v>0.21170119638167492</v>
      </c>
      <c r="AR165" s="30">
        <f>D165/H165</f>
        <v>0.62882118505361584</v>
      </c>
      <c r="AS165" s="30">
        <f>AL165/AN165</f>
        <v>0.65494243343297476</v>
      </c>
      <c r="AT165" s="30">
        <f>AM165/AO165</f>
        <v>0.54750998045415789</v>
      </c>
      <c r="AU165" s="35">
        <f>(((H165/2) - SQRT((H165/2)^2 - 4 * D165)) / 2)</f>
        <v>1.2880864669755177</v>
      </c>
      <c r="AV165" s="27">
        <f>(((H165/2) + SQRT((H165/2)^2 - 4 * D165)) / 2)</f>
        <v>53.210713533024489</v>
      </c>
      <c r="AW165" s="27">
        <f>AU165*2.7*2+AV165*2.7*2</f>
        <v>294.29352000000006</v>
      </c>
      <c r="AX165" s="30">
        <f>AW165/D165</f>
        <v>4.2937484680478555</v>
      </c>
      <c r="AY165" s="30"/>
    </row>
    <row r="166" spans="1:51" x14ac:dyDescent="0.25">
      <c r="B166" s="36" t="s">
        <v>42</v>
      </c>
      <c r="C166" t="s">
        <v>69</v>
      </c>
      <c r="D166" s="37">
        <f>SUM(I166,K166,M166,O166,Q166,S166,U166,W166,Y166,AA166,AC166,AE166,AG166)</f>
        <v>67.84</v>
      </c>
      <c r="E166" s="38">
        <f>COUNTA(U166,W166,Y166,AA166)</f>
        <v>3</v>
      </c>
      <c r="F166" s="38">
        <f>COUNTA(M166,O166,Q166)</f>
        <v>2</v>
      </c>
      <c r="G166" s="38">
        <f>COUNTA(Table1[[#This Row],[A ASEO]])</f>
        <v>0</v>
      </c>
      <c r="H166" s="1">
        <f>SUM(J166,L166,N166,P166,R166,T166,V166,X166,Z166,AB166,AD166,AF166,AH166)</f>
        <v>107.90870000000001</v>
      </c>
      <c r="I166" s="1">
        <v>18.39</v>
      </c>
      <c r="J166" s="1">
        <f>I166*1.34</f>
        <v>24.642600000000002</v>
      </c>
      <c r="K166" s="1">
        <v>7.96</v>
      </c>
      <c r="L166" s="1">
        <f>K166*1.34</f>
        <v>10.666400000000001</v>
      </c>
      <c r="M166" s="1">
        <v>3.52</v>
      </c>
      <c r="N166" s="1">
        <f>M166*2.36</f>
        <v>8.3071999999999999</v>
      </c>
      <c r="O166" s="1">
        <v>3.1</v>
      </c>
      <c r="P166" s="1">
        <f>O166*2.36</f>
        <v>7.3159999999999998</v>
      </c>
      <c r="Q166" s="1"/>
      <c r="R166" s="1"/>
      <c r="S166" s="1"/>
      <c r="T166" s="1"/>
      <c r="U166" s="1">
        <v>11.76</v>
      </c>
      <c r="V166" s="1">
        <f>U166*1.34</f>
        <v>15.7584</v>
      </c>
      <c r="W166" s="1">
        <v>8.64</v>
      </c>
      <c r="X166" s="1">
        <f>W166*1.34</f>
        <v>11.577600000000002</v>
      </c>
      <c r="Y166" s="1">
        <v>7.2</v>
      </c>
      <c r="Z166" s="1">
        <f>Y166*1.34</f>
        <v>9.6480000000000015</v>
      </c>
      <c r="AA166" s="1"/>
      <c r="AB166" s="1"/>
      <c r="AC166" s="1">
        <v>3.22</v>
      </c>
      <c r="AD166" s="1">
        <f>AC166*2.75</f>
        <v>8.8550000000000004</v>
      </c>
      <c r="AE166" s="1">
        <v>4.05</v>
      </c>
      <c r="AF166" s="1">
        <f>AE166*2.75</f>
        <v>11.137499999999999</v>
      </c>
      <c r="AG166" s="1"/>
      <c r="AH166" s="1"/>
      <c r="AI166" s="39">
        <v>2.1</v>
      </c>
      <c r="AJ166" s="39">
        <f>AI166*0.6</f>
        <v>1.26</v>
      </c>
      <c r="AK166" s="34"/>
      <c r="AL166" s="27">
        <f>SUM(I166,U166,W166,Y166,AA166,AC166,AE166,AG166)</f>
        <v>53.26</v>
      </c>
      <c r="AM166" s="27">
        <f>SUM(K166,M166,O166,Q166,S166)</f>
        <v>14.58</v>
      </c>
      <c r="AN166" s="27">
        <f>SUM(J166,V166,X166,Z166,AB166,AD166,AF166,AH166)</f>
        <v>81.619100000000017</v>
      </c>
      <c r="AO166" s="27">
        <f>SUM(L166,N166,P166,R166,T166)</f>
        <v>26.2896</v>
      </c>
      <c r="AP166" s="30">
        <f>SUM(AG166,AE166,AC166,AA166,Y166,W166,U166,I166)/D166</f>
        <v>0.7850825471698113</v>
      </c>
      <c r="AQ166" s="30">
        <f>SUM(K166,M166,O166,Q166,S166)/D166</f>
        <v>0.21491745283018868</v>
      </c>
      <c r="AR166" s="30">
        <f>D166/H166</f>
        <v>0.62867961526735094</v>
      </c>
      <c r="AS166" s="30">
        <f>AL166/AN166</f>
        <v>0.65254333850777557</v>
      </c>
      <c r="AT166" s="30">
        <f>AM166/AO166</f>
        <v>0.55459192988862516</v>
      </c>
      <c r="AU166" s="35">
        <f>(((H166/2) - SQRT((H166/2)^2 - 4 * D166)) / 2)</f>
        <v>1.2881117438081731</v>
      </c>
      <c r="AV166" s="27">
        <f>(((H166/2) + SQRT((H166/2)^2 - 4 * D166)) / 2)</f>
        <v>52.666238256191832</v>
      </c>
      <c r="AW166" s="27">
        <f>AU166*2.7*2+AV166*2.7*2</f>
        <v>291.35349000000008</v>
      </c>
      <c r="AX166" s="30">
        <f>AW166/D166</f>
        <v>4.2947153596698122</v>
      </c>
      <c r="AY166" s="30"/>
    </row>
    <row r="167" spans="1:51" x14ac:dyDescent="0.25">
      <c r="B167" s="36" t="s">
        <v>42</v>
      </c>
      <c r="C167" t="s">
        <v>69</v>
      </c>
      <c r="D167" s="37">
        <f>SUM(I167,K167,M167,O167,Q167,S167,U167,W167,Y167,AA167,AC167,AE167,AG167)</f>
        <v>68.77000000000001</v>
      </c>
      <c r="E167" s="38">
        <f>COUNTA(U167,W167,Y167,AA167)</f>
        <v>3</v>
      </c>
      <c r="F167" s="38">
        <f>COUNTA(M167,O167,Q167)</f>
        <v>2</v>
      </c>
      <c r="G167" s="38">
        <f>COUNTA(Table1[[#This Row],[A ASEO]])</f>
        <v>0</v>
      </c>
      <c r="H167" s="1">
        <f>SUM(J167,L167,N167,P167,R167,T167,V167,X167,Z167,AB167,AD167,AF167,AH167)</f>
        <v>109.43389999999999</v>
      </c>
      <c r="I167" s="1">
        <v>18.12</v>
      </c>
      <c r="J167" s="1">
        <f>I167*1.34</f>
        <v>24.280800000000003</v>
      </c>
      <c r="K167" s="1">
        <v>8.52</v>
      </c>
      <c r="L167" s="1">
        <f>K167*1.34</f>
        <v>11.4168</v>
      </c>
      <c r="M167" s="1">
        <v>3.52</v>
      </c>
      <c r="N167" s="1">
        <f>M167*2.36</f>
        <v>8.3071999999999999</v>
      </c>
      <c r="O167" s="1">
        <v>3.18</v>
      </c>
      <c r="P167" s="1">
        <f>O167*2.36</f>
        <v>7.5048000000000004</v>
      </c>
      <c r="Q167" s="1"/>
      <c r="R167" s="1"/>
      <c r="S167" s="1"/>
      <c r="T167" s="1"/>
      <c r="U167" s="1">
        <v>11.93</v>
      </c>
      <c r="V167" s="1">
        <f>U167*1.34</f>
        <v>15.9862</v>
      </c>
      <c r="W167" s="1">
        <v>8.89</v>
      </c>
      <c r="X167" s="1">
        <f>W167*1.34</f>
        <v>11.912600000000001</v>
      </c>
      <c r="Y167" s="1">
        <v>7.2</v>
      </c>
      <c r="Z167" s="1">
        <f>Y167*1.34</f>
        <v>9.6480000000000015</v>
      </c>
      <c r="AA167" s="1"/>
      <c r="AB167" s="1"/>
      <c r="AC167" s="1">
        <v>3.38</v>
      </c>
      <c r="AD167" s="1">
        <f>AC167*2.75</f>
        <v>9.2949999999999999</v>
      </c>
      <c r="AE167" s="1">
        <v>4.03</v>
      </c>
      <c r="AF167" s="1">
        <f>AE167*2.75</f>
        <v>11.082500000000001</v>
      </c>
      <c r="AG167" s="1"/>
      <c r="AH167" s="1"/>
      <c r="AI167" s="39">
        <v>2.06</v>
      </c>
      <c r="AJ167" s="39">
        <f>AI167*0.6</f>
        <v>1.236</v>
      </c>
      <c r="AK167" s="34"/>
      <c r="AL167" s="27">
        <f>SUM(I167,U167,W167,Y167,AA167,AC167,AE167,AG167)</f>
        <v>53.550000000000004</v>
      </c>
      <c r="AM167" s="27">
        <f>SUM(K167,M167,O167,Q167,S167)</f>
        <v>15.219999999999999</v>
      </c>
      <c r="AN167" s="27">
        <f>SUM(J167,V167,X167,Z167,AB167,AD167,AF167,AH167)</f>
        <v>82.205100000000002</v>
      </c>
      <c r="AO167" s="27">
        <f>SUM(L167,N167,P167,R167,T167)</f>
        <v>27.2288</v>
      </c>
      <c r="AP167" s="30">
        <f>SUM(AG167,AE167,AC167,AA167,Y167,W167,U167,I167)/D167</f>
        <v>0.77868256507197886</v>
      </c>
      <c r="AQ167" s="30">
        <f>SUM(K167,M167,O167,Q167,S167)/D167</f>
        <v>0.22131743492802089</v>
      </c>
      <c r="AR167" s="30">
        <f>D167/H167</f>
        <v>0.62841587478834271</v>
      </c>
      <c r="AS167" s="30">
        <f>AL167/AN167</f>
        <v>0.6514194374801564</v>
      </c>
      <c r="AT167" s="30">
        <f>AM167/AO167</f>
        <v>0.55896697614290747</v>
      </c>
      <c r="AU167" s="35">
        <f>(((H167/2) - SQRT((H167/2)^2 - 4 * D167)) / 2)</f>
        <v>1.2871084396214449</v>
      </c>
      <c r="AV167" s="27">
        <f>(((H167/2) + SQRT((H167/2)^2 - 4 * D167)) / 2)</f>
        <v>53.429841560378549</v>
      </c>
      <c r="AW167" s="27">
        <f>AU167*2.7*2+AV167*2.7*2</f>
        <v>295.47153000000003</v>
      </c>
      <c r="AX167" s="30">
        <f>AW167/D167</f>
        <v>4.2965178129998547</v>
      </c>
      <c r="AY167" s="30"/>
    </row>
    <row r="168" spans="1:51" x14ac:dyDescent="0.25">
      <c r="B168" s="36" t="s">
        <v>42</v>
      </c>
      <c r="C168" t="s">
        <v>78</v>
      </c>
      <c r="D168" s="37">
        <f>SUM(I168,K168,M168,O168,Q168,S168,U168,W168,Y168,AA168,AC168,AE168,AG168)</f>
        <v>76.38000000000001</v>
      </c>
      <c r="E168" s="38">
        <f>COUNTA(U168,W168,Y168,AA168)</f>
        <v>3</v>
      </c>
      <c r="F168" s="38">
        <f>COUNTA(M168,O168,Q168)</f>
        <v>2</v>
      </c>
      <c r="G168" s="38">
        <f>COUNTA(Table1[[#This Row],[A ASEO]])</f>
        <v>0</v>
      </c>
      <c r="H168" s="1">
        <f>SUM(J168,L168,N168,P168,R168,T168,V168,X168,Z168,AB168,AD168,AF168,AH168)</f>
        <v>121.56959999999999</v>
      </c>
      <c r="I168" s="1">
        <v>20.11</v>
      </c>
      <c r="J168" s="1">
        <f>I168*1.34</f>
        <v>26.947400000000002</v>
      </c>
      <c r="K168" s="1">
        <v>8.17</v>
      </c>
      <c r="L168" s="1">
        <f>K168*1.34</f>
        <v>10.947800000000001</v>
      </c>
      <c r="M168" s="1">
        <v>4.4800000000000004</v>
      </c>
      <c r="N168" s="1">
        <f>M168*2.36</f>
        <v>10.572800000000001</v>
      </c>
      <c r="O168" s="1">
        <v>4.3</v>
      </c>
      <c r="P168" s="1">
        <f>O168*2.36</f>
        <v>10.148</v>
      </c>
      <c r="Q168" s="1"/>
      <c r="R168" s="1"/>
      <c r="S168" s="1"/>
      <c r="T168" s="1"/>
      <c r="U168" s="1">
        <v>13.8</v>
      </c>
      <c r="V168" s="1">
        <f>U168*1.34</f>
        <v>18.492000000000001</v>
      </c>
      <c r="W168" s="1">
        <v>9.48</v>
      </c>
      <c r="X168" s="1">
        <f>W168*1.34</f>
        <v>12.703200000000001</v>
      </c>
      <c r="Y168" s="1">
        <v>8.76</v>
      </c>
      <c r="Z168" s="1">
        <f>Y168*1.34</f>
        <v>11.7384</v>
      </c>
      <c r="AA168" s="1"/>
      <c r="AB168" s="1"/>
      <c r="AC168" s="1">
        <v>4.2</v>
      </c>
      <c r="AD168" s="1">
        <f>AC168*2.75</f>
        <v>11.55</v>
      </c>
      <c r="AE168" s="1">
        <v>3.08</v>
      </c>
      <c r="AF168" s="1">
        <f>AE168*2.75</f>
        <v>8.4700000000000006</v>
      </c>
      <c r="AG168" s="1"/>
      <c r="AH168" s="1"/>
      <c r="AI168" s="39"/>
      <c r="AJ168" s="39"/>
      <c r="AK168" s="34"/>
      <c r="AL168" s="27">
        <f>SUM(I168,U168,W168,Y168,AA168,AC168,AE168,AG168)</f>
        <v>59.43</v>
      </c>
      <c r="AM168" s="27">
        <f>SUM(K168,M168,O168,Q168,S168)</f>
        <v>16.95</v>
      </c>
      <c r="AN168" s="27">
        <f>SUM(J168,V168,X168,Z168,AB168,AD168,AF168,AH168)</f>
        <v>89.90100000000001</v>
      </c>
      <c r="AO168" s="27">
        <f>SUM(L168,N168,P168,R168,T168)</f>
        <v>31.668600000000001</v>
      </c>
      <c r="AP168" s="30">
        <f>SUM(AG168,AE168,AC168,AA168,Y168,W168,U168,I168)/D168</f>
        <v>0.77808326787117033</v>
      </c>
      <c r="AQ168" s="30">
        <f>SUM(K168,M168,O168,Q168,S168)/D168</f>
        <v>0.22191673212882951</v>
      </c>
      <c r="AR168" s="30">
        <f>D168/H168</f>
        <v>0.62828207051762952</v>
      </c>
      <c r="AS168" s="30">
        <f>AL168/AN168</f>
        <v>0.66106049988320481</v>
      </c>
      <c r="AT168" s="30">
        <f>AM168/AO168</f>
        <v>0.53523048066539092</v>
      </c>
      <c r="AU168" s="35">
        <f>(((H168/2) - SQRT((H168/2)^2 - 4 * D168)) / 2)</f>
        <v>1.2836731683434834</v>
      </c>
      <c r="AV168" s="27">
        <f>(((H168/2) + SQRT((H168/2)^2 - 4 * D168)) / 2)</f>
        <v>59.501126831656514</v>
      </c>
      <c r="AW168" s="27">
        <f>AU168*2.7*2+AV168*2.7*2</f>
        <v>328.23792000000003</v>
      </c>
      <c r="AX168" s="30">
        <f>AW168/D168</f>
        <v>4.2974328358208957</v>
      </c>
      <c r="AY168" s="30"/>
    </row>
    <row r="169" spans="1:51" x14ac:dyDescent="0.25">
      <c r="B169" s="36" t="s">
        <v>42</v>
      </c>
      <c r="C169" t="s">
        <v>77</v>
      </c>
      <c r="D169" s="37">
        <f>SUM(I169,K169,M169,O169,Q169,S169,U169,W169,Y169,AA169,AC169,AE169,AG169)</f>
        <v>69.95</v>
      </c>
      <c r="E169" s="38">
        <f>COUNTA(U169,W169,Y169,AA169)</f>
        <v>3</v>
      </c>
      <c r="F169" s="38">
        <f>COUNTA(M169,O169,Q169)</f>
        <v>2</v>
      </c>
      <c r="G169" s="38">
        <f>COUNTA(Table1[[#This Row],[A ASEO]])</f>
        <v>0</v>
      </c>
      <c r="H169" s="1">
        <f>SUM(J169,L169,N169,P169,R169,T169,V169,X169,Z169,AB169,AD169,AF169,AH169)</f>
        <v>111.38799999999998</v>
      </c>
      <c r="I169" s="1">
        <v>18</v>
      </c>
      <c r="J169" s="1">
        <f>I169*1.34</f>
        <v>24.12</v>
      </c>
      <c r="K169" s="1">
        <v>7.05</v>
      </c>
      <c r="L169" s="1">
        <f>K169*1.34</f>
        <v>9.447000000000001</v>
      </c>
      <c r="M169" s="1">
        <v>3.95</v>
      </c>
      <c r="N169" s="1">
        <f>M169*2.36</f>
        <v>9.3219999999999992</v>
      </c>
      <c r="O169" s="1">
        <v>2.2999999999999998</v>
      </c>
      <c r="P169" s="1">
        <f>O169*2.36</f>
        <v>5.427999999999999</v>
      </c>
      <c r="Q169" s="1"/>
      <c r="R169" s="1"/>
      <c r="S169" s="1"/>
      <c r="T169" s="1"/>
      <c r="U169" s="1">
        <v>11.8</v>
      </c>
      <c r="V169" s="1">
        <f>U169*1.34</f>
        <v>15.812000000000001</v>
      </c>
      <c r="W169" s="1">
        <v>9.75</v>
      </c>
      <c r="X169" s="1">
        <f>W169*1.34</f>
        <v>13.065000000000001</v>
      </c>
      <c r="Y169" s="1">
        <v>9.1</v>
      </c>
      <c r="Z169" s="1">
        <f>Y169*1.34</f>
        <v>12.194000000000001</v>
      </c>
      <c r="AA169" s="1"/>
      <c r="AB169" s="1"/>
      <c r="AC169" s="1">
        <v>2.4</v>
      </c>
      <c r="AD169" s="1">
        <f>AC169*2.75</f>
        <v>6.6</v>
      </c>
      <c r="AE169" s="1">
        <v>5.6</v>
      </c>
      <c r="AF169" s="1">
        <f>AE169*2.75</f>
        <v>15.399999999999999</v>
      </c>
      <c r="AG169" s="1"/>
      <c r="AH169" s="1"/>
      <c r="AI169" s="39"/>
      <c r="AJ169" s="39"/>
      <c r="AK169" s="34"/>
      <c r="AL169" s="27">
        <f>SUM(I169,U169,W169,Y169,AA169,AC169,AE169,AG169)</f>
        <v>56.65</v>
      </c>
      <c r="AM169" s="27">
        <f>SUM(K169,M169,O169,Q169,S169)</f>
        <v>13.3</v>
      </c>
      <c r="AN169" s="27">
        <f>SUM(J169,V169,X169,Z169,AB169,AD169,AF169,AH169)</f>
        <v>87.191000000000003</v>
      </c>
      <c r="AO169" s="27">
        <f>SUM(L169,N169,P169,R169,T169)</f>
        <v>24.196999999999996</v>
      </c>
      <c r="AP169" s="30">
        <f>SUM(AG169,AE169,AC169,AA169,Y169,W169,U169,I169)/D169</f>
        <v>0.80986418870621879</v>
      </c>
      <c r="AQ169" s="30">
        <f>SUM(K169,M169,O169,Q169,S169)/D169</f>
        <v>0.19013581129378126</v>
      </c>
      <c r="AR169" s="30">
        <f>D169/H169</f>
        <v>0.62798506122742137</v>
      </c>
      <c r="AS169" s="30">
        <f>AL169/AN169</f>
        <v>0.64972302187152342</v>
      </c>
      <c r="AT169" s="30">
        <f>AM169/AO169</f>
        <v>0.54965491589866522</v>
      </c>
      <c r="AU169" s="35">
        <f>(((H169/2) - SQRT((H169/2)^2 - 4 * D169)) / 2)</f>
        <v>1.2856482083460214</v>
      </c>
      <c r="AV169" s="27">
        <f>(((H169/2) + SQRT((H169/2)^2 - 4 * D169)) / 2)</f>
        <v>54.408351791653971</v>
      </c>
      <c r="AW169" s="27">
        <f>AU169*2.7*2+AV169*2.7*2</f>
        <v>300.74759999999998</v>
      </c>
      <c r="AX169" s="30">
        <f>AW169/D169</f>
        <v>4.2994653323802714</v>
      </c>
      <c r="AY169" s="30"/>
    </row>
    <row r="170" spans="1:51" x14ac:dyDescent="0.25">
      <c r="B170" s="36" t="s">
        <v>42</v>
      </c>
      <c r="C170" t="s">
        <v>55</v>
      </c>
      <c r="D170" s="37">
        <f>SUM(I170,K170,M170,O170,Q170,S170,U170,W170,Y170,AA170,AC170,AE170,AG170)</f>
        <v>68.350000000000009</v>
      </c>
      <c r="E170" s="38">
        <f>COUNTA(U170,W170,Y170,AA170)</f>
        <v>3</v>
      </c>
      <c r="F170" s="38">
        <f>COUNTA(M170,O170,Q170)</f>
        <v>2</v>
      </c>
      <c r="G170" s="38">
        <f>COUNTA(Table1[[#This Row],[A ASEO]])</f>
        <v>0</v>
      </c>
      <c r="H170" s="1">
        <f>SUM(J170,L170,N170,P170,R170,T170,V170,X170,Z170,AB170,AD170,AF170,AH170)</f>
        <v>108.92600000000002</v>
      </c>
      <c r="I170" s="1">
        <v>18.190000000000001</v>
      </c>
      <c r="J170" s="1">
        <f>I170*1.34</f>
        <v>24.374600000000004</v>
      </c>
      <c r="K170" s="1">
        <v>7.26</v>
      </c>
      <c r="L170" s="1">
        <f>K170*1.34</f>
        <v>9.7284000000000006</v>
      </c>
      <c r="M170" s="1">
        <v>3.38</v>
      </c>
      <c r="N170" s="1">
        <f>M170*2.36</f>
        <v>7.976799999999999</v>
      </c>
      <c r="O170" s="1">
        <v>3.36</v>
      </c>
      <c r="P170" s="1">
        <f>O170*2.36</f>
        <v>7.9295999999999989</v>
      </c>
      <c r="Q170" s="1"/>
      <c r="R170" s="1"/>
      <c r="S170" s="1"/>
      <c r="T170" s="1"/>
      <c r="U170" s="1">
        <v>12.6</v>
      </c>
      <c r="V170" s="1">
        <f>U170*1.34</f>
        <v>16.884</v>
      </c>
      <c r="W170" s="1">
        <v>8.1300000000000008</v>
      </c>
      <c r="X170" s="1">
        <f>W170*1.34</f>
        <v>10.894200000000001</v>
      </c>
      <c r="Y170" s="1">
        <v>8.01</v>
      </c>
      <c r="Z170" s="1">
        <f>Y170*1.34</f>
        <v>10.7334</v>
      </c>
      <c r="AA170" s="1"/>
      <c r="AB170" s="1"/>
      <c r="AC170" s="1">
        <v>1.1499999999999999</v>
      </c>
      <c r="AD170" s="1">
        <f>AC170*2.75</f>
        <v>3.1624999999999996</v>
      </c>
      <c r="AE170" s="1">
        <v>6.27</v>
      </c>
      <c r="AF170" s="1">
        <f>AE170*2.75</f>
        <v>17.2425</v>
      </c>
      <c r="AG170" s="1"/>
      <c r="AH170" s="1"/>
      <c r="AI170" s="39"/>
      <c r="AJ170" s="39"/>
      <c r="AK170" s="34"/>
      <c r="AL170" s="27">
        <f>SUM(I170,U170,W170,Y170,AA170,AC170,AE170,AG170)</f>
        <v>54.349999999999994</v>
      </c>
      <c r="AM170" s="27">
        <f>SUM(K170,M170,O170,Q170,S170)</f>
        <v>14</v>
      </c>
      <c r="AN170" s="27">
        <f>SUM(J170,V170,X170,Z170,AB170,AD170,AF170,AH170)</f>
        <v>83.291200000000003</v>
      </c>
      <c r="AO170" s="27">
        <f>SUM(L170,N170,P170,R170,T170)</f>
        <v>25.634799999999998</v>
      </c>
      <c r="AP170" s="30">
        <f>SUM(AG170,AE170,AC170,AA170,Y170,W170,U170,I170)/D170</f>
        <v>0.79517190929041703</v>
      </c>
      <c r="AQ170" s="30">
        <f>SUM(K170,M170,O170,Q170,S170)/D170</f>
        <v>0.20482809070958299</v>
      </c>
      <c r="AR170" s="30">
        <f>D170/H170</f>
        <v>0.62749022272001176</v>
      </c>
      <c r="AS170" s="30">
        <f>AL170/AN170</f>
        <v>0.65252991912711056</v>
      </c>
      <c r="AT170" s="30">
        <f>AM170/AO170</f>
        <v>0.54613260099552174</v>
      </c>
      <c r="AU170" s="35">
        <f>(((H170/2) - SQRT((H170/2)^2 - 4 * D170)) / 2)</f>
        <v>1.28531353165749</v>
      </c>
      <c r="AV170" s="27">
        <f>(((H170/2) + SQRT((H170/2)^2 - 4 * D170)) / 2)</f>
        <v>53.177686468342515</v>
      </c>
      <c r="AW170" s="27">
        <f>AU170*2.7*2+AV170*2.7*2</f>
        <v>294.10020000000003</v>
      </c>
      <c r="AX170" s="30">
        <f>AW170/D170</f>
        <v>4.3028558888076081</v>
      </c>
      <c r="AY170" s="30"/>
    </row>
    <row r="171" spans="1:51" x14ac:dyDescent="0.25">
      <c r="B171" s="36" t="s">
        <v>42</v>
      </c>
      <c r="C171" t="s">
        <v>78</v>
      </c>
      <c r="D171" s="37">
        <f>SUM(I171,K171,M171,O171,Q171,S171,U171,W171,Y171,AA171,AC171,AE171,AG171)</f>
        <v>78.509999999999991</v>
      </c>
      <c r="E171" s="38">
        <f>COUNTA(U171,W171,Y171,AA171)</f>
        <v>3</v>
      </c>
      <c r="F171" s="38">
        <f>COUNTA(M171,O171,Q171)</f>
        <v>2</v>
      </c>
      <c r="G171" s="38">
        <f>COUNTA(Table1[[#This Row],[A ASEO]])</f>
        <v>0</v>
      </c>
      <c r="H171" s="1">
        <f>SUM(J171,L171,N171,P171,R171,T171,V171,X171,Z171,AB171,AD171,AF171,AH171)</f>
        <v>125.19990000000001</v>
      </c>
      <c r="I171" s="1">
        <v>18.22</v>
      </c>
      <c r="J171" s="1">
        <f>I171*1.34</f>
        <v>24.4148</v>
      </c>
      <c r="K171" s="1">
        <v>7.91</v>
      </c>
      <c r="L171" s="1">
        <f>K171*1.34</f>
        <v>10.599400000000001</v>
      </c>
      <c r="M171" s="1">
        <v>6.19</v>
      </c>
      <c r="N171" s="1">
        <f>M171*2.36</f>
        <v>14.6084</v>
      </c>
      <c r="O171" s="1">
        <v>3.89</v>
      </c>
      <c r="P171" s="1">
        <f>O171*2.36</f>
        <v>9.1804000000000006</v>
      </c>
      <c r="Q171" s="1"/>
      <c r="R171" s="1"/>
      <c r="S171" s="1"/>
      <c r="T171" s="1"/>
      <c r="U171" s="1">
        <v>16.37</v>
      </c>
      <c r="V171" s="1">
        <f>U171*1.34</f>
        <v>21.935800000000004</v>
      </c>
      <c r="W171" s="1">
        <v>10.51</v>
      </c>
      <c r="X171" s="1">
        <f>W171*1.34</f>
        <v>14.083400000000001</v>
      </c>
      <c r="Y171" s="1">
        <v>8.5299999999999994</v>
      </c>
      <c r="Z171" s="1">
        <f>Y171*1.34</f>
        <v>11.430199999999999</v>
      </c>
      <c r="AA171" s="1"/>
      <c r="AB171" s="1"/>
      <c r="AC171" s="1">
        <v>2.97</v>
      </c>
      <c r="AD171" s="1">
        <f>AC171*2.75</f>
        <v>8.1675000000000004</v>
      </c>
      <c r="AE171" s="1">
        <v>3.92</v>
      </c>
      <c r="AF171" s="1">
        <f>AE171*2.75</f>
        <v>10.78</v>
      </c>
      <c r="AG171" s="1"/>
      <c r="AH171" s="1"/>
      <c r="AI171" s="39"/>
      <c r="AJ171" s="39"/>
      <c r="AK171" s="34"/>
      <c r="AL171" s="27">
        <f>SUM(I171,U171,W171,Y171,AA171,AC171,AE171,AG171)</f>
        <v>60.52</v>
      </c>
      <c r="AM171" s="27">
        <f>SUM(K171,M171,O171,Q171,S171)</f>
        <v>17.990000000000002</v>
      </c>
      <c r="AN171" s="27">
        <f>SUM(J171,V171,X171,Z171,AB171,AD171,AF171,AH171)</f>
        <v>90.811700000000002</v>
      </c>
      <c r="AO171" s="27">
        <f>SUM(L171,N171,P171,R171,T171)</f>
        <v>34.388199999999998</v>
      </c>
      <c r="AP171" s="30">
        <f>SUM(AG171,AE171,AC171,AA171,Y171,W171,U171,I171)/D171</f>
        <v>0.77085721564131959</v>
      </c>
      <c r="AQ171" s="30">
        <f>SUM(K171,M171,O171,Q171,S171)/D171</f>
        <v>0.22914278435868046</v>
      </c>
      <c r="AR171" s="30">
        <f>D171/H171</f>
        <v>0.62707717817665976</v>
      </c>
      <c r="AS171" s="30">
        <f>AL171/AN171</f>
        <v>0.66643395069137568</v>
      </c>
      <c r="AT171" s="30">
        <f>AM171/AO171</f>
        <v>0.52314456703171441</v>
      </c>
      <c r="AU171" s="35">
        <f>(((H171/2) - SQRT((H171/2)^2 - 4 * D171)) / 2)</f>
        <v>1.2803408416591466</v>
      </c>
      <c r="AV171" s="27">
        <f>(((H171/2) + SQRT((H171/2)^2 - 4 * D171)) / 2)</f>
        <v>61.31960915834086</v>
      </c>
      <c r="AW171" s="27">
        <f>AU171*2.7*2+AV171*2.7*2</f>
        <v>338.03973000000008</v>
      </c>
      <c r="AX171" s="30">
        <f>AW171/D171</f>
        <v>4.305690103171572</v>
      </c>
      <c r="AY171" s="30"/>
    </row>
    <row r="172" spans="1:51" x14ac:dyDescent="0.25">
      <c r="B172" s="36" t="s">
        <v>42</v>
      </c>
      <c r="C172" t="s">
        <v>77</v>
      </c>
      <c r="D172" s="37">
        <f>SUM(I172,K172,M172,O172,Q172,S172,U172,W172,Y172,AA172,AC172,AE172,AG172)</f>
        <v>70</v>
      </c>
      <c r="E172" s="38">
        <f>COUNTA(U172,W172,Y172,AA172)</f>
        <v>3</v>
      </c>
      <c r="F172" s="38">
        <f>COUNTA(M172,O172,Q172)</f>
        <v>2</v>
      </c>
      <c r="G172" s="38">
        <f>COUNTA(Table1[[#This Row],[A ASEO]])</f>
        <v>0</v>
      </c>
      <c r="H172" s="1">
        <f>SUM(J172,L172,N172,P172,R172,T172,V172,X172,Z172,AB172,AD172,AF172,AH172)</f>
        <v>111.7175</v>
      </c>
      <c r="I172" s="1">
        <v>18.100000000000001</v>
      </c>
      <c r="J172" s="1">
        <f>I172*1.34</f>
        <v>24.254000000000005</v>
      </c>
      <c r="K172" s="1">
        <v>7</v>
      </c>
      <c r="L172" s="1">
        <f>K172*1.34</f>
        <v>9.3800000000000008</v>
      </c>
      <c r="M172" s="1">
        <v>3.95</v>
      </c>
      <c r="N172" s="1">
        <f>M172*2.36</f>
        <v>9.3219999999999992</v>
      </c>
      <c r="O172" s="1">
        <v>2.35</v>
      </c>
      <c r="P172" s="1">
        <f>O172*2.36</f>
        <v>5.5460000000000003</v>
      </c>
      <c r="Q172" s="1"/>
      <c r="R172" s="1"/>
      <c r="S172" s="1"/>
      <c r="T172" s="1"/>
      <c r="U172" s="1">
        <v>11.7</v>
      </c>
      <c r="V172" s="1">
        <f>U172*1.34</f>
        <v>15.678000000000001</v>
      </c>
      <c r="W172" s="1">
        <v>9.65</v>
      </c>
      <c r="X172" s="1">
        <f>W172*1.34</f>
        <v>12.931000000000001</v>
      </c>
      <c r="Y172" s="1">
        <v>9.1</v>
      </c>
      <c r="Z172" s="1">
        <f>Y172*1.34</f>
        <v>12.194000000000001</v>
      </c>
      <c r="AA172" s="1"/>
      <c r="AB172" s="1"/>
      <c r="AC172" s="1">
        <v>2.5</v>
      </c>
      <c r="AD172" s="1">
        <f>AC172*2.75</f>
        <v>6.875</v>
      </c>
      <c r="AE172" s="1">
        <v>5.65</v>
      </c>
      <c r="AF172" s="1">
        <f>AE172*2.75</f>
        <v>15.537500000000001</v>
      </c>
      <c r="AG172" s="1"/>
      <c r="AH172" s="1"/>
      <c r="AI172" s="39"/>
      <c r="AJ172" s="39"/>
      <c r="AK172" s="34"/>
      <c r="AL172" s="27">
        <f>SUM(I172,U172,W172,Y172,AA172,AC172,AE172,AG172)</f>
        <v>56.7</v>
      </c>
      <c r="AM172" s="27">
        <f>SUM(K172,M172,O172,Q172,S172)</f>
        <v>13.299999999999999</v>
      </c>
      <c r="AN172" s="27">
        <f>SUM(J172,V172,X172,Z172,AB172,AD172,AF172,AH172)</f>
        <v>87.469500000000011</v>
      </c>
      <c r="AO172" s="27">
        <f>SUM(L172,N172,P172,R172,T172)</f>
        <v>24.247999999999998</v>
      </c>
      <c r="AP172" s="30">
        <f>SUM(AG172,AE172,AC172,AA172,Y172,W172,U172,I172)/D172</f>
        <v>0.80999999999999994</v>
      </c>
      <c r="AQ172" s="30">
        <f>SUM(K172,M172,O172,Q172,S172)/D172</f>
        <v>0.18999999999999997</v>
      </c>
      <c r="AR172" s="30">
        <f>D172/H172</f>
        <v>0.62658043726363366</v>
      </c>
      <c r="AS172" s="30">
        <f>AL172/AN172</f>
        <v>0.64822595304649044</v>
      </c>
      <c r="AT172" s="30">
        <f>AM172/AO172</f>
        <v>0.5484988452655889</v>
      </c>
      <c r="AU172" s="35">
        <f>(((H172/2) - SQRT((H172/2)^2 - 4 * D172)) / 2)</f>
        <v>1.2826118215082261</v>
      </c>
      <c r="AV172" s="27">
        <f>(((H172/2) + SQRT((H172/2)^2 - 4 * D172)) / 2)</f>
        <v>54.576138178491775</v>
      </c>
      <c r="AW172" s="27">
        <f>AU172*2.7*2+AV172*2.7*2</f>
        <v>301.63724999999999</v>
      </c>
      <c r="AX172" s="30">
        <f>AW172/D172</f>
        <v>4.3091035714285715</v>
      </c>
      <c r="AY172" s="30"/>
    </row>
    <row r="173" spans="1:51" x14ac:dyDescent="0.25">
      <c r="B173" s="36" t="s">
        <v>42</v>
      </c>
      <c r="C173" t="s">
        <v>68</v>
      </c>
      <c r="D173" s="37">
        <f>SUM(I173,K173,M173,O173,Q173,S173,U173,W173,Y173,AA173,AC173,AE173,AG173)</f>
        <v>70</v>
      </c>
      <c r="E173" s="38">
        <f>COUNTA(U173,W173,Y173,AA173)</f>
        <v>3</v>
      </c>
      <c r="F173" s="38">
        <f>COUNTA(M173,O173,Q173)</f>
        <v>2</v>
      </c>
      <c r="G173" s="38">
        <f>COUNTA(Table1[[#This Row],[A ASEO]])</f>
        <v>0</v>
      </c>
      <c r="H173" s="1">
        <f>SUM(J173,L173,N173,P173,R173,T173,V173,X173,Z173,AB173,AD173,AF173,AH173)</f>
        <v>111.93650000000001</v>
      </c>
      <c r="I173" s="1">
        <v>18</v>
      </c>
      <c r="J173" s="1">
        <f>I173*1.34</f>
        <v>24.12</v>
      </c>
      <c r="K173" s="1">
        <v>7.2</v>
      </c>
      <c r="L173" s="1">
        <f>K173*1.34</f>
        <v>9.6480000000000015</v>
      </c>
      <c r="M173" s="1">
        <v>3.8</v>
      </c>
      <c r="N173" s="1">
        <f>M173*2.36</f>
        <v>8.968</v>
      </c>
      <c r="O173" s="1">
        <v>2.2999999999999998</v>
      </c>
      <c r="P173" s="1">
        <f>O173*2.36</f>
        <v>5.427999999999999</v>
      </c>
      <c r="Q173" s="1"/>
      <c r="R173" s="1"/>
      <c r="S173" s="1"/>
      <c r="T173" s="1"/>
      <c r="U173" s="1">
        <v>11.35</v>
      </c>
      <c r="V173" s="1">
        <f>U173*1.34</f>
        <v>15.209</v>
      </c>
      <c r="W173" s="1">
        <v>10</v>
      </c>
      <c r="X173" s="1">
        <f>W173*1.34</f>
        <v>13.4</v>
      </c>
      <c r="Y173" s="1">
        <v>8.9</v>
      </c>
      <c r="Z173" s="1">
        <f>Y173*1.34</f>
        <v>11.926000000000002</v>
      </c>
      <c r="AA173" s="1"/>
      <c r="AB173" s="1"/>
      <c r="AC173" s="1">
        <v>8.4499999999999993</v>
      </c>
      <c r="AD173" s="1">
        <f>AC173*2.75</f>
        <v>23.237499999999997</v>
      </c>
      <c r="AE173" s="1"/>
      <c r="AF173" s="1"/>
      <c r="AG173" s="1"/>
      <c r="AH173" s="1"/>
      <c r="AI173" s="39"/>
      <c r="AJ173" s="39"/>
      <c r="AK173" s="34"/>
      <c r="AL173" s="27">
        <f>SUM(I173,U173,W173,Y173,AA173,AC173,AE173,AG173)</f>
        <v>56.7</v>
      </c>
      <c r="AM173" s="27">
        <f>SUM(K173,M173,O173,Q173,S173)</f>
        <v>13.3</v>
      </c>
      <c r="AN173" s="27">
        <f>SUM(J173,V173,X173,Z173,AB173,AD173,AF173,AH173)</f>
        <v>87.892499999999998</v>
      </c>
      <c r="AO173" s="27">
        <f>SUM(L173,N173,P173,R173,T173)</f>
        <v>24.043999999999997</v>
      </c>
      <c r="AP173" s="30">
        <f>SUM(AG173,AE173,AC173,AA173,Y173,W173,U173,I173)/D173</f>
        <v>0.81</v>
      </c>
      <c r="AQ173" s="30">
        <f>SUM(K173,M173,O173,Q173,S173)/D173</f>
        <v>0.19</v>
      </c>
      <c r="AR173" s="30">
        <f>D173/H173</f>
        <v>0.62535455369785542</v>
      </c>
      <c r="AS173" s="30">
        <f>AL173/AN173</f>
        <v>0.6451062377335951</v>
      </c>
      <c r="AT173" s="30">
        <f>AM173/AO173</f>
        <v>0.55315255365163873</v>
      </c>
      <c r="AU173" s="35">
        <f>(((H173/2) - SQRT((H173/2)^2 - 4 * D173)) / 2)</f>
        <v>1.2799820252549559</v>
      </c>
      <c r="AV173" s="27">
        <f>(((H173/2) + SQRT((H173/2)^2 - 4 * D173)) / 2)</f>
        <v>54.688267974745045</v>
      </c>
      <c r="AW173" s="27">
        <f>AU173*2.7*2+AV173*2.7*2</f>
        <v>302.22854999999998</v>
      </c>
      <c r="AX173" s="30">
        <f>AW173/D173</f>
        <v>4.3175507142857139</v>
      </c>
      <c r="AY173" s="30"/>
    </row>
    <row r="174" spans="1:51" x14ac:dyDescent="0.25">
      <c r="B174" s="36" t="s">
        <v>42</v>
      </c>
      <c r="C174" t="s">
        <v>65</v>
      </c>
      <c r="D174" s="37">
        <f>SUM(I174,K174,M174,O174,Q174,S174,U174,W174,Y174,AA174,AC174,AE174,AG174)</f>
        <v>77.78</v>
      </c>
      <c r="E174" s="38">
        <f>COUNTA(U174,W174,Y174,AA174)</f>
        <v>3</v>
      </c>
      <c r="F174" s="38">
        <f>COUNTA(M174,O174,Q174)</f>
        <v>1</v>
      </c>
      <c r="G174" s="38">
        <f>COUNTA(Table1[[#This Row],[A ASEO]])</f>
        <v>0</v>
      </c>
      <c r="H174" s="1">
        <f>SUM(J174,L174,N174,P174,R174,T174,V174,X174,Z174,AB174,AD174,AF174,AH174)</f>
        <v>124.40230000000001</v>
      </c>
      <c r="I174" s="1">
        <v>19.03</v>
      </c>
      <c r="J174" s="1">
        <f>I174*1.34</f>
        <v>25.500200000000003</v>
      </c>
      <c r="K174" s="1">
        <v>8.2799999999999994</v>
      </c>
      <c r="L174" s="1">
        <f>K174*1.34</f>
        <v>11.0952</v>
      </c>
      <c r="M174" s="1">
        <v>5.38</v>
      </c>
      <c r="N174" s="1">
        <f>M174*2.36</f>
        <v>12.6968</v>
      </c>
      <c r="O174" s="1"/>
      <c r="P174" s="1"/>
      <c r="Q174" s="1"/>
      <c r="R174" s="1"/>
      <c r="S174" s="1"/>
      <c r="T174" s="1"/>
      <c r="U174" s="1">
        <v>14.83</v>
      </c>
      <c r="V174" s="1">
        <f>U174*1.34</f>
        <v>19.872200000000003</v>
      </c>
      <c r="W174" s="1">
        <v>9.69</v>
      </c>
      <c r="X174" s="1">
        <f>W174*1.34</f>
        <v>12.9846</v>
      </c>
      <c r="Y174" s="1">
        <v>9.17</v>
      </c>
      <c r="Z174" s="1">
        <f>Y174*1.34</f>
        <v>12.287800000000001</v>
      </c>
      <c r="AA174" s="1"/>
      <c r="AB174" s="1"/>
      <c r="AC174" s="1">
        <v>3.4</v>
      </c>
      <c r="AD174" s="1">
        <f>AC174*2.75</f>
        <v>9.35</v>
      </c>
      <c r="AE174" s="1">
        <v>4.45</v>
      </c>
      <c r="AF174" s="1">
        <f>AE174*2.75</f>
        <v>12.237500000000001</v>
      </c>
      <c r="AG174" s="1">
        <v>3.55</v>
      </c>
      <c r="AH174" s="1">
        <f>AG174*2.36</f>
        <v>8.3779999999999983</v>
      </c>
      <c r="AI174" s="39"/>
      <c r="AJ174" s="39"/>
      <c r="AK174" s="34"/>
      <c r="AL174" s="27">
        <f>SUM(I174,U174,W174,Y174,AA174,AC174,AE174,AG174)</f>
        <v>64.12</v>
      </c>
      <c r="AM174" s="27">
        <f>SUM(K174,M174,O174,Q174,S174)</f>
        <v>13.66</v>
      </c>
      <c r="AN174" s="27">
        <f>SUM(J174,V174,X174,Z174,AB174,AD174,AF174,AH174)</f>
        <v>100.6103</v>
      </c>
      <c r="AO174" s="27">
        <f>SUM(L174,N174,P174,R174,T174)</f>
        <v>23.792000000000002</v>
      </c>
      <c r="AP174" s="30">
        <f>SUM(AG174,AE174,AC174,AA174,Y174,W174,U174,I174)/D174</f>
        <v>0.82437644638724616</v>
      </c>
      <c r="AQ174" s="30">
        <f>SUM(K174,M174,O174,Q174,S174)/D174</f>
        <v>0.17562355361275392</v>
      </c>
      <c r="AR174" s="30">
        <f>D174/H174</f>
        <v>0.62522959784505583</v>
      </c>
      <c r="AS174" s="30">
        <f>AL174/AN174</f>
        <v>0.63731049405478368</v>
      </c>
      <c r="AT174" s="30">
        <f>AM174/AO174</f>
        <v>0.57414256893073301</v>
      </c>
      <c r="AU174" s="35">
        <f>(((H174/2) - SQRT((H174/2)^2 - 4 * D174)) / 2)</f>
        <v>1.2766623571118245</v>
      </c>
      <c r="AV174" s="27">
        <f>(((H174/2) + SQRT((H174/2)^2 - 4 * D174)) / 2)</f>
        <v>60.924487642888181</v>
      </c>
      <c r="AW174" s="27">
        <f>AU174*2.7*2+AV174*2.7*2</f>
        <v>335.88621000000006</v>
      </c>
      <c r="AX174" s="30">
        <f>AW174/D174</f>
        <v>4.3184136024685014</v>
      </c>
      <c r="AY174" s="30"/>
    </row>
    <row r="175" spans="1:51" x14ac:dyDescent="0.25">
      <c r="B175" s="36" t="s">
        <v>42</v>
      </c>
      <c r="C175" t="s">
        <v>77</v>
      </c>
      <c r="D175" s="37">
        <f>SUM(I175,K175,M175,O175,Q175,S175,U175,W175,Y175,AA175,AC175,AE175,AG175)</f>
        <v>69.849999999999994</v>
      </c>
      <c r="E175" s="38">
        <f>COUNTA(U175,W175,Y175,AA175)</f>
        <v>3</v>
      </c>
      <c r="F175" s="38">
        <f>COUNTA(M175,O175,Q175)</f>
        <v>2</v>
      </c>
      <c r="G175" s="38">
        <f>COUNTA(Table1[[#This Row],[A ASEO]])</f>
        <v>0</v>
      </c>
      <c r="H175" s="1">
        <f>SUM(J175,L175,N175,P175,R175,T175,V175,X175,Z175,AB175,AD175,AF175,AH175)</f>
        <v>111.84350000000001</v>
      </c>
      <c r="I175" s="1">
        <v>18.2</v>
      </c>
      <c r="J175" s="1">
        <f>I175*1.34</f>
        <v>24.388000000000002</v>
      </c>
      <c r="K175" s="1">
        <v>7</v>
      </c>
      <c r="L175" s="1">
        <f>K175*1.34</f>
        <v>9.3800000000000008</v>
      </c>
      <c r="M175" s="1">
        <v>3.85</v>
      </c>
      <c r="N175" s="1">
        <f>M175*2.36</f>
        <v>9.0860000000000003</v>
      </c>
      <c r="O175" s="1">
        <v>3.6</v>
      </c>
      <c r="P175" s="1">
        <f>O175*2.36</f>
        <v>8.4960000000000004</v>
      </c>
      <c r="Q175" s="1"/>
      <c r="R175" s="1"/>
      <c r="S175" s="1"/>
      <c r="T175" s="1"/>
      <c r="U175" s="1">
        <v>10.8</v>
      </c>
      <c r="V175" s="1">
        <f>U175*1.34</f>
        <v>14.472000000000001</v>
      </c>
      <c r="W175" s="1">
        <v>9.4499999999999993</v>
      </c>
      <c r="X175" s="1">
        <f>W175*1.34</f>
        <v>12.663</v>
      </c>
      <c r="Y175" s="1">
        <v>9.4</v>
      </c>
      <c r="Z175" s="1">
        <f>Y175*1.34</f>
        <v>12.596000000000002</v>
      </c>
      <c r="AA175" s="1"/>
      <c r="AB175" s="1"/>
      <c r="AC175" s="1">
        <v>2.2000000000000002</v>
      </c>
      <c r="AD175" s="1">
        <f>AC175*2.75</f>
        <v>6.0500000000000007</v>
      </c>
      <c r="AE175" s="1">
        <v>5.35</v>
      </c>
      <c r="AF175" s="1">
        <f>AE175*2.75</f>
        <v>14.712499999999999</v>
      </c>
      <c r="AG175" s="1"/>
      <c r="AH175" s="1"/>
      <c r="AI175" s="39"/>
      <c r="AJ175" s="39"/>
      <c r="AK175" s="34"/>
      <c r="AL175" s="27">
        <f>SUM(I175,U175,W175,Y175,AA175,AC175,AE175,AG175)</f>
        <v>55.400000000000006</v>
      </c>
      <c r="AM175" s="27">
        <f>SUM(K175,M175,O175,Q175,S175)</f>
        <v>14.45</v>
      </c>
      <c r="AN175" s="27">
        <f>SUM(J175,V175,X175,Z175,AB175,AD175,AF175,AH175)</f>
        <v>84.881499999999988</v>
      </c>
      <c r="AO175" s="27">
        <f>SUM(L175,N175,P175,R175,T175)</f>
        <v>26.962000000000003</v>
      </c>
      <c r="AP175" s="30">
        <f>SUM(AG175,AE175,AC175,AA175,Y175,W175,U175,I175)/D175</f>
        <v>0.79312813171080898</v>
      </c>
      <c r="AQ175" s="30">
        <f>SUM(K175,M175,O175,Q175,S175)/D175</f>
        <v>0.20687186828919113</v>
      </c>
      <c r="AR175" s="30">
        <f>D175/H175</f>
        <v>0.6245333881718651</v>
      </c>
      <c r="AS175" s="30">
        <f>AL175/AN175</f>
        <v>0.65267461107544067</v>
      </c>
      <c r="AT175" s="30">
        <f>AM175/AO175</f>
        <v>0.53593947036569978</v>
      </c>
      <c r="AU175" s="35">
        <f>(((H175/2) - SQRT((H175/2)^2 - 4 * D175)) / 2)</f>
        <v>1.2782864680448398</v>
      </c>
      <c r="AV175" s="27">
        <f>(((H175/2) + SQRT((H175/2)^2 - 4 * D175)) / 2)</f>
        <v>54.643463531955163</v>
      </c>
      <c r="AW175" s="27">
        <f>AU175*2.7*2+AV175*2.7*2</f>
        <v>301.97745000000003</v>
      </c>
      <c r="AX175" s="30">
        <f>AW175/D175</f>
        <v>4.3232276306370805</v>
      </c>
      <c r="AY175" s="30"/>
    </row>
    <row r="176" spans="1:51" x14ac:dyDescent="0.25">
      <c r="B176" s="36" t="s">
        <v>42</v>
      </c>
      <c r="C176" t="s">
        <v>77</v>
      </c>
      <c r="D176" s="37">
        <f>SUM(I176,K176,M176,O176,Q176,S176,U176,W176,Y176,AA176,AC176,AE176,AG176)</f>
        <v>69.300000000000011</v>
      </c>
      <c r="E176" s="38">
        <f>COUNTA(U176,W176,Y176,AA176)</f>
        <v>3</v>
      </c>
      <c r="F176" s="38">
        <f>COUNTA(M176,O176,Q176)</f>
        <v>2</v>
      </c>
      <c r="G176" s="38">
        <f>COUNTA(Table1[[#This Row],[A ASEO]])</f>
        <v>0</v>
      </c>
      <c r="H176" s="1">
        <f>SUM(J176,L176,N176,P176,R176,T176,V176,X176,Z176,AB176,AD176,AF176,AH176)</f>
        <v>111.03450000000001</v>
      </c>
      <c r="I176" s="1">
        <v>18.2</v>
      </c>
      <c r="J176" s="1">
        <f>I176*1.34</f>
        <v>24.388000000000002</v>
      </c>
      <c r="K176" s="1">
        <v>7</v>
      </c>
      <c r="L176" s="1">
        <f>K176*1.34</f>
        <v>9.3800000000000008</v>
      </c>
      <c r="M176" s="1">
        <v>4.1500000000000004</v>
      </c>
      <c r="N176" s="1">
        <f>M176*2.36</f>
        <v>9.7940000000000005</v>
      </c>
      <c r="O176" s="1">
        <v>2.4</v>
      </c>
      <c r="P176" s="1">
        <f>O176*2.36</f>
        <v>5.6639999999999997</v>
      </c>
      <c r="Q176" s="1"/>
      <c r="R176" s="1"/>
      <c r="S176" s="1"/>
      <c r="T176" s="1"/>
      <c r="U176" s="1">
        <v>11</v>
      </c>
      <c r="V176" s="1">
        <f>U176*1.34</f>
        <v>14.74</v>
      </c>
      <c r="W176" s="1">
        <v>9.6</v>
      </c>
      <c r="X176" s="1">
        <f>W176*1.34</f>
        <v>12.864000000000001</v>
      </c>
      <c r="Y176" s="1">
        <v>8.8000000000000007</v>
      </c>
      <c r="Z176" s="1">
        <f>Y176*1.34</f>
        <v>11.792000000000002</v>
      </c>
      <c r="AA176" s="1"/>
      <c r="AB176" s="1"/>
      <c r="AC176" s="1">
        <v>2.5</v>
      </c>
      <c r="AD176" s="1">
        <f>AC176*2.75</f>
        <v>6.875</v>
      </c>
      <c r="AE176" s="1">
        <v>5.65</v>
      </c>
      <c r="AF176" s="1">
        <f>AE176*2.75</f>
        <v>15.537500000000001</v>
      </c>
      <c r="AG176" s="1"/>
      <c r="AH176" s="1"/>
      <c r="AI176" s="39"/>
      <c r="AJ176" s="39"/>
      <c r="AK176" s="34"/>
      <c r="AL176" s="27">
        <f>SUM(I176,U176,W176,Y176,AA176,AC176,AE176,AG176)</f>
        <v>55.749999999999993</v>
      </c>
      <c r="AM176" s="27">
        <f>SUM(K176,M176,O176,Q176,S176)</f>
        <v>13.55</v>
      </c>
      <c r="AN176" s="27">
        <f>SUM(J176,V176,X176,Z176,AB176,AD176,AF176,AH176)</f>
        <v>86.196500000000015</v>
      </c>
      <c r="AO176" s="27">
        <f>SUM(L176,N176,P176,R176,T176)</f>
        <v>24.838000000000001</v>
      </c>
      <c r="AP176" s="30">
        <f>SUM(AG176,AE176,AC176,AA176,Y176,W176,U176,I176)/D176</f>
        <v>0.80447330447330434</v>
      </c>
      <c r="AQ176" s="30">
        <f>SUM(K176,M176,O176,Q176,S176)/D176</f>
        <v>0.19552669552669549</v>
      </c>
      <c r="AR176" s="30">
        <f>D176/H176</f>
        <v>0.62413033786796002</v>
      </c>
      <c r="AS176" s="30">
        <f>AL176/AN176</f>
        <v>0.64677800142697195</v>
      </c>
      <c r="AT176" s="30">
        <f>AM176/AO176</f>
        <v>0.54553506723568723</v>
      </c>
      <c r="AU176" s="35">
        <f>(((H176/2) - SQRT((H176/2)^2 - 4 * D176)) / 2)</f>
        <v>1.2776646342839371</v>
      </c>
      <c r="AV176" s="27">
        <f>(((H176/2) + SQRT((H176/2)^2 - 4 * D176)) / 2)</f>
        <v>54.239585365716067</v>
      </c>
      <c r="AW176" s="27">
        <f>AU176*2.7*2+AV176*2.7*2</f>
        <v>299.79315000000003</v>
      </c>
      <c r="AX176" s="30">
        <f>AW176/D176</f>
        <v>4.3260194805194798</v>
      </c>
      <c r="AY176" s="30"/>
    </row>
    <row r="177" spans="2:51" x14ac:dyDescent="0.25">
      <c r="B177" s="36" t="s">
        <v>42</v>
      </c>
      <c r="C177" t="s">
        <v>70</v>
      </c>
      <c r="D177" s="37">
        <f>SUM(I177,K177,M177,O177,Q177,S177,U177,W177,Y177,AA177,AC177,AE177,AG177)</f>
        <v>69.94</v>
      </c>
      <c r="E177" s="38">
        <f>COUNTA(U177,W177,Y177,AA177)</f>
        <v>3</v>
      </c>
      <c r="F177" s="38">
        <f>COUNTA(M177,O177,Q177)</f>
        <v>1</v>
      </c>
      <c r="G177" s="38">
        <f>COUNTA(Table1[[#This Row],[A ASEO]])</f>
        <v>1</v>
      </c>
      <c r="H177" s="1">
        <f>SUM(J177,L177,N177,P177,R177,T177,V177,X177,Z177,AB177,AD177,AF177,AH177)</f>
        <v>112.2071</v>
      </c>
      <c r="I177" s="1">
        <v>18.09</v>
      </c>
      <c r="J177" s="1">
        <f>I177*1.34</f>
        <v>24.240600000000001</v>
      </c>
      <c r="K177" s="1">
        <v>7.73</v>
      </c>
      <c r="L177" s="1">
        <f>K177*1.34</f>
        <v>10.358200000000002</v>
      </c>
      <c r="M177" s="1">
        <v>5.0999999999999996</v>
      </c>
      <c r="N177" s="1">
        <f>M177*2.36</f>
        <v>12.035999999999998</v>
      </c>
      <c r="O177" s="1"/>
      <c r="P177" s="1"/>
      <c r="Q177" s="1"/>
      <c r="R177" s="1"/>
      <c r="S177" s="1">
        <v>2.92</v>
      </c>
      <c r="T177" s="1">
        <f>S177*2.36</f>
        <v>6.8911999999999995</v>
      </c>
      <c r="U177" s="1">
        <v>12.05</v>
      </c>
      <c r="V177" s="1">
        <f>U177*1.34</f>
        <v>16.147000000000002</v>
      </c>
      <c r="W177" s="1">
        <v>8.3699999999999992</v>
      </c>
      <c r="X177" s="1">
        <f>W177*1.34</f>
        <v>11.2158</v>
      </c>
      <c r="Y177" s="1">
        <v>8.3699999999999992</v>
      </c>
      <c r="Z177" s="1">
        <f>Y177*1.34</f>
        <v>11.2158</v>
      </c>
      <c r="AA177" s="1"/>
      <c r="AB177" s="1"/>
      <c r="AC177" s="1">
        <v>7.31</v>
      </c>
      <c r="AD177" s="1">
        <f>AC177*2.75</f>
        <v>20.102499999999999</v>
      </c>
      <c r="AE177" s="1"/>
      <c r="AF177" s="1"/>
      <c r="AG177" s="1"/>
      <c r="AH177" s="1"/>
      <c r="AI177" s="39"/>
      <c r="AJ177" s="39"/>
      <c r="AK177" s="34"/>
      <c r="AL177" s="27">
        <f>SUM(I177,U177,W177,Y177,AA177,AC177,AE177,AG177)</f>
        <v>54.19</v>
      </c>
      <c r="AM177" s="27">
        <f>SUM(K177,M177,O177,Q177,S177)</f>
        <v>15.75</v>
      </c>
      <c r="AN177" s="27">
        <f>SUM(J177,V177,X177,Z177,AB177,AD177,AF177,AH177)</f>
        <v>82.921700000000016</v>
      </c>
      <c r="AO177" s="27">
        <f>SUM(L177,N177,P177,R177,T177)</f>
        <v>29.285399999999996</v>
      </c>
      <c r="AP177" s="30">
        <f>SUM(AG177,AE177,AC177,AA177,Y177,W177,U177,I177)/D177</f>
        <v>0.7748069774092079</v>
      </c>
      <c r="AQ177" s="30">
        <f>SUM(K177,M177,O177,Q177,S177)/D177</f>
        <v>0.2251930225907921</v>
      </c>
      <c r="AR177" s="30">
        <f>D177/H177</f>
        <v>0.62331171556880094</v>
      </c>
      <c r="AS177" s="30">
        <f>AL177/AN177</f>
        <v>0.65350806845493992</v>
      </c>
      <c r="AT177" s="30">
        <f>AM177/AO177</f>
        <v>0.53781064967526493</v>
      </c>
      <c r="AU177" s="35">
        <f>(((H177/2) - SQRT((H177/2)^2 - 4 * D177)) / 2)</f>
        <v>1.2756273933963733</v>
      </c>
      <c r="AV177" s="27">
        <f>(((H177/2) + SQRT((H177/2)^2 - 4 * D177)) / 2)</f>
        <v>54.827922606603622</v>
      </c>
      <c r="AW177" s="27">
        <f>AU177*2.7*2+AV177*2.7*2</f>
        <v>302.95916999999997</v>
      </c>
      <c r="AX177" s="30">
        <f>AW177/D177</f>
        <v>4.331701029453817</v>
      </c>
      <c r="AY177" s="30"/>
    </row>
    <row r="178" spans="2:51" x14ac:dyDescent="0.25">
      <c r="B178" s="36" t="s">
        <v>42</v>
      </c>
      <c r="C178" t="s">
        <v>65</v>
      </c>
      <c r="D178" s="37">
        <f>SUM(I178,K178,M178,O178,Q178,S178,U178,W178,Y178,AA178,AC178,AE178,AG178)</f>
        <v>75.900000000000006</v>
      </c>
      <c r="E178" s="38">
        <f>COUNTA(U178,W178,Y178,AA178)</f>
        <v>3</v>
      </c>
      <c r="F178" s="38">
        <f>COUNTA(M178,O178,Q178)</f>
        <v>1</v>
      </c>
      <c r="G178" s="38">
        <f>COUNTA(Table1[[#This Row],[A ASEO]])</f>
        <v>0</v>
      </c>
      <c r="H178" s="1">
        <f>SUM(J178,L178,N178,P178,R178,T178,V178,X178,Z178,AB178,AD178,AF178,AH178)</f>
        <v>122.07150000000001</v>
      </c>
      <c r="I178" s="1">
        <v>21.06</v>
      </c>
      <c r="J178" s="1">
        <f>I178*1.34</f>
        <v>28.220400000000001</v>
      </c>
      <c r="K178" s="1">
        <v>8.65</v>
      </c>
      <c r="L178" s="1">
        <f>K178*1.34</f>
        <v>11.591000000000001</v>
      </c>
      <c r="M178" s="1">
        <v>6.35</v>
      </c>
      <c r="N178" s="1">
        <f>M178*2.36</f>
        <v>14.985999999999999</v>
      </c>
      <c r="O178" s="1"/>
      <c r="P178" s="1"/>
      <c r="Q178" s="1"/>
      <c r="R178" s="1"/>
      <c r="S178" s="1"/>
      <c r="T178" s="1"/>
      <c r="U178" s="1">
        <v>12.55</v>
      </c>
      <c r="V178" s="1">
        <f>U178*1.34</f>
        <v>16.817000000000004</v>
      </c>
      <c r="W178" s="1">
        <v>8.75</v>
      </c>
      <c r="X178" s="1">
        <f>W178*1.34</f>
        <v>11.725000000000001</v>
      </c>
      <c r="Y178" s="1">
        <v>8.69</v>
      </c>
      <c r="Z178" s="1">
        <f>Y178*1.34</f>
        <v>11.644600000000001</v>
      </c>
      <c r="AA178" s="1"/>
      <c r="AB178" s="1"/>
      <c r="AC178" s="1">
        <v>3.56</v>
      </c>
      <c r="AD178" s="1">
        <f>AC178*2.75</f>
        <v>9.7900000000000009</v>
      </c>
      <c r="AE178" s="1">
        <v>6.29</v>
      </c>
      <c r="AF178" s="1">
        <f>AE178*2.75</f>
        <v>17.297499999999999</v>
      </c>
      <c r="AG178" s="1"/>
      <c r="AH178" s="1"/>
      <c r="AI178" s="39">
        <v>23.82</v>
      </c>
      <c r="AJ178" s="39">
        <f>AI178*0.6</f>
        <v>14.292</v>
      </c>
      <c r="AK178" s="34"/>
      <c r="AL178" s="27">
        <f>SUM(I178,U178,W178,Y178,AA178,AC178,AE178,AG178)</f>
        <v>60.9</v>
      </c>
      <c r="AM178" s="27">
        <f>SUM(K178,M178,O178,Q178,S178)</f>
        <v>15</v>
      </c>
      <c r="AN178" s="27">
        <f>SUM(J178,V178,X178,Z178,AB178,AD178,AF178,AH178)</f>
        <v>95.494500000000016</v>
      </c>
      <c r="AO178" s="27">
        <f>SUM(L178,N178,P178,R178,T178)</f>
        <v>26.576999999999998</v>
      </c>
      <c r="AP178" s="30">
        <f>SUM(AG178,AE178,AC178,AA178,Y178,W178,U178,I178)/D178</f>
        <v>0.80237154150197632</v>
      </c>
      <c r="AQ178" s="30">
        <f>SUM(K178,M178,O178,Q178,S178)/D178</f>
        <v>0.19762845849802371</v>
      </c>
      <c r="AR178" s="30">
        <f>D178/H178</f>
        <v>0.62176675145304183</v>
      </c>
      <c r="AS178" s="30">
        <f>AL178/AN178</f>
        <v>0.63773306316070544</v>
      </c>
      <c r="AT178" s="30">
        <f>AM178/AO178</f>
        <v>0.56439778756067283</v>
      </c>
      <c r="AU178" s="35">
        <f>(((H178/2) - SQRT((H178/2)^2 - 4 * D178)) / 2)</f>
        <v>1.2699572191454962</v>
      </c>
      <c r="AV178" s="27">
        <f>(((H178/2) + SQRT((H178/2)^2 - 4 * D178)) / 2)</f>
        <v>59.765792780854511</v>
      </c>
      <c r="AW178" s="27">
        <f>AU178*2.7*2+AV178*2.7*2</f>
        <v>329.59305000000006</v>
      </c>
      <c r="AX178" s="30">
        <f>AW178/D178</f>
        <v>4.3424644268774708</v>
      </c>
      <c r="AY178" s="30"/>
    </row>
    <row r="179" spans="2:51" x14ac:dyDescent="0.25">
      <c r="B179" s="36" t="s">
        <v>42</v>
      </c>
      <c r="C179" t="s">
        <v>55</v>
      </c>
      <c r="D179" s="37">
        <f>SUM(I179,K179,M179,O179,Q179,S179,U179,W179,Y179,AA179,AC179,AE179,AG179)</f>
        <v>69.050000000000011</v>
      </c>
      <c r="E179" s="38">
        <f>COUNTA(U179,W179,Y179,AA179)</f>
        <v>3</v>
      </c>
      <c r="F179" s="38">
        <f>COUNTA(M179,O179,Q179)</f>
        <v>2</v>
      </c>
      <c r="G179" s="38">
        <f>COUNTA(Table1[[#This Row],[A ASEO]])</f>
        <v>0</v>
      </c>
      <c r="H179" s="1">
        <f>SUM(J179,L179,N179,P179,R179,T179,V179,X179,Z179,AB179,AD179,AF179,AH179)</f>
        <v>111.31180000000001</v>
      </c>
      <c r="I179" s="1">
        <v>18.04</v>
      </c>
      <c r="J179" s="1">
        <f>I179*1.34</f>
        <v>24.1736</v>
      </c>
      <c r="K179" s="1">
        <v>7.02</v>
      </c>
      <c r="L179" s="1">
        <f>K179*1.34</f>
        <v>9.4068000000000005</v>
      </c>
      <c r="M179" s="1">
        <v>3.92</v>
      </c>
      <c r="N179" s="1">
        <f>M179*2.36</f>
        <v>9.251199999999999</v>
      </c>
      <c r="O179" s="1">
        <v>2.94</v>
      </c>
      <c r="P179" s="1">
        <f>O179*2.36</f>
        <v>6.9383999999999997</v>
      </c>
      <c r="Q179" s="1"/>
      <c r="R179" s="1"/>
      <c r="S179" s="1"/>
      <c r="T179" s="1"/>
      <c r="U179" s="1">
        <v>12.01</v>
      </c>
      <c r="V179" s="1">
        <f>U179*1.34</f>
        <v>16.093399999999999</v>
      </c>
      <c r="W179" s="1">
        <v>8.3800000000000008</v>
      </c>
      <c r="X179" s="1">
        <f>W179*1.34</f>
        <v>11.229200000000002</v>
      </c>
      <c r="Y179" s="1">
        <v>8.3800000000000008</v>
      </c>
      <c r="Z179" s="1">
        <f>Y179*1.34</f>
        <v>11.229200000000002</v>
      </c>
      <c r="AA179" s="1"/>
      <c r="AB179" s="1"/>
      <c r="AC179" s="1">
        <v>1.18</v>
      </c>
      <c r="AD179" s="1">
        <f>AC179*2.75</f>
        <v>3.2449999999999997</v>
      </c>
      <c r="AE179" s="1">
        <v>7.18</v>
      </c>
      <c r="AF179" s="1">
        <f>AE179*2.75</f>
        <v>19.744999999999997</v>
      </c>
      <c r="AG179" s="1"/>
      <c r="AH179" s="1"/>
      <c r="AI179" s="39"/>
      <c r="AJ179" s="39"/>
      <c r="AK179" s="34"/>
      <c r="AL179" s="27">
        <f>SUM(I179,U179,W179,Y179,AA179,AC179,AE179,AG179)</f>
        <v>55.17</v>
      </c>
      <c r="AM179" s="27">
        <f>SUM(K179,M179,O179,Q179,S179)</f>
        <v>13.879999999999999</v>
      </c>
      <c r="AN179" s="27">
        <f>SUM(J179,V179,X179,Z179,AB179,AD179,AF179,AH179)</f>
        <v>85.715400000000017</v>
      </c>
      <c r="AO179" s="27">
        <f>SUM(L179,N179,P179,R179,T179)</f>
        <v>25.596400000000003</v>
      </c>
      <c r="AP179" s="30">
        <f>SUM(AG179,AE179,AC179,AA179,Y179,W179,U179,I179)/D179</f>
        <v>0.79898624185372913</v>
      </c>
      <c r="AQ179" s="30">
        <f>SUM(K179,M179,O179,Q179,S179)/D179</f>
        <v>0.20101375814627076</v>
      </c>
      <c r="AR179" s="30">
        <f>D179/H179</f>
        <v>0.62032956074737811</v>
      </c>
      <c r="AS179" s="30">
        <f>AL179/AN179</f>
        <v>0.64364163265877528</v>
      </c>
      <c r="AT179" s="30">
        <f>AM179/AO179</f>
        <v>0.542263755840665</v>
      </c>
      <c r="AU179" s="35">
        <f>(((H179/2) - SQRT((H179/2)^2 - 4 * D179)) / 2)</f>
        <v>1.2696217167194419</v>
      </c>
      <c r="AV179" s="27">
        <f>(((H179/2) + SQRT((H179/2)^2 - 4 * D179)) / 2)</f>
        <v>54.386278283280561</v>
      </c>
      <c r="AW179" s="27">
        <f>AU179*2.7*2+AV179*2.7*2</f>
        <v>300.54186000000004</v>
      </c>
      <c r="AX179" s="30">
        <f>AW179/D179</f>
        <v>4.352525126719768</v>
      </c>
      <c r="AY179" s="30"/>
    </row>
    <row r="180" spans="2:51" x14ac:dyDescent="0.25">
      <c r="B180" s="36" t="s">
        <v>42</v>
      </c>
      <c r="C180" t="s">
        <v>55</v>
      </c>
      <c r="D180" s="37">
        <f>SUM(I180,K180,M180,O180,Q180,S180,U180,W180,Y180,AA180,AC180,AE180,AG180)</f>
        <v>68.87</v>
      </c>
      <c r="E180" s="38">
        <f>COUNTA(U180,W180,Y180,AA180)</f>
        <v>3</v>
      </c>
      <c r="F180" s="38">
        <f>COUNTA(M180,O180,Q180)</f>
        <v>2</v>
      </c>
      <c r="G180" s="38">
        <f>COUNTA(Table1[[#This Row],[A ASEO]])</f>
        <v>0</v>
      </c>
      <c r="H180" s="1">
        <f>SUM(J180,L180,N180,P180,R180,T180,V180,X180,Z180,AB180,AD180,AF180,AH180)</f>
        <v>111.02260000000001</v>
      </c>
      <c r="I180" s="1">
        <v>18.03</v>
      </c>
      <c r="J180" s="1">
        <f>I180*1.34</f>
        <v>24.160200000000003</v>
      </c>
      <c r="K180" s="1">
        <v>7.33</v>
      </c>
      <c r="L180" s="1">
        <f>K180*1.34</f>
        <v>9.8222000000000005</v>
      </c>
      <c r="M180" s="1">
        <v>4.6900000000000004</v>
      </c>
      <c r="N180" s="1">
        <f>M180*2.36</f>
        <v>11.0684</v>
      </c>
      <c r="O180" s="1">
        <v>2.04</v>
      </c>
      <c r="P180" s="1">
        <f>O180*2.36</f>
        <v>4.8144</v>
      </c>
      <c r="Q180" s="1"/>
      <c r="R180" s="1"/>
      <c r="S180" s="1"/>
      <c r="T180" s="1"/>
      <c r="U180" s="1">
        <v>12.36</v>
      </c>
      <c r="V180" s="1">
        <f>U180*1.34</f>
        <v>16.5624</v>
      </c>
      <c r="W180" s="1">
        <v>8</v>
      </c>
      <c r="X180" s="1">
        <f>W180*1.34</f>
        <v>10.72</v>
      </c>
      <c r="Y180" s="1">
        <v>8</v>
      </c>
      <c r="Z180" s="1">
        <f>Y180*1.34</f>
        <v>10.72</v>
      </c>
      <c r="AA180" s="1"/>
      <c r="AB180" s="1"/>
      <c r="AC180" s="1">
        <v>1.24</v>
      </c>
      <c r="AD180" s="1">
        <f>AC180*2.75</f>
        <v>3.41</v>
      </c>
      <c r="AE180" s="1">
        <v>7.18</v>
      </c>
      <c r="AF180" s="1">
        <f>AE180*2.75</f>
        <v>19.744999999999997</v>
      </c>
      <c r="AG180" s="1"/>
      <c r="AH180" s="1"/>
      <c r="AI180" s="39"/>
      <c r="AJ180" s="39"/>
      <c r="AK180" s="34"/>
      <c r="AL180" s="27">
        <f>SUM(I180,U180,W180,Y180,AA180,AC180,AE180,AG180)</f>
        <v>54.81</v>
      </c>
      <c r="AM180" s="27">
        <f>SUM(K180,M180,O180,Q180,S180)</f>
        <v>14.059999999999999</v>
      </c>
      <c r="AN180" s="27">
        <f>SUM(J180,V180,X180,Z180,AB180,AD180,AF180,AH180)</f>
        <v>85.317599999999999</v>
      </c>
      <c r="AO180" s="27">
        <f>SUM(L180,N180,P180,R180,T180)</f>
        <v>25.704999999999998</v>
      </c>
      <c r="AP180" s="30">
        <f>SUM(AG180,AE180,AC180,AA180,Y180,W180,U180,I180)/D180</f>
        <v>0.79584724843908816</v>
      </c>
      <c r="AQ180" s="30">
        <f>SUM(K180,M180,O180,Q180,S180)/D180</f>
        <v>0.20415275156091184</v>
      </c>
      <c r="AR180" s="30">
        <f>D180/H180</f>
        <v>0.62032415021806364</v>
      </c>
      <c r="AS180" s="30">
        <f>AL180/AN180</f>
        <v>0.64242313426538022</v>
      </c>
      <c r="AT180" s="30">
        <f>AM180/AO180</f>
        <v>0.54697529663489597</v>
      </c>
      <c r="AU180" s="35">
        <f>(((H180/2) - SQRT((H180/2)^2 - 4 * D180)) / 2)</f>
        <v>1.2696894374208121</v>
      </c>
      <c r="AV180" s="27">
        <f>(((H180/2) + SQRT((H180/2)^2 - 4 * D180)) / 2)</f>
        <v>54.241610562579197</v>
      </c>
      <c r="AW180" s="27">
        <f>AU180*2.7*2+AV180*2.7*2</f>
        <v>299.76102000000009</v>
      </c>
      <c r="AX180" s="30">
        <f>AW180/D180</f>
        <v>4.3525630898794843</v>
      </c>
      <c r="AY180" s="30"/>
    </row>
    <row r="181" spans="2:51" x14ac:dyDescent="0.25">
      <c r="B181" s="36" t="s">
        <v>42</v>
      </c>
      <c r="C181" t="s">
        <v>77</v>
      </c>
      <c r="D181" s="37">
        <f>SUM(I181,K181,M181,O181,Q181,S181,U181,W181,Y181,AA181,AC181,AE181,AG181)</f>
        <v>68.649999999999991</v>
      </c>
      <c r="E181" s="38">
        <f>COUNTA(U181,W181,Y181,AA181)</f>
        <v>3</v>
      </c>
      <c r="F181" s="38">
        <f>COUNTA(M181,O181,Q181)</f>
        <v>2</v>
      </c>
      <c r="G181" s="38">
        <f>COUNTA(Table1[[#This Row],[A ASEO]])</f>
        <v>0</v>
      </c>
      <c r="H181" s="1">
        <f>SUM(J181,L181,N181,P181,R181,T181,V181,X181,Z181,AB181,AD181,AF181,AH181)</f>
        <v>110.75150000000001</v>
      </c>
      <c r="I181" s="1">
        <v>18.5</v>
      </c>
      <c r="J181" s="1">
        <f>I181*1.34</f>
        <v>24.790000000000003</v>
      </c>
      <c r="K181" s="1">
        <v>7.15</v>
      </c>
      <c r="L181" s="1">
        <f>K181*1.34</f>
        <v>9.5810000000000013</v>
      </c>
      <c r="M181" s="1">
        <v>3.95</v>
      </c>
      <c r="N181" s="1">
        <f>M181*2.36</f>
        <v>9.3219999999999992</v>
      </c>
      <c r="O181" s="1">
        <v>2.9</v>
      </c>
      <c r="P181" s="1">
        <f>O181*2.36</f>
        <v>6.8439999999999994</v>
      </c>
      <c r="Q181" s="1"/>
      <c r="R181" s="1"/>
      <c r="S181" s="1"/>
      <c r="T181" s="1"/>
      <c r="U181" s="1">
        <v>12.45</v>
      </c>
      <c r="V181" s="1">
        <f>U181*1.34</f>
        <v>16.683</v>
      </c>
      <c r="W181" s="1">
        <v>8.0500000000000007</v>
      </c>
      <c r="X181" s="1">
        <f>W181*1.34</f>
        <v>10.787000000000001</v>
      </c>
      <c r="Y181" s="1">
        <v>7.3</v>
      </c>
      <c r="Z181" s="1">
        <f>Y181*1.34</f>
        <v>9.782</v>
      </c>
      <c r="AA181" s="1"/>
      <c r="AB181" s="1"/>
      <c r="AC181" s="1">
        <v>4.55</v>
      </c>
      <c r="AD181" s="1">
        <f>AC181*2.75</f>
        <v>12.512499999999999</v>
      </c>
      <c r="AE181" s="1">
        <v>3.8</v>
      </c>
      <c r="AF181" s="1">
        <f>AE181*2.75</f>
        <v>10.45</v>
      </c>
      <c r="AG181" s="1"/>
      <c r="AH181" s="1"/>
      <c r="AI181" s="39"/>
      <c r="AJ181" s="39"/>
      <c r="AK181" s="34"/>
      <c r="AL181" s="27">
        <f>SUM(I181,U181,W181,Y181,AA181,AC181,AE181,AG181)</f>
        <v>54.649999999999991</v>
      </c>
      <c r="AM181" s="27">
        <f>SUM(K181,M181,O181,Q181,S181)</f>
        <v>14.000000000000002</v>
      </c>
      <c r="AN181" s="27">
        <f>SUM(J181,V181,X181,Z181,AB181,AD181,AF181,AH181)</f>
        <v>85.004500000000007</v>
      </c>
      <c r="AO181" s="27">
        <f>SUM(L181,N181,P181,R181,T181)</f>
        <v>25.747</v>
      </c>
      <c r="AP181" s="30">
        <f>SUM(AG181,AE181,AC181,AA181,Y181,W181,U181,I181)/D181</f>
        <v>0.79606700655498919</v>
      </c>
      <c r="AQ181" s="30">
        <f>SUM(K181,M181,O181,Q181,S181)/D181</f>
        <v>0.20393299344501098</v>
      </c>
      <c r="AR181" s="30">
        <f>D181/H181</f>
        <v>0.61985616447632752</v>
      </c>
      <c r="AS181" s="30">
        <f>AL181/AN181</f>
        <v>0.64290714021022399</v>
      </c>
      <c r="AT181" s="30">
        <f>AM181/AO181</f>
        <v>0.54375267021400564</v>
      </c>
      <c r="AU181" s="35">
        <f>(((H181/2) - SQRT((H181/2)^2 - 4 * D181)) / 2)</f>
        <v>1.2687830016813386</v>
      </c>
      <c r="AV181" s="27">
        <f>(((H181/2) + SQRT((H181/2)^2 - 4 * D181)) / 2)</f>
        <v>54.106966998318669</v>
      </c>
      <c r="AW181" s="27">
        <f>AU181*2.7*2+AV181*2.7*2</f>
        <v>299.0290500000001</v>
      </c>
      <c r="AX181" s="30">
        <f>AW181/D181</f>
        <v>4.3558492352512763</v>
      </c>
      <c r="AY181" s="30"/>
    </row>
    <row r="182" spans="2:51" x14ac:dyDescent="0.25">
      <c r="B182" s="36" t="s">
        <v>42</v>
      </c>
      <c r="C182" t="s">
        <v>55</v>
      </c>
      <c r="D182" s="37">
        <f>SUM(I182,K182,M182,O182,Q182,S182,U182,W182,Y182,AA182,AC182,AE182,AG182)</f>
        <v>70</v>
      </c>
      <c r="E182" s="38">
        <f>COUNTA(U182,W182,Y182,AA182)</f>
        <v>3</v>
      </c>
      <c r="F182" s="38">
        <f>COUNTA(M182,O182,Q182)</f>
        <v>2</v>
      </c>
      <c r="G182" s="38">
        <f>COUNTA(Table1[[#This Row],[A ASEO]])</f>
        <v>0</v>
      </c>
      <c r="H182" s="1">
        <f>SUM(J182,L182,N182,P182,R182,T182,V182,X182,Z182,AB182,AD182,AF182,AH182)</f>
        <v>113.2466</v>
      </c>
      <c r="I182" s="1">
        <v>18.23</v>
      </c>
      <c r="J182" s="1">
        <f>I182*1.34</f>
        <v>24.4282</v>
      </c>
      <c r="K182" s="1">
        <v>7.07</v>
      </c>
      <c r="L182" s="1">
        <f>K182*1.34</f>
        <v>9.4738000000000007</v>
      </c>
      <c r="M182" s="1">
        <v>3.92</v>
      </c>
      <c r="N182" s="1">
        <f>M182*2.36</f>
        <v>9.251199999999999</v>
      </c>
      <c r="O182" s="1">
        <v>3.81</v>
      </c>
      <c r="P182" s="1">
        <f>O182*2.36</f>
        <v>8.9916</v>
      </c>
      <c r="Q182" s="1"/>
      <c r="R182" s="1"/>
      <c r="S182" s="1"/>
      <c r="T182" s="1"/>
      <c r="U182" s="1">
        <v>12.13</v>
      </c>
      <c r="V182" s="1">
        <f>U182*1.34</f>
        <v>16.254200000000001</v>
      </c>
      <c r="W182" s="1">
        <v>8.5</v>
      </c>
      <c r="X182" s="1">
        <f>W182*1.34</f>
        <v>11.39</v>
      </c>
      <c r="Y182" s="1">
        <v>8.14</v>
      </c>
      <c r="Z182" s="1">
        <f>Y182*1.34</f>
        <v>10.907600000000002</v>
      </c>
      <c r="AA182" s="1"/>
      <c r="AB182" s="1"/>
      <c r="AC182" s="1">
        <v>1.1499999999999999</v>
      </c>
      <c r="AD182" s="1">
        <f>AC182*2.75</f>
        <v>3.1624999999999996</v>
      </c>
      <c r="AE182" s="1">
        <v>7.05</v>
      </c>
      <c r="AF182" s="1">
        <f>AE182*2.75</f>
        <v>19.387499999999999</v>
      </c>
      <c r="AG182" s="1"/>
      <c r="AH182" s="1"/>
      <c r="AI182" s="39"/>
      <c r="AJ182" s="39"/>
      <c r="AK182" s="34"/>
      <c r="AL182" s="27">
        <f>SUM(I182,U182,W182,Y182,AA182,AC182,AE182,AG182)</f>
        <v>55.199999999999996</v>
      </c>
      <c r="AM182" s="27">
        <f>SUM(K182,M182,O182,Q182,S182)</f>
        <v>14.8</v>
      </c>
      <c r="AN182" s="27">
        <f>SUM(J182,V182,X182,Z182,AB182,AD182,AF182,AH182)</f>
        <v>85.53</v>
      </c>
      <c r="AO182" s="27">
        <f>SUM(L182,N182,P182,R182,T182)</f>
        <v>27.7166</v>
      </c>
      <c r="AP182" s="30">
        <f>SUM(AG182,AE182,AC182,AA182,Y182,W182,U182,I182)/D182</f>
        <v>0.78857142857142859</v>
      </c>
      <c r="AQ182" s="30">
        <f>SUM(K182,M182,O182,Q182,S182)/D182</f>
        <v>0.21142857142857144</v>
      </c>
      <c r="AR182" s="30">
        <f>D182/H182</f>
        <v>0.61812010250197358</v>
      </c>
      <c r="AS182" s="30">
        <f>AL182/AN182</f>
        <v>0.64538758330410373</v>
      </c>
      <c r="AT182" s="30">
        <f>AM182/AO182</f>
        <v>0.53397602880584205</v>
      </c>
      <c r="AU182" s="35">
        <f>(((H182/2) - SQRT((H182/2)^2 - 4 * D182)) / 2)</f>
        <v>1.2644777684616351</v>
      </c>
      <c r="AV182" s="27">
        <f>(((H182/2) + SQRT((H182/2)^2 - 4 * D182)) / 2)</f>
        <v>55.358822231538369</v>
      </c>
      <c r="AW182" s="27">
        <f>AU182*2.7*2+AV182*2.7*2</f>
        <v>305.76582000000002</v>
      </c>
      <c r="AX182" s="30">
        <f>AW182/D182</f>
        <v>4.3680831428571434</v>
      </c>
      <c r="AY182" s="30"/>
    </row>
    <row r="183" spans="2:51" x14ac:dyDescent="0.25">
      <c r="B183" s="36" t="s">
        <v>42</v>
      </c>
      <c r="C183" t="s">
        <v>76</v>
      </c>
      <c r="D183" s="37">
        <f>SUM(I183,K183,M183,O183,Q183,S183,U183,W183,Y183,AA183,AC183,AE183,AG183)</f>
        <v>75.95</v>
      </c>
      <c r="E183" s="38">
        <f>COUNTA(U183,W183,Y183,AA183)</f>
        <v>3</v>
      </c>
      <c r="F183" s="38">
        <f>COUNTA(M183,O183,Q183)</f>
        <v>2</v>
      </c>
      <c r="G183" s="38">
        <f>COUNTA(Table1[[#This Row],[A ASEO]])</f>
        <v>0</v>
      </c>
      <c r="H183" s="1">
        <f>SUM(J183,L183,N183,P183,R183,T183,V183,X183,Z183,AB183,AD183,AF183,AH183)</f>
        <v>122.935</v>
      </c>
      <c r="I183" s="1">
        <v>21</v>
      </c>
      <c r="J183" s="1">
        <f>I183*1.34</f>
        <v>28.14</v>
      </c>
      <c r="K183" s="1">
        <v>10.35</v>
      </c>
      <c r="L183" s="1">
        <f>K183*1.34</f>
        <v>13.869</v>
      </c>
      <c r="M183" s="1">
        <v>4.9000000000000004</v>
      </c>
      <c r="N183" s="1">
        <f>M183*2.36</f>
        <v>11.564</v>
      </c>
      <c r="O183" s="1">
        <v>4.6500000000000004</v>
      </c>
      <c r="P183" s="1">
        <f>O183*2.36</f>
        <v>10.974</v>
      </c>
      <c r="Q183" s="1"/>
      <c r="R183" s="1"/>
      <c r="U183" s="1">
        <v>12.55</v>
      </c>
      <c r="V183" s="1">
        <f>U183*1.34</f>
        <v>16.817000000000004</v>
      </c>
      <c r="W183" s="1">
        <v>8</v>
      </c>
      <c r="X183" s="1">
        <f>W183*1.34</f>
        <v>10.72</v>
      </c>
      <c r="Y183" s="1">
        <v>6.4</v>
      </c>
      <c r="Z183" s="1">
        <f>Y183*1.34</f>
        <v>8.5760000000000005</v>
      </c>
      <c r="AA183" s="1"/>
      <c r="AB183" s="1"/>
      <c r="AC183" s="1">
        <v>4.55</v>
      </c>
      <c r="AD183" s="1">
        <f>AC183*2.75</f>
        <v>12.512499999999999</v>
      </c>
      <c r="AE183" s="1">
        <v>3.55</v>
      </c>
      <c r="AF183" s="1">
        <f>AE183*2.75</f>
        <v>9.7624999999999993</v>
      </c>
      <c r="AG183" s="1"/>
      <c r="AH183" s="1"/>
      <c r="AI183" s="39"/>
      <c r="AJ183" s="39"/>
      <c r="AK183" s="34"/>
      <c r="AL183" s="27">
        <f>SUM(I183,U183,W183,Y183,AA183,AC183,AE183,AG183)</f>
        <v>56.04999999999999</v>
      </c>
      <c r="AM183" s="27">
        <f>SUM(K183,M183,O183,Q183,S183)</f>
        <v>19.899999999999999</v>
      </c>
      <c r="AN183" s="27">
        <f>SUM(J183,V183,X183,Z183,AB183,AD183,AF183,AH183)</f>
        <v>86.52800000000002</v>
      </c>
      <c r="AO183" s="27">
        <f>SUM(L183,N183,P183,R183,T183)</f>
        <v>36.406999999999996</v>
      </c>
      <c r="AP183" s="30">
        <f>SUM(AG183,AE183,AC183,AA183,Y183,W183,U183,I183)/D183</f>
        <v>0.73798551678736002</v>
      </c>
      <c r="AQ183" s="30">
        <f>SUM(K183,M183,O183,Q183,S183)/D183</f>
        <v>0.26201448321263987</v>
      </c>
      <c r="AR183" s="30">
        <f>D183/H183</f>
        <v>0.61780615772562741</v>
      </c>
      <c r="AS183" s="30">
        <f>AL183/AN183</f>
        <v>0.64776719674556182</v>
      </c>
      <c r="AT183" s="30">
        <f>AM183/AO183</f>
        <v>0.54659818166836049</v>
      </c>
      <c r="AU183" s="35">
        <f>(((H183/2) - SQRT((H183/2)^2 - 4 * D183)) / 2)</f>
        <v>1.2615022224296588</v>
      </c>
      <c r="AV183" s="27">
        <f>(((H183/2) + SQRT((H183/2)^2 - 4 * D183)) / 2)</f>
        <v>60.205997777570346</v>
      </c>
      <c r="AW183" s="27">
        <f>AU183*2.7*2+AV183*2.7*2</f>
        <v>331.92450000000008</v>
      </c>
      <c r="AX183" s="30">
        <f>AW183/D183</f>
        <v>4.3703028308097442</v>
      </c>
      <c r="AY183" s="30"/>
    </row>
    <row r="184" spans="2:51" x14ac:dyDescent="0.25">
      <c r="B184" s="36" t="s">
        <v>42</v>
      </c>
      <c r="C184" t="s">
        <v>77</v>
      </c>
      <c r="D184" s="37">
        <f>SUM(I184,K184,M184,O184,Q184,S184,U184,W184,Y184,AA184,AC184,AE184,AG184)</f>
        <v>69.399999999999991</v>
      </c>
      <c r="E184" s="38">
        <f>COUNTA(U184,W184,Y184,AA184)</f>
        <v>3</v>
      </c>
      <c r="F184" s="38">
        <f>COUNTA(M184,O184,Q184)</f>
        <v>2</v>
      </c>
      <c r="G184" s="38">
        <f>COUNTA(Table1[[#This Row],[A ASEO]])</f>
        <v>0</v>
      </c>
      <c r="H184" s="1">
        <f>SUM(J184,L184,N184,P184,R184,T184,V184,X184,Z184,AB184,AD184,AF184,AH184)</f>
        <v>112.65799999999999</v>
      </c>
      <c r="I184" s="1">
        <v>18.45</v>
      </c>
      <c r="J184" s="1">
        <f>I184*1.34</f>
        <v>24.722999999999999</v>
      </c>
      <c r="K184" s="1">
        <v>7</v>
      </c>
      <c r="L184" s="1">
        <f>K184*1.34</f>
        <v>9.3800000000000008</v>
      </c>
      <c r="M184" s="1">
        <v>3.9</v>
      </c>
      <c r="N184" s="1">
        <f>M184*2.36</f>
        <v>9.2039999999999988</v>
      </c>
      <c r="O184" s="1">
        <v>3.35</v>
      </c>
      <c r="P184" s="1">
        <f>O184*2.36</f>
        <v>7.9059999999999997</v>
      </c>
      <c r="Q184" s="1"/>
      <c r="R184" s="1"/>
      <c r="S184" s="1"/>
      <c r="T184" s="1"/>
      <c r="U184" s="1">
        <v>11.45</v>
      </c>
      <c r="V184" s="1">
        <f>U184*1.34</f>
        <v>15.343</v>
      </c>
      <c r="W184" s="1">
        <v>9.15</v>
      </c>
      <c r="X184" s="1">
        <f>W184*1.34</f>
        <v>12.261000000000001</v>
      </c>
      <c r="Y184" s="1">
        <v>7.4</v>
      </c>
      <c r="Z184" s="1">
        <f>Y184*1.34</f>
        <v>9.9160000000000004</v>
      </c>
      <c r="AA184" s="1"/>
      <c r="AB184" s="1"/>
      <c r="AC184" s="1">
        <v>2.35</v>
      </c>
      <c r="AD184" s="1">
        <f>AC184*2.75</f>
        <v>6.4625000000000004</v>
      </c>
      <c r="AE184" s="1">
        <v>6.35</v>
      </c>
      <c r="AF184" s="1">
        <f>AE184*2.75</f>
        <v>17.462499999999999</v>
      </c>
      <c r="AG184" s="1"/>
      <c r="AH184" s="1"/>
      <c r="AI184" s="39"/>
      <c r="AJ184" s="39"/>
      <c r="AK184" s="34"/>
      <c r="AL184" s="27">
        <f>SUM(I184,U184,W184,Y184,AA184,AC184,AE184,AG184)</f>
        <v>55.15</v>
      </c>
      <c r="AM184" s="27">
        <f>SUM(K184,M184,O184,Q184,S184)</f>
        <v>14.25</v>
      </c>
      <c r="AN184" s="27">
        <f>SUM(J184,V184,X184,Z184,AB184,AD184,AF184,AH184)</f>
        <v>86.168000000000006</v>
      </c>
      <c r="AO184" s="27">
        <f>SUM(L184,N184,P184,R184,T184)</f>
        <v>26.49</v>
      </c>
      <c r="AP184" s="30">
        <f>SUM(AG184,AE184,AC184,AA184,Y184,W184,U184,I184)/D184</f>
        <v>0.79466858789625383</v>
      </c>
      <c r="AQ184" s="30">
        <f>SUM(K184,M184,O184,Q184,S184)/D184</f>
        <v>0.20533141210374642</v>
      </c>
      <c r="AR184" s="30">
        <f>D184/H184</f>
        <v>0.61602371780077758</v>
      </c>
      <c r="AS184" s="30">
        <f>AL184/AN184</f>
        <v>0.64002878098598082</v>
      </c>
      <c r="AT184" s="30">
        <f>AM184/AO184</f>
        <v>0.53793884484711219</v>
      </c>
      <c r="AU184" s="35">
        <f>(((H184/2) - SQRT((H184/2)^2 - 4 * D184)) / 2)</f>
        <v>1.2602427114220447</v>
      </c>
      <c r="AV184" s="27">
        <f>(((H184/2) + SQRT((H184/2)^2 - 4 * D184)) / 2)</f>
        <v>55.068757288577949</v>
      </c>
      <c r="AW184" s="27">
        <f>AU184*2.7*2+AV184*2.7*2</f>
        <v>304.17660000000001</v>
      </c>
      <c r="AX184" s="30">
        <f>AW184/D184</f>
        <v>4.3829481268011534</v>
      </c>
      <c r="AY184" s="30"/>
    </row>
    <row r="185" spans="2:51" x14ac:dyDescent="0.25">
      <c r="B185" s="36" t="s">
        <v>42</v>
      </c>
      <c r="C185" t="s">
        <v>77</v>
      </c>
      <c r="D185" s="37">
        <f>SUM(I185,K185,M185,O185,Q185,S185,U185,W185,Y185,AA185,AC185,AE185,AG185)</f>
        <v>67.200000000000017</v>
      </c>
      <c r="E185" s="38">
        <f>COUNTA(U185,W185,Y185,AA185)</f>
        <v>3</v>
      </c>
      <c r="F185" s="38">
        <f>COUNTA(M185,O185,Q185)</f>
        <v>2</v>
      </c>
      <c r="G185" s="38">
        <f>COUNTA(Table1[[#This Row],[A ASEO]])</f>
        <v>0</v>
      </c>
      <c r="H185" s="1">
        <f>SUM(J185,L185,N185,P185,R185,T185,V185,X185,Z185,AB185,AD185,AF185,AH185)</f>
        <v>109.26300000000001</v>
      </c>
      <c r="I185" s="1">
        <v>18.55</v>
      </c>
      <c r="J185" s="1">
        <f>I185*1.34</f>
        <v>24.857000000000003</v>
      </c>
      <c r="K185" s="1">
        <v>7.05</v>
      </c>
      <c r="L185" s="1">
        <f>K185*1.34</f>
        <v>9.447000000000001</v>
      </c>
      <c r="M185" s="1">
        <v>3.8</v>
      </c>
      <c r="N185" s="1">
        <f>M185*2.36</f>
        <v>8.968</v>
      </c>
      <c r="O185" s="1">
        <v>3.15</v>
      </c>
      <c r="P185" s="1">
        <f>O185*2.36</f>
        <v>7.4339999999999993</v>
      </c>
      <c r="Q185" s="1"/>
      <c r="R185" s="1"/>
      <c r="S185" s="1"/>
      <c r="T185" s="1"/>
      <c r="U185" s="1">
        <v>10.65</v>
      </c>
      <c r="V185" s="1">
        <f>U185*1.34</f>
        <v>14.271000000000001</v>
      </c>
      <c r="W185" s="1">
        <v>7.7</v>
      </c>
      <c r="X185" s="1">
        <f>W185*1.34</f>
        <v>10.318000000000001</v>
      </c>
      <c r="Y185" s="1">
        <v>7.7</v>
      </c>
      <c r="Z185" s="1">
        <f>Y185*1.34</f>
        <v>10.318000000000001</v>
      </c>
      <c r="AA185" s="1"/>
      <c r="AB185" s="1"/>
      <c r="AC185" s="1">
        <v>4.3499999999999996</v>
      </c>
      <c r="AD185" s="1">
        <f>AC185*2.75</f>
        <v>11.962499999999999</v>
      </c>
      <c r="AE185" s="1">
        <v>4.25</v>
      </c>
      <c r="AF185" s="1">
        <f>AE185*2.75</f>
        <v>11.6875</v>
      </c>
      <c r="AG185" s="1"/>
      <c r="AH185" s="1"/>
      <c r="AI185" s="39"/>
      <c r="AJ185" s="39"/>
      <c r="AK185" s="34"/>
      <c r="AL185" s="27">
        <f>SUM(I185,U185,W185,Y185,AA185,AC185,AE185,AG185)</f>
        <v>53.20000000000001</v>
      </c>
      <c r="AM185" s="27">
        <f>SUM(K185,M185,O185,Q185,S185)</f>
        <v>14</v>
      </c>
      <c r="AN185" s="27">
        <f>SUM(J185,V185,X185,Z185,AB185,AD185,AF185,AH185)</f>
        <v>83.413999999999987</v>
      </c>
      <c r="AO185" s="27">
        <f>SUM(L185,N185,P185,R185,T185)</f>
        <v>25.848999999999997</v>
      </c>
      <c r="AP185" s="30">
        <f>SUM(AG185,AE185,AC185,AA185,Y185,W185,U185,I185)/D185</f>
        <v>0.79166666666666652</v>
      </c>
      <c r="AQ185" s="30">
        <f>SUM(K185,M185,O185,Q185,S185)/D185</f>
        <v>0.20833333333333329</v>
      </c>
      <c r="AR185" s="30">
        <f>D185/H185</f>
        <v>0.61502979050547768</v>
      </c>
      <c r="AS185" s="30">
        <f>AL185/AN185</f>
        <v>0.63778262641762795</v>
      </c>
      <c r="AT185" s="30">
        <f>AM185/AO185</f>
        <v>0.54160702541684402</v>
      </c>
      <c r="AU185" s="35">
        <f>(((H185/2) - SQRT((H185/2)^2 - 4 * D185)) / 2)</f>
        <v>1.2590771874074456</v>
      </c>
      <c r="AV185" s="27">
        <f>(((H185/2) + SQRT((H185/2)^2 - 4 * D185)) / 2)</f>
        <v>53.372422812592561</v>
      </c>
      <c r="AW185" s="27">
        <f>AU185*2.7*2+AV185*2.7*2</f>
        <v>295.01010000000008</v>
      </c>
      <c r="AX185" s="30">
        <f>AW185/D185</f>
        <v>4.3900312499999998</v>
      </c>
      <c r="AY185" s="30"/>
    </row>
    <row r="186" spans="2:51" x14ac:dyDescent="0.25">
      <c r="B186" s="36" t="s">
        <v>42</v>
      </c>
      <c r="C186" t="s">
        <v>69</v>
      </c>
      <c r="D186" s="37">
        <f>SUM(I186,K186,M186,O186,Q186,S186,U186,W186,Y186,AA186,AC186,AE186,AG186)</f>
        <v>67.5</v>
      </c>
      <c r="E186" s="38">
        <f>COUNTA(U186,W186,Y186,AA186)</f>
        <v>3</v>
      </c>
      <c r="F186" s="38">
        <f>COUNTA(M186,O186,Q186)</f>
        <v>2</v>
      </c>
      <c r="G186" s="38">
        <f>COUNTA(Table1[[#This Row],[A ASEO]])</f>
        <v>0</v>
      </c>
      <c r="H186" s="1">
        <f>SUM(J186,L186,N186,P186,R186,T186,V186,X186,Z186,AB186,AD186,AF186,AH186)</f>
        <v>109.75350000000002</v>
      </c>
      <c r="I186" s="1">
        <v>18.32</v>
      </c>
      <c r="J186" s="1">
        <f>I186*1.34</f>
        <v>24.548800000000004</v>
      </c>
      <c r="K186" s="1">
        <v>7.96</v>
      </c>
      <c r="L186" s="1">
        <f>K186*1.34</f>
        <v>10.666400000000001</v>
      </c>
      <c r="M186" s="1">
        <v>3.52</v>
      </c>
      <c r="N186" s="1">
        <f>M186*2.36</f>
        <v>8.3071999999999999</v>
      </c>
      <c r="O186" s="1">
        <v>3.89</v>
      </c>
      <c r="P186" s="1">
        <f>O186*2.36</f>
        <v>9.1804000000000006</v>
      </c>
      <c r="Q186" s="1"/>
      <c r="R186" s="1"/>
      <c r="S186" s="1"/>
      <c r="T186" s="1"/>
      <c r="U186" s="1">
        <v>11.24</v>
      </c>
      <c r="V186" s="1">
        <f>U186*1.34</f>
        <v>15.0616</v>
      </c>
      <c r="W186" s="1">
        <v>7.28</v>
      </c>
      <c r="X186" s="1">
        <f>W186*1.34</f>
        <v>9.7552000000000003</v>
      </c>
      <c r="Y186" s="1">
        <v>6.96</v>
      </c>
      <c r="Z186" s="1">
        <f>Y186*1.34</f>
        <v>9.3264000000000014</v>
      </c>
      <c r="AA186" s="1"/>
      <c r="AB186" s="1"/>
      <c r="AC186" s="1">
        <v>3.19</v>
      </c>
      <c r="AD186" s="1">
        <f>AC186*2.75</f>
        <v>8.7724999999999991</v>
      </c>
      <c r="AE186" s="1">
        <v>5.14</v>
      </c>
      <c r="AF186" s="1">
        <f>AE186*2.75</f>
        <v>14.135</v>
      </c>
      <c r="AG186" s="1"/>
      <c r="AH186" s="1"/>
      <c r="AI186" s="39">
        <v>2.1</v>
      </c>
      <c r="AJ186" s="39">
        <f>AI186*0.6</f>
        <v>1.26</v>
      </c>
      <c r="AK186" s="34"/>
      <c r="AL186" s="27">
        <f>SUM(I186,U186,W186,Y186,AA186,AC186,AE186,AG186)</f>
        <v>52.13</v>
      </c>
      <c r="AM186" s="27">
        <f>SUM(K186,M186,O186,Q186,S186)</f>
        <v>15.370000000000001</v>
      </c>
      <c r="AN186" s="27">
        <f>SUM(J186,V186,X186,Z186,AB186,AD186,AF186,AH186)</f>
        <v>81.599500000000006</v>
      </c>
      <c r="AO186" s="27">
        <f>SUM(L186,N186,P186,R186,T186)</f>
        <v>28.154000000000003</v>
      </c>
      <c r="AP186" s="30">
        <f>SUM(AG186,AE186,AC186,AA186,Y186,W186,U186,I186)/D186</f>
        <v>0.77229629629629637</v>
      </c>
      <c r="AQ186" s="30">
        <f>SUM(K186,M186,O186,Q186,S186)/D186</f>
        <v>0.22770370370370371</v>
      </c>
      <c r="AR186" s="30">
        <f>D186/H186</f>
        <v>0.61501455534447635</v>
      </c>
      <c r="AS186" s="30">
        <f>AL186/AN186</f>
        <v>0.63885195374971659</v>
      </c>
      <c r="AT186" s="30">
        <f>AM186/AO186</f>
        <v>0.54592597854656533</v>
      </c>
      <c r="AU186" s="35">
        <f>(((H186/2) - SQRT((H186/2)^2 - 4 * D186)) / 2)</f>
        <v>1.2589093324080629</v>
      </c>
      <c r="AV186" s="27">
        <f>(((H186/2) + SQRT((H186/2)^2 - 4 * D186)) / 2)</f>
        <v>53.617840667591949</v>
      </c>
      <c r="AW186" s="27">
        <f>AU186*2.7*2+AV186*2.7*2</f>
        <v>296.33445000000012</v>
      </c>
      <c r="AX186" s="30">
        <f>AW186/D186</f>
        <v>4.3901400000000015</v>
      </c>
      <c r="AY186" s="30"/>
    </row>
    <row r="187" spans="2:51" x14ac:dyDescent="0.25">
      <c r="B187" s="36" t="s">
        <v>42</v>
      </c>
      <c r="C187" t="s">
        <v>46</v>
      </c>
      <c r="D187" s="37">
        <f>SUM(I187,K187,M187,O187,Q187,S187,U187,W187,Y187,AA187,AC187,AE187,AG187)</f>
        <v>85.699999999999989</v>
      </c>
      <c r="E187" s="38">
        <f>COUNTA(U187,W187,Y187,AA187)</f>
        <v>3</v>
      </c>
      <c r="F187" s="38">
        <f>COUNTA(M187,O187,Q187)</f>
        <v>1</v>
      </c>
      <c r="G187" s="38">
        <f>COUNTA(Table1[[#This Row],[A ASEO]])</f>
        <v>0</v>
      </c>
      <c r="H187" s="1">
        <f>SUM(J187,L187,N187,P187,R187,T187,V187,X187,Z187,AB187,AD187,AF187,AH187)</f>
        <v>139.81</v>
      </c>
      <c r="I187" s="1">
        <v>22.4</v>
      </c>
      <c r="J187" s="1">
        <f>I187*1.34</f>
        <v>30.015999999999998</v>
      </c>
      <c r="K187" s="1">
        <v>9.5</v>
      </c>
      <c r="L187" s="1">
        <f>K187*1.34</f>
        <v>12.73</v>
      </c>
      <c r="M187" s="1">
        <v>4.3</v>
      </c>
      <c r="N187" s="1">
        <f>M187*2.36</f>
        <v>10.148</v>
      </c>
      <c r="O187" s="1"/>
      <c r="P187" s="1"/>
      <c r="Q187" s="1"/>
      <c r="R187" s="1"/>
      <c r="S187" s="1"/>
      <c r="T187" s="1"/>
      <c r="U187" s="1">
        <v>15.6</v>
      </c>
      <c r="V187" s="1">
        <f>U187*1.34</f>
        <v>20.904</v>
      </c>
      <c r="W187" s="1">
        <v>10.3</v>
      </c>
      <c r="X187" s="1">
        <f>W187*1.34</f>
        <v>13.802000000000001</v>
      </c>
      <c r="Y187" s="1">
        <v>9</v>
      </c>
      <c r="Z187" s="1">
        <f>Y187*1.34</f>
        <v>12.06</v>
      </c>
      <c r="AA187" s="1"/>
      <c r="AB187" s="1"/>
      <c r="AC187" s="1">
        <v>6.3</v>
      </c>
      <c r="AD187" s="1">
        <f>AC187*2.75</f>
        <v>17.324999999999999</v>
      </c>
      <c r="AE187" s="1">
        <v>8.3000000000000007</v>
      </c>
      <c r="AF187" s="1">
        <f>AE187*2.75</f>
        <v>22.825000000000003</v>
      </c>
      <c r="AG187" s="1"/>
      <c r="AH187" s="1"/>
      <c r="AI187" s="39">
        <f>9.1+1.3</f>
        <v>10.4</v>
      </c>
      <c r="AJ187" s="39">
        <f>AI187*0.6</f>
        <v>6.24</v>
      </c>
      <c r="AK187" s="34"/>
      <c r="AL187" s="27">
        <f>SUM(I187,U187,W187,Y187,AA187,AC187,AE187,AG187)</f>
        <v>71.899999999999991</v>
      </c>
      <c r="AM187" s="27">
        <f>SUM(K187,M187,O187,Q187,S187)</f>
        <v>13.8</v>
      </c>
      <c r="AN187" s="27">
        <f>SUM(J187,V187,X187,Z187,AB187,AD187,AF187,AH187)</f>
        <v>116.93200000000002</v>
      </c>
      <c r="AO187" s="27">
        <f>SUM(L187,N187,P187,R187,T187)</f>
        <v>22.878</v>
      </c>
      <c r="AP187" s="30">
        <f>SUM(AG187,AE187,AC187,AA187,Y187,W187,U187,I187)/D187</f>
        <v>0.83897316219369911</v>
      </c>
      <c r="AQ187" s="30">
        <f>SUM(K187,M187,O187,Q187,S187)/D187</f>
        <v>0.16102683780630109</v>
      </c>
      <c r="AR187" s="30">
        <f>D187/H187</f>
        <v>0.6129747514483942</v>
      </c>
      <c r="AS187" s="30">
        <f>AL187/AN187</f>
        <v>0.61488728491772981</v>
      </c>
      <c r="AT187" s="30">
        <f>AM187/AO187</f>
        <v>0.60319958038290067</v>
      </c>
      <c r="AU187" s="35">
        <f>(((H187/2) - SQRT((H187/2)^2 - 4 * D187)) / 2)</f>
        <v>1.2482383073000705</v>
      </c>
      <c r="AV187" s="27">
        <f>(((H187/2) + SQRT((H187/2)^2 - 4 * D187)) / 2)</f>
        <v>68.656761692699931</v>
      </c>
      <c r="AW187" s="27">
        <f>AU187*2.7*2+AV187*2.7*2</f>
        <v>377.48700000000002</v>
      </c>
      <c r="AX187" s="30">
        <f>AW187/D187</f>
        <v>4.4047491248541428</v>
      </c>
      <c r="AY187" s="30"/>
    </row>
    <row r="188" spans="2:51" x14ac:dyDescent="0.25">
      <c r="B188" s="36" t="s">
        <v>42</v>
      </c>
      <c r="C188" t="s">
        <v>54</v>
      </c>
      <c r="D188" s="37">
        <f>SUM(I188,K188,M188,O188,Q188,S188,U188,W188,Y188,AA188,AC188,AE188,AG188)</f>
        <v>74.66</v>
      </c>
      <c r="E188" s="38">
        <f>COUNTA(U188,W188,Y188,AA188)</f>
        <v>3</v>
      </c>
      <c r="F188" s="38">
        <f>COUNTA(M188,O188,Q188)</f>
        <v>1</v>
      </c>
      <c r="G188" s="38">
        <f>COUNTA(Table1[[#This Row],[A ASEO]])</f>
        <v>0</v>
      </c>
      <c r="H188" s="1">
        <f>SUM(J188,L188,N188,P188,R188,T188,V188,X188,Z188,AB188,AD188,AF188,AH188)</f>
        <v>122.1358</v>
      </c>
      <c r="I188" s="1">
        <v>18.23</v>
      </c>
      <c r="J188" s="1">
        <f>I188*1.34</f>
        <v>24.4282</v>
      </c>
      <c r="K188" s="1">
        <v>8.3000000000000007</v>
      </c>
      <c r="L188" s="1">
        <f>K188*1.34</f>
        <v>11.122000000000002</v>
      </c>
      <c r="M188" s="1">
        <v>5.07</v>
      </c>
      <c r="N188" s="1">
        <f>M188*2.36</f>
        <v>11.965199999999999</v>
      </c>
      <c r="O188" s="1"/>
      <c r="P188" s="1"/>
      <c r="Q188" s="1"/>
      <c r="R188" s="1"/>
      <c r="S188" s="1"/>
      <c r="T188" s="1"/>
      <c r="U188" s="1">
        <v>13.63</v>
      </c>
      <c r="V188" s="1">
        <f>U188*1.34</f>
        <v>18.264200000000002</v>
      </c>
      <c r="W188" s="1">
        <v>8.83</v>
      </c>
      <c r="X188" s="1">
        <f>W188*1.34</f>
        <v>11.8322</v>
      </c>
      <c r="Y188" s="1">
        <v>8.6</v>
      </c>
      <c r="Z188" s="1">
        <f>Y188*1.34</f>
        <v>11.524000000000001</v>
      </c>
      <c r="AA188" s="1"/>
      <c r="AB188" s="1"/>
      <c r="AC188" s="1">
        <v>4.25</v>
      </c>
      <c r="AD188" s="1">
        <f>AC188*2.75</f>
        <v>11.6875</v>
      </c>
      <c r="AE188" s="1">
        <v>7.75</v>
      </c>
      <c r="AF188" s="1">
        <f>AE188*2.75</f>
        <v>21.3125</v>
      </c>
      <c r="AG188" s="1"/>
      <c r="AH188" s="1"/>
      <c r="AI188" s="39"/>
      <c r="AJ188" s="39"/>
      <c r="AK188" s="34"/>
      <c r="AL188" s="27">
        <f>SUM(I188,U188,W188,Y188,AA188,AC188,AE188,AG188)</f>
        <v>61.29</v>
      </c>
      <c r="AM188" s="27">
        <f>SUM(K188,M188,O188,Q188,S188)</f>
        <v>13.370000000000001</v>
      </c>
      <c r="AN188" s="27">
        <f>SUM(J188,V188,X188,Z188,AB188,AD188,AF188,AH188)</f>
        <v>99.048600000000008</v>
      </c>
      <c r="AO188" s="27">
        <f>SUM(L188,N188,P188,R188,T188)</f>
        <v>23.087200000000003</v>
      </c>
      <c r="AP188" s="30">
        <f>SUM(AG188,AE188,AC188,AA188,Y188,W188,U188,I188)/D188</f>
        <v>0.82092151084918308</v>
      </c>
      <c r="AQ188" s="30">
        <f>SUM(K188,M188,O188,Q188,S188)/D188</f>
        <v>0.17907848915081706</v>
      </c>
      <c r="AR188" s="30">
        <f>D188/H188</f>
        <v>0.61128678078008247</v>
      </c>
      <c r="AS188" s="30">
        <f>AL188/AN188</f>
        <v>0.61878714085812414</v>
      </c>
      <c r="AT188" s="30">
        <f>AM188/AO188</f>
        <v>0.57910877022765861</v>
      </c>
      <c r="AU188" s="35">
        <f>(((H188/2) - SQRT((H188/2)^2 - 4 * D188)) / 2)</f>
        <v>1.2480813497021224</v>
      </c>
      <c r="AV188" s="27">
        <f>(((H188/2) + SQRT((H188/2)^2 - 4 * D188)) / 2)</f>
        <v>59.819818650297876</v>
      </c>
      <c r="AW188" s="27">
        <f>AU188*2.7*2+AV188*2.7*2</f>
        <v>329.76666</v>
      </c>
      <c r="AX188" s="30">
        <f>AW188/D188</f>
        <v>4.4169121350120548</v>
      </c>
      <c r="AY188" s="30"/>
    </row>
    <row r="189" spans="2:51" x14ac:dyDescent="0.25">
      <c r="B189" s="36" t="s">
        <v>42</v>
      </c>
      <c r="C189" t="s">
        <v>55</v>
      </c>
      <c r="D189" s="37">
        <f>SUM(I189,K189,M189,O189,Q189,S189,U189,W189,Y189,AA189,AC189,AE189,AG189)</f>
        <v>69.989999999999995</v>
      </c>
      <c r="E189" s="38">
        <f>COUNTA(U189,W189,Y189,AA189)</f>
        <v>3</v>
      </c>
      <c r="F189" s="38">
        <f>COUNTA(M189,O189,Q189)</f>
        <v>2</v>
      </c>
      <c r="G189" s="38">
        <f>COUNTA(Table1[[#This Row],[A ASEO]])</f>
        <v>0</v>
      </c>
      <c r="H189" s="1">
        <f>SUM(J189,L189,N189,P189,R189,T189,V189,X189,Z189,AB189,AD189,AF189,AH189)</f>
        <v>114.54540000000001</v>
      </c>
      <c r="I189" s="1">
        <v>18.059999999999999</v>
      </c>
      <c r="J189" s="1">
        <f>I189*1.34</f>
        <v>24.200399999999998</v>
      </c>
      <c r="K189" s="1">
        <v>7.15</v>
      </c>
      <c r="L189" s="1">
        <f>K189*1.34</f>
        <v>9.5810000000000013</v>
      </c>
      <c r="M189" s="1">
        <v>3.92</v>
      </c>
      <c r="N189" s="1">
        <f>M189*2.36</f>
        <v>9.251199999999999</v>
      </c>
      <c r="O189" s="1">
        <v>2.94</v>
      </c>
      <c r="P189" s="1">
        <f>O189*2.36</f>
        <v>6.9383999999999997</v>
      </c>
      <c r="Q189" s="1"/>
      <c r="R189" s="1"/>
      <c r="S189" s="1"/>
      <c r="T189" s="1"/>
      <c r="U189" s="1">
        <v>12.07</v>
      </c>
      <c r="V189" s="1">
        <f>U189*1.34</f>
        <v>16.1738</v>
      </c>
      <c r="W189" s="1">
        <v>8.08</v>
      </c>
      <c r="X189" s="1">
        <f>W189*1.34</f>
        <v>10.827200000000001</v>
      </c>
      <c r="Y189" s="1">
        <v>8.01</v>
      </c>
      <c r="Z189" s="1">
        <f>Y189*1.34</f>
        <v>10.7334</v>
      </c>
      <c r="AA189" s="1"/>
      <c r="AB189" s="1"/>
      <c r="AC189" s="1">
        <v>1.22</v>
      </c>
      <c r="AD189" s="1">
        <f>AC189*2.75</f>
        <v>3.355</v>
      </c>
      <c r="AE189" s="1">
        <v>8.5399999999999991</v>
      </c>
      <c r="AF189" s="1">
        <f>AE189*2.75</f>
        <v>23.484999999999999</v>
      </c>
      <c r="AG189" s="1"/>
      <c r="AH189" s="1"/>
      <c r="AI189" s="39"/>
      <c r="AJ189" s="39"/>
      <c r="AK189" s="34"/>
      <c r="AL189" s="27">
        <f>SUM(I189,U189,W189,Y189,AA189,AC189,AE189,AG189)</f>
        <v>55.98</v>
      </c>
      <c r="AM189" s="27">
        <f>SUM(K189,M189,O189,Q189,S189)</f>
        <v>14.01</v>
      </c>
      <c r="AN189" s="27">
        <f>SUM(J189,V189,X189,Z189,AB189,AD189,AF189,AH189)</f>
        <v>88.774800000000013</v>
      </c>
      <c r="AO189" s="27">
        <f>SUM(L189,N189,P189,R189,T189)</f>
        <v>25.770600000000002</v>
      </c>
      <c r="AP189" s="30">
        <f>SUM(AG189,AE189,AC189,AA189,Y189,W189,U189,I189)/D189</f>
        <v>0.79982854693527661</v>
      </c>
      <c r="AQ189" s="30">
        <f>SUM(K189,M189,O189,Q189,S189)/D189</f>
        <v>0.20017145306472353</v>
      </c>
      <c r="AR189" s="30">
        <f>D189/H189</f>
        <v>0.61102410048766675</v>
      </c>
      <c r="AS189" s="30">
        <f>AL189/AN189</f>
        <v>0.63058435501966759</v>
      </c>
      <c r="AT189" s="30">
        <f>AM189/AO189</f>
        <v>0.54364275569835385</v>
      </c>
      <c r="AU189" s="35">
        <f>(((H189/2) - SQRT((H189/2)^2 - 4 * D189)) / 2)</f>
        <v>1.2492993862062605</v>
      </c>
      <c r="AV189" s="27">
        <f>(((H189/2) + SQRT((H189/2)^2 - 4 * D189)) / 2)</f>
        <v>56.023400613793747</v>
      </c>
      <c r="AW189" s="27">
        <f>AU189*2.7*2+AV189*2.7*2</f>
        <v>309.27258000000006</v>
      </c>
      <c r="AX189" s="30">
        <f>AW189/D189</f>
        <v>4.4188109729961438</v>
      </c>
      <c r="AY189" s="30"/>
    </row>
    <row r="190" spans="2:51" x14ac:dyDescent="0.25">
      <c r="B190" s="36" t="s">
        <v>42</v>
      </c>
      <c r="C190" t="s">
        <v>54</v>
      </c>
      <c r="D190" s="37">
        <f>SUM(I190,K190,M190,O190,Q190,S190,U190,W190,Y190,AA190,AC190,AE190,AG190)</f>
        <v>81.05</v>
      </c>
      <c r="E190" s="38">
        <f>COUNTA(U190,W190,Y190,AA190)</f>
        <v>3</v>
      </c>
      <c r="F190" s="38">
        <f>COUNTA(M190,O190,Q190)</f>
        <v>1</v>
      </c>
      <c r="G190" s="38">
        <f>COUNTA(Table1[[#This Row],[A ASEO]])</f>
        <v>0</v>
      </c>
      <c r="H190" s="1">
        <f>SUM(J190,L190,N190,P190,R190,T190,V190,X190,Z190,AB190,AD190,AF190,AH190)</f>
        <v>132.84280000000001</v>
      </c>
      <c r="I190" s="1">
        <v>20.04</v>
      </c>
      <c r="J190" s="1">
        <f>I190*1.34</f>
        <v>26.8536</v>
      </c>
      <c r="K190" s="1">
        <v>12.37</v>
      </c>
      <c r="L190" s="1">
        <f>K190*1.34</f>
        <v>16.575800000000001</v>
      </c>
      <c r="M190" s="1">
        <v>3.44</v>
      </c>
      <c r="N190" s="1">
        <f>M190*2.36</f>
        <v>8.1183999999999994</v>
      </c>
      <c r="O190" s="1"/>
      <c r="P190" s="1"/>
      <c r="Q190" s="1"/>
      <c r="R190" s="1"/>
      <c r="S190" s="1"/>
      <c r="T190" s="1"/>
      <c r="U190" s="1">
        <v>12.3</v>
      </c>
      <c r="V190" s="1">
        <f>U190*1.34</f>
        <v>16.482000000000003</v>
      </c>
      <c r="W190" s="1">
        <v>10.19</v>
      </c>
      <c r="X190" s="1">
        <f>W190*1.34</f>
        <v>13.6546</v>
      </c>
      <c r="Y190" s="1">
        <v>8.01</v>
      </c>
      <c r="Z190" s="1">
        <f>Y190*1.34</f>
        <v>10.7334</v>
      </c>
      <c r="AA190" s="1"/>
      <c r="AB190" s="1"/>
      <c r="AC190" s="1">
        <v>8.06</v>
      </c>
      <c r="AD190" s="1">
        <f>AC190*2.75</f>
        <v>22.165000000000003</v>
      </c>
      <c r="AE190" s="1">
        <v>6.64</v>
      </c>
      <c r="AF190" s="1">
        <f>AE190*2.75</f>
        <v>18.259999999999998</v>
      </c>
      <c r="AG190" s="1"/>
      <c r="AH190" s="1"/>
      <c r="AI190" s="39"/>
      <c r="AJ190" s="39"/>
      <c r="AK190" s="34"/>
      <c r="AL190" s="27">
        <f>SUM(I190,U190,W190,Y190,AA190,AC190,AE190,AG190)</f>
        <v>65.239999999999995</v>
      </c>
      <c r="AM190" s="27">
        <f>SUM(K190,M190,O190,Q190,S190)</f>
        <v>15.809999999999999</v>
      </c>
      <c r="AN190" s="27">
        <f>SUM(J190,V190,X190,Z190,AB190,AD190,AF190,AH190)</f>
        <v>108.14860000000002</v>
      </c>
      <c r="AO190" s="27">
        <f>SUM(L190,N190,P190,R190,T190)</f>
        <v>24.694200000000002</v>
      </c>
      <c r="AP190" s="30">
        <f>SUM(AG190,AE190,AC190,AA190,Y190,W190,U190,I190)/D190</f>
        <v>0.80493522516964855</v>
      </c>
      <c r="AQ190" s="30">
        <f>SUM(K190,M190,O190,Q190,S190)/D190</f>
        <v>0.19506477483035162</v>
      </c>
      <c r="AR190" s="30">
        <f>D190/H190</f>
        <v>0.61011963011920844</v>
      </c>
      <c r="AS190" s="30">
        <f>AL190/AN190</f>
        <v>0.6032440549392224</v>
      </c>
      <c r="AT190" s="30">
        <f>AM190/AO190</f>
        <v>0.64023130937629069</v>
      </c>
      <c r="AU190" s="35">
        <f>(((H190/2) - SQRT((H190/2)^2 - 4 * D190)) / 2)</f>
        <v>1.2435200416427072</v>
      </c>
      <c r="AV190" s="27">
        <f>(((H190/2) + SQRT((H190/2)^2 - 4 * D190)) / 2)</f>
        <v>65.177879958357295</v>
      </c>
      <c r="AW190" s="27">
        <f>AU190*2.7*2+AV190*2.7*2</f>
        <v>358.67556000000008</v>
      </c>
      <c r="AX190" s="30">
        <f>AW190/D190</f>
        <v>4.4253616286243069</v>
      </c>
      <c r="AY190" s="30"/>
    </row>
    <row r="191" spans="2:51" x14ac:dyDescent="0.25">
      <c r="B191" s="36" t="s">
        <v>42</v>
      </c>
      <c r="C191" t="s">
        <v>78</v>
      </c>
      <c r="D191" s="37">
        <f>SUM(I191,K191,M191,O191,Q191,S191,U191,W191,Y191,AA191,AC191,AE191,AG191)</f>
        <v>78.11</v>
      </c>
      <c r="E191" s="38">
        <f>COUNTA(U191,W191,Y191,AA191)</f>
        <v>3</v>
      </c>
      <c r="F191" s="38">
        <f>COUNTA(M191,O191,Q191)</f>
        <v>2</v>
      </c>
      <c r="G191" s="38">
        <f>COUNTA(Table1[[#This Row],[A ASEO]])</f>
        <v>0</v>
      </c>
      <c r="H191" s="1">
        <f>SUM(J191,L191,N191,P191,R191,T191,V191,X191,Z191,AB191,AD191,AF191,AH191)</f>
        <v>129.31990000000002</v>
      </c>
      <c r="I191" s="1">
        <v>18.239999999999998</v>
      </c>
      <c r="J191" s="1">
        <f>I191*1.34</f>
        <v>24.441600000000001</v>
      </c>
      <c r="K191" s="1">
        <v>7.97</v>
      </c>
      <c r="L191" s="1">
        <f>K191*1.34</f>
        <v>10.6798</v>
      </c>
      <c r="M191" s="1">
        <v>4.9400000000000004</v>
      </c>
      <c r="N191" s="1">
        <f>M191*2.36</f>
        <v>11.6584</v>
      </c>
      <c r="O191" s="1">
        <v>4.59</v>
      </c>
      <c r="P191" s="1">
        <f>O191*2.36</f>
        <v>10.8324</v>
      </c>
      <c r="Q191" s="1"/>
      <c r="R191" s="1"/>
      <c r="S191" s="1"/>
      <c r="T191" s="1"/>
      <c r="U191" s="1">
        <v>12.65</v>
      </c>
      <c r="V191" s="1">
        <f>U191*1.34</f>
        <v>16.951000000000001</v>
      </c>
      <c r="W191" s="1">
        <v>10.62</v>
      </c>
      <c r="X191" s="1">
        <f>W191*1.34</f>
        <v>14.2308</v>
      </c>
      <c r="Y191" s="1">
        <v>8.51</v>
      </c>
      <c r="Z191" s="1">
        <f>Y191*1.34</f>
        <v>11.4034</v>
      </c>
      <c r="AA191" s="1"/>
      <c r="AB191" s="1"/>
      <c r="AC191" s="1">
        <v>6.39</v>
      </c>
      <c r="AD191" s="1">
        <f>AC191*2.75</f>
        <v>17.572499999999998</v>
      </c>
      <c r="AE191" s="1">
        <v>4.2</v>
      </c>
      <c r="AF191" s="1">
        <f>AE191*2.75</f>
        <v>11.55</v>
      </c>
      <c r="AG191" s="1"/>
      <c r="AH191" s="1"/>
      <c r="AI191" s="39"/>
      <c r="AJ191" s="39"/>
      <c r="AK191" s="34"/>
      <c r="AL191" s="27">
        <f>SUM(I191,U191,W191,Y191,AA191,AC191,AE191,AG191)</f>
        <v>60.61</v>
      </c>
      <c r="AM191" s="27">
        <f>SUM(K191,M191,O191,Q191,S191)</f>
        <v>17.5</v>
      </c>
      <c r="AN191" s="27">
        <f>SUM(J191,V191,X191,Z191,AB191,AD191,AF191,AH191)</f>
        <v>96.149299999999997</v>
      </c>
      <c r="AO191" s="27">
        <f>SUM(L191,N191,P191,R191,T191)</f>
        <v>33.1706</v>
      </c>
      <c r="AP191" s="30">
        <f>SUM(AG191,AE191,AC191,AA191,Y191,W191,U191,I191)/D191</f>
        <v>0.77595698374087829</v>
      </c>
      <c r="AQ191" s="30">
        <f>SUM(K191,M191,O191,Q191,S191)/D191</f>
        <v>0.22404301625912176</v>
      </c>
      <c r="AR191" s="30">
        <f>D191/H191</f>
        <v>0.60400603464741298</v>
      </c>
      <c r="AS191" s="30">
        <f>AL191/AN191</f>
        <v>0.63037380407345656</v>
      </c>
      <c r="AT191" s="30">
        <f>AM191/AO191</f>
        <v>0.52757562419733139</v>
      </c>
      <c r="AU191" s="35">
        <f>(((H191/2) - SQRT((H191/2)^2 - 4 * D191)) / 2)</f>
        <v>1.2314656546853087</v>
      </c>
      <c r="AV191" s="27">
        <f>(((H191/2) + SQRT((H191/2)^2 - 4 * D191)) / 2)</f>
        <v>63.4284843453147</v>
      </c>
      <c r="AW191" s="27">
        <f>AU191*2.7*2+AV191*2.7*2</f>
        <v>349.1637300000001</v>
      </c>
      <c r="AX191" s="30">
        <f>AW191/D191</f>
        <v>4.4701540135706068</v>
      </c>
      <c r="AY191" s="30"/>
    </row>
    <row r="192" spans="2:51" x14ac:dyDescent="0.25">
      <c r="B192" s="36" t="s">
        <v>99</v>
      </c>
      <c r="C192" t="s">
        <v>100</v>
      </c>
      <c r="D192" s="37">
        <f>SUM(I192,K192,M192,O192,Q192,S192,U192,W192,Y192,AA192,AC192,AE192,AG192)</f>
        <v>90.1</v>
      </c>
      <c r="E192" s="38">
        <f>COUNTA(U192,W192,Y192,AA192)</f>
        <v>3</v>
      </c>
      <c r="F192" s="38">
        <f>COUNTA(M192,O192,Q192)</f>
        <v>2</v>
      </c>
      <c r="G192" s="38">
        <f>COUNTA(Table1[[#This Row],[A ASEO]])</f>
        <v>0</v>
      </c>
      <c r="H192" s="1">
        <f>SUM(J192,L192,N192,P192,R192,T192,V192,X192,Z192,AB192,AD192,AF192,AH192)</f>
        <v>141.85100000000003</v>
      </c>
      <c r="I192" s="1">
        <v>24.1</v>
      </c>
      <c r="J192" s="1">
        <f>I192*1.34</f>
        <v>32.294000000000004</v>
      </c>
      <c r="K192" s="1">
        <v>12.6</v>
      </c>
      <c r="L192" s="1">
        <f>K192*1.34</f>
        <v>16.884</v>
      </c>
      <c r="M192" s="1">
        <v>4.3</v>
      </c>
      <c r="N192" s="1">
        <f>M192*2.36</f>
        <v>10.148</v>
      </c>
      <c r="O192" s="1">
        <v>4.0999999999999996</v>
      </c>
      <c r="P192" s="1">
        <f>O192*2.36</f>
        <v>9.6759999999999984</v>
      </c>
      <c r="Q192" s="1"/>
      <c r="R192" s="1"/>
      <c r="S192" s="1"/>
      <c r="T192" s="1"/>
      <c r="U192" s="1">
        <v>15.75</v>
      </c>
      <c r="V192" s="1">
        <f>U192*1.34</f>
        <v>21.105</v>
      </c>
      <c r="W192" s="1">
        <v>10.35</v>
      </c>
      <c r="X192" s="1">
        <f>W192*1.34</f>
        <v>13.869</v>
      </c>
      <c r="Y192" s="1">
        <v>10</v>
      </c>
      <c r="Z192" s="1">
        <f>Y192*1.34</f>
        <v>13.4</v>
      </c>
      <c r="AA192" s="1"/>
      <c r="AB192" s="1"/>
      <c r="AC192" s="1">
        <v>7.55</v>
      </c>
      <c r="AD192" s="1">
        <f>AC192*2.75</f>
        <v>20.762499999999999</v>
      </c>
      <c r="AE192" s="1">
        <v>1.35</v>
      </c>
      <c r="AF192" s="1">
        <f>AE192*2.75</f>
        <v>3.7125000000000004</v>
      </c>
      <c r="AG192" s="1"/>
      <c r="AH192" s="1"/>
      <c r="AI192" s="39">
        <v>17.05</v>
      </c>
      <c r="AJ192" s="39">
        <f>AI192*0.6</f>
        <v>10.23</v>
      </c>
      <c r="AK192" s="34"/>
      <c r="AL192" s="27">
        <f>SUM(I192,U192,W192,Y192,AA192,AC192,AE192,AG192)</f>
        <v>69.099999999999994</v>
      </c>
      <c r="AM192" s="27">
        <f>SUM(K192,M192,O192,Q192,S192)</f>
        <v>21</v>
      </c>
      <c r="AN192" s="27">
        <f>SUM(J192,V192,X192,Z192,AB192,AD192,AF192,AH192)</f>
        <v>105.14300000000001</v>
      </c>
      <c r="AO192" s="27">
        <f>SUM(L192,N192,P192,R192,T192)</f>
        <v>36.707999999999998</v>
      </c>
      <c r="AP192" s="30">
        <f>SUM(AG192,AE192,AC192,AA192,Y192,W192,U192,I192)/D192</f>
        <v>0.7669256381798002</v>
      </c>
      <c r="AQ192" s="30">
        <f>SUM(K192,M192,O192,Q192,S192)/D192</f>
        <v>0.2330743618201998</v>
      </c>
      <c r="AR192" s="30">
        <f>D192/H192</f>
        <v>0.63517352715172948</v>
      </c>
      <c r="AS192" s="30">
        <f>AL192/AN192</f>
        <v>0.65720019402147534</v>
      </c>
      <c r="AT192" s="30">
        <f>AM192/AO192</f>
        <v>0.57208237986270027</v>
      </c>
      <c r="AU192" s="35">
        <f>(((H192/2) - SQRT((H192/2)^2 - 4 * D192)) / 2)</f>
        <v>1.2939537443151892</v>
      </c>
      <c r="AV192" s="27">
        <f>(((H192/2) + SQRT((H192/2)^2 - 4 * D192)) / 2)</f>
        <v>69.631546255684825</v>
      </c>
      <c r="AW192" s="27">
        <f>AU192*2.7*2+AV192*2.7*2</f>
        <v>382.99770000000007</v>
      </c>
      <c r="AX192" s="30">
        <f>AW192/D192</f>
        <v>4.2508068812430642</v>
      </c>
      <c r="AY192" s="30"/>
    </row>
    <row r="193" spans="2:51" x14ac:dyDescent="0.25">
      <c r="B193" s="36" t="s">
        <v>99</v>
      </c>
      <c r="C193" t="s">
        <v>100</v>
      </c>
      <c r="D193" s="37">
        <f>SUM(I193,K193,M193,O193,Q193,S193,U193,W193,Y193,AA193,AC193,AE193,AG193)</f>
        <v>92.199999999999989</v>
      </c>
      <c r="E193" s="38">
        <f>COUNTA(U193,W193,Y193,AA193)</f>
        <v>3</v>
      </c>
      <c r="F193" s="38">
        <f>COUNTA(M193,O193,Q193)</f>
        <v>2</v>
      </c>
      <c r="G193" s="38">
        <f>COUNTA(Table1[[#This Row],[A ASEO]])</f>
        <v>0</v>
      </c>
      <c r="H193" s="1">
        <f>SUM(J193,L193,N193,P193,R193,T193,V193,X193,Z193,AB193,AD193,AF193,AH193)</f>
        <v>145.346</v>
      </c>
      <c r="I193" s="1">
        <v>25.95</v>
      </c>
      <c r="J193" s="1">
        <f>I193*1.34</f>
        <v>34.773000000000003</v>
      </c>
      <c r="K193" s="1">
        <v>13.05</v>
      </c>
      <c r="L193" s="1">
        <f>K193*1.34</f>
        <v>17.487000000000002</v>
      </c>
      <c r="M193" s="1">
        <v>4.0999999999999996</v>
      </c>
      <c r="N193" s="1">
        <f>M193*2.36</f>
        <v>9.6759999999999984</v>
      </c>
      <c r="O193" s="1">
        <v>4</v>
      </c>
      <c r="P193" s="1">
        <f>O193*2.36</f>
        <v>9.44</v>
      </c>
      <c r="Q193" s="1"/>
      <c r="R193" s="1"/>
      <c r="S193" s="1"/>
      <c r="T193" s="1"/>
      <c r="U193" s="1">
        <v>15.25</v>
      </c>
      <c r="V193" s="1">
        <f>U193*1.34</f>
        <v>20.435000000000002</v>
      </c>
      <c r="W193" s="1">
        <v>10.25</v>
      </c>
      <c r="X193" s="1">
        <f>W193*1.34</f>
        <v>13.735000000000001</v>
      </c>
      <c r="Y193" s="1">
        <v>10</v>
      </c>
      <c r="Z193" s="1">
        <f>Y193*1.34</f>
        <v>13.4</v>
      </c>
      <c r="AA193" s="1"/>
      <c r="AB193" s="1"/>
      <c r="AC193" s="1">
        <v>8.3000000000000007</v>
      </c>
      <c r="AD193" s="1">
        <f>AC193*2.75</f>
        <v>22.825000000000003</v>
      </c>
      <c r="AE193" s="1">
        <v>1.3</v>
      </c>
      <c r="AF193" s="1">
        <f>AE193*2.75</f>
        <v>3.5750000000000002</v>
      </c>
      <c r="AG193" s="1"/>
      <c r="AH193" s="1"/>
      <c r="AI193" s="39">
        <v>19.8</v>
      </c>
      <c r="AJ193" s="39">
        <f>AI193*0.6</f>
        <v>11.88</v>
      </c>
      <c r="AK193" s="34"/>
      <c r="AL193" s="27">
        <f>SUM(I193,U193,W193,Y193,AA193,AC193,AE193,AG193)</f>
        <v>71.05</v>
      </c>
      <c r="AM193" s="27">
        <f>SUM(K193,M193,O193,Q193,S193)</f>
        <v>21.15</v>
      </c>
      <c r="AN193" s="27">
        <f>SUM(J193,V193,X193,Z193,AB193,AD193,AF193,AH193)</f>
        <v>108.74300000000002</v>
      </c>
      <c r="AO193" s="27">
        <f>SUM(L193,N193,P193,R193,T193)</f>
        <v>36.603000000000002</v>
      </c>
      <c r="AP193" s="30">
        <f>SUM(AG193,AE193,AC193,AA193,Y193,W193,U193,I193)/D193</f>
        <v>0.77060737527114975</v>
      </c>
      <c r="AQ193" s="30">
        <f>SUM(K193,M193,O193,Q193,S193)/D193</f>
        <v>0.22939262472885033</v>
      </c>
      <c r="AR193" s="30">
        <f>D193/H193</f>
        <v>0.63434838248042591</v>
      </c>
      <c r="AS193" s="30">
        <f>AL193/AN193</f>
        <v>0.6533753896802551</v>
      </c>
      <c r="AT193" s="30">
        <f>AM193/AO193</f>
        <v>0.57782149004179983</v>
      </c>
      <c r="AU193" s="35">
        <f>(((H193/2) - SQRT((H193/2)^2 - 4 * D193)) / 2)</f>
        <v>1.2916539845015151</v>
      </c>
      <c r="AV193" s="27">
        <f>(((H193/2) + SQRT((H193/2)^2 - 4 * D193)) / 2)</f>
        <v>71.38134601549848</v>
      </c>
      <c r="AW193" s="27">
        <f>AU193*2.7*2+AV193*2.7*2</f>
        <v>392.43419999999998</v>
      </c>
      <c r="AX193" s="30">
        <f>AW193/D193</f>
        <v>4.2563362255965291</v>
      </c>
      <c r="AY193" s="30"/>
    </row>
    <row r="194" spans="2:51" x14ac:dyDescent="0.25">
      <c r="B194" s="36" t="s">
        <v>99</v>
      </c>
      <c r="C194" t="s">
        <v>100</v>
      </c>
      <c r="D194" s="37">
        <f>SUM(I194,K194,M194,O194,Q194,S194,U194,W194,Y194,AA194,AC194,AE194,AG194)</f>
        <v>95.55</v>
      </c>
      <c r="E194" s="38">
        <f>COUNTA(U194,W194,Y194,AA194)</f>
        <v>3</v>
      </c>
      <c r="F194" s="38">
        <f>COUNTA(M194,O194,Q194)</f>
        <v>2</v>
      </c>
      <c r="G194" s="38">
        <f>COUNTA(Table1[[#This Row],[A ASEO]])</f>
        <v>0</v>
      </c>
      <c r="H194" s="1">
        <f>SUM(J194,L194,N194,P194,R194,T194,V194,X194,Z194,AB194,AD194,AF194,AH194)</f>
        <v>150.90899999999999</v>
      </c>
      <c r="I194" s="1">
        <v>26.85</v>
      </c>
      <c r="J194" s="1">
        <f>I194*1.34</f>
        <v>35.979000000000006</v>
      </c>
      <c r="K194" s="1">
        <v>13.15</v>
      </c>
      <c r="L194" s="1">
        <f>K194*1.34</f>
        <v>17.621000000000002</v>
      </c>
      <c r="M194" s="1">
        <v>4.5</v>
      </c>
      <c r="N194" s="1">
        <f>M194*2.36</f>
        <v>10.62</v>
      </c>
      <c r="O194" s="1">
        <v>4.0999999999999996</v>
      </c>
      <c r="P194" s="1">
        <f>O194*2.36</f>
        <v>9.6759999999999984</v>
      </c>
      <c r="Q194" s="1"/>
      <c r="R194" s="1"/>
      <c r="S194" s="1"/>
      <c r="T194" s="1"/>
      <c r="U194" s="1">
        <v>16.7</v>
      </c>
      <c r="V194" s="1">
        <f>U194*1.34</f>
        <v>22.378</v>
      </c>
      <c r="W194" s="1">
        <v>10.35</v>
      </c>
      <c r="X194" s="1">
        <f>W194*1.34</f>
        <v>13.869</v>
      </c>
      <c r="Y194" s="1">
        <v>9.9</v>
      </c>
      <c r="Z194" s="1">
        <f>Y194*1.34</f>
        <v>13.266000000000002</v>
      </c>
      <c r="AA194" s="1"/>
      <c r="AB194" s="1"/>
      <c r="AC194" s="1">
        <v>8.6999999999999993</v>
      </c>
      <c r="AD194" s="1">
        <f>AC194*2.75</f>
        <v>23.924999999999997</v>
      </c>
      <c r="AE194" s="1">
        <v>1.3</v>
      </c>
      <c r="AF194" s="1">
        <f>AE194*2.75</f>
        <v>3.5750000000000002</v>
      </c>
      <c r="AG194" s="1"/>
      <c r="AH194" s="1"/>
      <c r="AI194" s="39">
        <f>64.95+36.75</f>
        <v>101.7</v>
      </c>
      <c r="AJ194" s="39">
        <f>AI194*0.6</f>
        <v>61.019999999999996</v>
      </c>
      <c r="AK194" s="34"/>
      <c r="AL194" s="27">
        <f>SUM(I194,U194,W194,Y194,AA194,AC194,AE194,AG194)</f>
        <v>73.8</v>
      </c>
      <c r="AM194" s="27">
        <f>SUM(K194,M194,O194,Q194,S194)</f>
        <v>21.75</v>
      </c>
      <c r="AN194" s="27">
        <f>SUM(J194,V194,X194,Z194,AB194,AD194,AF194,AH194)</f>
        <v>112.992</v>
      </c>
      <c r="AO194" s="27">
        <f>SUM(L194,N194,P194,R194,T194)</f>
        <v>37.917000000000002</v>
      </c>
      <c r="AP194" s="30">
        <f>SUM(AG194,AE194,AC194,AA194,Y194,W194,U194,I194)/D194</f>
        <v>0.77237048665620112</v>
      </c>
      <c r="AQ194" s="30">
        <f>SUM(K194,M194,O194,Q194,S194)/D194</f>
        <v>0.22762951334379908</v>
      </c>
      <c r="AR194" s="30">
        <f>D194/H194</f>
        <v>0.63316303202592294</v>
      </c>
      <c r="AS194" s="30">
        <f>AL194/AN194</f>
        <v>0.65314358538657602</v>
      </c>
      <c r="AT194" s="30">
        <f>AM194/AO194</f>
        <v>0.57362133080148747</v>
      </c>
      <c r="AU194" s="35">
        <f>(((H194/2) - SQRT((H194/2)^2 - 4 * D194)) / 2)</f>
        <v>1.2883231145592049</v>
      </c>
      <c r="AV194" s="27">
        <f>(((H194/2) + SQRT((H194/2)^2 - 4 * D194)) / 2)</f>
        <v>74.166176885440791</v>
      </c>
      <c r="AW194" s="27">
        <f>AU194*2.7*2+AV194*2.7*2</f>
        <v>407.45429999999999</v>
      </c>
      <c r="AX194" s="30">
        <f>AW194/D194</f>
        <v>4.264304552590267</v>
      </c>
      <c r="AY194" s="30"/>
    </row>
    <row r="195" spans="2:51" x14ac:dyDescent="0.25">
      <c r="B195" s="36" t="s">
        <v>74</v>
      </c>
      <c r="C195" t="s">
        <v>75</v>
      </c>
      <c r="D195" s="37">
        <f>SUM(I195,K195,M195,O195,Q195,S195,U195,W195,Y195,AA195,AC195,AE195,AG195)</f>
        <v>84.9</v>
      </c>
      <c r="E195" s="38">
        <f>COUNTA(U195,W195,Y195,AA195)</f>
        <v>3</v>
      </c>
      <c r="F195" s="38">
        <f>COUNTA(M195,O195,Q195)</f>
        <v>1</v>
      </c>
      <c r="G195" s="38">
        <f>COUNTA(Table1[[#This Row],[A ASEO]])</f>
        <v>0</v>
      </c>
      <c r="H195" s="1">
        <f>SUM(J195,L195,N195,P195,R195,T195,V195,X195,Z195,AB195,AD195,AF195,AH195)</f>
        <v>131.28450000000001</v>
      </c>
      <c r="I195" s="1">
        <v>22.4</v>
      </c>
      <c r="J195" s="1">
        <f>I195*1.34</f>
        <v>30.015999999999998</v>
      </c>
      <c r="K195" s="1">
        <v>10.3</v>
      </c>
      <c r="L195" s="1">
        <f>K195*1.34</f>
        <v>13.802000000000001</v>
      </c>
      <c r="M195" s="1">
        <v>4.25</v>
      </c>
      <c r="N195" s="1">
        <f>M195*2.36</f>
        <v>10.029999999999999</v>
      </c>
      <c r="O195" s="1"/>
      <c r="P195" s="1"/>
      <c r="Q195" s="1"/>
      <c r="R195" s="1"/>
      <c r="S195" s="1"/>
      <c r="T195" s="1"/>
      <c r="U195" s="1">
        <v>15.95</v>
      </c>
      <c r="V195" s="1">
        <f>U195*1.34</f>
        <v>21.373000000000001</v>
      </c>
      <c r="W195" s="1">
        <v>12.6</v>
      </c>
      <c r="X195" s="1">
        <f>W195*1.34</f>
        <v>16.884</v>
      </c>
      <c r="Y195" s="1">
        <v>10.050000000000001</v>
      </c>
      <c r="Z195" s="1">
        <f>Y195*1.34</f>
        <v>13.467000000000002</v>
      </c>
      <c r="AA195" s="1"/>
      <c r="AB195" s="1"/>
      <c r="AC195" s="1">
        <v>3.15</v>
      </c>
      <c r="AD195" s="1">
        <f>AC195*2.75</f>
        <v>8.6624999999999996</v>
      </c>
      <c r="AE195" s="1">
        <v>6.2</v>
      </c>
      <c r="AF195" s="1">
        <f>AE195*2.75</f>
        <v>17.05</v>
      </c>
      <c r="AG195" s="1"/>
      <c r="AH195" s="1"/>
      <c r="AI195" s="39">
        <v>90.75</v>
      </c>
      <c r="AJ195" s="39">
        <f>AI195*0.6</f>
        <v>54.449999999999996</v>
      </c>
      <c r="AK195" s="34"/>
      <c r="AL195" s="27">
        <f>SUM(I195,U195,W195,Y195,AA195,AC195,AE195,AG195)</f>
        <v>70.350000000000009</v>
      </c>
      <c r="AM195" s="27">
        <f>SUM(K195,M195,O195,Q195,S195)</f>
        <v>14.55</v>
      </c>
      <c r="AN195" s="27">
        <f>SUM(J195,V195,X195,Z195,AB195,AD195,AF195,AH195)</f>
        <v>107.45249999999999</v>
      </c>
      <c r="AO195" s="27">
        <f>SUM(L195,N195,P195,R195,T195)</f>
        <v>23.832000000000001</v>
      </c>
      <c r="AP195" s="30">
        <f>SUM(AG195,AE195,AC195,AA195,Y195,W195,U195,I195)/D195</f>
        <v>0.82862190812720837</v>
      </c>
      <c r="AQ195" s="30">
        <f>SUM(K195,M195,O195,Q195,S195)/D195</f>
        <v>0.17137809187279152</v>
      </c>
      <c r="AR195" s="30">
        <f>D195/H195</f>
        <v>0.64668715651885789</v>
      </c>
      <c r="AS195" s="30">
        <f>AL195/AN195</f>
        <v>0.65470789418580322</v>
      </c>
      <c r="AT195" s="30">
        <f>AM195/AO195</f>
        <v>0.61052366565961735</v>
      </c>
      <c r="AU195" s="35">
        <f>(((H195/2) - SQRT((H195/2)^2 - 4 * D195)) / 2)</f>
        <v>1.3199147650641834</v>
      </c>
      <c r="AV195" s="27">
        <f>(((H195/2) + SQRT((H195/2)^2 - 4 * D195)) / 2)</f>
        <v>64.322335234935821</v>
      </c>
      <c r="AW195" s="27">
        <f>AU195*2.7*2+AV195*2.7*2</f>
        <v>354.46815000000004</v>
      </c>
      <c r="AX195" s="30">
        <f>AW195/D195</f>
        <v>4.175125441696113</v>
      </c>
      <c r="AY195" s="30"/>
    </row>
    <row r="196" spans="2:51" x14ac:dyDescent="0.25">
      <c r="B196" s="36" t="s">
        <v>74</v>
      </c>
      <c r="C196" t="s">
        <v>75</v>
      </c>
      <c r="D196" s="37">
        <f>SUM(I196,K196,M196,O196,Q196,S196,U196,W196,Y196,AA196,AC196,AE196,AG196)</f>
        <v>78.350000000000009</v>
      </c>
      <c r="E196" s="38">
        <f>COUNTA(U196,W196,Y196,AA196)</f>
        <v>3</v>
      </c>
      <c r="F196" s="38">
        <f>COUNTA(M196,O196,Q196)</f>
        <v>1</v>
      </c>
      <c r="G196" s="38">
        <f>COUNTA(Table1[[#This Row],[A ASEO]])</f>
        <v>0</v>
      </c>
      <c r="H196" s="1">
        <f>SUM(J196,L196,N196,P196,R196,T196,V196,X196,Z196,AB196,AD196,AF196,AH196)</f>
        <v>125.7055</v>
      </c>
      <c r="I196" s="1">
        <v>19.600000000000001</v>
      </c>
      <c r="J196" s="1">
        <f>I196*1.34</f>
        <v>26.264000000000003</v>
      </c>
      <c r="K196" s="1">
        <v>9.6999999999999993</v>
      </c>
      <c r="L196" s="1">
        <f>K196*1.34</f>
        <v>12.997999999999999</v>
      </c>
      <c r="M196" s="1">
        <v>4.05</v>
      </c>
      <c r="N196" s="1">
        <f>M196*2.36</f>
        <v>9.5579999999999998</v>
      </c>
      <c r="O196" s="1"/>
      <c r="P196" s="1"/>
      <c r="Q196" s="1"/>
      <c r="R196" s="1"/>
      <c r="S196" s="1"/>
      <c r="T196" s="1"/>
      <c r="U196" s="1">
        <v>13.55</v>
      </c>
      <c r="V196" s="1">
        <f>U196*1.34</f>
        <v>18.157000000000004</v>
      </c>
      <c r="W196" s="1">
        <v>9.75</v>
      </c>
      <c r="X196" s="1">
        <f>W196*1.34</f>
        <v>13.065000000000001</v>
      </c>
      <c r="Y196" s="1">
        <v>9.5500000000000007</v>
      </c>
      <c r="Z196" s="1">
        <f>Y196*1.34</f>
        <v>12.797000000000002</v>
      </c>
      <c r="AA196" s="1"/>
      <c r="AB196" s="1"/>
      <c r="AC196" s="1">
        <v>7.25</v>
      </c>
      <c r="AD196" s="1">
        <f>AC196*2.75</f>
        <v>19.9375</v>
      </c>
      <c r="AE196" s="1">
        <v>3.5</v>
      </c>
      <c r="AF196" s="1">
        <f>AE196*2.75</f>
        <v>9.625</v>
      </c>
      <c r="AG196" s="1">
        <v>1.4</v>
      </c>
      <c r="AH196" s="1">
        <f>AG196*2.36</f>
        <v>3.3039999999999998</v>
      </c>
      <c r="AI196" s="39">
        <v>12.9</v>
      </c>
      <c r="AJ196" s="39">
        <f>AI196*0.6</f>
        <v>7.74</v>
      </c>
      <c r="AK196" s="34"/>
      <c r="AL196" s="27">
        <f>SUM(I196,U196,W196,Y196,AA196,AC196,AE196,AG196)</f>
        <v>64.600000000000009</v>
      </c>
      <c r="AM196" s="27">
        <f>SUM(K196,M196,O196,Q196,S196)</f>
        <v>13.75</v>
      </c>
      <c r="AN196" s="27">
        <f>SUM(J196,V196,X196,Z196,AB196,AD196,AF196,AH196)</f>
        <v>103.1495</v>
      </c>
      <c r="AO196" s="27">
        <f>SUM(L196,N196,P196,R196,T196)</f>
        <v>22.555999999999997</v>
      </c>
      <c r="AP196" s="30">
        <f>SUM(AG196,AE196,AC196,AA196,Y196,W196,U196,I196)/D196</f>
        <v>0.82450542437779184</v>
      </c>
      <c r="AQ196" s="30">
        <f>SUM(K196,M196,O196,Q196,S196)/D196</f>
        <v>0.17549457562220802</v>
      </c>
      <c r="AR196" s="30">
        <f>D196/H196</f>
        <v>0.62328219528978457</v>
      </c>
      <c r="AS196" s="30">
        <f>AL196/AN196</f>
        <v>0.62627545455867462</v>
      </c>
      <c r="AT196" s="30">
        <f>AM196/AO196</f>
        <v>0.60959389962759358</v>
      </c>
      <c r="AU196" s="35">
        <f>(((H196/2) - SQRT((H196/2)^2 - 4 * D196)) / 2)</f>
        <v>1.2723197894545208</v>
      </c>
      <c r="AV196" s="27">
        <f>(((H196/2) + SQRT((H196/2)^2 - 4 * D196)) / 2)</f>
        <v>61.580430210545479</v>
      </c>
      <c r="AW196" s="27">
        <f>AU196*2.7*2+AV196*2.7*2</f>
        <v>339.40485000000001</v>
      </c>
      <c r="AX196" s="30">
        <f>AW196/D196</f>
        <v>4.3319061901723037</v>
      </c>
      <c r="AY196" s="30"/>
    </row>
    <row r="197" spans="2:51" x14ac:dyDescent="0.25">
      <c r="B197" s="36" t="s">
        <v>79</v>
      </c>
      <c r="C197" t="s">
        <v>80</v>
      </c>
      <c r="D197" s="37">
        <f>SUM(I197,K197,M197,O197,Q197,S197,U197,W197,Y197,AA197,AC197,AE197,AG197)</f>
        <v>87.800000000000011</v>
      </c>
      <c r="E197" s="38">
        <f>COUNTA(U197,W197,Y197,AA197)</f>
        <v>3</v>
      </c>
      <c r="F197" s="38">
        <f>COUNTA(M197,O197,Q197)</f>
        <v>2</v>
      </c>
      <c r="G197" s="38">
        <f>COUNTA(Table1[[#This Row],[A ASEO]])</f>
        <v>1</v>
      </c>
      <c r="H197" s="1">
        <f>SUM(J197,L197,N197,P197,R197,T197,V197,X197,Z197,AB197,AD197,AF197,AH197)</f>
        <v>139.89399999999998</v>
      </c>
      <c r="I197" s="1">
        <v>21.7</v>
      </c>
      <c r="J197" s="1">
        <f>I197*1.34</f>
        <v>29.077999999999999</v>
      </c>
      <c r="K197" s="1">
        <v>10.95</v>
      </c>
      <c r="L197" s="1">
        <f>K197*1.34</f>
        <v>14.673</v>
      </c>
      <c r="M197" s="1">
        <v>3.8</v>
      </c>
      <c r="N197" s="1">
        <f>M197*2.36</f>
        <v>8.968</v>
      </c>
      <c r="O197" s="1">
        <v>3.7</v>
      </c>
      <c r="P197" s="1">
        <f>O197*2.36</f>
        <v>8.7319999999999993</v>
      </c>
      <c r="Q197" s="1"/>
      <c r="R197" s="1"/>
      <c r="S197" s="1">
        <v>1.45</v>
      </c>
      <c r="T197" s="1">
        <f>S197*2.36</f>
        <v>3.4219999999999997</v>
      </c>
      <c r="U197" s="1">
        <v>15.9</v>
      </c>
      <c r="V197" s="1">
        <f>U197*1.34</f>
        <v>21.306000000000001</v>
      </c>
      <c r="W197" s="1">
        <v>10.75</v>
      </c>
      <c r="X197" s="1">
        <f>W197*1.34</f>
        <v>14.405000000000001</v>
      </c>
      <c r="Y197" s="1">
        <v>10.25</v>
      </c>
      <c r="Z197" s="1">
        <f>Y197*1.34</f>
        <v>13.735000000000001</v>
      </c>
      <c r="AA197" s="1"/>
      <c r="AB197" s="1"/>
      <c r="AC197" s="1">
        <v>5.4</v>
      </c>
      <c r="AD197" s="1">
        <f>AC197*2.75</f>
        <v>14.850000000000001</v>
      </c>
      <c r="AE197" s="1">
        <v>3.9</v>
      </c>
      <c r="AF197" s="1">
        <f>AE197*2.75</f>
        <v>10.725</v>
      </c>
      <c r="AG197" s="1"/>
      <c r="AH197" s="1"/>
      <c r="AI197" s="39">
        <v>15.95</v>
      </c>
      <c r="AJ197" s="39">
        <f>AI197*0.6</f>
        <v>9.5699999999999985</v>
      </c>
      <c r="AK197" s="34"/>
      <c r="AL197" s="27">
        <f>SUM(I197,U197,W197,Y197,AA197,AC197,AE197,AG197)</f>
        <v>67.900000000000006</v>
      </c>
      <c r="AM197" s="27">
        <f>SUM(K197,M197,O197,Q197,S197)</f>
        <v>19.899999999999999</v>
      </c>
      <c r="AN197" s="27">
        <f>SUM(J197,V197,X197,Z197,AB197,AD197,AF197,AH197)</f>
        <v>104.09899999999999</v>
      </c>
      <c r="AO197" s="27">
        <f>SUM(L197,N197,P197,R197,T197)</f>
        <v>35.794999999999995</v>
      </c>
      <c r="AP197" s="30">
        <f>SUM(AG197,AE197,AC197,AA197,Y197,W197,U197,I197)/D197</f>
        <v>0.77334851936218674</v>
      </c>
      <c r="AQ197" s="30">
        <f>SUM(K197,M197,O197,Q197,S197)/D197</f>
        <v>0.22665148063781318</v>
      </c>
      <c r="AR197" s="30">
        <f>D197/H197</f>
        <v>0.62761805366920687</v>
      </c>
      <c r="AS197" s="30">
        <f>AL197/AN197</f>
        <v>0.65226371050634502</v>
      </c>
      <c r="AT197" s="30">
        <f>AM197/AO197</f>
        <v>0.55594356753736562</v>
      </c>
      <c r="AU197" s="35">
        <f>(((H197/2) - SQRT((H197/2)^2 - 4 * D197)) / 2)</f>
        <v>1.2786086624396447</v>
      </c>
      <c r="AV197" s="27">
        <f>(((H197/2) + SQRT((H197/2)^2 - 4 * D197)) / 2)</f>
        <v>68.668391337560337</v>
      </c>
      <c r="AW197" s="27">
        <f>AU197*2.7*2+AV197*2.7*2</f>
        <v>377.71379999999994</v>
      </c>
      <c r="AX197" s="30">
        <f>AW197/D197</f>
        <v>4.3019794988610469</v>
      </c>
      <c r="AY197" s="30"/>
    </row>
    <row r="198" spans="2:51" x14ac:dyDescent="0.25">
      <c r="B198" s="36" t="s">
        <v>79</v>
      </c>
      <c r="C198" t="s">
        <v>80</v>
      </c>
      <c r="D198" s="37">
        <f>SUM(I198,K198,M198,O198,Q198,S198,U198,W198,Y198,AA198,AC198,AE198,AG198)</f>
        <v>86.200000000000017</v>
      </c>
      <c r="E198" s="38">
        <f>COUNTA(U198,W198,Y198,AA198)</f>
        <v>3</v>
      </c>
      <c r="F198" s="38">
        <f>COUNTA(M198,O198,Q198)</f>
        <v>2</v>
      </c>
      <c r="G198" s="38">
        <f>COUNTA(Table1[[#This Row],[A ASEO]])</f>
        <v>1</v>
      </c>
      <c r="H198" s="1">
        <f>SUM(J198,L198,N198,P198,R198,T198,V198,X198,Z198,AB198,AD198,AF198,AH198)</f>
        <v>138.209</v>
      </c>
      <c r="I198" s="1">
        <v>21.7</v>
      </c>
      <c r="J198" s="1">
        <f>I198*1.34</f>
        <v>29.077999999999999</v>
      </c>
      <c r="K198" s="1">
        <v>10.95</v>
      </c>
      <c r="L198" s="1">
        <f>K198*1.34</f>
        <v>14.673</v>
      </c>
      <c r="M198" s="1">
        <v>4.25</v>
      </c>
      <c r="N198" s="1">
        <f>M198*2.36</f>
        <v>10.029999999999999</v>
      </c>
      <c r="O198" s="1">
        <v>3.7</v>
      </c>
      <c r="P198" s="1">
        <f>O198*2.36</f>
        <v>8.7319999999999993</v>
      </c>
      <c r="Q198" s="1"/>
      <c r="R198" s="1"/>
      <c r="S198" s="1">
        <v>1.45</v>
      </c>
      <c r="T198" s="1">
        <f>S198*2.36</f>
        <v>3.4219999999999997</v>
      </c>
      <c r="U198" s="1">
        <v>13.85</v>
      </c>
      <c r="V198" s="1">
        <f>U198*1.34</f>
        <v>18.559000000000001</v>
      </c>
      <c r="W198" s="1">
        <v>10.75</v>
      </c>
      <c r="X198" s="1">
        <f>W198*1.34</f>
        <v>14.405000000000001</v>
      </c>
      <c r="Y198" s="1">
        <v>10.25</v>
      </c>
      <c r="Z198" s="1">
        <f>Y198*1.34</f>
        <v>13.735000000000001</v>
      </c>
      <c r="AA198" s="1"/>
      <c r="AB198" s="1"/>
      <c r="AC198" s="1">
        <v>5.4</v>
      </c>
      <c r="AD198" s="1">
        <f>AC198*2.75</f>
        <v>14.850000000000001</v>
      </c>
      <c r="AE198" s="1">
        <v>3.9</v>
      </c>
      <c r="AF198" s="1">
        <f>AE198*2.75</f>
        <v>10.725</v>
      </c>
      <c r="AG198" s="1"/>
      <c r="AH198" s="1"/>
      <c r="AI198" s="39">
        <f>115.45+13.65</f>
        <v>129.1</v>
      </c>
      <c r="AJ198" s="39">
        <f>AI198*0.6</f>
        <v>77.459999999999994</v>
      </c>
      <c r="AK198" s="34"/>
      <c r="AL198" s="27">
        <f>SUM(I198,U198,W198,Y198,AA198,AC198,AE198,AG198)</f>
        <v>65.849999999999994</v>
      </c>
      <c r="AM198" s="27">
        <f>SUM(K198,M198,O198,Q198,S198)</f>
        <v>20.349999999999998</v>
      </c>
      <c r="AN198" s="27">
        <f>SUM(J198,V198,X198,Z198,AB198,AD198,AF198,AH198)</f>
        <v>101.352</v>
      </c>
      <c r="AO198" s="27">
        <f>SUM(L198,N198,P198,R198,T198)</f>
        <v>36.856999999999999</v>
      </c>
      <c r="AP198" s="30">
        <f>SUM(AG198,AE198,AC198,AA198,Y198,W198,U198,I198)/D198</f>
        <v>0.76392111368909488</v>
      </c>
      <c r="AQ198" s="30">
        <f>SUM(K198,M198,O198,Q198,S198)/D198</f>
        <v>0.23607888631090479</v>
      </c>
      <c r="AR198" s="30">
        <f>D198/H198</f>
        <v>0.6236931024752369</v>
      </c>
      <c r="AS198" s="30">
        <f>AL198/AN198</f>
        <v>0.64971584181861231</v>
      </c>
      <c r="AT198" s="30">
        <f>AM198/AO198</f>
        <v>0.55213392299970154</v>
      </c>
      <c r="AU198" s="35">
        <f>(((H198/2) - SQRT((H198/2)^2 - 4 * D198)) / 2)</f>
        <v>1.27075393893778</v>
      </c>
      <c r="AV198" s="27">
        <f>(((H198/2) + SQRT((H198/2)^2 - 4 * D198)) / 2)</f>
        <v>67.833746061062214</v>
      </c>
      <c r="AW198" s="27">
        <f>AU198*2.7*2+AV198*2.7*2</f>
        <v>373.16430000000003</v>
      </c>
      <c r="AX198" s="30">
        <f>AW198/D198</f>
        <v>4.3290522041763335</v>
      </c>
      <c r="AY198" s="30"/>
    </row>
    <row r="199" spans="2:51" x14ac:dyDescent="0.25">
      <c r="B199" s="36" t="s">
        <v>79</v>
      </c>
      <c r="C199" t="s">
        <v>80</v>
      </c>
      <c r="D199" s="37">
        <f>SUM(I199,K199,M199,O199,Q199,S199,U199,W199,Y199,AA199,AC199,AE199,AG199)</f>
        <v>89.8</v>
      </c>
      <c r="E199" s="38">
        <f>COUNTA(U199,W199,Y199,AA199)</f>
        <v>3</v>
      </c>
      <c r="F199" s="38">
        <f>COUNTA(M199,O199,Q199)</f>
        <v>2</v>
      </c>
      <c r="G199" s="38">
        <f>COUNTA(Table1[[#This Row],[A ASEO]])</f>
        <v>1</v>
      </c>
      <c r="H199" s="1">
        <f>SUM(J199,L199,N199,P199,R199,T199,V199,X199,Z199,AB199,AD199,AF199,AH199)</f>
        <v>149.06150000000002</v>
      </c>
      <c r="I199" s="1">
        <v>21.5</v>
      </c>
      <c r="J199" s="1">
        <f>I199*1.34</f>
        <v>28.810000000000002</v>
      </c>
      <c r="K199" s="1">
        <v>10.35</v>
      </c>
      <c r="L199" s="1">
        <f>K199*1.34</f>
        <v>13.869</v>
      </c>
      <c r="M199" s="1">
        <v>4.8</v>
      </c>
      <c r="N199" s="1">
        <f>M199*2.36</f>
        <v>11.327999999999999</v>
      </c>
      <c r="O199" s="1">
        <v>3.65</v>
      </c>
      <c r="P199" s="1">
        <f>O199*2.36</f>
        <v>8.613999999999999</v>
      </c>
      <c r="Q199" s="1"/>
      <c r="R199" s="1"/>
      <c r="S199" s="1">
        <v>1.4</v>
      </c>
      <c r="T199" s="1">
        <f>S199*2.36</f>
        <v>3.3039999999999998</v>
      </c>
      <c r="U199" s="1">
        <v>14.8</v>
      </c>
      <c r="V199" s="1">
        <f>U199*1.34</f>
        <v>19.832000000000001</v>
      </c>
      <c r="W199" s="1">
        <v>10.050000000000001</v>
      </c>
      <c r="X199" s="1">
        <f>W199*1.34</f>
        <v>13.467000000000002</v>
      </c>
      <c r="Y199" s="1">
        <v>10</v>
      </c>
      <c r="Z199" s="1">
        <f>Y199*1.34</f>
        <v>13.4</v>
      </c>
      <c r="AA199" s="1"/>
      <c r="AB199" s="1"/>
      <c r="AC199" s="1">
        <v>6.4</v>
      </c>
      <c r="AD199" s="1">
        <f>AC199*2.75</f>
        <v>17.600000000000001</v>
      </c>
      <c r="AE199" s="1">
        <v>6.85</v>
      </c>
      <c r="AF199" s="1">
        <f>AE199*2.75</f>
        <v>18.837499999999999</v>
      </c>
      <c r="AG199" s="1"/>
      <c r="AH199" s="1"/>
      <c r="AI199" s="39">
        <v>18.899999999999999</v>
      </c>
      <c r="AJ199" s="39">
        <f>AI199*0.6</f>
        <v>11.339999999999998</v>
      </c>
      <c r="AK199" s="34"/>
      <c r="AL199" s="27">
        <f>SUM(I199,U199,W199,Y199,AA199,AC199,AE199,AG199)</f>
        <v>69.599999999999994</v>
      </c>
      <c r="AM199" s="27">
        <f>SUM(K199,M199,O199,Q199,S199)</f>
        <v>20.199999999999996</v>
      </c>
      <c r="AN199" s="27">
        <f>SUM(J199,V199,X199,Z199,AB199,AD199,AF199,AH199)</f>
        <v>111.94650000000001</v>
      </c>
      <c r="AO199" s="27">
        <f>SUM(L199,N199,P199,R199,T199)</f>
        <v>37.115000000000002</v>
      </c>
      <c r="AP199" s="30">
        <f>SUM(AG199,AE199,AC199,AA199,Y199,W199,U199,I199)/D199</f>
        <v>0.77505567928730512</v>
      </c>
      <c r="AQ199" s="30">
        <f>SUM(K199,M199,O199,Q199,S199)/D199</f>
        <v>0.22494432071269485</v>
      </c>
      <c r="AR199" s="30">
        <f>D199/H199</f>
        <v>0.60243590732684149</v>
      </c>
      <c r="AS199" s="30">
        <f>AL199/AN199</f>
        <v>0.62172555640417504</v>
      </c>
      <c r="AT199" s="30">
        <f>AM199/AO199</f>
        <v>0.5442543446046072</v>
      </c>
      <c r="AU199" s="35">
        <f>(((H199/2) - SQRT((H199/2)^2 - 4 * D199)) / 2)</f>
        <v>1.2250063297071705</v>
      </c>
      <c r="AV199" s="27">
        <f>(((H199/2) + SQRT((H199/2)^2 - 4 * D199)) / 2)</f>
        <v>73.305743670292841</v>
      </c>
      <c r="AW199" s="27">
        <f>AU199*2.7*2+AV199*2.7*2</f>
        <v>402.46605000000011</v>
      </c>
      <c r="AX199" s="30">
        <f>AW199/D199</f>
        <v>4.4818045657015606</v>
      </c>
      <c r="AY199" s="30"/>
    </row>
    <row r="200" spans="2:51" x14ac:dyDescent="0.25">
      <c r="B200" s="36" t="s">
        <v>93</v>
      </c>
      <c r="C200" t="s">
        <v>132</v>
      </c>
      <c r="D200" s="37">
        <f>SUM(I200,K200,M200,O200,Q200,S200,U200,W200,Y200,AA200,AC200,AE200,AG200)</f>
        <v>101.80000000000001</v>
      </c>
      <c r="E200" s="38">
        <f>COUNTA(U200,W200,Y200,AA200)</f>
        <v>4</v>
      </c>
      <c r="F200" s="38">
        <f>COUNTA(M200,O200,Q200)</f>
        <v>2</v>
      </c>
      <c r="G200" s="38">
        <f>COUNTA(Table1[[#This Row],[A ASEO]])</f>
        <v>0</v>
      </c>
      <c r="H200" s="1">
        <f>SUM(J200,L200,N200,P200,R200,T200,V200,X200,Z200,AB200,AD200,AF200,AH200)</f>
        <v>170.57300000000004</v>
      </c>
      <c r="I200" s="1">
        <v>21.1</v>
      </c>
      <c r="J200" s="1">
        <f>I200*1.34</f>
        <v>28.274000000000004</v>
      </c>
      <c r="K200" s="1">
        <v>14.9</v>
      </c>
      <c r="L200" s="1">
        <f>K200*1.34</f>
        <v>19.966000000000001</v>
      </c>
      <c r="M200" s="1">
        <v>3.5</v>
      </c>
      <c r="N200" s="1">
        <f>M200*2.36</f>
        <v>8.26</v>
      </c>
      <c r="O200" s="1">
        <v>3.5</v>
      </c>
      <c r="P200" s="1">
        <f>O200*2.36</f>
        <v>8.26</v>
      </c>
      <c r="U200" s="1">
        <v>13.1</v>
      </c>
      <c r="V200" s="1">
        <f>U200*1.34</f>
        <v>17.554000000000002</v>
      </c>
      <c r="W200" s="1">
        <v>9.6</v>
      </c>
      <c r="X200" s="1">
        <f>W200*1.34</f>
        <v>12.864000000000001</v>
      </c>
      <c r="Y200" s="1">
        <v>9.4</v>
      </c>
      <c r="Z200" s="1">
        <f>Y200*1.34</f>
        <v>12.596000000000002</v>
      </c>
      <c r="AA200" s="1">
        <v>6.9</v>
      </c>
      <c r="AB200" s="1">
        <f>AA200*1.34</f>
        <v>9.2460000000000004</v>
      </c>
      <c r="AC200" s="1">
        <v>4.2</v>
      </c>
      <c r="AD200" s="1">
        <f>AC200*2.75</f>
        <v>11.55</v>
      </c>
      <c r="AE200" s="1">
        <v>13.3</v>
      </c>
      <c r="AF200" s="1">
        <f>AE200*2.75</f>
        <v>36.575000000000003</v>
      </c>
      <c r="AG200">
        <v>2.2999999999999998</v>
      </c>
      <c r="AH200" s="1">
        <f>AG200*2.36</f>
        <v>5.427999999999999</v>
      </c>
      <c r="AI200" s="40">
        <f>9.1+7</f>
        <v>16.100000000000001</v>
      </c>
      <c r="AJ200" s="39">
        <f>AI200*0.6</f>
        <v>9.66</v>
      </c>
      <c r="AK200" s="34"/>
      <c r="AL200" s="27">
        <f>SUM(I200,U200,W200,Y200,AA200,AC200,AE200,AG200)</f>
        <v>79.899999999999991</v>
      </c>
      <c r="AM200" s="27">
        <f>SUM(K200,M200,O200,Q200,S200)</f>
        <v>21.9</v>
      </c>
      <c r="AN200" s="27">
        <f>SUM(J200,V200,X200,Z200,AB200,AD200,AF200,AH200)</f>
        <v>134.08699999999999</v>
      </c>
      <c r="AO200" s="27">
        <f>SUM(L200,N200,P200,R200,T200)</f>
        <v>36.485999999999997</v>
      </c>
      <c r="AP200" s="30">
        <f>SUM(AG200,AE200,AC200,AA200,Y200,W200,U200,I200)/D200</f>
        <v>0.78487229862475438</v>
      </c>
      <c r="AQ200" s="30">
        <f>SUM(K200,M200,O200,Q200,S200)/D200</f>
        <v>0.21512770137524553</v>
      </c>
      <c r="AR200" s="30">
        <f>D200/H200</f>
        <v>0.59681192216822121</v>
      </c>
      <c r="AS200" s="30">
        <f>AL200/AN200</f>
        <v>0.59588177824845057</v>
      </c>
      <c r="AT200" s="30">
        <f>AM200/AO200</f>
        <v>0.60023022529189274</v>
      </c>
      <c r="AU200" s="35">
        <f>(((H200/2) - SQRT((H200/2)^2 - 4 * D200)) / 2)</f>
        <v>1.210813786780534</v>
      </c>
      <c r="AV200" s="27">
        <f>(((H200/2) + SQRT((H200/2)^2 - 4 * D200)) / 2)</f>
        <v>84.075686213219484</v>
      </c>
      <c r="AW200" s="27">
        <f>AU200*2.7*2+AV200*2.7*2</f>
        <v>460.54710000000011</v>
      </c>
      <c r="AX200" s="30">
        <f>AW200/D200</f>
        <v>4.5240383104125739</v>
      </c>
      <c r="AY200" s="30"/>
    </row>
    <row r="201" spans="2:51" x14ac:dyDescent="0.25">
      <c r="B201" s="36" t="s">
        <v>97</v>
      </c>
      <c r="C201" t="s">
        <v>98</v>
      </c>
      <c r="D201" s="37">
        <f>SUM(I201,K201,M201,O201,Q201,S201,U201,W201,Y201,AA201,AC201,AE201,AG201)</f>
        <v>110.63</v>
      </c>
      <c r="E201" s="38">
        <f>COUNTA(U201,W201,Y201,AA201)</f>
        <v>4</v>
      </c>
      <c r="F201" s="38">
        <f>COUNTA(M201,O201,Q201)</f>
        <v>2</v>
      </c>
      <c r="G201" s="38">
        <f>COUNTA(Table1[[#This Row],[A ASEO]])</f>
        <v>1</v>
      </c>
      <c r="H201" s="1">
        <f>SUM(J201,L201,N201,P201,R201,T201,V201,X201,Z201,AB201,AD201,AF201,AH201)</f>
        <v>187.45510000000002</v>
      </c>
      <c r="I201" s="1">
        <v>23.11</v>
      </c>
      <c r="J201" s="1">
        <f>I201*1.34</f>
        <v>30.967400000000001</v>
      </c>
      <c r="K201" s="1">
        <v>13.02</v>
      </c>
      <c r="L201" s="1">
        <f>K201*1.34</f>
        <v>17.4468</v>
      </c>
      <c r="M201" s="1">
        <v>5.27</v>
      </c>
      <c r="N201" s="1">
        <f>M201*2.36</f>
        <v>12.437199999999999</v>
      </c>
      <c r="O201" s="1">
        <v>4.3</v>
      </c>
      <c r="P201" s="1">
        <f>O201*2.36</f>
        <v>10.148</v>
      </c>
      <c r="Q201" s="1"/>
      <c r="R201" s="1"/>
      <c r="S201" s="1">
        <v>2.4</v>
      </c>
      <c r="T201" s="1">
        <f>S201*2.36</f>
        <v>5.6639999999999997</v>
      </c>
      <c r="U201" s="1">
        <v>12.96</v>
      </c>
      <c r="V201" s="1">
        <f>U201*1.34</f>
        <v>17.366400000000002</v>
      </c>
      <c r="W201" s="1">
        <v>12.37</v>
      </c>
      <c r="X201" s="1">
        <f>W201*1.34</f>
        <v>16.575800000000001</v>
      </c>
      <c r="Y201" s="1">
        <v>10.039999999999999</v>
      </c>
      <c r="Z201" s="1">
        <f>Y201*1.34</f>
        <v>13.4536</v>
      </c>
      <c r="AA201" s="1">
        <v>8.01</v>
      </c>
      <c r="AB201" s="1">
        <f>AA201*1.34</f>
        <v>10.7334</v>
      </c>
      <c r="AC201" s="1">
        <v>8.86</v>
      </c>
      <c r="AD201" s="1">
        <f>AC201*2.75</f>
        <v>24.364999999999998</v>
      </c>
      <c r="AE201" s="1">
        <f>6.96+3.33</f>
        <v>10.29</v>
      </c>
      <c r="AF201" s="1">
        <f>AE201*2.75</f>
        <v>28.297499999999999</v>
      </c>
      <c r="AG201" s="1"/>
      <c r="AH201" s="1"/>
      <c r="AI201" s="39">
        <v>4.09</v>
      </c>
      <c r="AJ201" s="39">
        <f>AI201*0.6</f>
        <v>2.4539999999999997</v>
      </c>
      <c r="AK201" s="34"/>
      <c r="AL201" s="27">
        <f>SUM(I201,U201,W201,Y201,AA201,AC201,AE201,AG201)</f>
        <v>85.639999999999986</v>
      </c>
      <c r="AM201" s="27">
        <f>SUM(K201,M201,O201,Q201,S201)</f>
        <v>24.99</v>
      </c>
      <c r="AN201" s="27">
        <f>SUM(J201,V201,X201,Z201,AB201,AD201,AF201,AH201)</f>
        <v>141.75909999999999</v>
      </c>
      <c r="AO201" s="27">
        <f>SUM(L201,N201,P201,R201,T201)</f>
        <v>45.695999999999998</v>
      </c>
      <c r="AP201" s="30">
        <f>SUM(AG201,AE201,AC201,AA201,Y201,W201,U201,I201)/D201</f>
        <v>0.7741119045466871</v>
      </c>
      <c r="AQ201" s="30">
        <f>SUM(K201,M201,O201,Q201,S201)/D201</f>
        <v>0.22588809545331284</v>
      </c>
      <c r="AR201" s="30">
        <f>D201/H201</f>
        <v>0.59016799222853888</v>
      </c>
      <c r="AS201" s="30">
        <f>AL201/AN201</f>
        <v>0.60412347426020618</v>
      </c>
      <c r="AT201" s="30">
        <f>AM201/AO201</f>
        <v>0.546875</v>
      </c>
      <c r="AU201" s="35">
        <f>(((H201/2) - SQRT((H201/2)^2 - 4 * D201)) / 2)</f>
        <v>1.1955868680998591</v>
      </c>
      <c r="AV201" s="27">
        <f>(((H201/2) + SQRT((H201/2)^2 - 4 * D201)) / 2)</f>
        <v>92.531963131900142</v>
      </c>
      <c r="AW201" s="27">
        <f>AU201*2.7*2+AV201*2.7*2</f>
        <v>506.12877000000003</v>
      </c>
      <c r="AX201" s="30">
        <f>AW201/D201</f>
        <v>4.5749685437946308</v>
      </c>
      <c r="AY201" s="30"/>
    </row>
    <row r="202" spans="2:51" x14ac:dyDescent="0.25">
      <c r="B202" s="36" t="s">
        <v>106</v>
      </c>
      <c r="C202" t="s">
        <v>112</v>
      </c>
      <c r="D202" s="37">
        <f>SUM(I202,K202,M202,O202,Q202,S202,U202,W202,Y202,AA202,AC202,AE202,AG202)</f>
        <v>92.03</v>
      </c>
      <c r="E202" s="38">
        <f>COUNTA(U202,W202,Y202,AA202)</f>
        <v>4</v>
      </c>
      <c r="F202" s="38">
        <f>COUNTA(M202,O202,Q202)</f>
        <v>2</v>
      </c>
      <c r="G202" s="38">
        <f>COUNTA(Table1[[#This Row],[A ASEO]])</f>
        <v>0</v>
      </c>
      <c r="H202" s="1">
        <f>SUM(J202,L202,N202,P202,R202,T202,V202,X202,Z202,AB202,AD202,AF202,AH202)</f>
        <v>148.39570000000001</v>
      </c>
      <c r="I202" s="1">
        <v>23.66</v>
      </c>
      <c r="J202" s="1">
        <f>I202*1.34</f>
        <v>31.704400000000003</v>
      </c>
      <c r="K202" s="1">
        <v>11.58</v>
      </c>
      <c r="L202" s="1">
        <f>K202*1.34</f>
        <v>15.517200000000001</v>
      </c>
      <c r="M202" s="1">
        <v>4.04</v>
      </c>
      <c r="N202" s="1">
        <f>M202*2.36</f>
        <v>9.5343999999999998</v>
      </c>
      <c r="O202" s="1">
        <v>3.61</v>
      </c>
      <c r="P202" s="1">
        <f>O202*2.36</f>
        <v>8.5195999999999987</v>
      </c>
      <c r="Q202" s="1"/>
      <c r="R202" s="1"/>
      <c r="S202" s="1"/>
      <c r="T202" s="1"/>
      <c r="U202" s="1">
        <v>11.19</v>
      </c>
      <c r="V202" s="1">
        <f>U202*1.34</f>
        <v>14.9946</v>
      </c>
      <c r="W202" s="1">
        <v>10.119999999999999</v>
      </c>
      <c r="X202" s="1">
        <f>W202*1.34</f>
        <v>13.5608</v>
      </c>
      <c r="Y202" s="1">
        <v>9.26</v>
      </c>
      <c r="Z202" s="1">
        <f>Y202*1.34</f>
        <v>12.4084</v>
      </c>
      <c r="AA202" s="1">
        <v>6.32</v>
      </c>
      <c r="AB202" s="1">
        <f>AA202*1.34</f>
        <v>8.4688000000000017</v>
      </c>
      <c r="AC202" s="1">
        <v>7.07</v>
      </c>
      <c r="AD202" s="1">
        <f>AC202*2.75</f>
        <v>19.442500000000003</v>
      </c>
      <c r="AE202" s="1">
        <v>5.18</v>
      </c>
      <c r="AF202" s="1">
        <f>AE202*2.75</f>
        <v>14.244999999999999</v>
      </c>
      <c r="AG202" s="1"/>
      <c r="AH202" s="1"/>
      <c r="AI202" s="39">
        <v>9.48</v>
      </c>
      <c r="AJ202" s="39">
        <f>AI202*0.6</f>
        <v>5.6879999999999997</v>
      </c>
      <c r="AK202" s="34"/>
      <c r="AL202" s="27">
        <f>SUM(I202,U202,W202,Y202,AA202,AC202,AE202,AG202)</f>
        <v>72.800000000000011</v>
      </c>
      <c r="AM202" s="27">
        <f>SUM(K202,M202,O202,Q202,S202)</f>
        <v>19.23</v>
      </c>
      <c r="AN202" s="27">
        <f>SUM(J202,V202,X202,Z202,AB202,AD202,AF202,AH202)</f>
        <v>114.82450000000003</v>
      </c>
      <c r="AO202" s="27">
        <f>SUM(L202,N202,P202,R202,T202)</f>
        <v>33.571199999999997</v>
      </c>
      <c r="AP202" s="30">
        <f>SUM(AG202,AE202,AC202,AA202,Y202,W202,U202,I202)/D202</f>
        <v>0.79104639791372378</v>
      </c>
      <c r="AQ202" s="30">
        <f>SUM(K202,M202,O202,Q202,S202)/D202</f>
        <v>0.20895360208627622</v>
      </c>
      <c r="AR202" s="30">
        <f>D202/H202</f>
        <v>0.62016621775428804</v>
      </c>
      <c r="AS202" s="30">
        <f>AL202/AN202</f>
        <v>0.63401103423049954</v>
      </c>
      <c r="AT202" s="30">
        <f>AM202/AO202</f>
        <v>0.57281241063768951</v>
      </c>
      <c r="AU202" s="35">
        <f>(((H202/2) - SQRT((H202/2)^2 - 4 * D202)) / 2)</f>
        <v>1.2617901235115454</v>
      </c>
      <c r="AV202" s="27">
        <f>(((H202/2) + SQRT((H202/2)^2 - 4 * D202)) / 2)</f>
        <v>72.936059876488457</v>
      </c>
      <c r="AW202" s="27">
        <f>AU202*2.7*2+AV202*2.7*2</f>
        <v>400.66838999999999</v>
      </c>
      <c r="AX202" s="30">
        <f>AW202/D202</f>
        <v>4.3536715201564702</v>
      </c>
      <c r="AY202" s="30"/>
    </row>
    <row r="203" spans="2:51" x14ac:dyDescent="0.25">
      <c r="B203" s="36" t="s">
        <v>106</v>
      </c>
      <c r="C203" t="s">
        <v>109</v>
      </c>
      <c r="D203" s="37">
        <f>SUM(I203,K203,M203,O203,Q203,S203,U203,W203,Y203,AA203,AC203,AE203,AG203)</f>
        <v>85.66</v>
      </c>
      <c r="E203" s="38">
        <f>COUNTA(U203,W203,Y203,AA203)</f>
        <v>4</v>
      </c>
      <c r="F203" s="38">
        <f>COUNTA(M203,O203,Q203)</f>
        <v>2</v>
      </c>
      <c r="G203" s="38">
        <f>COUNTA(Table1[[#This Row],[A ASEO]])</f>
        <v>1</v>
      </c>
      <c r="H203" s="1">
        <f>SUM(J203,L203,N203,P203,R203,T203,V203,X203,Z203,AB203,AD203,AF203,AH203)</f>
        <v>138.8306</v>
      </c>
      <c r="I203" s="1">
        <v>19.41</v>
      </c>
      <c r="J203" s="1">
        <f>I203*1.34</f>
        <v>26.009400000000003</v>
      </c>
      <c r="K203" s="1">
        <v>9.02</v>
      </c>
      <c r="L203" s="1">
        <f>K203*1.34</f>
        <v>12.0868</v>
      </c>
      <c r="M203" s="1">
        <v>3.61</v>
      </c>
      <c r="N203" s="1">
        <f>M203*2.36</f>
        <v>8.5195999999999987</v>
      </c>
      <c r="O203" s="1">
        <v>3.37</v>
      </c>
      <c r="P203" s="1">
        <f>O203*2.36</f>
        <v>7.9531999999999998</v>
      </c>
      <c r="Q203" s="1"/>
      <c r="R203" s="1"/>
      <c r="S203" s="1">
        <v>3.02</v>
      </c>
      <c r="T203" s="1">
        <f>S203*2.36</f>
        <v>7.1271999999999993</v>
      </c>
      <c r="U203" s="1">
        <v>13.32</v>
      </c>
      <c r="V203" s="1">
        <f>U203*1.34</f>
        <v>17.848800000000001</v>
      </c>
      <c r="W203" s="1">
        <v>8.07</v>
      </c>
      <c r="X203" s="1">
        <f>W203*1.34</f>
        <v>10.813800000000001</v>
      </c>
      <c r="Y203" s="1">
        <v>8.07</v>
      </c>
      <c r="Z203" s="1">
        <f>Y203*1.34</f>
        <v>10.813800000000001</v>
      </c>
      <c r="AA203" s="1">
        <v>7.95</v>
      </c>
      <c r="AB203" s="1">
        <f>AA203*1.34</f>
        <v>10.653</v>
      </c>
      <c r="AC203" s="1">
        <v>9.82</v>
      </c>
      <c r="AD203" s="1">
        <f>AC203*2.75</f>
        <v>27.005000000000003</v>
      </c>
      <c r="AE203" s="1"/>
      <c r="AF203" s="1"/>
      <c r="AG203" s="1"/>
      <c r="AH203" s="1"/>
      <c r="AI203" s="39">
        <v>7.21</v>
      </c>
      <c r="AJ203" s="39">
        <f>AI203*0.6</f>
        <v>4.3259999999999996</v>
      </c>
      <c r="AK203" s="34"/>
      <c r="AL203" s="27">
        <f>SUM(I203,U203,W203,Y203,AA203,AC203,AE203,AG203)</f>
        <v>66.640000000000015</v>
      </c>
      <c r="AM203" s="27">
        <f>SUM(K203,M203,O203,Q203,S203)</f>
        <v>19.02</v>
      </c>
      <c r="AN203" s="27">
        <f>SUM(J203,V203,X203,Z203,AB203,AD203,AF203,AH203)</f>
        <v>103.14380000000003</v>
      </c>
      <c r="AO203" s="27">
        <f>SUM(L203,N203,P203,R203,T203)</f>
        <v>35.686799999999998</v>
      </c>
      <c r="AP203" s="30">
        <f>SUM(AG203,AE203,AC203,AA203,Y203,W203,U203,I203)/D203</f>
        <v>0.77795937427037132</v>
      </c>
      <c r="AQ203" s="30">
        <f>SUM(K203,M203,O203,Q203,S203)/D203</f>
        <v>0.22204062572962877</v>
      </c>
      <c r="AR203" s="30">
        <f>D203/H203</f>
        <v>0.61701094715430171</v>
      </c>
      <c r="AS203" s="30">
        <f>AL203/AN203</f>
        <v>0.64608827675536484</v>
      </c>
      <c r="AT203" s="30">
        <f>AM203/AO203</f>
        <v>0.53297017384579171</v>
      </c>
      <c r="AU203" s="35">
        <f>(((H203/2) - SQRT((H203/2)^2 - 4 * D203)) / 2)</f>
        <v>1.2567760424708823</v>
      </c>
      <c r="AV203" s="27">
        <f>(((H203/2) + SQRT((H203/2)^2 - 4 * D203)) / 2)</f>
        <v>68.158523957529127</v>
      </c>
      <c r="AW203" s="27">
        <f>AU203*2.7*2+AV203*2.7*2</f>
        <v>374.84262000000007</v>
      </c>
      <c r="AX203" s="30">
        <f>AW203/D203</f>
        <v>4.3759353257062816</v>
      </c>
      <c r="AY203" s="30"/>
    </row>
    <row r="204" spans="2:51" x14ac:dyDescent="0.25">
      <c r="B204" s="36" t="s">
        <v>106</v>
      </c>
      <c r="C204" t="s">
        <v>108</v>
      </c>
      <c r="D204" s="37">
        <f>SUM(I204,K204,M204,O204,Q204,S204,U204,W204,Y204,AA204,AC204,AE204,AG204)</f>
        <v>98.25</v>
      </c>
      <c r="E204" s="38">
        <f>COUNTA(U204,W204,Y204,AA204)</f>
        <v>4</v>
      </c>
      <c r="F204" s="38">
        <f>COUNTA(M204,O204,Q204)</f>
        <v>2</v>
      </c>
      <c r="G204" s="38">
        <f>COUNTA(Table1[[#This Row],[A ASEO]])</f>
        <v>1</v>
      </c>
      <c r="H204" s="1">
        <f>SUM(J204,L204,N204,P204,R204,T204,V204,X204,Z204,AB204,AD204,AF204,AH204)</f>
        <v>161.09190000000004</v>
      </c>
      <c r="I204" s="1">
        <v>26.59</v>
      </c>
      <c r="J204" s="1">
        <f>I204*1.34</f>
        <v>35.630600000000001</v>
      </c>
      <c r="K204" s="1">
        <v>9.2799999999999994</v>
      </c>
      <c r="L204" s="1">
        <f>K204*1.34</f>
        <v>12.4352</v>
      </c>
      <c r="M204" s="1">
        <v>4.84</v>
      </c>
      <c r="N204" s="1">
        <f>M204*2.36</f>
        <v>11.4224</v>
      </c>
      <c r="O204" s="1">
        <v>3.78</v>
      </c>
      <c r="P204" s="1">
        <f>O204*2.36</f>
        <v>8.9207999999999998</v>
      </c>
      <c r="Q204" s="1"/>
      <c r="R204" s="1"/>
      <c r="S204" s="1">
        <v>2.5</v>
      </c>
      <c r="T204" s="1">
        <f>S204*2.36</f>
        <v>5.8999999999999995</v>
      </c>
      <c r="U204" s="1">
        <v>14.03</v>
      </c>
      <c r="V204" s="1">
        <f>U204*1.34</f>
        <v>18.8002</v>
      </c>
      <c r="W204" s="1">
        <v>8.58</v>
      </c>
      <c r="X204" s="1">
        <f>W204*1.34</f>
        <v>11.497200000000001</v>
      </c>
      <c r="Y204" s="1">
        <v>7.92</v>
      </c>
      <c r="Z204" s="1">
        <f>Y204*1.34</f>
        <v>10.6128</v>
      </c>
      <c r="AA204" s="1">
        <v>7.72</v>
      </c>
      <c r="AB204" s="1">
        <f>AA204*1.34</f>
        <v>10.344800000000001</v>
      </c>
      <c r="AC204" s="1">
        <v>4.87</v>
      </c>
      <c r="AD204" s="1">
        <f>AC204*2.75</f>
        <v>13.3925</v>
      </c>
      <c r="AE204" s="1">
        <v>7.5</v>
      </c>
      <c r="AF204" s="1">
        <f>AE204*2.75</f>
        <v>20.625</v>
      </c>
      <c r="AG204" s="1">
        <v>0.64</v>
      </c>
      <c r="AH204" s="1">
        <f>AG204*2.36</f>
        <v>1.5104</v>
      </c>
      <c r="AI204" s="39">
        <v>7.5</v>
      </c>
      <c r="AJ204" s="39">
        <f>AI204*0.6</f>
        <v>4.5</v>
      </c>
      <c r="AK204" s="34"/>
      <c r="AL204" s="27">
        <f>SUM(I204,U204,W204,Y204,AA204,AC204,AE204,AG204)</f>
        <v>77.850000000000009</v>
      </c>
      <c r="AM204" s="27">
        <f>SUM(K204,M204,O204,Q204,S204)</f>
        <v>20.399999999999999</v>
      </c>
      <c r="AN204" s="27">
        <f>SUM(J204,V204,X204,Z204,AB204,AD204,AF204,AH204)</f>
        <v>122.41350000000003</v>
      </c>
      <c r="AO204" s="27">
        <f>SUM(L204,N204,P204,R204,T204)</f>
        <v>38.678399999999996</v>
      </c>
      <c r="AP204" s="30">
        <f>SUM(AG204,AE204,AC204,AA204,Y204,W204,U204,I204)/D204</f>
        <v>0.79236641221374038</v>
      </c>
      <c r="AQ204" s="30">
        <f>SUM(K204,M204,O204,Q204,S204)/D204</f>
        <v>0.20763358778625954</v>
      </c>
      <c r="AR204" s="30">
        <f>D204/H204</f>
        <v>0.60990031156128877</v>
      </c>
      <c r="AS204" s="30">
        <f>AL204/AN204</f>
        <v>0.63595926919825008</v>
      </c>
      <c r="AT204" s="30">
        <f>AM204/AO204</f>
        <v>0.52742616033755274</v>
      </c>
      <c r="AU204" s="35">
        <f>(((H204/2) - SQRT((H204/2)^2 - 4 * D204)) / 2)</f>
        <v>1.2388551130264389</v>
      </c>
      <c r="AV204" s="27">
        <f>(((H204/2) + SQRT((H204/2)^2 - 4 * D204)) / 2)</f>
        <v>79.307094886973573</v>
      </c>
      <c r="AW204" s="27">
        <f>AU204*2.7*2+AV204*2.7*2</f>
        <v>434.94813000000005</v>
      </c>
      <c r="AX204" s="30">
        <f>AW204/D204</f>
        <v>4.4269529770992371</v>
      </c>
      <c r="AY204" s="30"/>
    </row>
    <row r="205" spans="2:51" x14ac:dyDescent="0.25">
      <c r="B205" s="36" t="s">
        <v>88</v>
      </c>
      <c r="C205" t="s">
        <v>89</v>
      </c>
      <c r="D205" s="37">
        <f>SUM(I205,K205,M205,O205,Q205,S205,U205,W205,Y205,AA205,AC205,AE205,AG205)</f>
        <v>126.49999999999999</v>
      </c>
      <c r="E205" s="38">
        <f>COUNTA(U205,W205,Y205,AA205)</f>
        <v>4</v>
      </c>
      <c r="F205" s="38">
        <f>COUNTA(M205,O205,Q205)</f>
        <v>2</v>
      </c>
      <c r="G205" s="38">
        <f>COUNTA(Table1[[#This Row],[A ASEO]])</f>
        <v>1</v>
      </c>
      <c r="H205" s="1">
        <f>SUM(J205,L205,N205,P205,R205,T205,V205,X205,Z205,AB205,AD205,AF205,AH205)</f>
        <v>203.87410000000003</v>
      </c>
      <c r="I205" s="1">
        <v>30.86</v>
      </c>
      <c r="J205" s="1">
        <f>I205*1.34</f>
        <v>41.352400000000003</v>
      </c>
      <c r="K205" s="1">
        <v>9.8000000000000007</v>
      </c>
      <c r="L205" s="1">
        <f>K205*1.34</f>
        <v>13.132000000000001</v>
      </c>
      <c r="M205" s="1">
        <v>5.13</v>
      </c>
      <c r="N205" s="1">
        <f>M205*2.36</f>
        <v>12.1068</v>
      </c>
      <c r="O205" s="1">
        <v>3.19</v>
      </c>
      <c r="P205" s="1">
        <f>O205*2.36</f>
        <v>7.5283999999999995</v>
      </c>
      <c r="Q205" s="1"/>
      <c r="R205" s="1"/>
      <c r="S205" s="1">
        <v>2.6</v>
      </c>
      <c r="T205" s="1">
        <f>S205*2.36</f>
        <v>6.1360000000000001</v>
      </c>
      <c r="U205" s="1">
        <v>26.39</v>
      </c>
      <c r="V205" s="1">
        <f>U205*1.34</f>
        <v>35.3626</v>
      </c>
      <c r="W205" s="1">
        <v>11.37</v>
      </c>
      <c r="X205" s="1">
        <f>W205*1.34</f>
        <v>15.235799999999999</v>
      </c>
      <c r="Y205" s="1">
        <v>10.11</v>
      </c>
      <c r="Z205" s="1">
        <f>Y205*1.34</f>
        <v>13.5474</v>
      </c>
      <c r="AA205" s="1">
        <v>10.08</v>
      </c>
      <c r="AB205" s="1">
        <f>AA205*1.34</f>
        <v>13.507200000000001</v>
      </c>
      <c r="AC205" s="1">
        <v>9.99</v>
      </c>
      <c r="AD205" s="1">
        <f>AC205*2.75</f>
        <v>27.4725</v>
      </c>
      <c r="AE205" s="1">
        <v>5.18</v>
      </c>
      <c r="AF205" s="1">
        <f>AE205*2.75</f>
        <v>14.244999999999999</v>
      </c>
      <c r="AG205" s="1">
        <v>1.8</v>
      </c>
      <c r="AH205" s="1">
        <f>AG205*2.36</f>
        <v>4.2480000000000002</v>
      </c>
      <c r="AI205" s="39">
        <v>39.08</v>
      </c>
      <c r="AJ205" s="39">
        <f>AI205*0.6</f>
        <v>23.447999999999997</v>
      </c>
      <c r="AK205" s="34"/>
      <c r="AL205" s="27">
        <f>SUM(I205,U205,W205,Y205,AA205,AC205,AE205,AG205)</f>
        <v>105.77999999999999</v>
      </c>
      <c r="AM205" s="27">
        <f>SUM(K205,M205,O205,Q205,S205)</f>
        <v>20.720000000000002</v>
      </c>
      <c r="AN205" s="27">
        <f>SUM(J205,V205,X205,Z205,AB205,AD205,AF205,AH205)</f>
        <v>164.9709</v>
      </c>
      <c r="AO205" s="27">
        <f>SUM(L205,N205,P205,R205,T205)</f>
        <v>38.903200000000005</v>
      </c>
      <c r="AP205" s="30">
        <f>SUM(AG205,AE205,AC205,AA205,Y205,W205,U205,I205)/D205</f>
        <v>0.83620553359683791</v>
      </c>
      <c r="AQ205" s="30">
        <f>SUM(K205,M205,O205,Q205,S205)/D205</f>
        <v>0.16379446640316209</v>
      </c>
      <c r="AR205" s="30">
        <f>D205/H205</f>
        <v>0.62048097330656504</v>
      </c>
      <c r="AS205" s="30">
        <f>AL205/AN205</f>
        <v>0.64120399415896978</v>
      </c>
      <c r="AT205" s="30">
        <f>AM205/AO205</f>
        <v>0.53260400172736433</v>
      </c>
      <c r="AU205" s="35">
        <f>(((H205/2) - SQRT((H205/2)^2 - 4 * D205)) / 2)</f>
        <v>1.2564485931989537</v>
      </c>
      <c r="AV205" s="27">
        <f>(((H205/2) + SQRT((H205/2)^2 - 4 * D205)) / 2)</f>
        <v>100.68060140680106</v>
      </c>
      <c r="AW205" s="27">
        <f>AU205*2.7*2+AV205*2.7*2</f>
        <v>550.46007000000009</v>
      </c>
      <c r="AX205" s="30">
        <f>AW205/D205</f>
        <v>4.3514630039525706</v>
      </c>
      <c r="AY205" s="30"/>
    </row>
    <row r="206" spans="2:51" x14ac:dyDescent="0.25">
      <c r="B206" s="36" t="s">
        <v>88</v>
      </c>
      <c r="C206" t="s">
        <v>89</v>
      </c>
      <c r="D206" s="37">
        <f>SUM(I206,K206,M206,O206,Q206,S206,U206,W206,Y206,AA206,AC206,AE206,AG206)</f>
        <v>125.16000000000001</v>
      </c>
      <c r="E206" s="38">
        <f>COUNTA(U206,W206,Y206,AA206)</f>
        <v>4</v>
      </c>
      <c r="F206" s="38">
        <f>COUNTA(M206,O206,Q206)</f>
        <v>2</v>
      </c>
      <c r="G206" s="38">
        <f>COUNTA(Table1[[#This Row],[A ASEO]])</f>
        <v>1</v>
      </c>
      <c r="H206" s="1">
        <f>SUM(J206,L206,N206,P206,R206,T206,V206,X206,Z206,AB206,AD206,AF206,AH206)</f>
        <v>202.95420000000001</v>
      </c>
      <c r="I206" s="1">
        <v>30.2</v>
      </c>
      <c r="J206" s="1">
        <f>I206*1.34</f>
        <v>40.468000000000004</v>
      </c>
      <c r="K206" s="1">
        <v>11.01</v>
      </c>
      <c r="L206" s="1">
        <f>K206*1.34</f>
        <v>14.753400000000001</v>
      </c>
      <c r="M206" s="1">
        <v>4.58</v>
      </c>
      <c r="N206" s="1">
        <f>M206*2.36</f>
        <v>10.8088</v>
      </c>
      <c r="O206" s="1">
        <v>3.15</v>
      </c>
      <c r="P206" s="1">
        <f>O206*2.36</f>
        <v>7.4339999999999993</v>
      </c>
      <c r="Q206" s="1"/>
      <c r="R206" s="1"/>
      <c r="S206" s="1">
        <v>2.5099999999999998</v>
      </c>
      <c r="T206" s="1">
        <f>S206*2.36</f>
        <v>5.9235999999999995</v>
      </c>
      <c r="U206" s="1">
        <v>24.33</v>
      </c>
      <c r="V206" s="1">
        <f>U206*1.34</f>
        <v>32.602199999999996</v>
      </c>
      <c r="W206" s="1">
        <v>11.21</v>
      </c>
      <c r="X206" s="1">
        <f>W206*1.34</f>
        <v>15.021400000000002</v>
      </c>
      <c r="Y206" s="1">
        <v>10.029999999999999</v>
      </c>
      <c r="Z206" s="1">
        <f>Y206*1.34</f>
        <v>13.440200000000001</v>
      </c>
      <c r="AA206" s="1">
        <v>10.01</v>
      </c>
      <c r="AB206" s="1">
        <f>AA206*1.34</f>
        <v>13.413400000000001</v>
      </c>
      <c r="AC206" s="1">
        <v>10.210000000000001</v>
      </c>
      <c r="AD206" s="1">
        <f>AC206*2.75</f>
        <v>28.077500000000001</v>
      </c>
      <c r="AE206" s="1">
        <v>5.95</v>
      </c>
      <c r="AF206" s="1">
        <f>AE206*2.75</f>
        <v>16.362500000000001</v>
      </c>
      <c r="AG206" s="1">
        <v>1.97</v>
      </c>
      <c r="AH206" s="1">
        <f>AG206*2.36</f>
        <v>4.6491999999999996</v>
      </c>
      <c r="AI206" s="39">
        <v>35.04</v>
      </c>
      <c r="AJ206" s="39">
        <f>AI206*0.6</f>
        <v>21.023999999999997</v>
      </c>
      <c r="AK206" s="34"/>
      <c r="AL206" s="27">
        <f>SUM(I206,U206,W206,Y206,AA206,AC206,AE206,AG206)</f>
        <v>103.91000000000001</v>
      </c>
      <c r="AM206" s="27">
        <f>SUM(K206,M206,O206,Q206,S206)</f>
        <v>21.25</v>
      </c>
      <c r="AN206" s="27">
        <f>SUM(J206,V206,X206,Z206,AB206,AD206,AF206,AH206)</f>
        <v>164.03440000000001</v>
      </c>
      <c r="AO206" s="27">
        <f>SUM(L206,N206,P206,R206,T206)</f>
        <v>38.919800000000002</v>
      </c>
      <c r="AP206" s="30">
        <f>SUM(AG206,AE206,AC206,AA206,Y206,W206,U206,I206)/D206</f>
        <v>0.83021732182806007</v>
      </c>
      <c r="AQ206" s="30">
        <f>SUM(K206,M206,O206,Q206,S206)/D206</f>
        <v>0.1697826781719399</v>
      </c>
      <c r="AR206" s="30">
        <f>D206/H206</f>
        <v>0.61669085931702816</v>
      </c>
      <c r="AS206" s="30">
        <f>AL206/AN206</f>
        <v>0.63346468789473431</v>
      </c>
      <c r="AT206" s="30">
        <f>AM206/AO206</f>
        <v>0.54599458373372933</v>
      </c>
      <c r="AU206" s="35">
        <f>(((H206/2) - SQRT((H206/2)^2 - 4 * D206)) / 2)</f>
        <v>1.2487484636986039</v>
      </c>
      <c r="AV206" s="27">
        <f>(((H206/2) + SQRT((H206/2)^2 - 4 * D206)) / 2)</f>
        <v>100.2283515363014</v>
      </c>
      <c r="AW206" s="27">
        <f>AU206*2.7*2+AV206*2.7*2</f>
        <v>547.97634000000005</v>
      </c>
      <c r="AX206" s="30">
        <f>AW206/D206</f>
        <v>4.3782066155321191</v>
      </c>
      <c r="AY206" s="30"/>
    </row>
    <row r="207" spans="2:51" x14ac:dyDescent="0.25">
      <c r="B207" s="36" t="s">
        <v>43</v>
      </c>
      <c r="C207" t="s">
        <v>133</v>
      </c>
      <c r="D207" s="37">
        <f>SUM(I207,K207,M207,O207,Q207,S207,U207,W207,Y207,AA207,AC207,AE207,AG207)</f>
        <v>95.600000000000009</v>
      </c>
      <c r="E207" s="38">
        <f>COUNTA(U207,W207,Y207,AA207)</f>
        <v>4</v>
      </c>
      <c r="F207" s="38">
        <f>COUNTA(M207,O207,Q207)</f>
        <v>2</v>
      </c>
      <c r="G207" s="38">
        <f>COUNTA(Table1[[#This Row],[A ASEO]])</f>
        <v>0</v>
      </c>
      <c r="H207" s="1">
        <f>SUM(J207,L207,N207,P207,R207,T207,V207,X207,Z207,AB207,AD207,AF207,AH207)</f>
        <v>146.43100000000004</v>
      </c>
      <c r="I207" s="1">
        <v>24.2</v>
      </c>
      <c r="J207" s="1">
        <f>I207*1.34</f>
        <v>32.428000000000004</v>
      </c>
      <c r="K207" s="1">
        <v>11.9</v>
      </c>
      <c r="L207" s="1">
        <f>K207*1.34</f>
        <v>15.946000000000002</v>
      </c>
      <c r="M207" s="1">
        <v>4</v>
      </c>
      <c r="N207" s="1">
        <f>M207*2.36</f>
        <v>9.44</v>
      </c>
      <c r="O207" s="1">
        <v>3.6</v>
      </c>
      <c r="P207" s="1">
        <f>O207*2.36</f>
        <v>8.4960000000000004</v>
      </c>
      <c r="U207" s="1">
        <v>14.4</v>
      </c>
      <c r="V207" s="1">
        <f>U207*1.34</f>
        <v>19.296000000000003</v>
      </c>
      <c r="W207" s="1">
        <v>10.3</v>
      </c>
      <c r="X207" s="1">
        <f>W207*1.34</f>
        <v>13.802000000000001</v>
      </c>
      <c r="Y207" s="1">
        <v>10.3</v>
      </c>
      <c r="Z207" s="1">
        <f>Y207*1.34</f>
        <v>13.802000000000001</v>
      </c>
      <c r="AA207" s="1">
        <v>9.4</v>
      </c>
      <c r="AB207" s="1">
        <f>AA207*1.34</f>
        <v>12.596000000000002</v>
      </c>
      <c r="AC207" s="1">
        <v>5</v>
      </c>
      <c r="AD207" s="1">
        <f>AC207*2.75</f>
        <v>13.75</v>
      </c>
      <c r="AE207" s="1">
        <v>2.5</v>
      </c>
      <c r="AF207" s="1">
        <f>AE207*2.75</f>
        <v>6.875</v>
      </c>
      <c r="AI207" s="40"/>
      <c r="AJ207" s="40"/>
      <c r="AK207" s="34"/>
      <c r="AL207" s="27">
        <f>SUM(I207,U207,W207,Y207,AA207,AC207,AE207,AG207)</f>
        <v>76.100000000000009</v>
      </c>
      <c r="AM207" s="27">
        <f>SUM(K207,M207,O207,Q207,S207)</f>
        <v>19.5</v>
      </c>
      <c r="AN207" s="27">
        <f>SUM(J207,V207,X207,Z207,AB207,AD207,AF207,AH207)</f>
        <v>112.54900000000002</v>
      </c>
      <c r="AO207" s="27">
        <f>SUM(L207,N207,P207,R207,T207)</f>
        <v>33.882000000000005</v>
      </c>
      <c r="AP207" s="30">
        <f>SUM(AG207,AE207,AC207,AA207,Y207,W207,U207,I207)/D207</f>
        <v>0.7960251046025103</v>
      </c>
      <c r="AQ207" s="30">
        <f>SUM(K207,M207,O207,Q207,S207)/D207</f>
        <v>0.20397489539748953</v>
      </c>
      <c r="AR207" s="30">
        <f>D207/H207</f>
        <v>0.6528672207387779</v>
      </c>
      <c r="AS207" s="30">
        <f>AL207/AN207</f>
        <v>0.67614994358012948</v>
      </c>
      <c r="AT207" s="30">
        <f>AM207/AO207</f>
        <v>0.57552682840446245</v>
      </c>
      <c r="AU207" s="35">
        <f>(((H207/2) - SQRT((H207/2)^2 - 4 * D207)) / 2)</f>
        <v>1.3298906536266699</v>
      </c>
      <c r="AV207" s="27">
        <f>(((H207/2) + SQRT((H207/2)^2 - 4 * D207)) / 2)</f>
        <v>71.885609346373343</v>
      </c>
      <c r="AW207" s="27">
        <f>AU207*2.7*2+AV207*2.7*2</f>
        <v>395.36370000000011</v>
      </c>
      <c r="AX207" s="30">
        <f>AW207/D207</f>
        <v>4.1356035564853562</v>
      </c>
      <c r="AY207" s="30"/>
    </row>
    <row r="208" spans="2:51" x14ac:dyDescent="0.25">
      <c r="B208" s="36" t="s">
        <v>43</v>
      </c>
      <c r="C208" t="s">
        <v>48</v>
      </c>
      <c r="D208" s="37">
        <f>SUM(I208,K208,M208,O208,Q208,S208,U208,W208,Y208,AA208,AC208,AE208,AG208)</f>
        <v>91.35</v>
      </c>
      <c r="E208" s="38">
        <f>COUNTA(U208,W208,Y208,AA208)</f>
        <v>4</v>
      </c>
      <c r="F208" s="38">
        <f>COUNTA(M208,O208,Q208)</f>
        <v>2</v>
      </c>
      <c r="G208" s="38">
        <f>COUNTA(Table1[[#This Row],[A ASEO]])</f>
        <v>0</v>
      </c>
      <c r="H208" s="1">
        <f>SUM(J208,L208,N208,P208,R208,T208,V208,X208,Z208,AB208,AD208,AF208,AH208)</f>
        <v>147.42690000000002</v>
      </c>
      <c r="I208" s="1">
        <v>20.420000000000002</v>
      </c>
      <c r="J208" s="1">
        <f>I208*1.34</f>
        <v>27.362800000000004</v>
      </c>
      <c r="K208" s="1">
        <v>8.56</v>
      </c>
      <c r="L208" s="1">
        <f>K208*1.34</f>
        <v>11.470400000000001</v>
      </c>
      <c r="M208" s="1">
        <v>3.89</v>
      </c>
      <c r="N208" s="1">
        <f>M208*2.36</f>
        <v>9.1804000000000006</v>
      </c>
      <c r="O208" s="1">
        <v>3.98</v>
      </c>
      <c r="P208" s="1">
        <f>O208*2.36</f>
        <v>9.3927999999999994</v>
      </c>
      <c r="Q208" s="1"/>
      <c r="R208" s="1"/>
      <c r="S208" s="1"/>
      <c r="T208" s="1"/>
      <c r="U208" s="1">
        <v>13.59</v>
      </c>
      <c r="V208" s="1">
        <f>U208*1.34</f>
        <v>18.210599999999999</v>
      </c>
      <c r="W208" s="1">
        <v>9.9700000000000006</v>
      </c>
      <c r="X208" s="1">
        <f>W208*1.34</f>
        <v>13.359800000000002</v>
      </c>
      <c r="Y208" s="1">
        <v>10.06</v>
      </c>
      <c r="Z208" s="1">
        <f>Y208*1.34</f>
        <v>13.480400000000001</v>
      </c>
      <c r="AA208" s="1">
        <v>8.31</v>
      </c>
      <c r="AB208" s="1">
        <f>AA208*1.34</f>
        <v>11.135400000000001</v>
      </c>
      <c r="AC208" s="1">
        <v>4.91</v>
      </c>
      <c r="AD208" s="1">
        <f>AC208*2.75</f>
        <v>13.502500000000001</v>
      </c>
      <c r="AE208" s="1">
        <v>5.78</v>
      </c>
      <c r="AF208" s="1">
        <f>AE208*2.75</f>
        <v>15.895000000000001</v>
      </c>
      <c r="AG208" s="1">
        <v>1.88</v>
      </c>
      <c r="AH208" s="1">
        <f>AG208*2.36</f>
        <v>4.4367999999999999</v>
      </c>
      <c r="AI208" s="39">
        <v>6.73</v>
      </c>
      <c r="AJ208" s="39">
        <f>AI208*0.6</f>
        <v>4.0380000000000003</v>
      </c>
      <c r="AK208" s="34"/>
      <c r="AL208" s="27">
        <f>SUM(I208,U208,W208,Y208,AA208,AC208,AE208,AG208)</f>
        <v>74.92</v>
      </c>
      <c r="AM208" s="27">
        <f>SUM(K208,M208,O208,Q208,S208)</f>
        <v>16.43</v>
      </c>
      <c r="AN208" s="27">
        <f>SUM(J208,V208,X208,Z208,AB208,AD208,AF208,AH208)</f>
        <v>117.38330000000001</v>
      </c>
      <c r="AO208" s="27">
        <f>SUM(L208,N208,P208,R208,T208)</f>
        <v>30.043600000000005</v>
      </c>
      <c r="AP208" s="30">
        <f>SUM(AG208,AE208,AC208,AA208,Y208,W208,U208,I208)/D208</f>
        <v>0.82014230979748226</v>
      </c>
      <c r="AQ208" s="30">
        <f>SUM(K208,M208,O208,Q208,S208)/D208</f>
        <v>0.17985769020251779</v>
      </c>
      <c r="AR208" s="30">
        <f>D208/H208</f>
        <v>0.61962911788825503</v>
      </c>
      <c r="AS208" s="30">
        <f>AL208/AN208</f>
        <v>0.63825092666503669</v>
      </c>
      <c r="AT208" s="30">
        <f>AM208/AO208</f>
        <v>0.54687187953507554</v>
      </c>
      <c r="AU208" s="35">
        <f>(((H208/2) - SQRT((H208/2)^2 - 4 * D208)) / 2)</f>
        <v>1.2608238634137123</v>
      </c>
      <c r="AV208" s="27">
        <f>(((H208/2) + SQRT((H208/2)^2 - 4 * D208)) / 2)</f>
        <v>72.452626136586304</v>
      </c>
      <c r="AW208" s="27">
        <f>AU208*2.7*2+AV208*2.7*2</f>
        <v>398.05263000000008</v>
      </c>
      <c r="AX208" s="30">
        <f>AW208/D208</f>
        <v>4.3574453201970451</v>
      </c>
      <c r="AY208" s="30"/>
    </row>
    <row r="209" spans="2:51" x14ac:dyDescent="0.25">
      <c r="B209" s="36" t="s">
        <v>43</v>
      </c>
      <c r="C209" t="s">
        <v>48</v>
      </c>
      <c r="D209" s="37">
        <f>SUM(I209,K209,M209,O209,Q209,S209,U209,W209,Y209,AA209,AC209,AE209,AG209)</f>
        <v>90.96</v>
      </c>
      <c r="E209" s="38">
        <f>COUNTA(U209,W209,Y209,AA209)</f>
        <v>4</v>
      </c>
      <c r="F209" s="38">
        <f>COUNTA(M209,O209,Q209)</f>
        <v>2</v>
      </c>
      <c r="G209" s="38">
        <f>COUNTA(Table1[[#This Row],[A ASEO]])</f>
        <v>0</v>
      </c>
      <c r="H209" s="1">
        <f>SUM(J209,L209,N209,P209,R209,T209,V209,X209,Z209,AB209,AD209,AF209,AH209)</f>
        <v>146.98259999999999</v>
      </c>
      <c r="I209" s="1">
        <v>20.309999999999999</v>
      </c>
      <c r="J209" s="1">
        <f>I209*1.34</f>
        <v>27.215399999999999</v>
      </c>
      <c r="K209" s="1">
        <v>8.61</v>
      </c>
      <c r="L209" s="1">
        <f>K209*1.34</f>
        <v>11.5374</v>
      </c>
      <c r="M209" s="1">
        <v>3.92</v>
      </c>
      <c r="N209" s="1">
        <f>M209*2.36</f>
        <v>9.251199999999999</v>
      </c>
      <c r="O209" s="1">
        <v>3.93</v>
      </c>
      <c r="P209" s="1">
        <f>O209*2.36</f>
        <v>9.274799999999999</v>
      </c>
      <c r="Q209" s="1"/>
      <c r="R209" s="1"/>
      <c r="S209" s="1"/>
      <c r="T209" s="1"/>
      <c r="U209" s="1">
        <v>13.59</v>
      </c>
      <c r="V209" s="1">
        <f>U209*1.34</f>
        <v>18.210599999999999</v>
      </c>
      <c r="W209" s="1">
        <v>9.9700000000000006</v>
      </c>
      <c r="X209" s="1">
        <f>W209*1.34</f>
        <v>13.359800000000002</v>
      </c>
      <c r="Y209" s="1">
        <v>10.01</v>
      </c>
      <c r="Z209" s="1">
        <f>Y209*1.34</f>
        <v>13.413400000000001</v>
      </c>
      <c r="AA209" s="1">
        <v>7.98</v>
      </c>
      <c r="AB209" s="1">
        <f>AA209*1.34</f>
        <v>10.693200000000001</v>
      </c>
      <c r="AC209" s="1">
        <v>4.91</v>
      </c>
      <c r="AD209" s="1">
        <f>AC209*2.75</f>
        <v>13.502500000000001</v>
      </c>
      <c r="AE209" s="1">
        <v>5.85</v>
      </c>
      <c r="AF209" s="1">
        <f>AE209*2.75</f>
        <v>16.087499999999999</v>
      </c>
      <c r="AG209" s="1">
        <v>1.88</v>
      </c>
      <c r="AH209" s="1">
        <f>AG209*2.36</f>
        <v>4.4367999999999999</v>
      </c>
      <c r="AI209" s="39">
        <v>6.62</v>
      </c>
      <c r="AJ209" s="39">
        <f>AI209*0.6</f>
        <v>3.972</v>
      </c>
      <c r="AK209" s="34"/>
      <c r="AL209" s="27">
        <f>SUM(I209,U209,W209,Y209,AA209,AC209,AE209,AG209)</f>
        <v>74.499999999999986</v>
      </c>
      <c r="AM209" s="27">
        <f>SUM(K209,M209,O209,Q209,S209)</f>
        <v>16.46</v>
      </c>
      <c r="AN209" s="27">
        <f>SUM(J209,V209,X209,Z209,AB209,AD209,AF209,AH209)</f>
        <v>116.91920000000002</v>
      </c>
      <c r="AO209" s="27">
        <f>SUM(L209,N209,P209,R209,T209)</f>
        <v>30.063399999999998</v>
      </c>
      <c r="AP209" s="30">
        <f>SUM(AG209,AE209,AC209,AA209,Y209,W209,U209,I209)/D209</f>
        <v>0.81904133685136327</v>
      </c>
      <c r="AQ209" s="30">
        <f>SUM(K209,M209,O209,Q209,S209)/D209</f>
        <v>0.18095866314863679</v>
      </c>
      <c r="AR209" s="30">
        <f>D209/H209</f>
        <v>0.61884876169015923</v>
      </c>
      <c r="AS209" s="30">
        <f>AL209/AN209</f>
        <v>0.63719218058282967</v>
      </c>
      <c r="AT209" s="30">
        <f>AM209/AO209</f>
        <v>0.5475095963863037</v>
      </c>
      <c r="AU209" s="35">
        <f>(((H209/2) - SQRT((H209/2)^2 - 4 * D209)) / 2)</f>
        <v>1.2592752355569559</v>
      </c>
      <c r="AV209" s="27">
        <f>(((H209/2) + SQRT((H209/2)^2 - 4 * D209)) / 2)</f>
        <v>72.23202476444304</v>
      </c>
      <c r="AW209" s="27">
        <f>AU209*2.7*2+AV209*2.7*2</f>
        <v>396.85302000000001</v>
      </c>
      <c r="AX209" s="30">
        <f>AW209/D209</f>
        <v>4.3629399736147763</v>
      </c>
      <c r="AY209" s="30"/>
    </row>
    <row r="210" spans="2:51" x14ac:dyDescent="0.25">
      <c r="B210" s="36" t="s">
        <v>101</v>
      </c>
      <c r="C210" t="s">
        <v>102</v>
      </c>
      <c r="D210" s="37">
        <f>SUM(I210,K210,M210,O210,Q210,S210,U210,W210,Y210,AA210,AC210,AE210,AG210)</f>
        <v>114.64999999999999</v>
      </c>
      <c r="E210" s="38">
        <f>COUNTA(U210,W210,Y210,AA210)</f>
        <v>4</v>
      </c>
      <c r="F210" s="38">
        <f>COUNTA(M210,O210,Q210)</f>
        <v>2</v>
      </c>
      <c r="G210" s="38">
        <f>COUNTA(Table1[[#This Row],[A ASEO]])</f>
        <v>0</v>
      </c>
      <c r="H210" s="1">
        <f>SUM(J210,L210,N210,P210,R210,T210,V210,X210,Z210,AB210,AD210,AF210,AH210)</f>
        <v>185.03889999999998</v>
      </c>
      <c r="I210" s="1">
        <v>25.57</v>
      </c>
      <c r="J210" s="1">
        <f>I210*1.34</f>
        <v>34.263800000000003</v>
      </c>
      <c r="K210" s="1">
        <v>13.59</v>
      </c>
      <c r="L210" s="1">
        <f>K210*1.34</f>
        <v>18.210599999999999</v>
      </c>
      <c r="M210" s="1">
        <v>5.14</v>
      </c>
      <c r="N210" s="1">
        <f>M210*2.36</f>
        <v>12.130399999999998</v>
      </c>
      <c r="O210" s="1">
        <v>4.3499999999999996</v>
      </c>
      <c r="P210" s="1">
        <f>O210*2.36</f>
        <v>10.265999999999998</v>
      </c>
      <c r="Q210" s="1"/>
      <c r="R210" s="1"/>
      <c r="S210" s="1"/>
      <c r="T210" s="1"/>
      <c r="U210" s="1">
        <v>17.38</v>
      </c>
      <c r="V210" s="1">
        <f>U210*1.34</f>
        <v>23.289200000000001</v>
      </c>
      <c r="W210" s="1">
        <v>11.16</v>
      </c>
      <c r="X210" s="1">
        <f>W210*1.34</f>
        <v>14.954400000000001</v>
      </c>
      <c r="Y210" s="1">
        <v>11.03</v>
      </c>
      <c r="Z210" s="1">
        <f>Y210*1.34</f>
        <v>14.780200000000001</v>
      </c>
      <c r="AA210" s="1">
        <v>11.02</v>
      </c>
      <c r="AB210" s="1">
        <f>AA210*1.34</f>
        <v>14.7668</v>
      </c>
      <c r="AC210" s="1">
        <v>7</v>
      </c>
      <c r="AD210" s="1">
        <f>AC210*2.75</f>
        <v>19.25</v>
      </c>
      <c r="AE210" s="1">
        <v>8.41</v>
      </c>
      <c r="AF210" s="1">
        <f>AE210*2.75</f>
        <v>23.127500000000001</v>
      </c>
      <c r="AG210" s="1"/>
      <c r="AH210" s="1"/>
      <c r="AI210" s="39">
        <v>21.55</v>
      </c>
      <c r="AJ210" s="39">
        <f>AI210*0.6</f>
        <v>12.93</v>
      </c>
      <c r="AK210" s="34"/>
      <c r="AL210" s="27">
        <f>SUM(I210,U210,W210,Y210,AA210,AC210,AE210,AG210)</f>
        <v>91.57</v>
      </c>
      <c r="AM210" s="27">
        <f>SUM(K210,M210,O210,Q210,S210)</f>
        <v>23.08</v>
      </c>
      <c r="AN210" s="27">
        <f>SUM(J210,V210,X210,Z210,AB210,AD210,AF210,AH210)</f>
        <v>144.43190000000001</v>
      </c>
      <c r="AO210" s="27">
        <f>SUM(L210,N210,P210,R210,T210)</f>
        <v>40.606999999999999</v>
      </c>
      <c r="AP210" s="30">
        <f>SUM(AG210,AE210,AC210,AA210,Y210,W210,U210,I210)/D210</f>
        <v>0.79869167030091581</v>
      </c>
      <c r="AQ210" s="30">
        <f>SUM(K210,M210,O210,Q210,S210)/D210</f>
        <v>0.20130832969908416</v>
      </c>
      <c r="AR210" s="30">
        <f>D210/H210</f>
        <v>0.61959944638667874</v>
      </c>
      <c r="AS210" s="30">
        <f>AL210/AN210</f>
        <v>0.63400121441315926</v>
      </c>
      <c r="AT210" s="30">
        <f>AM210/AO210</f>
        <v>0.56837491072967716</v>
      </c>
      <c r="AU210" s="35">
        <f>(((H210/2) - SQRT((H210/2)^2 - 4 * D210)) / 2)</f>
        <v>1.2562567217036644</v>
      </c>
      <c r="AV210" s="27">
        <f>(((H210/2) + SQRT((H210/2)^2 - 4 * D210)) / 2)</f>
        <v>91.263193278296328</v>
      </c>
      <c r="AW210" s="27">
        <f>AU210*2.7*2+AV210*2.7*2</f>
        <v>499.60503</v>
      </c>
      <c r="AX210" s="30">
        <f>AW210/D210</f>
        <v>4.3576539904055824</v>
      </c>
      <c r="AY210" s="30"/>
    </row>
    <row r="211" spans="2:51" x14ac:dyDescent="0.25">
      <c r="B211" s="36" t="s">
        <v>124</v>
      </c>
      <c r="C211" t="s">
        <v>123</v>
      </c>
      <c r="D211" s="37">
        <f>SUM(I211,K211,M211,O211,Q211,S211,U211,W211,Y211,AA211,AC211,AE211,AG211)</f>
        <v>104.09</v>
      </c>
      <c r="E211" s="38">
        <f>COUNTA(U211,W211,Y211,AA211)</f>
        <v>4</v>
      </c>
      <c r="F211" s="38">
        <f>COUNTA(M211,O211,Q211)</f>
        <v>2</v>
      </c>
      <c r="G211" s="38">
        <f>COUNTA(Table1[[#This Row],[A ASEO]])</f>
        <v>0</v>
      </c>
      <c r="H211" s="1">
        <f>SUM(J211,L211,N211,P211,R211,T211,V211,X211,Z211,AB211,AD211,AF211,AH211)</f>
        <v>162.49719999999999</v>
      </c>
      <c r="I211" s="1">
        <v>29.18</v>
      </c>
      <c r="J211" s="1">
        <f>I211*1.34</f>
        <v>39.101199999999999</v>
      </c>
      <c r="K211" s="1">
        <v>10.25</v>
      </c>
      <c r="L211" s="1">
        <f>K211*1.34</f>
        <v>13.735000000000001</v>
      </c>
      <c r="M211" s="1">
        <v>4.01</v>
      </c>
      <c r="N211" s="1">
        <f>M211*2.36</f>
        <v>9.4635999999999996</v>
      </c>
      <c r="O211" s="1">
        <v>3.93</v>
      </c>
      <c r="P211" s="1">
        <f>O211*2.36</f>
        <v>9.274799999999999</v>
      </c>
      <c r="Q211" s="1"/>
      <c r="R211" s="1"/>
      <c r="S211" s="1"/>
      <c r="T211" s="1"/>
      <c r="U211" s="1">
        <v>15.68</v>
      </c>
      <c r="V211" s="1">
        <f>U211*1.34</f>
        <v>21.011200000000002</v>
      </c>
      <c r="W211" s="1">
        <v>11.12</v>
      </c>
      <c r="X211" s="1">
        <f>W211*1.34</f>
        <v>14.9008</v>
      </c>
      <c r="Y211" s="1">
        <v>9.8699999999999992</v>
      </c>
      <c r="Z211" s="1">
        <f>Y211*1.34</f>
        <v>13.2258</v>
      </c>
      <c r="AA211" s="1">
        <v>9.4700000000000006</v>
      </c>
      <c r="AB211" s="1">
        <f>AA211*1.34</f>
        <v>12.689800000000002</v>
      </c>
      <c r="AC211" s="1">
        <v>5.14</v>
      </c>
      <c r="AD211" s="1">
        <f>AC211*2.75</f>
        <v>14.135</v>
      </c>
      <c r="AE211" s="1">
        <v>5.44</v>
      </c>
      <c r="AF211" s="1">
        <f>AE211*2.75</f>
        <v>14.96</v>
      </c>
      <c r="AG211" s="1"/>
      <c r="AH211" s="1"/>
      <c r="AI211" s="39">
        <v>57.25</v>
      </c>
      <c r="AJ211" s="39">
        <f>AI211*0.6</f>
        <v>34.35</v>
      </c>
      <c r="AK211" s="34"/>
      <c r="AL211" s="27">
        <f>SUM(I211,U211,W211,Y211,AA211,AC211,AE211,AG211)</f>
        <v>85.899999999999991</v>
      </c>
      <c r="AM211" s="27">
        <f>SUM(K211,M211,O211,Q211,S211)</f>
        <v>18.190000000000001</v>
      </c>
      <c r="AN211" s="27">
        <f>SUM(J211,V211,X211,Z211,AB211,AD211,AF211,AH211)</f>
        <v>130.02380000000002</v>
      </c>
      <c r="AO211" s="27">
        <f>SUM(L211,N211,P211,R211,T211)</f>
        <v>32.473399999999998</v>
      </c>
      <c r="AP211" s="30">
        <f>SUM(AG211,AE211,AC211,AA211,Y211,W211,U211,I211)/D211</f>
        <v>0.82524738207320592</v>
      </c>
      <c r="AQ211" s="30">
        <f>SUM(K211,M211,O211,Q211,S211)/D211</f>
        <v>0.17475261792679414</v>
      </c>
      <c r="AR211" s="30">
        <f>D211/H211</f>
        <v>0.64056488357953245</v>
      </c>
      <c r="AS211" s="30">
        <f>AL211/AN211</f>
        <v>0.66064828131465148</v>
      </c>
      <c r="AT211" s="30">
        <f>AM211/AO211</f>
        <v>0.56015076955292642</v>
      </c>
      <c r="AU211" s="35">
        <f>(((H211/2) - SQRT((H211/2)^2 - 4 * D211)) / 2)</f>
        <v>1.3019939830584164</v>
      </c>
      <c r="AV211" s="27">
        <f>(((H211/2) + SQRT((H211/2)^2 - 4 * D211)) / 2)</f>
        <v>79.946606016941587</v>
      </c>
      <c r="AW211" s="27">
        <f>AU211*2.7*2+AV211*2.7*2</f>
        <v>438.74244000000004</v>
      </c>
      <c r="AX211" s="30">
        <f>AW211/D211</f>
        <v>4.2150296858487852</v>
      </c>
      <c r="AY211" s="30"/>
    </row>
    <row r="212" spans="2:51" x14ac:dyDescent="0.25">
      <c r="B212" s="36" t="s">
        <v>41</v>
      </c>
      <c r="C212" t="s">
        <v>47</v>
      </c>
      <c r="D212" s="37">
        <f>SUM(I212,K212,M212,O212,Q212,S212,U212,W212,Y212,AA212,AC212,AE212,AG212)</f>
        <v>95.199999999999989</v>
      </c>
      <c r="E212" s="38">
        <f>COUNTA(U212,W212,Y212,AA212)</f>
        <v>4</v>
      </c>
      <c r="F212" s="38">
        <f>COUNTA(M212,O212,Q212)</f>
        <v>2</v>
      </c>
      <c r="G212" s="38">
        <f>COUNTA(Table1[[#This Row],[A ASEO]])</f>
        <v>0</v>
      </c>
      <c r="H212" s="1">
        <f>SUM(J212,L212,N212,P212,R212,T212,V212,X212,Z212,AB212,AD212,AF212,AH212)</f>
        <v>150.13400000000001</v>
      </c>
      <c r="I212" s="1">
        <v>25.4</v>
      </c>
      <c r="J212" s="1">
        <f>I212*1.34</f>
        <v>34.036000000000001</v>
      </c>
      <c r="K212" s="1">
        <v>9.5</v>
      </c>
      <c r="L212" s="1">
        <f>K212*1.34</f>
        <v>12.73</v>
      </c>
      <c r="M212" s="1">
        <v>4.4000000000000004</v>
      </c>
      <c r="N212" s="1">
        <f>M212*2.36</f>
        <v>10.384</v>
      </c>
      <c r="O212" s="1">
        <v>3.9</v>
      </c>
      <c r="P212" s="1">
        <f>O212*2.36</f>
        <v>9.2039999999999988</v>
      </c>
      <c r="Q212" s="1"/>
      <c r="R212" s="1"/>
      <c r="S212" s="1"/>
      <c r="T212" s="1"/>
      <c r="U212" s="1">
        <v>14</v>
      </c>
      <c r="V212" s="1">
        <f>U212*1.34</f>
        <v>18.760000000000002</v>
      </c>
      <c r="W212" s="1">
        <v>9.8000000000000007</v>
      </c>
      <c r="X212" s="1">
        <f>W212*1.34</f>
        <v>13.132000000000001</v>
      </c>
      <c r="Y212" s="1">
        <v>9.1</v>
      </c>
      <c r="Z212" s="1">
        <f>Y212*1.34</f>
        <v>12.194000000000001</v>
      </c>
      <c r="AA212" s="1">
        <v>9.1</v>
      </c>
      <c r="AB212" s="1">
        <f>AA212*1.34</f>
        <v>12.194000000000001</v>
      </c>
      <c r="AC212" s="1">
        <v>4.3</v>
      </c>
      <c r="AD212" s="1">
        <f>AC212*2.75</f>
        <v>11.824999999999999</v>
      </c>
      <c r="AE212" s="1">
        <v>5.7</v>
      </c>
      <c r="AF212" s="1">
        <f>AE212*2.75</f>
        <v>15.675000000000001</v>
      </c>
      <c r="AG212" s="1"/>
      <c r="AH212" s="1"/>
      <c r="AI212" s="39">
        <f>17.1+2.2</f>
        <v>19.3</v>
      </c>
      <c r="AJ212" s="39">
        <f>AI212*0.6</f>
        <v>11.58</v>
      </c>
      <c r="AK212" s="34"/>
      <c r="AL212" s="27">
        <f>SUM(I212,U212,W212,Y212,AA212,AC212,AE212,AG212)</f>
        <v>77.400000000000006</v>
      </c>
      <c r="AM212" s="27">
        <f>SUM(K212,M212,O212,Q212,S212)</f>
        <v>17.8</v>
      </c>
      <c r="AN212" s="27">
        <f>SUM(J212,V212,X212,Z212,AB212,AD212,AF212,AH212)</f>
        <v>117.81600000000002</v>
      </c>
      <c r="AO212" s="27">
        <f>SUM(L212,N212,P212,R212,T212)</f>
        <v>32.317999999999998</v>
      </c>
      <c r="AP212" s="30">
        <f>SUM(AG212,AE212,AC212,AA212,Y212,W212,U212,I212)/D212</f>
        <v>0.81302521008403372</v>
      </c>
      <c r="AQ212" s="30">
        <f>SUM(K212,M212,O212,Q212,S212)/D212</f>
        <v>0.18697478991596642</v>
      </c>
      <c r="AR212" s="30">
        <f>D212/H212</f>
        <v>0.63410020381792254</v>
      </c>
      <c r="AS212" s="30">
        <f>AL212/AN212</f>
        <v>0.65695661030759822</v>
      </c>
      <c r="AT212" s="30">
        <f>AM212/AO212</f>
        <v>0.55077665697134726</v>
      </c>
      <c r="AU212" s="35">
        <f>(((H212/2) - SQRT((H212/2)^2 - 4 * D212)) / 2)</f>
        <v>1.2903817256296222</v>
      </c>
      <c r="AV212" s="27">
        <f>(((H212/2) + SQRT((H212/2)^2 - 4 * D212)) / 2)</f>
        <v>73.776618274370378</v>
      </c>
      <c r="AW212" s="27">
        <f>AU212*2.7*2+AV212*2.7*2</f>
        <v>405.36180000000002</v>
      </c>
      <c r="AX212" s="30">
        <f>AW212/D212</f>
        <v>4.2580021008403373</v>
      </c>
      <c r="AY212" s="30"/>
    </row>
    <row r="213" spans="2:51" x14ac:dyDescent="0.25">
      <c r="B213" s="36" t="s">
        <v>86</v>
      </c>
      <c r="C213" t="s">
        <v>136</v>
      </c>
      <c r="D213" s="37">
        <f>SUM(I213,K213,M213,O213,Q213,S213,U213,W213,Y213,AA213,AC213,AE213,AG213)</f>
        <v>123.8</v>
      </c>
      <c r="E213" s="38">
        <f>COUNTA(U213,W213,Y213,AA213)</f>
        <v>4</v>
      </c>
      <c r="F213" s="38">
        <f>COUNTA(M213,O213,Q213)</f>
        <v>3</v>
      </c>
      <c r="G213" s="38">
        <f>COUNTA(Table1[[#This Row],[A ASEO]])</f>
        <v>0</v>
      </c>
      <c r="H213" s="1">
        <f>SUM(J213,L213,N213,P213,R213,T213,V213,X213,Z213,AB213,AD213,AF213,AH213)</f>
        <v>208.56700000000001</v>
      </c>
      <c r="I213" s="1">
        <v>26.3</v>
      </c>
      <c r="J213" s="1">
        <f>I213*1.34</f>
        <v>35.242000000000004</v>
      </c>
      <c r="K213" s="1">
        <v>10.5</v>
      </c>
      <c r="L213" s="1">
        <f>K213*1.34</f>
        <v>14.07</v>
      </c>
      <c r="M213" s="1">
        <v>6.8</v>
      </c>
      <c r="N213" s="1">
        <f>M213*2.36</f>
        <v>16.047999999999998</v>
      </c>
      <c r="O213" s="1">
        <v>3.8</v>
      </c>
      <c r="P213" s="1">
        <f>O213*2.36</f>
        <v>8.968</v>
      </c>
      <c r="Q213" s="1">
        <v>3.1</v>
      </c>
      <c r="R213" s="1">
        <f>Q213*2.36</f>
        <v>7.3159999999999998</v>
      </c>
      <c r="S213" s="1"/>
      <c r="T213" s="1"/>
      <c r="U213" s="1">
        <v>16.100000000000001</v>
      </c>
      <c r="V213" s="1">
        <f>U213*1.34</f>
        <v>21.574000000000002</v>
      </c>
      <c r="W213" s="1">
        <v>12.3</v>
      </c>
      <c r="X213" s="1">
        <f>W213*1.34</f>
        <v>16.482000000000003</v>
      </c>
      <c r="Y213" s="1">
        <v>12</v>
      </c>
      <c r="Z213" s="1">
        <f>Y213*1.34</f>
        <v>16.080000000000002</v>
      </c>
      <c r="AA213" s="1">
        <v>11.3</v>
      </c>
      <c r="AB213" s="1">
        <f>AA213*1.34</f>
        <v>15.142000000000001</v>
      </c>
      <c r="AC213" s="1">
        <v>2.7</v>
      </c>
      <c r="AD213" s="1">
        <f>AC213*2.75</f>
        <v>7.4250000000000007</v>
      </c>
      <c r="AE213" s="1">
        <v>14.4</v>
      </c>
      <c r="AF213" s="1">
        <f>AE213*2.75</f>
        <v>39.6</v>
      </c>
      <c r="AG213" s="1">
        <v>4.5</v>
      </c>
      <c r="AH213" s="1">
        <f>AG213*2.36</f>
        <v>10.62</v>
      </c>
      <c r="AI213" s="39">
        <v>104.6</v>
      </c>
      <c r="AJ213" s="39">
        <f>AI213*0.6</f>
        <v>62.759999999999991</v>
      </c>
      <c r="AK213" s="34"/>
      <c r="AL213" s="27">
        <f>SUM(I213,U213,W213,Y213,AA213,AC213,AE213,AG213)</f>
        <v>99.600000000000009</v>
      </c>
      <c r="AM213" s="27">
        <f>SUM(K213,M213,O213,Q213,S213)</f>
        <v>24.200000000000003</v>
      </c>
      <c r="AN213" s="27">
        <f>SUM(J213,V213,X213,Z213,AB213,AD213,AF213,AH213)</f>
        <v>162.16499999999999</v>
      </c>
      <c r="AO213" s="27">
        <f>SUM(L213,N213,P213,R213,T213)</f>
        <v>46.402000000000001</v>
      </c>
      <c r="AP213" s="30">
        <f>SUM(AG213,AE213,AC213,AA213,Y213,W213,U213,I213)/D213</f>
        <v>0.80452342487883688</v>
      </c>
      <c r="AQ213" s="30">
        <f>SUM(K213,M213,O213,Q213,S213)/D213</f>
        <v>0.1954765751211632</v>
      </c>
      <c r="AR213" s="30">
        <f>D213/H213</f>
        <v>0.59357424712442519</v>
      </c>
      <c r="AS213" s="30">
        <f>AL213/AN213</f>
        <v>0.61418925168809557</v>
      </c>
      <c r="AT213" s="30">
        <f>AM213/AO213</f>
        <v>0.52152924442911952</v>
      </c>
      <c r="AU213" s="35">
        <f>(((H213/2) - SQRT((H213/2)^2 - 4 * D213)) / 2)</f>
        <v>1.2009795595904862</v>
      </c>
      <c r="AV213" s="27">
        <f>(((H213/2) + SQRT((H213/2)^2 - 4 * D213)) / 2)</f>
        <v>103.08252044040952</v>
      </c>
      <c r="AW213" s="27">
        <f>AU213*2.7*2+AV213*2.7*2</f>
        <v>563.13090000000011</v>
      </c>
      <c r="AX213" s="30">
        <f>AW213/D213</f>
        <v>4.548714862681746</v>
      </c>
      <c r="AY213" s="30"/>
    </row>
    <row r="214" spans="2:51" x14ac:dyDescent="0.25">
      <c r="B214" s="36" t="s">
        <v>62</v>
      </c>
      <c r="C214" t="s">
        <v>131</v>
      </c>
      <c r="D214" s="37">
        <f>SUM(I214,K214,M214,O214,Q214,S214,U214,W214,Y214,AA214,AC214,AE214,AG214)</f>
        <v>117.60000000000001</v>
      </c>
      <c r="E214" s="38">
        <f>COUNTA(U214,W214,Y214,AA214)</f>
        <v>4</v>
      </c>
      <c r="F214" s="38">
        <f>COUNTA(M214,O214,Q214)</f>
        <v>2</v>
      </c>
      <c r="G214" s="38">
        <f>COUNTA(Table1[[#This Row],[A ASEO]])</f>
        <v>1</v>
      </c>
      <c r="H214" s="1">
        <f>SUM(J214,L214,N214,P214,R214,T214,V214,X214,Z214,AB214,AD214,AF214,AH214)</f>
        <v>184.61100000000002</v>
      </c>
      <c r="I214" s="1">
        <v>29.3</v>
      </c>
      <c r="J214" s="1">
        <f>I214*1.34</f>
        <v>39.262</v>
      </c>
      <c r="K214" s="1">
        <v>11.2</v>
      </c>
      <c r="L214" s="1">
        <f>K214*1.34</f>
        <v>15.007999999999999</v>
      </c>
      <c r="M214" s="1">
        <v>4.8</v>
      </c>
      <c r="N214" s="1">
        <f>M214*2.36</f>
        <v>11.327999999999999</v>
      </c>
      <c r="O214" s="1">
        <v>3.6</v>
      </c>
      <c r="P214" s="1">
        <f>O214*2.36</f>
        <v>8.4960000000000004</v>
      </c>
      <c r="Q214" s="1"/>
      <c r="R214" s="1"/>
      <c r="S214" s="1">
        <v>2.2000000000000002</v>
      </c>
      <c r="T214" s="1">
        <f>S214*2.36</f>
        <v>5.1920000000000002</v>
      </c>
      <c r="U214" s="1">
        <v>22.8</v>
      </c>
      <c r="V214" s="1">
        <f>U214*1.34</f>
        <v>30.552000000000003</v>
      </c>
      <c r="W214" s="1">
        <v>11.1</v>
      </c>
      <c r="X214" s="1">
        <f>W214*1.34</f>
        <v>14.874000000000001</v>
      </c>
      <c r="Y214" s="1">
        <v>10.7</v>
      </c>
      <c r="Z214" s="1">
        <f>Y214*1.34</f>
        <v>14.337999999999999</v>
      </c>
      <c r="AA214" s="1">
        <v>10.4</v>
      </c>
      <c r="AB214" s="1">
        <f>AA214*1.34</f>
        <v>13.936000000000002</v>
      </c>
      <c r="AC214" s="1">
        <v>5.7</v>
      </c>
      <c r="AD214" s="1">
        <f>AC214*2.75</f>
        <v>15.675000000000001</v>
      </c>
      <c r="AE214" s="1">
        <v>5.8</v>
      </c>
      <c r="AF214" s="1">
        <f>AE214*2.75</f>
        <v>15.95</v>
      </c>
      <c r="AG214" s="1"/>
      <c r="AH214" s="1"/>
      <c r="AI214" s="39">
        <f>10.8+2.9</f>
        <v>13.700000000000001</v>
      </c>
      <c r="AJ214" s="39">
        <f>AI214*0.6</f>
        <v>8.2200000000000006</v>
      </c>
      <c r="AK214" s="34"/>
      <c r="AL214" s="27">
        <f>SUM(I214,U214,W214,Y214,AA214,AC214,AE214,AG214)</f>
        <v>95.800000000000011</v>
      </c>
      <c r="AM214" s="27">
        <f>SUM(K214,M214,O214,Q214,S214)</f>
        <v>21.8</v>
      </c>
      <c r="AN214" s="27">
        <f>SUM(J214,V214,X214,Z214,AB214,AD214,AF214,AH214)</f>
        <v>144.58699999999999</v>
      </c>
      <c r="AO214" s="27">
        <f>SUM(L214,N214,P214,R214,T214)</f>
        <v>40.024000000000001</v>
      </c>
      <c r="AP214" s="30">
        <f>SUM(AG214,AE214,AC214,AA214,Y214,W214,U214,I214)/D214</f>
        <v>0.81462585034013602</v>
      </c>
      <c r="AQ214" s="30">
        <f>SUM(K214,M214,O214,Q214,S214)/D214</f>
        <v>0.18537414965986393</v>
      </c>
      <c r="AR214" s="30">
        <f>D214/H214</f>
        <v>0.63701512910931635</v>
      </c>
      <c r="AS214" s="30">
        <f>AL214/AN214</f>
        <v>0.66257685684051826</v>
      </c>
      <c r="AT214" s="30">
        <f>AM214/AO214</f>
        <v>0.54467319608235054</v>
      </c>
      <c r="AU214" s="35">
        <f>(((H214/2) - SQRT((H214/2)^2 - 4 * D214)) / 2)</f>
        <v>1.2921176754049739</v>
      </c>
      <c r="AV214" s="27">
        <f>(((H214/2) + SQRT((H214/2)^2 - 4 * D214)) / 2)</f>
        <v>91.013382324595028</v>
      </c>
      <c r="AW214" s="27">
        <f>AU214*2.7*2+AV214*2.7*2</f>
        <v>498.44970000000001</v>
      </c>
      <c r="AX214" s="30">
        <f>AW214/D214</f>
        <v>4.238517857142857</v>
      </c>
      <c r="AY214" s="30"/>
    </row>
    <row r="215" spans="2:51" x14ac:dyDescent="0.25">
      <c r="B215" s="36" t="s">
        <v>62</v>
      </c>
      <c r="C215" t="s">
        <v>63</v>
      </c>
      <c r="D215" s="37">
        <f>SUM(I215,K215,M215,O215,Q215,S215,U215,W215,Y215,AA215,AC215,AE215,AG215)</f>
        <v>135.25</v>
      </c>
      <c r="E215" s="38">
        <f>COUNTA(U215,W215,Y215,AA215)</f>
        <v>4</v>
      </c>
      <c r="F215" s="38">
        <f>COUNTA(M215,O215,Q215)</f>
        <v>3</v>
      </c>
      <c r="G215" s="38">
        <f>COUNTA(Table1[[#This Row],[A ASEO]])</f>
        <v>0</v>
      </c>
      <c r="H215" s="1">
        <f>SUM(J215,L215,N215,P215,R215,T215,V215,X215,Z215,AB215,AD215,AF215,AH215)</f>
        <v>213.2612</v>
      </c>
      <c r="I215" s="1">
        <v>36.92</v>
      </c>
      <c r="J215" s="1">
        <f>I215*1.34</f>
        <v>49.472800000000007</v>
      </c>
      <c r="K215" s="1">
        <v>12.46</v>
      </c>
      <c r="L215" s="1">
        <f>K215*1.34</f>
        <v>16.696400000000001</v>
      </c>
      <c r="M215" s="1">
        <v>4.2</v>
      </c>
      <c r="N215" s="1">
        <f>M215*2.36</f>
        <v>9.911999999999999</v>
      </c>
      <c r="O215" s="1">
        <v>4.08</v>
      </c>
      <c r="P215" s="1">
        <f>O215*2.36</f>
        <v>9.6288</v>
      </c>
      <c r="Q215" s="1">
        <v>2.77</v>
      </c>
      <c r="R215" s="1">
        <f>Q215*2.36</f>
        <v>6.5371999999999995</v>
      </c>
      <c r="S215" s="1"/>
      <c r="T215" s="1"/>
      <c r="U215" s="1">
        <f>18.53+3.11</f>
        <v>21.64</v>
      </c>
      <c r="V215" s="1">
        <f>U215*1.34</f>
        <v>28.997600000000002</v>
      </c>
      <c r="W215" s="1">
        <v>12.96</v>
      </c>
      <c r="X215" s="1">
        <f>W215*1.34</f>
        <v>17.366400000000002</v>
      </c>
      <c r="Y215" s="1">
        <v>12.95</v>
      </c>
      <c r="Z215" s="1">
        <f>Y215*1.34</f>
        <v>17.353000000000002</v>
      </c>
      <c r="AA215" s="1">
        <v>12.55</v>
      </c>
      <c r="AB215" s="1">
        <f>AA215*1.34</f>
        <v>16.817000000000004</v>
      </c>
      <c r="AC215" s="1">
        <v>7.72</v>
      </c>
      <c r="AD215" s="1">
        <f>AC215*2.75</f>
        <v>21.23</v>
      </c>
      <c r="AE215" s="1">
        <v>7</v>
      </c>
      <c r="AF215" s="1">
        <f>AE215*2.75</f>
        <v>19.25</v>
      </c>
      <c r="AG215" s="1"/>
      <c r="AH215" s="1"/>
      <c r="AI215" s="39">
        <f>23.41+4.87</f>
        <v>28.28</v>
      </c>
      <c r="AJ215" s="39">
        <f>AI215*0.6</f>
        <v>16.968</v>
      </c>
      <c r="AK215" s="34"/>
      <c r="AL215" s="27">
        <f>SUM(I215,U215,W215,Y215,AA215,AC215,AE215,AG215)</f>
        <v>111.74000000000001</v>
      </c>
      <c r="AM215" s="27">
        <f>SUM(K215,M215,O215,Q215,S215)</f>
        <v>23.51</v>
      </c>
      <c r="AN215" s="27">
        <f>SUM(J215,V215,X215,Z215,AB215,AD215,AF215,AH215)</f>
        <v>170.48680000000002</v>
      </c>
      <c r="AO215" s="27">
        <f>SUM(L215,N215,P215,R215,T215)</f>
        <v>42.7744</v>
      </c>
      <c r="AP215" s="30">
        <f>SUM(AG215,AE215,AC215,AA215,Y215,W215,U215,I215)/D215</f>
        <v>0.82617375231053602</v>
      </c>
      <c r="AQ215" s="30">
        <f>SUM(K215,M215,O215,Q215,S215)/D215</f>
        <v>0.17382624768946398</v>
      </c>
      <c r="AR215" s="30">
        <f>D215/H215</f>
        <v>0.6341988134738058</v>
      </c>
      <c r="AS215" s="30">
        <f>AL215/AN215</f>
        <v>0.65541731090031607</v>
      </c>
      <c r="AT215" s="30">
        <f>AM215/AO215</f>
        <v>0.54962781476771161</v>
      </c>
      <c r="AU215" s="35">
        <f>(((H215/2) - SQRT((H215/2)^2 - 4 * D215)) / 2)</f>
        <v>1.2838555256246948</v>
      </c>
      <c r="AV215" s="27">
        <f>(((H215/2) + SQRT((H215/2)^2 - 4 * D215)) / 2)</f>
        <v>105.3467444743753</v>
      </c>
      <c r="AW215" s="27">
        <f>AU215*2.7*2+AV215*2.7*2</f>
        <v>575.80524000000003</v>
      </c>
      <c r="AX215" s="30">
        <f>AW215/D215</f>
        <v>4.2573400369685768</v>
      </c>
      <c r="AY215" s="30"/>
    </row>
    <row r="216" spans="2:51" x14ac:dyDescent="0.25">
      <c r="B216" s="36" t="s">
        <v>62</v>
      </c>
      <c r="C216" t="s">
        <v>63</v>
      </c>
      <c r="D216" s="37">
        <f>SUM(I216,K216,M216,O216,Q216,S216,U216,W216,Y216,AA216,AC216,AE216,AG216)</f>
        <v>109.12</v>
      </c>
      <c r="E216" s="38">
        <f>COUNTA(U216,W216,Y216,AA216)</f>
        <v>4</v>
      </c>
      <c r="F216" s="38">
        <f>COUNTA(M216,O216,Q216)</f>
        <v>3</v>
      </c>
      <c r="G216" s="38">
        <f>COUNTA(Table1[[#This Row],[A ASEO]])</f>
        <v>0</v>
      </c>
      <c r="H216" s="1">
        <f>SUM(J216,L216,N216,P216,R216,T216,V216,X216,Z216,AB216,AD216,AF216,AH216)</f>
        <v>173.19170000000003</v>
      </c>
      <c r="I216" s="1">
        <v>28.51</v>
      </c>
      <c r="J216" s="1">
        <f>I216*1.34</f>
        <v>38.203400000000002</v>
      </c>
      <c r="K216" s="1">
        <v>11.09</v>
      </c>
      <c r="L216" s="1">
        <f>K216*1.34</f>
        <v>14.8606</v>
      </c>
      <c r="M216" s="1">
        <v>4.91</v>
      </c>
      <c r="N216" s="1">
        <f>M216*2.36</f>
        <v>11.5876</v>
      </c>
      <c r="O216" s="1">
        <v>3.97</v>
      </c>
      <c r="P216" s="1">
        <f>O216*2.36</f>
        <v>9.3691999999999993</v>
      </c>
      <c r="Q216" s="1">
        <v>3.78</v>
      </c>
      <c r="R216" s="1">
        <f>Q216*2.36</f>
        <v>8.9207999999999998</v>
      </c>
      <c r="S216" s="1"/>
      <c r="T216" s="1"/>
      <c r="U216" s="1">
        <f>13.34+3.36</f>
        <v>16.7</v>
      </c>
      <c r="V216" s="1">
        <f>U216*1.34</f>
        <v>22.378</v>
      </c>
      <c r="W216" s="1">
        <v>11.14</v>
      </c>
      <c r="X216" s="1">
        <f>W216*1.34</f>
        <v>14.927600000000002</v>
      </c>
      <c r="Y216" s="1">
        <v>10.11</v>
      </c>
      <c r="Z216" s="1">
        <f>Y216*1.34</f>
        <v>13.5474</v>
      </c>
      <c r="AA216" s="1">
        <v>8.94</v>
      </c>
      <c r="AB216" s="1">
        <f>AA216*1.34</f>
        <v>11.9796</v>
      </c>
      <c r="AC216" s="1">
        <v>4.8600000000000003</v>
      </c>
      <c r="AD216" s="1">
        <f>AC216*2.75</f>
        <v>13.365</v>
      </c>
      <c r="AE216" s="1">
        <v>5.1100000000000003</v>
      </c>
      <c r="AF216" s="1">
        <f>AE216*2.75</f>
        <v>14.0525</v>
      </c>
      <c r="AG216" s="1"/>
      <c r="AH216" s="1"/>
      <c r="AI216" s="39">
        <f>12.78+2.92</f>
        <v>15.7</v>
      </c>
      <c r="AJ216" s="39">
        <f>AI216*0.6</f>
        <v>9.42</v>
      </c>
      <c r="AK216" s="34"/>
      <c r="AL216" s="27">
        <f>SUM(I216,U216,W216,Y216,AA216,AC216,AE216,AG216)</f>
        <v>85.37</v>
      </c>
      <c r="AM216" s="27">
        <f>SUM(K216,M216,O216,Q216,S216)</f>
        <v>23.75</v>
      </c>
      <c r="AN216" s="27">
        <f>SUM(J216,V216,X216,Z216,AB216,AD216,AF216,AH216)</f>
        <v>128.45349999999999</v>
      </c>
      <c r="AO216" s="27">
        <f>SUM(L216,N216,P216,R216,T216)</f>
        <v>44.738199999999999</v>
      </c>
      <c r="AP216" s="30">
        <f>SUM(AG216,AE216,AC216,AA216,Y216,W216,U216,I216)/D216</f>
        <v>0.78234970674486803</v>
      </c>
      <c r="AQ216" s="30">
        <f>SUM(K216,M216,O216,Q216,S216)/D216</f>
        <v>0.21765029325513197</v>
      </c>
      <c r="AR216" s="30">
        <f>D216/H216</f>
        <v>0.63005328777302827</v>
      </c>
      <c r="AS216" s="30">
        <f>AL216/AN216</f>
        <v>0.66459847337752576</v>
      </c>
      <c r="AT216" s="30">
        <f>AM216/AO216</f>
        <v>0.53086623958943369</v>
      </c>
      <c r="AU216" s="35">
        <f>(((H216/2) - SQRT((H216/2)^2 - 4 * D216)) / 2)</f>
        <v>1.2789970114657763</v>
      </c>
      <c r="AV216" s="27">
        <f>(((H216/2) + SQRT((H216/2)^2 - 4 * D216)) / 2)</f>
        <v>85.316852988534237</v>
      </c>
      <c r="AW216" s="27">
        <f>AU216*2.7*2+AV216*2.7*2</f>
        <v>467.61759000000006</v>
      </c>
      <c r="AX216" s="30">
        <f>AW216/D216</f>
        <v>4.2853518145161296</v>
      </c>
      <c r="AY216" s="30"/>
    </row>
    <row r="217" spans="2:51" x14ac:dyDescent="0.25">
      <c r="B217" s="36" t="s">
        <v>62</v>
      </c>
      <c r="C217" t="s">
        <v>131</v>
      </c>
      <c r="D217" s="37">
        <f>SUM(I217,K217,M217,O217,Q217,S217,U217,W217,Y217,AA217,AC217,AE217,AG217)</f>
        <v>123.4</v>
      </c>
      <c r="E217" s="38">
        <f>COUNTA(U217,W217,Y217,AA217)</f>
        <v>4</v>
      </c>
      <c r="F217" s="38">
        <f>COUNTA(M217,O217,Q217)</f>
        <v>3</v>
      </c>
      <c r="G217" s="38">
        <f>COUNTA(Table1[[#This Row],[A ASEO]])</f>
        <v>0</v>
      </c>
      <c r="H217" s="1">
        <f>SUM(J217,L217,N217,P217,R217,T217,V217,X217,Z217,AB217,AD217,AF217,AH217)</f>
        <v>198.965</v>
      </c>
      <c r="I217" s="1">
        <v>33.299999999999997</v>
      </c>
      <c r="J217" s="1">
        <f>I217*1.34</f>
        <v>44.622</v>
      </c>
      <c r="K217" s="1">
        <v>13.6</v>
      </c>
      <c r="L217" s="1">
        <f>K217*1.34</f>
        <v>18.224</v>
      </c>
      <c r="M217" s="1">
        <v>4.7</v>
      </c>
      <c r="N217" s="1">
        <f>M217*2.36</f>
        <v>11.092000000000001</v>
      </c>
      <c r="O217" s="1">
        <v>3.8</v>
      </c>
      <c r="P217" s="1">
        <f>O217*2.36</f>
        <v>8.968</v>
      </c>
      <c r="Q217" s="1">
        <v>3.3</v>
      </c>
      <c r="R217" s="1">
        <f>Q217*2.36</f>
        <v>7.7879999999999994</v>
      </c>
      <c r="S217" s="1"/>
      <c r="T217" s="1"/>
      <c r="U217" s="1">
        <v>18.7</v>
      </c>
      <c r="V217" s="1">
        <f>U217*1.34</f>
        <v>25.058</v>
      </c>
      <c r="W217" s="1">
        <v>10.5</v>
      </c>
      <c r="X217" s="1">
        <f>W217*1.34</f>
        <v>14.07</v>
      </c>
      <c r="Y217" s="1">
        <v>10.199999999999999</v>
      </c>
      <c r="Z217" s="1">
        <f>Y217*1.34</f>
        <v>13.667999999999999</v>
      </c>
      <c r="AA217" s="1">
        <v>10</v>
      </c>
      <c r="AB217" s="1">
        <f>AA217*1.34</f>
        <v>13.4</v>
      </c>
      <c r="AC217" s="1">
        <v>5.9</v>
      </c>
      <c r="AD217" s="1">
        <f>AC217*2.75</f>
        <v>16.225000000000001</v>
      </c>
      <c r="AE217" s="1">
        <v>9.4</v>
      </c>
      <c r="AF217" s="1">
        <f>AE217*2.75</f>
        <v>25.85</v>
      </c>
      <c r="AG217" s="1"/>
      <c r="AH217" s="1"/>
      <c r="AI217" s="39">
        <f>76.4+44.9+11.7+3.3</f>
        <v>136.30000000000001</v>
      </c>
      <c r="AJ217" s="39">
        <f>AI217*0.6</f>
        <v>81.78</v>
      </c>
      <c r="AK217" s="34"/>
      <c r="AL217" s="27">
        <f>SUM(I217,U217,W217,Y217,AA217,AC217,AE217,AG217)</f>
        <v>98.000000000000014</v>
      </c>
      <c r="AM217" s="27">
        <f>SUM(K217,M217,O217,Q217,S217)</f>
        <v>25.400000000000002</v>
      </c>
      <c r="AN217" s="27">
        <f>SUM(J217,V217,X217,Z217,AB217,AD217,AF217,AH217)</f>
        <v>152.893</v>
      </c>
      <c r="AO217" s="27">
        <f>SUM(L217,N217,P217,R217,T217)</f>
        <v>46.072000000000003</v>
      </c>
      <c r="AP217" s="30">
        <f>SUM(AG217,AE217,AC217,AA217,Y217,W217,U217,I217)/D217</f>
        <v>0.79416531604538088</v>
      </c>
      <c r="AQ217" s="30">
        <f>SUM(K217,M217,O217,Q217,S217)/D217</f>
        <v>0.20583468395461912</v>
      </c>
      <c r="AR217" s="30">
        <f>D217/H217</f>
        <v>0.62020958460030662</v>
      </c>
      <c r="AS217" s="30">
        <f>AL217/AN217</f>
        <v>0.64097113667728423</v>
      </c>
      <c r="AT217" s="30">
        <f>AM217/AO217</f>
        <v>0.55131099149157836</v>
      </c>
      <c r="AU217" s="35">
        <f>(((H217/2) - SQRT((H217/2)^2 - 4 * D217)) / 2)</f>
        <v>1.2562837572304844</v>
      </c>
      <c r="AV217" s="27">
        <f>(((H217/2) + SQRT((H217/2)^2 - 4 * D217)) / 2)</f>
        <v>98.22621624276951</v>
      </c>
      <c r="AW217" s="27">
        <f>AU217*2.7*2+AV217*2.7*2</f>
        <v>537.20550000000003</v>
      </c>
      <c r="AX217" s="30">
        <f>AW217/D217</f>
        <v>4.353367098865478</v>
      </c>
      <c r="AY217" s="30"/>
    </row>
    <row r="218" spans="2:51" x14ac:dyDescent="0.25">
      <c r="B218" s="36" t="s">
        <v>72</v>
      </c>
      <c r="C218" t="s">
        <v>73</v>
      </c>
      <c r="D218" s="37">
        <f>SUM(I218,K218,M218,O218,Q218,S218,U218,W218,Y218,AA218,AC218,AE218,AG218)</f>
        <v>85.5</v>
      </c>
      <c r="E218" s="38">
        <f>COUNTA(U218,W218,Y218,AA218)</f>
        <v>4</v>
      </c>
      <c r="F218" s="38">
        <f>COUNTA(M218,O218,Q218)</f>
        <v>1</v>
      </c>
      <c r="G218" s="38">
        <f>COUNTA(Table1[[#This Row],[A ASEO]])</f>
        <v>0</v>
      </c>
      <c r="H218" s="1">
        <f>SUM(J218,L218,N218,P218,R218,T218,V218,X218,Z218,AB218,AD218,AF218,AH218)</f>
        <v>124.00049999999999</v>
      </c>
      <c r="I218" s="1">
        <v>24.15</v>
      </c>
      <c r="J218" s="1">
        <f>I218*1.34</f>
        <v>32.360999999999997</v>
      </c>
      <c r="K218" s="1">
        <v>10.050000000000001</v>
      </c>
      <c r="L218" s="1">
        <f>K218*1.34</f>
        <v>13.467000000000002</v>
      </c>
      <c r="M218" s="1">
        <v>4.2</v>
      </c>
      <c r="N218" s="1">
        <f>M218*2.36</f>
        <v>9.911999999999999</v>
      </c>
      <c r="O218" s="1"/>
      <c r="P218" s="1"/>
      <c r="Q218" s="1"/>
      <c r="R218" s="1"/>
      <c r="S218" s="1"/>
      <c r="T218" s="1"/>
      <c r="U218" s="1">
        <v>14.75</v>
      </c>
      <c r="V218" s="1">
        <f>U218*1.34</f>
        <v>19.765000000000001</v>
      </c>
      <c r="W218" s="1">
        <v>11.35</v>
      </c>
      <c r="X218" s="1">
        <f>W218*1.34</f>
        <v>15.209</v>
      </c>
      <c r="Y218" s="1">
        <v>10.35</v>
      </c>
      <c r="Z218" s="1">
        <f>Y218*1.34</f>
        <v>13.869</v>
      </c>
      <c r="AA218" s="1">
        <v>7</v>
      </c>
      <c r="AB218" s="1">
        <f>AA218*1.34</f>
        <v>9.3800000000000008</v>
      </c>
      <c r="AC218" s="1">
        <v>3.65</v>
      </c>
      <c r="AD218" s="1">
        <f>AC218*2.75</f>
        <v>10.0375</v>
      </c>
      <c r="AE218" s="1"/>
      <c r="AF218" s="1"/>
      <c r="AG218" s="1"/>
      <c r="AH218" s="1"/>
      <c r="AI218" s="39">
        <v>13.3</v>
      </c>
      <c r="AJ218" s="39">
        <f>AI218*0.6</f>
        <v>7.98</v>
      </c>
      <c r="AK218" s="34"/>
      <c r="AL218" s="27">
        <f>SUM(I218,U218,W218,Y218,AA218,AC218,AE218,AG218)</f>
        <v>71.25</v>
      </c>
      <c r="AM218" s="27">
        <f>SUM(K218,M218,O218,Q218,S218)</f>
        <v>14.25</v>
      </c>
      <c r="AN218" s="27">
        <f>SUM(J218,V218,X218,Z218,AB218,AD218,AF218,AH218)</f>
        <v>100.62149999999998</v>
      </c>
      <c r="AO218" s="27">
        <f>SUM(L218,N218,P218,R218,T218)</f>
        <v>23.379000000000001</v>
      </c>
      <c r="AP218" s="30">
        <f>SUM(AG218,AE218,AC218,AA218,Y218,W218,U218,I218)/D218</f>
        <v>0.83333333333333337</v>
      </c>
      <c r="AQ218" s="30">
        <f>SUM(K218,M218,O218,Q218,S218)/D218</f>
        <v>0.16666666666666666</v>
      </c>
      <c r="AR218" s="30">
        <f>D218/H218</f>
        <v>0.68951334873649706</v>
      </c>
      <c r="AS218" s="30">
        <f>AL218/AN218</f>
        <v>0.70809916369761938</v>
      </c>
      <c r="AT218" s="30">
        <f>AM218/AO218</f>
        <v>0.60952136532785828</v>
      </c>
      <c r="AU218" s="35">
        <f>(((H218/2) - SQRT((H218/2)^2 - 4 * D218)) / 2)</f>
        <v>1.4111447875015486</v>
      </c>
      <c r="AV218" s="27">
        <f>(((H218/2) + SQRT((H218/2)^2 - 4 * D218)) / 2)</f>
        <v>60.589105212498445</v>
      </c>
      <c r="AW218" s="27">
        <f>AU218*2.7*2+AV218*2.7*2</f>
        <v>334.80135000000001</v>
      </c>
      <c r="AX218" s="30">
        <f>AW218/D218</f>
        <v>3.9158052631578948</v>
      </c>
      <c r="AY218" s="30"/>
    </row>
    <row r="219" spans="2:51" x14ac:dyDescent="0.25">
      <c r="B219" s="36" t="s">
        <v>72</v>
      </c>
      <c r="C219" t="s">
        <v>73</v>
      </c>
      <c r="D219" s="37">
        <f>SUM(I219,K219,M219,O219,Q219,S219,U219,W219,Y219,AA219,AC219,AE219,AG219)</f>
        <v>114.00000000000001</v>
      </c>
      <c r="E219" s="38">
        <f>COUNTA(U219,W219,Y219,AA219)</f>
        <v>4</v>
      </c>
      <c r="F219" s="38">
        <f>COUNTA(M219,O219,Q219)</f>
        <v>2</v>
      </c>
      <c r="G219" s="38">
        <f>COUNTA(Table1[[#This Row],[A ASEO]])</f>
        <v>0</v>
      </c>
      <c r="H219" s="1">
        <f>SUM(J219,L219,N219,P219,R219,T219,V219,X219,Z219,AB219,AD219,AF219,AH219)</f>
        <v>179.63399999999999</v>
      </c>
      <c r="I219" s="1">
        <v>32.9</v>
      </c>
      <c r="J219" s="1">
        <f>I219*1.34</f>
        <v>44.085999999999999</v>
      </c>
      <c r="K219" s="1">
        <v>12.7</v>
      </c>
      <c r="L219" s="1">
        <f>K219*1.34</f>
        <v>17.018000000000001</v>
      </c>
      <c r="M219" s="1">
        <v>4.2</v>
      </c>
      <c r="N219" s="1">
        <f>M219*2.36</f>
        <v>9.911999999999999</v>
      </c>
      <c r="O219" s="1">
        <v>3.9</v>
      </c>
      <c r="P219" s="1">
        <f>O219*2.36</f>
        <v>9.2039999999999988</v>
      </c>
      <c r="Q219" s="1"/>
      <c r="R219" s="1"/>
      <c r="S219" s="1"/>
      <c r="T219" s="1"/>
      <c r="U219" s="1">
        <v>16.850000000000001</v>
      </c>
      <c r="V219" s="1">
        <f>U219*1.34</f>
        <v>22.579000000000004</v>
      </c>
      <c r="W219" s="1">
        <v>10.65</v>
      </c>
      <c r="X219" s="1">
        <f>W219*1.34</f>
        <v>14.271000000000001</v>
      </c>
      <c r="Y219" s="1">
        <v>10.4</v>
      </c>
      <c r="Z219" s="1">
        <f>Y219*1.34</f>
        <v>13.936000000000002</v>
      </c>
      <c r="AA219" s="1">
        <v>9.1999999999999993</v>
      </c>
      <c r="AB219" s="1">
        <f>AA219*1.34</f>
        <v>12.327999999999999</v>
      </c>
      <c r="AC219" s="1">
        <v>6.9</v>
      </c>
      <c r="AD219" s="1">
        <f>AC219*2.75</f>
        <v>18.975000000000001</v>
      </c>
      <c r="AE219" s="1">
        <v>6.3</v>
      </c>
      <c r="AF219" s="1">
        <f>AE219*2.75</f>
        <v>17.324999999999999</v>
      </c>
      <c r="AG219" s="1"/>
      <c r="AH219" s="1"/>
      <c r="AI219" s="39">
        <v>19.3</v>
      </c>
      <c r="AJ219" s="39">
        <f>AI219*0.6</f>
        <v>11.58</v>
      </c>
      <c r="AK219" s="34"/>
      <c r="AL219" s="27">
        <f>SUM(I219,U219,W219,Y219,AA219,AC219,AE219,AG219)</f>
        <v>93.2</v>
      </c>
      <c r="AM219" s="27">
        <f>SUM(K219,M219,O219,Q219,S219)</f>
        <v>20.799999999999997</v>
      </c>
      <c r="AN219" s="27">
        <f>SUM(J219,V219,X219,Z219,AB219,AD219,AF219,AH219)</f>
        <v>143.5</v>
      </c>
      <c r="AO219" s="27">
        <f>SUM(L219,N219,P219,R219,T219)</f>
        <v>36.134</v>
      </c>
      <c r="AP219" s="30">
        <f>SUM(AG219,AE219,AC219,AA219,Y219,W219,U219,I219)/D219</f>
        <v>0.81754385964912257</v>
      </c>
      <c r="AQ219" s="30">
        <f>SUM(K219,M219,O219,Q219,S219)/D219</f>
        <v>0.18245614035087715</v>
      </c>
      <c r="AR219" s="30">
        <f>D219/H219</f>
        <v>0.63462373492768642</v>
      </c>
      <c r="AS219" s="30">
        <f>AL219/AN219</f>
        <v>0.64947735191637634</v>
      </c>
      <c r="AT219" s="30">
        <f>AM219/AO219</f>
        <v>0.57563513588310167</v>
      </c>
      <c r="AU219" s="35">
        <f>(((H219/2) - SQRT((H219/2)^2 - 4 * D219)) / 2)</f>
        <v>1.2877094036570682</v>
      </c>
      <c r="AV219" s="27">
        <f>(((H219/2) + SQRT((H219/2)^2 - 4 * D219)) / 2)</f>
        <v>88.529290596342918</v>
      </c>
      <c r="AW219" s="27">
        <f>AU219*2.7*2+AV219*2.7*2</f>
        <v>485.01179999999994</v>
      </c>
      <c r="AX219" s="30">
        <f>AW219/D219</f>
        <v>4.2544894736842096</v>
      </c>
      <c r="AY219" s="30"/>
    </row>
    <row r="220" spans="2:51" x14ac:dyDescent="0.25">
      <c r="B220" s="36" t="s">
        <v>72</v>
      </c>
      <c r="C220" t="s">
        <v>73</v>
      </c>
      <c r="D220" s="37">
        <f>SUM(I220,K220,M220,O220,Q220,S220,U220,W220,Y220,AA220,AC220,AE220,AG220)</f>
        <v>104.44999999999999</v>
      </c>
      <c r="E220" s="38">
        <f>COUNTA(U220,W220,Y220,AA220)</f>
        <v>4</v>
      </c>
      <c r="F220" s="38">
        <f>COUNTA(M220,O220,Q220)</f>
        <v>2</v>
      </c>
      <c r="G220" s="38">
        <f>COUNTA(Table1[[#This Row],[A ASEO]])</f>
        <v>0</v>
      </c>
      <c r="H220" s="1">
        <f>SUM(J220,L220,N220,P220,R220,T220,V220,X220,Z220,AB220,AD220,AF220,AH220)</f>
        <v>165.97149999999999</v>
      </c>
      <c r="I220" s="1">
        <v>24.5</v>
      </c>
      <c r="J220" s="1">
        <f>I220*1.34</f>
        <v>32.830000000000005</v>
      </c>
      <c r="K220" s="1">
        <v>12.8</v>
      </c>
      <c r="L220" s="1">
        <f>K220*1.34</f>
        <v>17.152000000000001</v>
      </c>
      <c r="M220" s="1">
        <v>4.2</v>
      </c>
      <c r="N220" s="1">
        <f>M220*2.36</f>
        <v>9.911999999999999</v>
      </c>
      <c r="O220" s="1">
        <v>3.95</v>
      </c>
      <c r="P220" s="1">
        <f>O220*2.36</f>
        <v>9.3219999999999992</v>
      </c>
      <c r="Q220" s="1"/>
      <c r="R220" s="1"/>
      <c r="S220" s="1"/>
      <c r="T220" s="1"/>
      <c r="U220" s="1">
        <v>16.649999999999999</v>
      </c>
      <c r="V220" s="1">
        <f>U220*1.34</f>
        <v>22.311</v>
      </c>
      <c r="W220" s="1">
        <v>10.5</v>
      </c>
      <c r="X220" s="1">
        <f>W220*1.34</f>
        <v>14.07</v>
      </c>
      <c r="Y220" s="1">
        <v>10.3</v>
      </c>
      <c r="Z220" s="1">
        <f>Y220*1.34</f>
        <v>13.802000000000001</v>
      </c>
      <c r="AA220" s="1">
        <v>9</v>
      </c>
      <c r="AB220" s="1">
        <f>AA220*1.34</f>
        <v>12.06</v>
      </c>
      <c r="AC220" s="1">
        <v>6.3</v>
      </c>
      <c r="AD220" s="1">
        <f>AC220*2.75</f>
        <v>17.324999999999999</v>
      </c>
      <c r="AE220" s="1">
        <v>6.25</v>
      </c>
      <c r="AF220" s="1">
        <f>AE220*2.75</f>
        <v>17.1875</v>
      </c>
      <c r="AG220" s="1"/>
      <c r="AH220" s="1"/>
      <c r="AI220" s="39">
        <f>94+25.8</f>
        <v>119.8</v>
      </c>
      <c r="AJ220" s="39">
        <f>AI220*0.6</f>
        <v>71.88</v>
      </c>
      <c r="AK220" s="34"/>
      <c r="AL220" s="27">
        <f>SUM(I220,U220,W220,Y220,AA220,AC220,AE220,AG220)</f>
        <v>83.5</v>
      </c>
      <c r="AM220" s="27">
        <f>SUM(K220,M220,O220,Q220,S220)</f>
        <v>20.95</v>
      </c>
      <c r="AN220" s="27">
        <f>SUM(J220,V220,X220,Z220,AB220,AD220,AF220,AH220)</f>
        <v>129.58550000000002</v>
      </c>
      <c r="AO220" s="27">
        <f>SUM(L220,N220,P220,R220,T220)</f>
        <v>36.385999999999996</v>
      </c>
      <c r="AP220" s="30">
        <f>SUM(AG220,AE220,AC220,AA220,Y220,W220,U220,I220)/D220</f>
        <v>0.79942556247008145</v>
      </c>
      <c r="AQ220" s="30">
        <f>SUM(K220,M220,O220,Q220,S220)/D220</f>
        <v>0.20057443752991863</v>
      </c>
      <c r="AR220" s="30">
        <f>D220/H220</f>
        <v>0.62932491421719994</v>
      </c>
      <c r="AS220" s="30">
        <f>AL220/AN220</f>
        <v>0.64436221645168623</v>
      </c>
      <c r="AT220" s="30">
        <f>AM220/AO220</f>
        <v>0.57577090089594907</v>
      </c>
      <c r="AU220" s="35">
        <f>(((H220/2) - SQRT((H220/2)^2 - 4 * D220)) / 2)</f>
        <v>1.278341858788167</v>
      </c>
      <c r="AV220" s="27">
        <f>(((H220/2) + SQRT((H220/2)^2 - 4 * D220)) / 2)</f>
        <v>81.707408141211829</v>
      </c>
      <c r="AW220" s="27">
        <f>AU220*2.7*2+AV220*2.7*2</f>
        <v>448.12304999999998</v>
      </c>
      <c r="AX220" s="30">
        <f>AW220/D220</f>
        <v>4.2903116323599813</v>
      </c>
      <c r="AY220" s="30"/>
    </row>
    <row r="221" spans="2:51" x14ac:dyDescent="0.25">
      <c r="B221" s="36" t="s">
        <v>72</v>
      </c>
      <c r="C221" t="s">
        <v>73</v>
      </c>
      <c r="D221" s="37">
        <f>SUM(I221,K221,M221,O221,Q221,S221,U221,W221,Y221,AA221,AC221,AE221,AG221)</f>
        <v>104</v>
      </c>
      <c r="E221" s="38">
        <f>COUNTA(U221,W221,Y221,AA221)</f>
        <v>4</v>
      </c>
      <c r="F221" s="38">
        <f>COUNTA(M221,O221,Q221)</f>
        <v>2</v>
      </c>
      <c r="G221" s="38">
        <f>COUNTA(Table1[[#This Row],[A ASEO]])</f>
        <v>0</v>
      </c>
      <c r="H221" s="1">
        <f>SUM(J221,L221,N221,P221,R221,T221,V221,X221,Z221,AB221,AD221,AF221,AH221)</f>
        <v>168.0985</v>
      </c>
      <c r="I221" s="1">
        <v>26.85</v>
      </c>
      <c r="J221" s="1">
        <f>I221*1.34</f>
        <v>35.979000000000006</v>
      </c>
      <c r="K221" s="1">
        <v>11.7</v>
      </c>
      <c r="L221" s="1">
        <f>K221*1.34</f>
        <v>15.678000000000001</v>
      </c>
      <c r="M221" s="1">
        <v>4.4000000000000004</v>
      </c>
      <c r="N221" s="1">
        <f>M221*2.36</f>
        <v>10.384</v>
      </c>
      <c r="O221" s="1">
        <v>3.8</v>
      </c>
      <c r="P221" s="1">
        <f>O221*2.36</f>
        <v>8.968</v>
      </c>
      <c r="Q221" s="1"/>
      <c r="R221" s="1"/>
      <c r="S221" s="1"/>
      <c r="T221" s="1"/>
      <c r="U221" s="1">
        <v>14.05</v>
      </c>
      <c r="V221" s="1">
        <f>U221*1.34</f>
        <v>18.827000000000002</v>
      </c>
      <c r="W221" s="1">
        <v>10.45</v>
      </c>
      <c r="X221" s="1">
        <f>W221*1.34</f>
        <v>14.003</v>
      </c>
      <c r="Y221" s="1">
        <v>10.050000000000001</v>
      </c>
      <c r="Z221" s="1">
        <f>Y221*1.34</f>
        <v>13.467000000000002</v>
      </c>
      <c r="AA221" s="1">
        <v>8.25</v>
      </c>
      <c r="AB221" s="1">
        <f>AA221*1.34</f>
        <v>11.055000000000001</v>
      </c>
      <c r="AC221" s="1">
        <v>9.4</v>
      </c>
      <c r="AD221" s="1">
        <f>AC221*2.75</f>
        <v>25.85</v>
      </c>
      <c r="AE221" s="1">
        <v>5.05</v>
      </c>
      <c r="AF221" s="1">
        <f>AE221*2.75</f>
        <v>13.887499999999999</v>
      </c>
      <c r="AG221" s="1"/>
      <c r="AH221" s="1"/>
      <c r="AI221" s="39">
        <v>95</v>
      </c>
      <c r="AJ221" s="39">
        <f>AI221*0.6</f>
        <v>57</v>
      </c>
      <c r="AK221" s="34"/>
      <c r="AL221" s="27">
        <f>SUM(I221,U221,W221,Y221,AA221,AC221,AE221,AG221)</f>
        <v>84.100000000000009</v>
      </c>
      <c r="AM221" s="27">
        <f>SUM(K221,M221,O221,Q221,S221)</f>
        <v>19.900000000000002</v>
      </c>
      <c r="AN221" s="27">
        <f>SUM(J221,V221,X221,Z221,AB221,AD221,AF221,AH221)</f>
        <v>133.0685</v>
      </c>
      <c r="AO221" s="27">
        <f>SUM(L221,N221,P221,R221,T221)</f>
        <v>35.03</v>
      </c>
      <c r="AP221" s="30">
        <f>SUM(AG221,AE221,AC221,AA221,Y221,W221,U221,I221)/D221</f>
        <v>0.80865384615384606</v>
      </c>
      <c r="AQ221" s="30">
        <f>SUM(K221,M221,O221,Q221,S221)/D221</f>
        <v>0.19134615384615386</v>
      </c>
      <c r="AR221" s="30">
        <f>D221/H221</f>
        <v>0.61868487821128682</v>
      </c>
      <c r="AS221" s="30">
        <f>AL221/AN221</f>
        <v>0.6320053205679782</v>
      </c>
      <c r="AT221" s="30">
        <f>AM221/AO221</f>
        <v>0.56808449900085645</v>
      </c>
      <c r="AU221" s="35">
        <f>(((H221/2) - SQRT((H221/2)^2 - 4 * D221)) / 2)</f>
        <v>1.256143223134373</v>
      </c>
      <c r="AV221" s="27">
        <f>(((H221/2) + SQRT((H221/2)^2 - 4 * D221)) / 2)</f>
        <v>82.793106776865628</v>
      </c>
      <c r="AW221" s="27">
        <f>AU221*2.7*2+AV221*2.7*2</f>
        <v>453.86595</v>
      </c>
      <c r="AX221" s="30">
        <f>AW221/D221</f>
        <v>4.3640956730769229</v>
      </c>
      <c r="AY221" s="30"/>
    </row>
    <row r="222" spans="2:51" x14ac:dyDescent="0.25">
      <c r="B222" s="36" t="s">
        <v>95</v>
      </c>
      <c r="C222" t="s">
        <v>96</v>
      </c>
      <c r="D222" s="37">
        <f>SUM(I222,K222,M222,O222,Q222,S222,U222,W222,Y222,AA222,AC222,AE222,AG222)</f>
        <v>114.89</v>
      </c>
      <c r="E222" s="38">
        <f>COUNTA(U222,W222,Y222,AA222)</f>
        <v>4</v>
      </c>
      <c r="F222" s="38">
        <f>COUNTA(M222,O222,Q222)</f>
        <v>2</v>
      </c>
      <c r="G222" s="38">
        <f>COUNTA(Table1[[#This Row],[A ASEO]])</f>
        <v>0</v>
      </c>
      <c r="H222" s="1">
        <f>SUM(J222,L222,N222,P222,R222,T222,V222,X222,Z222,AB222,AD222,AF222,AH222)</f>
        <v>187.99810000000002</v>
      </c>
      <c r="I222" s="1">
        <v>26.29</v>
      </c>
      <c r="J222" s="1">
        <f>I222*1.34</f>
        <v>35.2286</v>
      </c>
      <c r="K222" s="1">
        <v>12.86</v>
      </c>
      <c r="L222" s="1">
        <f>K222*1.34</f>
        <v>17.232400000000002</v>
      </c>
      <c r="M222" s="1">
        <v>4.3600000000000003</v>
      </c>
      <c r="N222" s="1">
        <f>M222*2.36</f>
        <v>10.2896</v>
      </c>
      <c r="O222" s="1">
        <v>4.28</v>
      </c>
      <c r="P222" s="1">
        <f>O222*2.36</f>
        <v>10.1008</v>
      </c>
      <c r="Q222" s="1"/>
      <c r="R222" s="1"/>
      <c r="S222" s="1"/>
      <c r="T222" s="1"/>
      <c r="U222" s="1">
        <v>14.88</v>
      </c>
      <c r="V222" s="1">
        <f>U222*1.34</f>
        <v>19.939200000000003</v>
      </c>
      <c r="W222" s="1">
        <v>12.48</v>
      </c>
      <c r="X222" s="1">
        <f>W222*1.34</f>
        <v>16.723200000000002</v>
      </c>
      <c r="Y222" s="1">
        <v>12.12</v>
      </c>
      <c r="Z222" s="1">
        <f>Y222*1.34</f>
        <v>16.2408</v>
      </c>
      <c r="AA222" s="1">
        <v>9.08</v>
      </c>
      <c r="AB222" s="1">
        <f>AA222*1.34</f>
        <v>12.167200000000001</v>
      </c>
      <c r="AC222" s="1">
        <v>9.43</v>
      </c>
      <c r="AD222" s="1">
        <f>AC222*2.75</f>
        <v>25.932499999999997</v>
      </c>
      <c r="AE222" s="1">
        <v>6.78</v>
      </c>
      <c r="AF222" s="1">
        <f>AE222*2.75</f>
        <v>18.645</v>
      </c>
      <c r="AG222" s="1">
        <v>2.33</v>
      </c>
      <c r="AH222" s="1">
        <f>AG222*2.36</f>
        <v>5.4988000000000001</v>
      </c>
      <c r="AI222" s="39">
        <f>5.46+4.74+2.98</f>
        <v>13.18</v>
      </c>
      <c r="AJ222" s="39">
        <f>AI222*0.6</f>
        <v>7.9079999999999995</v>
      </c>
      <c r="AK222" s="34"/>
      <c r="AL222" s="27">
        <f>SUM(I222,U222,W222,Y222,AA222,AC222,AE222,AG222)</f>
        <v>93.39</v>
      </c>
      <c r="AM222" s="27">
        <f>SUM(K222,M222,O222,Q222,S222)</f>
        <v>21.5</v>
      </c>
      <c r="AN222" s="27">
        <f>SUM(J222,V222,X222,Z222,AB222,AD222,AF222,AH222)</f>
        <v>150.37530000000001</v>
      </c>
      <c r="AO222" s="27">
        <f>SUM(L222,N222,P222,R222,T222)</f>
        <v>37.622799999999998</v>
      </c>
      <c r="AP222" s="30">
        <f>SUM(AG222,AE222,AC222,AA222,Y222,W222,U222,I222)/D222</f>
        <v>0.81286447906693349</v>
      </c>
      <c r="AQ222" s="30">
        <f>SUM(K222,M222,O222,Q222,S222)/D222</f>
        <v>0.1871355209330664</v>
      </c>
      <c r="AR222" s="30">
        <f>D222/H222</f>
        <v>0.61112319752167699</v>
      </c>
      <c r="AS222" s="30">
        <f>AL222/AN222</f>
        <v>0.6210461425513365</v>
      </c>
      <c r="AT222" s="30">
        <f>AM222/AO222</f>
        <v>0.57146198581711094</v>
      </c>
      <c r="AU222" s="35">
        <f>(((H222/2) - SQRT((H222/2)^2 - 4 * D222)) / 2)</f>
        <v>1.2385662007612623</v>
      </c>
      <c r="AV222" s="27">
        <f>(((H222/2) + SQRT((H222/2)^2 - 4 * D222)) / 2)</f>
        <v>92.760483799238756</v>
      </c>
      <c r="AW222" s="27">
        <f>AU222*2.7*2+AV222*2.7*2</f>
        <v>507.59487000000013</v>
      </c>
      <c r="AX222" s="30">
        <f>AW222/D222</f>
        <v>4.4180944381582394</v>
      </c>
      <c r="AY222" s="30"/>
    </row>
    <row r="223" spans="2:51" x14ac:dyDescent="0.25">
      <c r="B223" s="36" t="s">
        <v>145</v>
      </c>
      <c r="C223" t="s">
        <v>144</v>
      </c>
      <c r="D223" s="37">
        <f>SUM(I223,K223,M223,O223,Q223,S223,U223,W223,Y223,AA223,AC223,AE223,AG223)</f>
        <v>115.1</v>
      </c>
      <c r="E223" s="38">
        <f>COUNTA(U223,W223,Y223,AA223)</f>
        <v>4</v>
      </c>
      <c r="F223" s="38">
        <f>COUNTA(M223,O223,Q223)</f>
        <v>2</v>
      </c>
      <c r="G223" s="38">
        <f>COUNTA(Table1[[#This Row],[A ASEO]])</f>
        <v>0</v>
      </c>
      <c r="H223" s="1">
        <f>SUM(J223,L223,N223,P223,R223,T223,V223,X223,Z223,AB223,AD223,AF223,AH223)</f>
        <v>182.97399999999999</v>
      </c>
      <c r="I223" s="1">
        <v>33.5</v>
      </c>
      <c r="J223" s="1">
        <f>I223*1.34</f>
        <v>44.89</v>
      </c>
      <c r="K223" s="1">
        <v>10.8</v>
      </c>
      <c r="L223" s="1">
        <f>K223*1.34</f>
        <v>14.472000000000001</v>
      </c>
      <c r="M223" s="1">
        <v>5.0999999999999996</v>
      </c>
      <c r="N223" s="1">
        <f>M223*2.36</f>
        <v>12.035999999999998</v>
      </c>
      <c r="O223" s="1">
        <v>4.3</v>
      </c>
      <c r="P223" s="1">
        <f>O223*2.36</f>
        <v>10.148</v>
      </c>
      <c r="Q223" s="1"/>
      <c r="R223" s="1"/>
      <c r="S223" s="1"/>
      <c r="T223" s="1"/>
      <c r="U223" s="1">
        <v>16.2</v>
      </c>
      <c r="V223" s="1">
        <f>U223*1.34</f>
        <v>21.708000000000002</v>
      </c>
      <c r="W223" s="1">
        <v>10.3</v>
      </c>
      <c r="X223" s="1">
        <f>W223*1.34</f>
        <v>13.802000000000001</v>
      </c>
      <c r="Y223" s="1">
        <v>10.3</v>
      </c>
      <c r="Z223" s="1">
        <f>Y223*1.34</f>
        <v>13.802000000000001</v>
      </c>
      <c r="AA223" s="1">
        <v>9.8000000000000007</v>
      </c>
      <c r="AB223" s="1">
        <f>AA223*1.34</f>
        <v>13.132000000000001</v>
      </c>
      <c r="AC223" s="1">
        <v>3.4</v>
      </c>
      <c r="AD223" s="1">
        <f>AC223*2.75</f>
        <v>9.35</v>
      </c>
      <c r="AE223" s="1">
        <v>7</v>
      </c>
      <c r="AF223" s="1">
        <f>AE223*2.75</f>
        <v>19.25</v>
      </c>
      <c r="AG223" s="1">
        <v>4.4000000000000004</v>
      </c>
      <c r="AH223" s="1">
        <f>AG223*2.36</f>
        <v>10.384</v>
      </c>
      <c r="AI223" s="39"/>
      <c r="AJ223" s="39"/>
      <c r="AK223" s="34"/>
      <c r="AL223" s="27">
        <f>SUM(I223,U223,W223,Y223,AA223,AC223,AE223,AG223)</f>
        <v>94.9</v>
      </c>
      <c r="AM223" s="27">
        <f>SUM(K223,M223,O223,Q223,S223)</f>
        <v>20.2</v>
      </c>
      <c r="AN223" s="27">
        <f>SUM(J223,V223,X223,Z223,AB223,AD223,AF223,AH223)</f>
        <v>146.31800000000004</v>
      </c>
      <c r="AO223" s="27">
        <f>SUM(L223,N223,P223,R223,T223)</f>
        <v>36.655999999999999</v>
      </c>
      <c r="AP223" s="30">
        <f>SUM(AG223,AE223,AC223,AA223,Y223,W223,U223,I223)/D223</f>
        <v>0.82450043440486542</v>
      </c>
      <c r="AQ223" s="30">
        <f>SUM(K223,M223,O223,Q223,S223)/D223</f>
        <v>0.17549956559513466</v>
      </c>
      <c r="AR223" s="30">
        <f>D223/H223</f>
        <v>0.62905112201733582</v>
      </c>
      <c r="AS223" s="30">
        <f>AL223/AN223</f>
        <v>0.64858732350086779</v>
      </c>
      <c r="AT223" s="30">
        <f>AM223/AO223</f>
        <v>0.55106940200785681</v>
      </c>
      <c r="AU223" s="35">
        <f>(((H223/2) - SQRT((H223/2)^2 - 4 * D223)) / 2)</f>
        <v>1.2758961489940432</v>
      </c>
      <c r="AV223" s="27">
        <f>(((H223/2) + SQRT((H223/2)^2 - 4 * D223)) / 2)</f>
        <v>90.211103851005959</v>
      </c>
      <c r="AW223" s="27">
        <f>AU223*2.7*2+AV223*2.7*2</f>
        <v>494.02980000000002</v>
      </c>
      <c r="AX223" s="30">
        <f>AW223/D223</f>
        <v>4.2921789748045178</v>
      </c>
      <c r="AY223" s="30"/>
    </row>
    <row r="224" spans="2:51" x14ac:dyDescent="0.25">
      <c r="B224" s="36" t="s">
        <v>145</v>
      </c>
      <c r="C224" t="s">
        <v>144</v>
      </c>
      <c r="D224" s="37">
        <f>SUM(I224,K224,M224,O224,Q224,S224,U224,W224,Y224,AA224,AC224,AE224,AG224)</f>
        <v>109.69999999999999</v>
      </c>
      <c r="E224" s="38">
        <f>COUNTA(U224,W224,Y224,AA224)</f>
        <v>4</v>
      </c>
      <c r="F224" s="38">
        <f>COUNTA(M224,O224,Q224)</f>
        <v>2</v>
      </c>
      <c r="G224" s="38">
        <f>COUNTA(Table1[[#This Row],[A ASEO]])</f>
        <v>1</v>
      </c>
      <c r="H224" s="1">
        <f>SUM(J224,L224,N224,P224,R224,T224,V224,X224,Z224,AB224,AD224,AF224,AH224)</f>
        <v>178.51300000000001</v>
      </c>
      <c r="I224" s="1">
        <v>32.4</v>
      </c>
      <c r="J224" s="1">
        <f>I224*1.34</f>
        <v>43.416000000000004</v>
      </c>
      <c r="K224" s="1">
        <v>10.1</v>
      </c>
      <c r="L224" s="1">
        <f>K224*1.34</f>
        <v>13.534000000000001</v>
      </c>
      <c r="M224" s="1">
        <v>5</v>
      </c>
      <c r="N224" s="1">
        <f>M224*2.36</f>
        <v>11.799999999999999</v>
      </c>
      <c r="O224" s="1">
        <v>4</v>
      </c>
      <c r="P224" s="1">
        <f>O224*2.36</f>
        <v>9.44</v>
      </c>
      <c r="Q224" s="1"/>
      <c r="R224" s="1"/>
      <c r="S224" s="1">
        <v>3</v>
      </c>
      <c r="T224" s="1">
        <f>S224*2.36</f>
        <v>7.08</v>
      </c>
      <c r="U224" s="1">
        <v>11.9</v>
      </c>
      <c r="V224" s="1">
        <f>U224*1.34</f>
        <v>15.946000000000002</v>
      </c>
      <c r="W224" s="1">
        <v>9.6</v>
      </c>
      <c r="X224" s="1">
        <f>W224*1.34</f>
        <v>12.864000000000001</v>
      </c>
      <c r="Y224" s="1">
        <v>9.6</v>
      </c>
      <c r="Z224" s="1">
        <f>Y224*1.34</f>
        <v>12.864000000000001</v>
      </c>
      <c r="AA224" s="1">
        <v>9.6</v>
      </c>
      <c r="AB224" s="1">
        <f>AA224*1.34</f>
        <v>12.864000000000001</v>
      </c>
      <c r="AC224" s="1">
        <v>2.9</v>
      </c>
      <c r="AD224" s="1">
        <f>AC224*2.75</f>
        <v>7.9749999999999996</v>
      </c>
      <c r="AE224" s="1">
        <v>8.6</v>
      </c>
      <c r="AF224" s="1">
        <f>AE224*2.75</f>
        <v>23.65</v>
      </c>
      <c r="AG224" s="1">
        <v>3</v>
      </c>
      <c r="AH224" s="1">
        <f>AG224*2.36</f>
        <v>7.08</v>
      </c>
      <c r="AI224" s="39"/>
      <c r="AJ224" s="39"/>
      <c r="AK224" s="34"/>
      <c r="AL224" s="27">
        <f>SUM(I224,U224,W224,Y224,AA224,AC224,AE224,AG224)</f>
        <v>87.6</v>
      </c>
      <c r="AM224" s="27">
        <f>SUM(K224,M224,O224,Q224,S224)</f>
        <v>22.1</v>
      </c>
      <c r="AN224" s="27">
        <f>SUM(J224,V224,X224,Z224,AB224,AD224,AF224,AH224)</f>
        <v>136.65900000000002</v>
      </c>
      <c r="AO224" s="27">
        <f>SUM(L224,N224,P224,R224,T224)</f>
        <v>41.853999999999999</v>
      </c>
      <c r="AP224" s="30">
        <f>SUM(AG224,AE224,AC224,AA224,Y224,W224,U224,I224)/D224</f>
        <v>0.79854147675478582</v>
      </c>
      <c r="AQ224" s="30">
        <f>SUM(K224,M224,O224,Q224,S224)/D224</f>
        <v>0.20145852324521427</v>
      </c>
      <c r="AR224" s="30">
        <f>D224/H224</f>
        <v>0.61452107129452749</v>
      </c>
      <c r="AS224" s="30">
        <f>AL224/AN224</f>
        <v>0.64101156894167222</v>
      </c>
      <c r="AT224" s="30">
        <f>AM224/AO224</f>
        <v>0.52802599512591397</v>
      </c>
      <c r="AU224" s="35">
        <f>(((H224/2) - SQRT((H224/2)^2 - 4 * D224)) / 2)</f>
        <v>1.2464485382983455</v>
      </c>
      <c r="AV224" s="27">
        <f>(((H224/2) + SQRT((H224/2)^2 - 4 * D224)) / 2)</f>
        <v>88.010051461701664</v>
      </c>
      <c r="AW224" s="27">
        <f>AU224*2.7*2+AV224*2.7*2</f>
        <v>481.98510000000005</v>
      </c>
      <c r="AX224" s="30">
        <f>AW224/D224</f>
        <v>4.3936654512306301</v>
      </c>
      <c r="AY224" s="30"/>
    </row>
    <row r="225" spans="2:51" x14ac:dyDescent="0.25">
      <c r="B225" s="36" t="s">
        <v>145</v>
      </c>
      <c r="C225" t="s">
        <v>144</v>
      </c>
      <c r="D225" s="37">
        <f>SUM(I225,K225,M225,O225,Q225,S225,U225,W225,Y225,AA225,AC225,AE225,AG225)</f>
        <v>132.80000000000001</v>
      </c>
      <c r="E225" s="38">
        <f>COUNTA(U225,W225,Y225,AA225)</f>
        <v>4</v>
      </c>
      <c r="F225" s="38">
        <f>COUNTA(M225,O225,Q225)</f>
        <v>3</v>
      </c>
      <c r="G225" s="38">
        <f>COUNTA(Table1[[#This Row],[A ASEO]])</f>
        <v>0</v>
      </c>
      <c r="H225" s="1">
        <f>SUM(J225,L225,N225,P225,R225,T225,V225,X225,Z225,AB225,AD225,AF225,AH225)</f>
        <v>216.26499999999999</v>
      </c>
      <c r="I225" s="1">
        <v>37.700000000000003</v>
      </c>
      <c r="J225" s="1">
        <f>I225*1.34</f>
        <v>50.518000000000008</v>
      </c>
      <c r="K225" s="1">
        <v>12.6</v>
      </c>
      <c r="L225" s="1">
        <f>K225*1.34</f>
        <v>16.884</v>
      </c>
      <c r="M225" s="1">
        <v>5.8</v>
      </c>
      <c r="N225" s="1">
        <f>M225*2.36</f>
        <v>13.687999999999999</v>
      </c>
      <c r="O225" s="1">
        <v>5.6</v>
      </c>
      <c r="P225" s="1">
        <f>O225*2.36</f>
        <v>13.215999999999999</v>
      </c>
      <c r="Q225" s="1">
        <v>3.7</v>
      </c>
      <c r="R225" s="1">
        <f>Q225*2.36</f>
        <v>8.7319999999999993</v>
      </c>
      <c r="S225" s="1"/>
      <c r="T225" s="1"/>
      <c r="U225" s="1">
        <v>16</v>
      </c>
      <c r="V225" s="1">
        <f>U225*1.34</f>
        <v>21.44</v>
      </c>
      <c r="W225" s="1">
        <v>11.5</v>
      </c>
      <c r="X225" s="1">
        <f>W225*1.34</f>
        <v>15.41</v>
      </c>
      <c r="Y225" s="1">
        <v>11.3</v>
      </c>
      <c r="Z225" s="1">
        <f>Y225*1.34</f>
        <v>15.142000000000001</v>
      </c>
      <c r="AA225" s="1">
        <v>11.3</v>
      </c>
      <c r="AB225" s="1">
        <f>AA225*1.34</f>
        <v>15.142000000000001</v>
      </c>
      <c r="AC225" s="1">
        <v>4.4000000000000004</v>
      </c>
      <c r="AD225" s="1">
        <f>AC225*2.75</f>
        <v>12.100000000000001</v>
      </c>
      <c r="AE225" s="1">
        <v>9.1</v>
      </c>
      <c r="AF225" s="1">
        <f>AE225*2.75</f>
        <v>25.024999999999999</v>
      </c>
      <c r="AG225" s="1">
        <v>3.8</v>
      </c>
      <c r="AH225" s="1">
        <f>AG225*2.36</f>
        <v>8.968</v>
      </c>
      <c r="AI225" s="39"/>
      <c r="AJ225" s="39"/>
      <c r="AK225" s="34"/>
      <c r="AL225" s="27">
        <f>SUM(I225,U225,W225,Y225,AA225,AC225,AE225,AG225)</f>
        <v>105.1</v>
      </c>
      <c r="AM225" s="27">
        <f>SUM(K225,M225,O225,Q225,S225)</f>
        <v>27.7</v>
      </c>
      <c r="AN225" s="27">
        <f>SUM(J225,V225,X225,Z225,AB225,AD225,AF225,AH225)</f>
        <v>163.745</v>
      </c>
      <c r="AO225" s="27">
        <f>SUM(L225,N225,P225,R225,T225)</f>
        <v>52.519999999999996</v>
      </c>
      <c r="AP225" s="30">
        <f>SUM(AG225,AE225,AC225,AA225,Y225,W225,U225,I225)/D225</f>
        <v>0.79141566265060237</v>
      </c>
      <c r="AQ225" s="30">
        <f>SUM(K225,M225,O225,Q225,S225)/D225</f>
        <v>0.20858433734939757</v>
      </c>
      <c r="AR225" s="30">
        <f>D225/H225</f>
        <v>0.61406145238480581</v>
      </c>
      <c r="AS225" s="30">
        <f>AL225/AN225</f>
        <v>0.64185165959265922</v>
      </c>
      <c r="AT225" s="30">
        <f>AM225/AO225</f>
        <v>0.52741812642802743</v>
      </c>
      <c r="AU225" s="35">
        <f>(((H225/2) - SQRT((H225/2)^2 - 4 * D225)) / 2)</f>
        <v>1.2423975367187978</v>
      </c>
      <c r="AV225" s="27">
        <f>(((H225/2) + SQRT((H225/2)^2 - 4 * D225)) / 2)</f>
        <v>106.8901024632812</v>
      </c>
      <c r="AW225" s="27">
        <f>AU225*2.7*2+AV225*2.7*2</f>
        <v>583.91549999999995</v>
      </c>
      <c r="AX225" s="30">
        <f>AW225/D225</f>
        <v>4.3969540662650592</v>
      </c>
      <c r="AY225" s="30"/>
    </row>
    <row r="226" spans="2:51" x14ac:dyDescent="0.25">
      <c r="B226" s="36" t="s">
        <v>134</v>
      </c>
      <c r="C226" t="s">
        <v>135</v>
      </c>
      <c r="D226" s="37">
        <f>SUM(I226,K226,M226,O226,Q226,S226,U226,W226,Y226,AA226,AC226,AE226,AG226)</f>
        <v>106.35000000000001</v>
      </c>
      <c r="E226" s="38">
        <f>COUNTA(U226,W226,Y226,AA226)</f>
        <v>4</v>
      </c>
      <c r="F226" s="38">
        <f>COUNTA(M226,O226,Q226)</f>
        <v>2</v>
      </c>
      <c r="G226" s="38">
        <f>COUNTA(Table1[[#This Row],[A ASEO]])</f>
        <v>0</v>
      </c>
      <c r="H226" s="1">
        <f>SUM(J226,L226,N226,P226,R226,T226,V226,X226,Z226,AB226,AD226,AF226,AH226)</f>
        <v>164.4819</v>
      </c>
      <c r="I226" s="1">
        <v>44.17</v>
      </c>
      <c r="J226" s="1">
        <f>I226*1.34</f>
        <v>59.187800000000003</v>
      </c>
      <c r="K226" s="1">
        <v>9.2100000000000009</v>
      </c>
      <c r="L226" s="1">
        <f>K226*1.34</f>
        <v>12.341400000000002</v>
      </c>
      <c r="M226" s="1">
        <v>5.39</v>
      </c>
      <c r="N226" s="1">
        <f>M226*2.36</f>
        <v>12.720399999999998</v>
      </c>
      <c r="O226" s="1">
        <v>4.72</v>
      </c>
      <c r="P226" s="1">
        <f>O226*2.36</f>
        <v>11.139199999999999</v>
      </c>
      <c r="U226" s="1">
        <v>12.27</v>
      </c>
      <c r="V226" s="1">
        <f>U226*1.34</f>
        <v>16.441800000000001</v>
      </c>
      <c r="W226" s="1">
        <v>8.56</v>
      </c>
      <c r="X226" s="1">
        <f>W226*1.34</f>
        <v>11.470400000000001</v>
      </c>
      <c r="Y226" s="1">
        <v>7.69</v>
      </c>
      <c r="Z226" s="1">
        <f>Y226*1.34</f>
        <v>10.304600000000001</v>
      </c>
      <c r="AA226" s="1">
        <v>6.07</v>
      </c>
      <c r="AB226" s="1">
        <f>AA226*1.34</f>
        <v>8.1338000000000008</v>
      </c>
      <c r="AC226" s="1">
        <v>4.3099999999999996</v>
      </c>
      <c r="AD226" s="1">
        <f>AC226*2.75</f>
        <v>11.852499999999999</v>
      </c>
      <c r="AE226" s="1">
        <v>3.96</v>
      </c>
      <c r="AF226" s="1">
        <f>AE226*2.75</f>
        <v>10.89</v>
      </c>
      <c r="AI226" s="40">
        <f>66.05+25.65+5.22</f>
        <v>96.919999999999987</v>
      </c>
      <c r="AJ226" s="39">
        <f>AI226*0.6</f>
        <v>58.151999999999987</v>
      </c>
      <c r="AK226" s="34"/>
      <c r="AL226" s="27">
        <f>SUM(I226,U226,W226,Y226,AA226,AC226,AE226,AG226)</f>
        <v>87.029999999999987</v>
      </c>
      <c r="AM226" s="27">
        <f>SUM(K226,M226,O226,Q226,S226)</f>
        <v>19.32</v>
      </c>
      <c r="AN226" s="27">
        <f>SUM(J226,V226,X226,Z226,AB226,AD226,AF226,AH226)</f>
        <v>128.28090000000003</v>
      </c>
      <c r="AO226" s="27">
        <f>SUM(L226,N226,P226,R226,T226)</f>
        <v>36.200999999999993</v>
      </c>
      <c r="AP226" s="30">
        <f>SUM(AG226,AE226,AC226,AA226,Y226,W226,U226,I226)/D226</f>
        <v>0.81833568406205914</v>
      </c>
      <c r="AQ226" s="30">
        <f>SUM(K226,M226,O226,Q226,S226)/D226</f>
        <v>0.18166431593794075</v>
      </c>
      <c r="AR226" s="30">
        <f>D226/H226</f>
        <v>0.6465757022505213</v>
      </c>
      <c r="AS226" s="30">
        <f>AL226/AN226</f>
        <v>0.67843303250912623</v>
      </c>
      <c r="AT226" s="30">
        <f>AM226/AO226</f>
        <v>0.53368691472611263</v>
      </c>
      <c r="AU226" s="35">
        <f>(((H226/2) - SQRT((H226/2)^2 - 4 * D226)) / 2)</f>
        <v>1.3141505750342475</v>
      </c>
      <c r="AV226" s="27">
        <f>(((H226/2) + SQRT((H226/2)^2 - 4 * D226)) / 2)</f>
        <v>80.926799424965751</v>
      </c>
      <c r="AW226" s="27">
        <f>AU226*2.7*2+AV226*2.7*2</f>
        <v>444.10113000000001</v>
      </c>
      <c r="AX226" s="30">
        <f>AW226/D226</f>
        <v>4.1758451339915368</v>
      </c>
      <c r="AY226" s="30"/>
    </row>
    <row r="227" spans="2:51" x14ac:dyDescent="0.25">
      <c r="B227" s="36" t="s">
        <v>134</v>
      </c>
      <c r="C227" t="s">
        <v>51</v>
      </c>
      <c r="D227" s="37">
        <f>SUM(I227,K227,M227,O227,Q227,S227,U227,W227,Y227,AA227,AC227,AE227,AG227)</f>
        <v>104.89000000000001</v>
      </c>
      <c r="E227" s="38">
        <f>COUNTA(U227,W227,Y227,AA227)</f>
        <v>4</v>
      </c>
      <c r="F227" s="38">
        <f>COUNTA(M227,O227,Q227)</f>
        <v>2</v>
      </c>
      <c r="G227" s="38">
        <f>COUNTA(Table1[[#This Row],[A ASEO]])</f>
        <v>0</v>
      </c>
      <c r="H227" s="1">
        <f>SUM(J227,L227,N227,P227,R227,T227,V227,X227,Z227,AB227,AD227,AF227,AH227)</f>
        <v>167.8862</v>
      </c>
      <c r="I227" s="1">
        <v>31.69</v>
      </c>
      <c r="J227" s="1">
        <f>I227*1.34</f>
        <v>42.464600000000004</v>
      </c>
      <c r="K227" s="1">
        <v>10.89</v>
      </c>
      <c r="L227" s="1">
        <f>K227*1.34</f>
        <v>14.592600000000001</v>
      </c>
      <c r="M227" s="1">
        <v>4.0599999999999996</v>
      </c>
      <c r="N227" s="1">
        <f>M227*2.36</f>
        <v>9.5815999999999981</v>
      </c>
      <c r="O227" s="1">
        <v>3.44</v>
      </c>
      <c r="P227" s="1">
        <f>O227*2.36</f>
        <v>8.1183999999999994</v>
      </c>
      <c r="Q227" s="1"/>
      <c r="R227" s="1"/>
      <c r="S227" s="1"/>
      <c r="T227" s="1"/>
      <c r="U227" s="1">
        <v>13.24</v>
      </c>
      <c r="V227" s="1">
        <f>U227*1.34</f>
        <v>17.741600000000002</v>
      </c>
      <c r="W227" s="1">
        <v>9.7899999999999991</v>
      </c>
      <c r="X227" s="1">
        <f>W227*1.34</f>
        <v>13.118599999999999</v>
      </c>
      <c r="Y227" s="1">
        <v>9.67</v>
      </c>
      <c r="Z227" s="1">
        <f>Y227*1.34</f>
        <v>12.957800000000001</v>
      </c>
      <c r="AA227" s="1">
        <v>8.15</v>
      </c>
      <c r="AB227" s="1">
        <f>AA227*1.34</f>
        <v>10.921000000000001</v>
      </c>
      <c r="AC227" s="1">
        <v>8.23</v>
      </c>
      <c r="AD227" s="1">
        <f>AC227*2.75</f>
        <v>22.6325</v>
      </c>
      <c r="AE227" s="1">
        <v>5.73</v>
      </c>
      <c r="AF227" s="1">
        <f>AE227*2.75</f>
        <v>15.7575</v>
      </c>
      <c r="AG227" s="1"/>
      <c r="AH227" s="1"/>
      <c r="AI227" s="39"/>
      <c r="AJ227" s="39"/>
      <c r="AK227" s="34"/>
      <c r="AL227" s="27">
        <f>SUM(I227,U227,W227,Y227,AA227,AC227,AE227,AG227)</f>
        <v>86.500000000000014</v>
      </c>
      <c r="AM227" s="27">
        <f>SUM(K227,M227,O227,Q227,S227)</f>
        <v>18.39</v>
      </c>
      <c r="AN227" s="27">
        <f>SUM(J227,V227,X227,Z227,AB227,AD227,AF227,AH227)</f>
        <v>135.59360000000001</v>
      </c>
      <c r="AO227" s="27">
        <f>SUM(L227,N227,P227,R227,T227)</f>
        <v>32.2926</v>
      </c>
      <c r="AP227" s="30">
        <f>SUM(AG227,AE227,AC227,AA227,Y227,W227,U227,I227)/D227</f>
        <v>0.82467346744208203</v>
      </c>
      <c r="AQ227" s="30">
        <f>SUM(K227,M227,O227,Q227,S227)/D227</f>
        <v>0.1753265325579178</v>
      </c>
      <c r="AR227" s="30">
        <f>D227/H227</f>
        <v>0.62476844433908219</v>
      </c>
      <c r="AS227" s="30">
        <f>AL227/AN227</f>
        <v>0.63793571378000147</v>
      </c>
      <c r="AT227" s="30">
        <f>AM227/AO227</f>
        <v>0.56948031437542967</v>
      </c>
      <c r="AU227" s="35">
        <f>(((H227/2) - SQRT((H227/2)^2 - 4 * D227)) / 2)</f>
        <v>1.2687121455886725</v>
      </c>
      <c r="AV227" s="27">
        <f>(((H227/2) + SQRT((H227/2)^2 - 4 * D227)) / 2)</f>
        <v>82.674387854411322</v>
      </c>
      <c r="AW227" s="27">
        <f>AU227*2.7*2+AV227*2.7*2</f>
        <v>453.29273999999998</v>
      </c>
      <c r="AX227" s="30">
        <f>AW227/D227</f>
        <v>4.3216011059204877</v>
      </c>
      <c r="AY227" s="30"/>
    </row>
    <row r="228" spans="2:51" x14ac:dyDescent="0.25">
      <c r="B228" s="36" t="s">
        <v>134</v>
      </c>
      <c r="C228" t="s">
        <v>122</v>
      </c>
      <c r="D228" s="37">
        <f>SUM(I228,K228,M228,O228,Q228,S228,U228,W228,Y228,AA228,AC228,AE228,AG228)</f>
        <v>102</v>
      </c>
      <c r="E228" s="38">
        <f>COUNTA(U228,W228,Y228,AA228)</f>
        <v>4</v>
      </c>
      <c r="F228" s="38">
        <f>COUNTA(M228,O228,Q228)</f>
        <v>2</v>
      </c>
      <c r="G228" s="38">
        <f>COUNTA(Table1[[#This Row],[A ASEO]])</f>
        <v>1</v>
      </c>
      <c r="H228" s="1">
        <f>SUM(J228,L228,N228,P228,R228,T228,V228,X228,Z228,AB228,AD228,AF228,AH228)</f>
        <v>165.25200000000001</v>
      </c>
      <c r="I228" s="1">
        <v>24.4</v>
      </c>
      <c r="J228" s="1">
        <f>I228*1.34</f>
        <v>32.695999999999998</v>
      </c>
      <c r="K228" s="1">
        <v>10.7</v>
      </c>
      <c r="L228" s="1">
        <f>K228*1.34</f>
        <v>14.337999999999999</v>
      </c>
      <c r="M228" s="1">
        <v>4.9000000000000004</v>
      </c>
      <c r="N228" s="1">
        <f>M228*2.36</f>
        <v>11.564</v>
      </c>
      <c r="O228" s="1">
        <v>4.0999999999999996</v>
      </c>
      <c r="P228" s="1">
        <f>O228*2.36</f>
        <v>9.6759999999999984</v>
      </c>
      <c r="Q228" s="1"/>
      <c r="R228" s="1"/>
      <c r="S228" s="1">
        <v>2.7</v>
      </c>
      <c r="T228" s="1">
        <f>S228*2.36</f>
        <v>6.3719999999999999</v>
      </c>
      <c r="U228" s="1">
        <v>13.5</v>
      </c>
      <c r="V228" s="1">
        <f>U228*1.34</f>
        <v>18.09</v>
      </c>
      <c r="W228" s="1">
        <v>10.199999999999999</v>
      </c>
      <c r="X228" s="1">
        <f>W228*1.34</f>
        <v>13.667999999999999</v>
      </c>
      <c r="Y228" s="1">
        <v>9.9</v>
      </c>
      <c r="Z228" s="1">
        <f>Y228*1.34</f>
        <v>13.266000000000002</v>
      </c>
      <c r="AA228" s="1">
        <v>9.8000000000000007</v>
      </c>
      <c r="AB228" s="1">
        <f>AA228*1.34</f>
        <v>13.132000000000001</v>
      </c>
      <c r="AC228" s="1">
        <v>5.0999999999999996</v>
      </c>
      <c r="AD228" s="1">
        <f>AC228*2.75</f>
        <v>14.024999999999999</v>
      </c>
      <c r="AE228" s="1">
        <v>6.7</v>
      </c>
      <c r="AF228" s="1">
        <f>AE228*2.75</f>
        <v>18.425000000000001</v>
      </c>
      <c r="AG228" s="1"/>
      <c r="AH228" s="1"/>
      <c r="AI228" s="39">
        <v>13.6</v>
      </c>
      <c r="AJ228" s="39">
        <f>AI228*0.6</f>
        <v>8.16</v>
      </c>
      <c r="AK228" s="34"/>
      <c r="AL228" s="27">
        <f>SUM(I228,U228,W228,Y228,AA228,AC228,AE228,AG228)</f>
        <v>79.599999999999994</v>
      </c>
      <c r="AM228" s="27">
        <f>SUM(K228,M228,O228,Q228,S228)</f>
        <v>22.4</v>
      </c>
      <c r="AN228" s="27">
        <f>SUM(J228,V228,X228,Z228,AB228,AD228,AF228,AH228)</f>
        <v>123.30200000000001</v>
      </c>
      <c r="AO228" s="27">
        <f>SUM(L228,N228,P228,R228,T228)</f>
        <v>41.95</v>
      </c>
      <c r="AP228" s="30">
        <f>SUM(AG228,AE228,AC228,AA228,Y228,W228,U228,I228)/D228</f>
        <v>0.78039215686274499</v>
      </c>
      <c r="AQ228" s="30">
        <f>SUM(K228,M228,O228,Q228,S228)/D228</f>
        <v>0.2196078431372549</v>
      </c>
      <c r="AR228" s="30">
        <f>D228/H228</f>
        <v>0.61723912569893247</v>
      </c>
      <c r="AS228" s="30">
        <f>AL228/AN228</f>
        <v>0.64556941493244224</v>
      </c>
      <c r="AT228" s="30">
        <f>AM228/AO228</f>
        <v>0.53396901072705594</v>
      </c>
      <c r="AU228" s="35">
        <f>(((H228/2) - SQRT((H228/2)^2 - 4 * D228)) / 2)</f>
        <v>1.2534946485855869</v>
      </c>
      <c r="AV228" s="27">
        <f>(((H228/2) + SQRT((H228/2)^2 - 4 * D228)) / 2)</f>
        <v>81.372505351414418</v>
      </c>
      <c r="AW228" s="27">
        <f>AU228*2.7*2+AV228*2.7*2</f>
        <v>446.18040000000008</v>
      </c>
      <c r="AX228" s="30">
        <f>AW228/D228</f>
        <v>4.3743176470588239</v>
      </c>
      <c r="AY228" s="30"/>
    </row>
    <row r="229" spans="2:51" x14ac:dyDescent="0.25">
      <c r="B229" s="36" t="s">
        <v>134</v>
      </c>
      <c r="C229" t="s">
        <v>51</v>
      </c>
      <c r="D229" s="37">
        <f>SUM(I229,K229,M229,O229,Q229,S229,U229,W229,Y229,AA229,AC229,AE229,AG229)</f>
        <v>107.68</v>
      </c>
      <c r="E229" s="38">
        <f>COUNTA(U229,W229,Y229,AA229)</f>
        <v>4</v>
      </c>
      <c r="F229" s="38">
        <f>COUNTA(M229,O229,Q229)</f>
        <v>2</v>
      </c>
      <c r="G229" s="38">
        <f>COUNTA(Table1[[#This Row],[A ASEO]])</f>
        <v>1</v>
      </c>
      <c r="H229" s="1">
        <f>SUM(J229,L229,N229,P229,R229,T229,V229,X229,Z229,AB229,AD229,AF229,AH229)</f>
        <v>174.71600000000001</v>
      </c>
      <c r="I229" s="1">
        <v>29.34</v>
      </c>
      <c r="J229" s="1">
        <f>I229*1.34</f>
        <v>39.315600000000003</v>
      </c>
      <c r="K229" s="1">
        <v>10.57</v>
      </c>
      <c r="L229" s="1">
        <f>K229*1.34</f>
        <v>14.163800000000002</v>
      </c>
      <c r="M229" s="1">
        <v>4.9800000000000004</v>
      </c>
      <c r="N229" s="1">
        <f>M229*2.36</f>
        <v>11.752800000000001</v>
      </c>
      <c r="O229" s="1">
        <v>4.4000000000000004</v>
      </c>
      <c r="P229" s="1">
        <f>O229*2.36</f>
        <v>10.384</v>
      </c>
      <c r="Q229" s="1"/>
      <c r="R229" s="1"/>
      <c r="S229" s="1">
        <v>2.92</v>
      </c>
      <c r="T229" s="1">
        <f>S229*2.36</f>
        <v>6.8911999999999995</v>
      </c>
      <c r="U229" s="1">
        <v>13.7</v>
      </c>
      <c r="V229" s="1">
        <f>U229*1.34</f>
        <v>18.358000000000001</v>
      </c>
      <c r="W229" s="1">
        <v>9.75</v>
      </c>
      <c r="X229" s="1">
        <f>W229*1.34</f>
        <v>13.065000000000001</v>
      </c>
      <c r="Y229" s="1">
        <v>9.75</v>
      </c>
      <c r="Z229" s="1">
        <f>Y229*1.34</f>
        <v>13.065000000000001</v>
      </c>
      <c r="AA229" s="1">
        <v>9.59</v>
      </c>
      <c r="AB229" s="1">
        <f>AA229*1.34</f>
        <v>12.8506</v>
      </c>
      <c r="AC229" s="1">
        <v>4.26</v>
      </c>
      <c r="AD229" s="1">
        <f>AC229*2.75</f>
        <v>11.715</v>
      </c>
      <c r="AE229" s="1">
        <v>8.42</v>
      </c>
      <c r="AF229" s="1">
        <f>AE229*2.75</f>
        <v>23.155000000000001</v>
      </c>
      <c r="AG229" s="1"/>
      <c r="AH229" s="1"/>
      <c r="AI229" s="39"/>
      <c r="AJ229" s="39"/>
      <c r="AK229" s="34"/>
      <c r="AL229" s="27">
        <f>SUM(I229,U229,W229,Y229,AA229,AC229,AE229,AG229)</f>
        <v>84.81</v>
      </c>
      <c r="AM229" s="27">
        <f>SUM(K229,M229,O229,Q229,S229)</f>
        <v>22.870000000000005</v>
      </c>
      <c r="AN229" s="27">
        <f>SUM(J229,V229,X229,Z229,AB229,AD229,AF229,AH229)</f>
        <v>131.52420000000001</v>
      </c>
      <c r="AO229" s="27">
        <f>SUM(L229,N229,P229,R229,T229)</f>
        <v>43.191800000000001</v>
      </c>
      <c r="AP229" s="30">
        <f>SUM(AG229,AE229,AC229,AA229,Y229,W229,U229,I229)/D229</f>
        <v>0.78761144130757799</v>
      </c>
      <c r="AQ229" s="30">
        <f>SUM(K229,M229,O229,Q229,S229)/D229</f>
        <v>0.21238855869242201</v>
      </c>
      <c r="AR229" s="30">
        <f>D229/H229</f>
        <v>0.61631447606401246</v>
      </c>
      <c r="AS229" s="30">
        <f>AL229/AN229</f>
        <v>0.64482429849411738</v>
      </c>
      <c r="AT229" s="30">
        <f>AM229/AO229</f>
        <v>0.52949865483726088</v>
      </c>
      <c r="AU229" s="35">
        <f>(((H229/2) - SQRT((H229/2)^2 - 4 * D229)) / 2)</f>
        <v>1.2505303009877551</v>
      </c>
      <c r="AV229" s="27">
        <f>(((H229/2) + SQRT((H229/2)^2 - 4 * D229)) / 2)</f>
        <v>86.107469699012256</v>
      </c>
      <c r="AW229" s="27">
        <f>AU229*2.7*2+AV229*2.7*2</f>
        <v>471.73320000000007</v>
      </c>
      <c r="AX229" s="30">
        <f>AW229/D229</f>
        <v>4.3808803863298662</v>
      </c>
      <c r="AY229" s="30"/>
    </row>
    <row r="230" spans="2:51" x14ac:dyDescent="0.25">
      <c r="B230" s="36" t="s">
        <v>42</v>
      </c>
      <c r="C230" t="s">
        <v>56</v>
      </c>
      <c r="D230" s="37">
        <f>SUM(I230,K230,M230,O230,Q230,S230,U230,W230,Y230,AA230,AC230,AE230,AG230)</f>
        <v>85.90000000000002</v>
      </c>
      <c r="E230" s="38">
        <f>COUNTA(U230,W230,Y230,AA230)</f>
        <v>4</v>
      </c>
      <c r="F230" s="38">
        <f>COUNTA(M230,O230,Q230)</f>
        <v>1</v>
      </c>
      <c r="G230" s="38">
        <f>COUNTA(Table1[[#This Row],[A ASEO]])</f>
        <v>0</v>
      </c>
      <c r="H230" s="1">
        <f>SUM(J230,L230,N230,P230,R230,T230,V230,X230,Z230,AB230,AD230,AF230,AH230)</f>
        <v>130.56049999999999</v>
      </c>
      <c r="I230" s="1">
        <v>23.85</v>
      </c>
      <c r="J230" s="1">
        <f>I230*1.34</f>
        <v>31.959000000000003</v>
      </c>
      <c r="K230" s="1">
        <v>9.3000000000000007</v>
      </c>
      <c r="L230" s="1">
        <f>K230*1.34</f>
        <v>12.462000000000002</v>
      </c>
      <c r="M230" s="1">
        <v>3.85</v>
      </c>
      <c r="N230" s="1">
        <f>M230*2.36</f>
        <v>9.0860000000000003</v>
      </c>
      <c r="O230" s="1"/>
      <c r="P230" s="1"/>
      <c r="Q230" s="1"/>
      <c r="R230" s="1"/>
      <c r="S230" s="1"/>
      <c r="T230" s="1"/>
      <c r="U230" s="1">
        <v>13.3</v>
      </c>
      <c r="V230" s="1">
        <f>U230*1.34</f>
        <v>17.822000000000003</v>
      </c>
      <c r="W230" s="1">
        <v>8.9499999999999993</v>
      </c>
      <c r="X230" s="1">
        <f>W230*1.34</f>
        <v>11.993</v>
      </c>
      <c r="Y230" s="1">
        <v>8.9499999999999993</v>
      </c>
      <c r="Z230" s="1">
        <f>Y230*1.34</f>
        <v>11.993</v>
      </c>
      <c r="AA230" s="1">
        <v>8.75</v>
      </c>
      <c r="AB230" s="1">
        <f>AA230*1.34</f>
        <v>11.725000000000001</v>
      </c>
      <c r="AC230" s="1"/>
      <c r="AD230" s="1"/>
      <c r="AE230" s="1">
        <v>6.15</v>
      </c>
      <c r="AF230" s="1">
        <f>AE230*2.75</f>
        <v>16.912500000000001</v>
      </c>
      <c r="AG230" s="1">
        <v>2.8</v>
      </c>
      <c r="AH230" s="1">
        <f>AG230*2.36</f>
        <v>6.6079999999999997</v>
      </c>
      <c r="AI230" s="39"/>
      <c r="AJ230" s="39"/>
      <c r="AK230" s="34"/>
      <c r="AL230" s="27">
        <f>SUM(I230,U230,W230,Y230,AA230,AC230,AE230,AG230)</f>
        <v>72.750000000000014</v>
      </c>
      <c r="AM230" s="27">
        <f>SUM(K230,M230,O230,Q230,S230)</f>
        <v>13.15</v>
      </c>
      <c r="AN230" s="27">
        <f>SUM(J230,V230,X230,Z230,AB230,AD230,AF230,AH230)</f>
        <v>109.01250000000002</v>
      </c>
      <c r="AO230" s="27">
        <f>SUM(L230,N230,P230,R230,T230)</f>
        <v>21.548000000000002</v>
      </c>
      <c r="AP230" s="30">
        <f>SUM(AG230,AE230,AC230,AA230,Y230,W230,U230,I230)/D230</f>
        <v>0.84691501746216513</v>
      </c>
      <c r="AQ230" s="30">
        <f>SUM(K230,M230,O230,Q230,S230)/D230</f>
        <v>0.15308498253783467</v>
      </c>
      <c r="AR230" s="30">
        <f>D230/H230</f>
        <v>0.65793252936378177</v>
      </c>
      <c r="AS230" s="30">
        <f>AL230/AN230</f>
        <v>0.66735466116271069</v>
      </c>
      <c r="AT230" s="30">
        <f>AM230/AO230</f>
        <v>0.61026545387042874</v>
      </c>
      <c r="AU230" s="35">
        <f>(((H230/2) - SQRT((H230/2)^2 - 4 * D230)) / 2)</f>
        <v>1.3435155987305869</v>
      </c>
      <c r="AV230" s="27">
        <f>(((H230/2) + SQRT((H230/2)^2 - 4 * D230)) / 2)</f>
        <v>63.936734401269405</v>
      </c>
      <c r="AW230" s="27">
        <f>AU230*2.7*2+AV230*2.7*2</f>
        <v>352.51335</v>
      </c>
      <c r="AX230" s="30">
        <f>AW230/D230</f>
        <v>4.103764260768334</v>
      </c>
      <c r="AY230" s="30"/>
    </row>
    <row r="231" spans="2:51" x14ac:dyDescent="0.25">
      <c r="B231" s="36" t="s">
        <v>42</v>
      </c>
      <c r="C231" t="s">
        <v>69</v>
      </c>
      <c r="D231" s="37">
        <f>SUM(I231,K231,M231,O231,Q231,S231,U231,W231,Y231,AA231,AC231,AE231,AG231)</f>
        <v>78.97</v>
      </c>
      <c r="E231" s="38">
        <f>COUNTA(U231,W231,Y231,AA231)</f>
        <v>4</v>
      </c>
      <c r="F231" s="38">
        <f>COUNTA(M231,O231,Q231)</f>
        <v>1</v>
      </c>
      <c r="G231" s="38">
        <f>COUNTA(Table1[[#This Row],[A ASEO]])</f>
        <v>0</v>
      </c>
      <c r="H231" s="1">
        <f>SUM(J231,L231,N231,P231,R231,T231,V231,X231,Z231,AB231,AD231,AF231,AH231)</f>
        <v>122.486</v>
      </c>
      <c r="I231" s="1">
        <v>20.46</v>
      </c>
      <c r="J231" s="1">
        <f>I231*1.34</f>
        <v>27.416400000000003</v>
      </c>
      <c r="K231" s="1">
        <v>9.44</v>
      </c>
      <c r="L231" s="1">
        <f>K231*1.34</f>
        <v>12.6496</v>
      </c>
      <c r="M231" s="1">
        <v>3.76</v>
      </c>
      <c r="N231" s="1">
        <f>M231*2.36</f>
        <v>8.8735999999999997</v>
      </c>
      <c r="O231" s="1"/>
      <c r="P231" s="1"/>
      <c r="Q231" s="1"/>
      <c r="R231" s="1"/>
      <c r="S231" s="1"/>
      <c r="T231" s="1"/>
      <c r="U231" s="1">
        <v>10.53</v>
      </c>
      <c r="V231" s="1">
        <f>U231*1.34</f>
        <v>14.110200000000001</v>
      </c>
      <c r="W231" s="1">
        <v>9.75</v>
      </c>
      <c r="X231" s="1">
        <f>W231*1.34</f>
        <v>13.065000000000001</v>
      </c>
      <c r="Y231" s="1">
        <v>8.0299999999999994</v>
      </c>
      <c r="Z231" s="1">
        <f>Y231*1.34</f>
        <v>10.760199999999999</v>
      </c>
      <c r="AA231" s="1">
        <v>7.9</v>
      </c>
      <c r="AB231" s="1">
        <f>AA231*1.34</f>
        <v>10.586</v>
      </c>
      <c r="AC231" s="1">
        <v>3.89</v>
      </c>
      <c r="AD231" s="1">
        <f>AC231*2.75</f>
        <v>10.6975</v>
      </c>
      <c r="AE231" s="1">
        <v>5.21</v>
      </c>
      <c r="AF231" s="1">
        <f>AE231*2.75</f>
        <v>14.327500000000001</v>
      </c>
      <c r="AG231" s="1"/>
      <c r="AH231" s="1"/>
      <c r="AI231" s="39">
        <v>2.06</v>
      </c>
      <c r="AJ231" s="39">
        <f>AI231*0.6</f>
        <v>1.236</v>
      </c>
      <c r="AK231" s="34"/>
      <c r="AL231" s="27">
        <f>SUM(I231,U231,W231,Y231,AA231,AC231,AE231,AG231)</f>
        <v>65.77</v>
      </c>
      <c r="AM231" s="27">
        <f>SUM(K231,M231,O231,Q231,S231)</f>
        <v>13.2</v>
      </c>
      <c r="AN231" s="27">
        <f>SUM(J231,V231,X231,Z231,AB231,AD231,AF231,AH231)</f>
        <v>100.9628</v>
      </c>
      <c r="AO231" s="27">
        <f>SUM(L231,N231,P231,R231,T231)</f>
        <v>21.523199999999999</v>
      </c>
      <c r="AP231" s="30">
        <f>SUM(AG231,AE231,AC231,AA231,Y231,W231,U231,I231)/D231</f>
        <v>0.8328479169304801</v>
      </c>
      <c r="AQ231" s="30">
        <f>SUM(K231,M231,O231,Q231,S231)/D231</f>
        <v>0.16715208306952006</v>
      </c>
      <c r="AR231" s="30">
        <f>D231/H231</f>
        <v>0.64472674428097898</v>
      </c>
      <c r="AS231" s="30">
        <f>AL231/AN231</f>
        <v>0.65142805072759469</v>
      </c>
      <c r="AT231" s="30">
        <f>AM231/AO231</f>
        <v>0.61329170383586085</v>
      </c>
      <c r="AU231" s="35">
        <f>(((H231/2) - SQRT((H231/2)^2 - 4 * D231)) / 2)</f>
        <v>1.3178097503061927</v>
      </c>
      <c r="AV231" s="27">
        <f>(((H231/2) + SQRT((H231/2)^2 - 4 * D231)) / 2)</f>
        <v>59.925190249693813</v>
      </c>
      <c r="AW231" s="27">
        <f>AU231*2.7*2+AV231*2.7*2</f>
        <v>330.71220000000005</v>
      </c>
      <c r="AX231" s="30">
        <f>AW231/D231</f>
        <v>4.1878206914017992</v>
      </c>
      <c r="AY231" s="30"/>
    </row>
    <row r="232" spans="2:51" x14ac:dyDescent="0.25">
      <c r="B232" s="36" t="s">
        <v>42</v>
      </c>
      <c r="C232" t="s">
        <v>77</v>
      </c>
      <c r="D232" s="37">
        <f>SUM(I232,K232,M232,O232,Q232,S232,U232,W232,Y232,AA232,AC232,AE232,AG232)</f>
        <v>85.95</v>
      </c>
      <c r="E232" s="38">
        <f>COUNTA(U232,W232,Y232,AA232)</f>
        <v>4</v>
      </c>
      <c r="F232" s="38">
        <f>COUNTA(M232,O232,Q232)</f>
        <v>2</v>
      </c>
      <c r="G232" s="38">
        <f>COUNTA(Table1[[#This Row],[A ASEO]])</f>
        <v>0</v>
      </c>
      <c r="H232" s="1">
        <f>SUM(J232,L232,N232,P232,R232,T232,V232,X232,Z232,AB232,AD232,AF232,AH232)</f>
        <v>133.57500000000002</v>
      </c>
      <c r="I232" s="1">
        <v>20.5</v>
      </c>
      <c r="J232" s="1">
        <f>I232*1.34</f>
        <v>27.470000000000002</v>
      </c>
      <c r="K232" s="1">
        <v>8</v>
      </c>
      <c r="L232" s="1">
        <f>K232*1.34</f>
        <v>10.72</v>
      </c>
      <c r="M232" s="1">
        <v>4.3</v>
      </c>
      <c r="N232" s="1">
        <f>M232*2.36</f>
        <v>10.148</v>
      </c>
      <c r="O232" s="1">
        <v>3.65</v>
      </c>
      <c r="P232" s="1">
        <f>O232*2.36</f>
        <v>8.613999999999999</v>
      </c>
      <c r="Q232" s="1"/>
      <c r="R232" s="1"/>
      <c r="S232" s="1"/>
      <c r="T232" s="1"/>
      <c r="U232" s="1">
        <v>14.7</v>
      </c>
      <c r="V232" s="1">
        <f>U232*1.34</f>
        <v>19.698</v>
      </c>
      <c r="W232" s="1">
        <v>10.4</v>
      </c>
      <c r="X232" s="1">
        <f>W232*1.34</f>
        <v>13.936000000000002</v>
      </c>
      <c r="Y232" s="1">
        <v>8.6</v>
      </c>
      <c r="Z232" s="1">
        <f>Y232*1.34</f>
        <v>11.524000000000001</v>
      </c>
      <c r="AA232" s="1">
        <v>8.5</v>
      </c>
      <c r="AB232" s="1">
        <f>AA232*1.34</f>
        <v>11.39</v>
      </c>
      <c r="AC232" s="1">
        <v>3.9</v>
      </c>
      <c r="AD232" s="1">
        <f>AC232*2.75</f>
        <v>10.725</v>
      </c>
      <c r="AE232" s="1">
        <v>3.4</v>
      </c>
      <c r="AF232" s="1">
        <f>AE232*2.75</f>
        <v>9.35</v>
      </c>
      <c r="AG232" s="1"/>
      <c r="AH232" s="1"/>
      <c r="AI232" s="39"/>
      <c r="AJ232" s="39"/>
      <c r="AK232" s="34"/>
      <c r="AL232" s="27">
        <f>SUM(I232,U232,W232,Y232,AA232,AC232,AE232,AG232)</f>
        <v>70.000000000000014</v>
      </c>
      <c r="AM232" s="27">
        <f>SUM(K232,M232,O232,Q232,S232)</f>
        <v>15.950000000000001</v>
      </c>
      <c r="AN232" s="27">
        <f>SUM(J232,V232,X232,Z232,AB232,AD232,AF232,AH232)</f>
        <v>104.093</v>
      </c>
      <c r="AO232" s="27">
        <f>SUM(L232,N232,P232,R232,T232)</f>
        <v>29.481999999999999</v>
      </c>
      <c r="AP232" s="30">
        <f>SUM(AG232,AE232,AC232,AA232,Y232,W232,U232,I232)/D232</f>
        <v>0.81442699243746364</v>
      </c>
      <c r="AQ232" s="30">
        <f>SUM(K232,M232,O232,Q232,S232)/D232</f>
        <v>0.18557300756253636</v>
      </c>
      <c r="AR232" s="30">
        <f>D232/H232</f>
        <v>0.64345873104997187</v>
      </c>
      <c r="AS232" s="30">
        <f>AL232/AN232</f>
        <v>0.6724755747264467</v>
      </c>
      <c r="AT232" s="30">
        <f>AM232/AO232</f>
        <v>0.54100807272233908</v>
      </c>
      <c r="AU232" s="35">
        <f>(((H232/2) - SQRT((H232/2)^2 - 4 * D232)) / 2)</f>
        <v>1.3127191708246428</v>
      </c>
      <c r="AV232" s="27">
        <f>(((H232/2) + SQRT((H232/2)^2 - 4 * D232)) / 2)</f>
        <v>65.474780829175359</v>
      </c>
      <c r="AW232" s="27">
        <f>AU232*2.7*2+AV232*2.7*2</f>
        <v>360.65250000000003</v>
      </c>
      <c r="AX232" s="30">
        <f>AW232/D232</f>
        <v>4.1960732984293196</v>
      </c>
      <c r="AY232" s="30"/>
    </row>
    <row r="233" spans="2:51" x14ac:dyDescent="0.25">
      <c r="B233" s="36" t="s">
        <v>42</v>
      </c>
      <c r="C233" t="s">
        <v>71</v>
      </c>
      <c r="D233" s="37">
        <f>SUM(I233,K233,M233,O233,Q233,S233,U233,W233,Y233,AA233,AC233,AE233,AG233)</f>
        <v>80.680000000000007</v>
      </c>
      <c r="E233" s="38">
        <f>COUNTA(U233,W233,Y233,AA233)</f>
        <v>4</v>
      </c>
      <c r="F233" s="38">
        <f>COUNTA(M233,O233,Q233)</f>
        <v>1</v>
      </c>
      <c r="G233" s="38">
        <f>COUNTA(Table1[[#This Row],[A ASEO]])</f>
        <v>0</v>
      </c>
      <c r="H233" s="1">
        <f>SUM(J233,L233,N233,P233,R233,T233,V233,X233,Z233,AB233,AD233,AF233,AH233)</f>
        <v>125.4674</v>
      </c>
      <c r="I233" s="1">
        <v>20.77</v>
      </c>
      <c r="J233" s="1">
        <f>I233*1.34</f>
        <v>27.831800000000001</v>
      </c>
      <c r="K233" s="1">
        <v>11.05</v>
      </c>
      <c r="L233" s="1">
        <f>K233*1.34</f>
        <v>14.807000000000002</v>
      </c>
      <c r="M233" s="1">
        <v>4.16</v>
      </c>
      <c r="N233" s="1">
        <f>M233*2.36</f>
        <v>9.8176000000000005</v>
      </c>
      <c r="O233" s="1"/>
      <c r="P233" s="1"/>
      <c r="Q233" s="1"/>
      <c r="R233" s="1"/>
      <c r="S233" s="1"/>
      <c r="T233" s="1"/>
      <c r="U233" s="1">
        <v>12</v>
      </c>
      <c r="V233" s="1">
        <f>U233*1.34</f>
        <v>16.080000000000002</v>
      </c>
      <c r="W233" s="1">
        <v>8.6</v>
      </c>
      <c r="X233" s="1">
        <f>W233*1.34</f>
        <v>11.524000000000001</v>
      </c>
      <c r="Y233" s="1">
        <v>7.44</v>
      </c>
      <c r="Z233" s="1">
        <f>Y233*1.34</f>
        <v>9.9696000000000016</v>
      </c>
      <c r="AA233" s="1">
        <v>7.36</v>
      </c>
      <c r="AB233" s="1">
        <f>AA233*1.34</f>
        <v>9.8624000000000009</v>
      </c>
      <c r="AC233" s="1">
        <v>2.73</v>
      </c>
      <c r="AD233" s="1">
        <f>AC233*2.75</f>
        <v>7.5075000000000003</v>
      </c>
      <c r="AE233" s="1">
        <v>6.57</v>
      </c>
      <c r="AF233" s="1">
        <f>AE233*2.75</f>
        <v>18.067500000000003</v>
      </c>
      <c r="AG233" s="1"/>
      <c r="AH233" s="1"/>
      <c r="AI233" s="39"/>
      <c r="AJ233" s="39"/>
      <c r="AK233" s="34"/>
      <c r="AL233" s="27">
        <f>SUM(I233,U233,W233,Y233,AA233,AC233,AE233,AG233)</f>
        <v>65.47</v>
      </c>
      <c r="AM233" s="27">
        <f>SUM(K233,M233,O233,Q233,S233)</f>
        <v>15.21</v>
      </c>
      <c r="AN233" s="27">
        <f>SUM(J233,V233,X233,Z233,AB233,AD233,AF233,AH233)</f>
        <v>100.84279999999998</v>
      </c>
      <c r="AO233" s="27">
        <f>SUM(L233,N233,P233,R233,T233)</f>
        <v>24.624600000000001</v>
      </c>
      <c r="AP233" s="30">
        <f>SUM(AG233,AE233,AC233,AA233,Y233,W233,U233,I233)/D233</f>
        <v>0.81147744174516601</v>
      </c>
      <c r="AQ233" s="30">
        <f>SUM(K233,M233,O233,Q233,S233)/D233</f>
        <v>0.18852255825483391</v>
      </c>
      <c r="AR233" s="30">
        <f>D233/H233</f>
        <v>0.64303556142870588</v>
      </c>
      <c r="AS233" s="30">
        <f>AL233/AN233</f>
        <v>0.64922830385510921</v>
      </c>
      <c r="AT233" s="30">
        <f>AM233/AO233</f>
        <v>0.61767500791891039</v>
      </c>
      <c r="AU233" s="35">
        <f>(((H233/2) - SQRT((H233/2)^2 - 4 * D233)) / 2)</f>
        <v>1.3135759866333352</v>
      </c>
      <c r="AV233" s="27">
        <f>(((H233/2) + SQRT((H233/2)^2 - 4 * D233)) / 2)</f>
        <v>61.42012401336666</v>
      </c>
      <c r="AW233" s="27">
        <f>AU233*2.7*2+AV233*2.7*2</f>
        <v>338.76197999999999</v>
      </c>
      <c r="AX233" s="30">
        <f>AW233/D233</f>
        <v>4.198834655428854</v>
      </c>
      <c r="AY233" s="30"/>
    </row>
    <row r="234" spans="2:51" x14ac:dyDescent="0.25">
      <c r="B234" s="36" t="s">
        <v>42</v>
      </c>
      <c r="C234" t="s">
        <v>129</v>
      </c>
      <c r="D234" s="37">
        <f>SUM(I234,K234,M234,O234,Q234,S234,U234,W234,Y234,AA234,AC234,AE234,AG234)</f>
        <v>100.20000000000002</v>
      </c>
      <c r="E234" s="38">
        <f>COUNTA(U234,W234,Y234,AA234)</f>
        <v>4</v>
      </c>
      <c r="F234" s="38">
        <f>COUNTA(M234,O234,Q234)</f>
        <v>3</v>
      </c>
      <c r="G234" s="38">
        <f>COUNTA(Table1[[#This Row],[A ASEO]])</f>
        <v>0</v>
      </c>
      <c r="H234" s="1">
        <f>SUM(J234,L234,N234,P234,R234,T234,V234,X234,Z234,AB234,AD234,AF234,AH234)</f>
        <v>155.85000000000002</v>
      </c>
      <c r="I234" s="1">
        <v>25.9</v>
      </c>
      <c r="J234" s="1">
        <f>I234*1.34</f>
        <v>34.706000000000003</v>
      </c>
      <c r="K234" s="1">
        <v>11.1</v>
      </c>
      <c r="L234" s="1">
        <f>K234*1.34</f>
        <v>14.874000000000001</v>
      </c>
      <c r="M234" s="1">
        <v>4</v>
      </c>
      <c r="N234" s="1">
        <f>M234*2.36</f>
        <v>9.44</v>
      </c>
      <c r="O234" s="1">
        <v>3.7</v>
      </c>
      <c r="P234" s="1">
        <f>O234*2.36</f>
        <v>8.7319999999999993</v>
      </c>
      <c r="Q234" s="1">
        <v>2.4</v>
      </c>
      <c r="R234" s="1">
        <f>Q234*2.36</f>
        <v>5.6639999999999997</v>
      </c>
      <c r="S234" s="1"/>
      <c r="T234" s="1"/>
      <c r="U234" s="1">
        <v>13.3</v>
      </c>
      <c r="V234" s="1">
        <f>U234*1.34</f>
        <v>17.822000000000003</v>
      </c>
      <c r="W234" s="1">
        <v>13</v>
      </c>
      <c r="X234" s="1">
        <f>W234*1.34</f>
        <v>17.420000000000002</v>
      </c>
      <c r="Y234" s="1">
        <v>9.4</v>
      </c>
      <c r="Z234" s="1">
        <f>Y234*1.34</f>
        <v>12.596000000000002</v>
      </c>
      <c r="AA234" s="1">
        <v>9.4</v>
      </c>
      <c r="AB234" s="1">
        <f>AA234*1.34</f>
        <v>12.596000000000002</v>
      </c>
      <c r="AC234" s="1">
        <v>5</v>
      </c>
      <c r="AD234" s="1">
        <f>AC234*2.75</f>
        <v>13.75</v>
      </c>
      <c r="AE234" s="1">
        <v>3</v>
      </c>
      <c r="AF234" s="1">
        <f>AE234*2.75</f>
        <v>8.25</v>
      </c>
      <c r="AG234" s="1"/>
      <c r="AH234" s="1"/>
      <c r="AI234" s="39">
        <v>19.5</v>
      </c>
      <c r="AJ234" s="39">
        <f>AI234*0.6</f>
        <v>11.7</v>
      </c>
      <c r="AK234" s="34"/>
      <c r="AL234" s="27">
        <f>SUM(I234,U234,W234,Y234,AA234,AC234,AE234,AG234)</f>
        <v>79</v>
      </c>
      <c r="AM234" s="27">
        <f>SUM(K234,M234,O234,Q234,S234)</f>
        <v>21.2</v>
      </c>
      <c r="AN234" s="27">
        <f>SUM(J234,V234,X234,Z234,AB234,AD234,AF234,AH234)</f>
        <v>117.14000000000001</v>
      </c>
      <c r="AO234" s="27">
        <f>SUM(L234,N234,P234,R234,T234)</f>
        <v>38.71</v>
      </c>
      <c r="AP234" s="30">
        <f>SUM(AG234,AE234,AC234,AA234,Y234,W234,U234,I234)/D234</f>
        <v>0.78842315369261462</v>
      </c>
      <c r="AQ234" s="30">
        <f>SUM(K234,M234,O234,Q234,S234)/D234</f>
        <v>0.21157684630738519</v>
      </c>
      <c r="AR234" s="30">
        <f>D234/H234</f>
        <v>0.64292589027911451</v>
      </c>
      <c r="AS234" s="30">
        <f>AL234/AN234</f>
        <v>0.67440669284616694</v>
      </c>
      <c r="AT234" s="30">
        <f>AM234/AO234</f>
        <v>0.54766210281580985</v>
      </c>
      <c r="AU234" s="35">
        <f>(((H234/2) - SQRT((H234/2)^2 - 4 * D234)) / 2)</f>
        <v>1.3078003431178615</v>
      </c>
      <c r="AV234" s="27">
        <f>(((H234/2) + SQRT((H234/2)^2 - 4 * D234)) / 2)</f>
        <v>76.61719965688215</v>
      </c>
      <c r="AW234" s="27">
        <f>AU234*2.7*2+AV234*2.7*2</f>
        <v>420.79500000000013</v>
      </c>
      <c r="AX234" s="30">
        <f>AW234/D234</f>
        <v>4.1995508982035936</v>
      </c>
      <c r="AY234" s="30"/>
    </row>
    <row r="235" spans="2:51" x14ac:dyDescent="0.25">
      <c r="B235" s="36" t="s">
        <v>42</v>
      </c>
      <c r="C235" t="s">
        <v>71</v>
      </c>
      <c r="D235" s="37">
        <f>SUM(I235,K235,M235,O235,Q235,S235,U235,W235,Y235,AA235,AC235,AE235,AG235)</f>
        <v>79.010000000000019</v>
      </c>
      <c r="E235" s="38">
        <f>COUNTA(U235,W235,Y235,AA235)</f>
        <v>4</v>
      </c>
      <c r="F235" s="38">
        <f>COUNTA(M235,O235,Q235)</f>
        <v>1</v>
      </c>
      <c r="G235" s="38">
        <f>COUNTA(Table1[[#This Row],[A ASEO]])</f>
        <v>0</v>
      </c>
      <c r="H235" s="1">
        <f>SUM(J235,L235,N235,P235,R235,T235,V235,X235,Z235,AB235,AD235,AF235,AH235)</f>
        <v>122.98990000000003</v>
      </c>
      <c r="I235" s="1">
        <v>20.92</v>
      </c>
      <c r="J235" s="1">
        <f>I235*1.34</f>
        <v>28.032800000000005</v>
      </c>
      <c r="K235" s="1">
        <v>9.4</v>
      </c>
      <c r="L235" s="1">
        <f>K235*1.34</f>
        <v>12.596000000000002</v>
      </c>
      <c r="M235" s="1">
        <v>4.16</v>
      </c>
      <c r="N235" s="1">
        <f>M235*2.36</f>
        <v>9.8176000000000005</v>
      </c>
      <c r="O235" s="1"/>
      <c r="P235" s="1"/>
      <c r="Q235" s="1"/>
      <c r="R235" s="1"/>
      <c r="S235" s="1"/>
      <c r="T235" s="1"/>
      <c r="U235" s="1">
        <v>12</v>
      </c>
      <c r="V235" s="1">
        <f>U235*1.34</f>
        <v>16.080000000000002</v>
      </c>
      <c r="W235" s="1">
        <v>8.6</v>
      </c>
      <c r="X235" s="1">
        <f>W235*1.34</f>
        <v>11.524000000000001</v>
      </c>
      <c r="Y235" s="1">
        <v>7.44</v>
      </c>
      <c r="Z235" s="1">
        <f>Y235*1.34</f>
        <v>9.9696000000000016</v>
      </c>
      <c r="AA235" s="1">
        <v>7.36</v>
      </c>
      <c r="AB235" s="1">
        <f>AA235*1.34</f>
        <v>9.8624000000000009</v>
      </c>
      <c r="AC235" s="1">
        <v>2.56</v>
      </c>
      <c r="AD235" s="1">
        <f>AC235*2.75</f>
        <v>7.04</v>
      </c>
      <c r="AE235" s="1">
        <v>6.57</v>
      </c>
      <c r="AF235" s="1">
        <f>AE235*2.75</f>
        <v>18.067500000000003</v>
      </c>
      <c r="AG235" s="1"/>
      <c r="AH235" s="1"/>
      <c r="AI235" s="39"/>
      <c r="AJ235" s="39"/>
      <c r="AK235" s="34"/>
      <c r="AL235" s="27">
        <f>SUM(I235,U235,W235,Y235,AA235,AC235,AE235,AG235)</f>
        <v>65.45</v>
      </c>
      <c r="AM235" s="27">
        <f>SUM(K235,M235,O235,Q235,S235)</f>
        <v>13.56</v>
      </c>
      <c r="AN235" s="27">
        <f>SUM(J235,V235,X235,Z235,AB235,AD235,AF235,AH235)</f>
        <v>100.57630000000003</v>
      </c>
      <c r="AO235" s="27">
        <f>SUM(L235,N235,P235,R235,T235)</f>
        <v>22.413600000000002</v>
      </c>
      <c r="AP235" s="30">
        <f>SUM(AG235,AE235,AC235,AA235,Y235,W235,U235,I235)/D235</f>
        <v>0.82837615491709893</v>
      </c>
      <c r="AQ235" s="30">
        <f>SUM(K235,M235,O235,Q235,S235)/D235</f>
        <v>0.17162384508290085</v>
      </c>
      <c r="AR235" s="30">
        <f>D235/H235</f>
        <v>0.64241047435602439</v>
      </c>
      <c r="AS235" s="30">
        <f>AL235/AN235</f>
        <v>0.65074972930998642</v>
      </c>
      <c r="AT235" s="30">
        <f>AM235/AO235</f>
        <v>0.60498982760466857</v>
      </c>
      <c r="AU235" s="35">
        <f>(((H235/2) - SQRT((H235/2)^2 - 4 * D235)) / 2)</f>
        <v>1.312848811179034</v>
      </c>
      <c r="AV235" s="27">
        <f>(((H235/2) + SQRT((H235/2)^2 - 4 * D235)) / 2)</f>
        <v>60.18210118882098</v>
      </c>
      <c r="AW235" s="27">
        <f>AU235*2.7*2+AV235*2.7*2</f>
        <v>332.07273000000009</v>
      </c>
      <c r="AX235" s="30">
        <f>AW235/D235</f>
        <v>4.2029202632578153</v>
      </c>
      <c r="AY235" s="30"/>
    </row>
    <row r="236" spans="2:51" x14ac:dyDescent="0.25">
      <c r="B236" s="36" t="s">
        <v>42</v>
      </c>
      <c r="C236" t="s">
        <v>65</v>
      </c>
      <c r="D236" s="37">
        <f>SUM(I236,K236,M236,O236,Q236,S236,U236,W236,Y236,AA236,AC236,AE236,AG236)</f>
        <v>91.460000000000022</v>
      </c>
      <c r="E236" s="38">
        <f>COUNTA(U236,W236,Y236,AA236)</f>
        <v>4</v>
      </c>
      <c r="F236" s="38">
        <f>COUNTA(M236,O236,Q236)</f>
        <v>2</v>
      </c>
      <c r="G236" s="38">
        <f>COUNTA(Table1[[#This Row],[A ASEO]])</f>
        <v>0</v>
      </c>
      <c r="H236" s="1">
        <f>SUM(J236,L236,N236,P236,R236,T236,V236,X236,Z236,AB236,AD236,AF236,AH236)</f>
        <v>142.59640000000002</v>
      </c>
      <c r="I236" s="1">
        <v>24.32</v>
      </c>
      <c r="J236" s="1">
        <f>I236*1.34</f>
        <v>32.588799999999999</v>
      </c>
      <c r="K236" s="1">
        <v>8.6300000000000008</v>
      </c>
      <c r="L236" s="1">
        <f>K236*1.34</f>
        <v>11.564200000000001</v>
      </c>
      <c r="M236" s="1">
        <v>5.35</v>
      </c>
      <c r="N236" s="1">
        <f>M236*2.36</f>
        <v>12.625999999999998</v>
      </c>
      <c r="O236" s="1">
        <v>4.66</v>
      </c>
      <c r="P236" s="1">
        <f>O236*2.36</f>
        <v>10.9976</v>
      </c>
      <c r="Q236" s="1"/>
      <c r="R236" s="1"/>
      <c r="S236" s="1"/>
      <c r="T236" s="1"/>
      <c r="U236" s="1">
        <v>14.65</v>
      </c>
      <c r="V236" s="1">
        <f>U236*1.34</f>
        <v>19.631</v>
      </c>
      <c r="W236" s="1">
        <v>8.94</v>
      </c>
      <c r="X236" s="1">
        <f>W236*1.34</f>
        <v>11.9796</v>
      </c>
      <c r="Y236" s="1">
        <v>8.56</v>
      </c>
      <c r="Z236" s="1">
        <f>Y236*1.34</f>
        <v>11.470400000000001</v>
      </c>
      <c r="AA236" s="1">
        <v>8.51</v>
      </c>
      <c r="AB236" s="1">
        <f>AA236*1.34</f>
        <v>11.4034</v>
      </c>
      <c r="AC236" s="1"/>
      <c r="AD236" s="1"/>
      <c r="AE236" s="1">
        <v>4.7</v>
      </c>
      <c r="AF236" s="1">
        <f>AE236*2.75</f>
        <v>12.925000000000001</v>
      </c>
      <c r="AG236" s="1">
        <v>3.14</v>
      </c>
      <c r="AH236" s="1">
        <f>AG236*2.36</f>
        <v>7.4104000000000001</v>
      </c>
      <c r="AI236" s="39"/>
      <c r="AJ236" s="39"/>
      <c r="AK236" s="34"/>
      <c r="AL236" s="27">
        <f>SUM(I236,U236,W236,Y236,AA236,AC236,AE236,AG236)</f>
        <v>72.820000000000007</v>
      </c>
      <c r="AM236" s="27">
        <f>SUM(K236,M236,O236,Q236,S236)</f>
        <v>18.64</v>
      </c>
      <c r="AN236" s="27">
        <f>SUM(J236,V236,X236,Z236,AB236,AD236,AF236,AH236)</f>
        <v>107.40859999999999</v>
      </c>
      <c r="AO236" s="27">
        <f>SUM(L236,N236,P236,R236,T236)</f>
        <v>35.187799999999996</v>
      </c>
      <c r="AP236" s="30">
        <f>SUM(AG236,AE236,AC236,AA236,Y236,W236,U236,I236)/D236</f>
        <v>0.79619505794882983</v>
      </c>
      <c r="AQ236" s="30">
        <f>SUM(K236,M236,O236,Q236,S236)/D236</f>
        <v>0.20380494205116986</v>
      </c>
      <c r="AR236" s="30">
        <f>D236/H236</f>
        <v>0.64139066624402863</v>
      </c>
      <c r="AS236" s="30">
        <f>AL236/AN236</f>
        <v>0.67797178252020796</v>
      </c>
      <c r="AT236" s="30">
        <f>AM236/AO236</f>
        <v>0.52972905381978985</v>
      </c>
      <c r="AU236" s="35">
        <f>(((H236/2) - SQRT((H236/2)^2 - 4 * D236)) / 2)</f>
        <v>1.3067306756508117</v>
      </c>
      <c r="AV236" s="27">
        <f>(((H236/2) + SQRT((H236/2)^2 - 4 * D236)) / 2)</f>
        <v>69.991469324349197</v>
      </c>
      <c r="AW236" s="27">
        <f>AU236*2.7*2+AV236*2.7*2</f>
        <v>385.01028000000008</v>
      </c>
      <c r="AX236" s="30">
        <f>AW236/D236</f>
        <v>4.2096028865077626</v>
      </c>
      <c r="AY236" s="30"/>
    </row>
    <row r="237" spans="2:51" x14ac:dyDescent="0.25">
      <c r="B237" s="36" t="s">
        <v>42</v>
      </c>
      <c r="C237" t="s">
        <v>71</v>
      </c>
      <c r="D237" s="37">
        <f>SUM(I237,K237,M237,O237,Q237,S237,U237,W237,Y237,AA237,AC237,AE237,AG237)</f>
        <v>82.240000000000009</v>
      </c>
      <c r="E237" s="38">
        <f>COUNTA(U237,W237,Y237,AA237)</f>
        <v>4</v>
      </c>
      <c r="F237" s="38">
        <f>COUNTA(M237,O237,Q237)</f>
        <v>1</v>
      </c>
      <c r="G237" s="38">
        <f>COUNTA(Table1[[#This Row],[A ASEO]])</f>
        <v>0</v>
      </c>
      <c r="H237" s="1">
        <f>SUM(J237,L237,N237,P237,R237,T237,V237,X237,Z237,AB237,AD237,AF237,AH237)</f>
        <v>128.5307</v>
      </c>
      <c r="I237" s="1">
        <v>21.18</v>
      </c>
      <c r="J237" s="1">
        <f>I237*1.34</f>
        <v>28.3812</v>
      </c>
      <c r="K237" s="1">
        <v>11.51</v>
      </c>
      <c r="L237" s="1">
        <f>K237*1.34</f>
        <v>15.423400000000001</v>
      </c>
      <c r="M237" s="1">
        <v>4.16</v>
      </c>
      <c r="N237" s="1">
        <f>M237*2.36</f>
        <v>9.8176000000000005</v>
      </c>
      <c r="O237" s="1"/>
      <c r="P237" s="1"/>
      <c r="Q237" s="1"/>
      <c r="R237" s="1"/>
      <c r="S237" s="1"/>
      <c r="T237" s="1"/>
      <c r="U237" s="1">
        <v>12</v>
      </c>
      <c r="V237" s="1">
        <f>U237*1.34</f>
        <v>16.080000000000002</v>
      </c>
      <c r="W237" s="1">
        <v>8.6</v>
      </c>
      <c r="X237" s="1">
        <f>W237*1.34</f>
        <v>11.524000000000001</v>
      </c>
      <c r="Y237" s="1">
        <v>7.44</v>
      </c>
      <c r="Z237" s="1">
        <f>Y237*1.34</f>
        <v>9.9696000000000016</v>
      </c>
      <c r="AA237" s="1">
        <v>7.36</v>
      </c>
      <c r="AB237" s="1">
        <f>AA237*1.34</f>
        <v>9.8624000000000009</v>
      </c>
      <c r="AC237" s="1">
        <v>3.42</v>
      </c>
      <c r="AD237" s="1">
        <f>AC237*2.75</f>
        <v>9.4049999999999994</v>
      </c>
      <c r="AE237" s="1">
        <v>6.57</v>
      </c>
      <c r="AF237" s="1">
        <f>AE237*2.75</f>
        <v>18.067500000000003</v>
      </c>
      <c r="AG237" s="1"/>
      <c r="AH237" s="1"/>
      <c r="AI237" s="39"/>
      <c r="AJ237" s="39"/>
      <c r="AK237" s="34"/>
      <c r="AL237" s="27">
        <f>SUM(I237,U237,W237,Y237,AA237,AC237,AE237,AG237)</f>
        <v>66.569999999999993</v>
      </c>
      <c r="AM237" s="27">
        <f>SUM(K237,M237,O237,Q237,S237)</f>
        <v>15.67</v>
      </c>
      <c r="AN237" s="27">
        <f>SUM(J237,V237,X237,Z237,AB237,AD237,AF237,AH237)</f>
        <v>103.28970000000001</v>
      </c>
      <c r="AO237" s="27">
        <f>SUM(L237,N237,P237,R237,T237)</f>
        <v>25.241</v>
      </c>
      <c r="AP237" s="30">
        <f>SUM(AG237,AE237,AC237,AA237,Y237,W237,U237,I237)/D237</f>
        <v>0.8094601167315173</v>
      </c>
      <c r="AQ237" s="30">
        <f>SUM(K237,M237,O237,Q237,S237)/D237</f>
        <v>0.19053988326848248</v>
      </c>
      <c r="AR237" s="30">
        <f>D237/H237</f>
        <v>0.63984713379760638</v>
      </c>
      <c r="AS237" s="30">
        <f>AL237/AN237</f>
        <v>0.64449795090894824</v>
      </c>
      <c r="AT237" s="30">
        <f>AM237/AO237</f>
        <v>0.6208153401212313</v>
      </c>
      <c r="AU237" s="35">
        <f>(((H237/2) - SQRT((H237/2)^2 - 4 * D237)) / 2)</f>
        <v>1.3062447386864946</v>
      </c>
      <c r="AV237" s="27">
        <f>(((H237/2) + SQRT((H237/2)^2 - 4 * D237)) / 2)</f>
        <v>62.959105261313503</v>
      </c>
      <c r="AW237" s="27">
        <f>AU237*2.7*2+AV237*2.7*2</f>
        <v>347.03289000000001</v>
      </c>
      <c r="AX237" s="30">
        <f>AW237/D237</f>
        <v>4.2197579036964976</v>
      </c>
      <c r="AY237" s="30"/>
    </row>
    <row r="238" spans="2:51" x14ac:dyDescent="0.25">
      <c r="B238" s="36" t="s">
        <v>42</v>
      </c>
      <c r="C238" t="s">
        <v>77</v>
      </c>
      <c r="D238" s="37">
        <f>SUM(I238,K238,M238,O238,Q238,S238,U238,W238,Y238,AA238,AC238,AE238,AG238)</f>
        <v>83.600000000000009</v>
      </c>
      <c r="E238" s="38">
        <f>COUNTA(U238,W238,Y238,AA238)</f>
        <v>4</v>
      </c>
      <c r="F238" s="38">
        <f>COUNTA(M238,O238,Q238)</f>
        <v>2</v>
      </c>
      <c r="G238" s="38">
        <f>COUNTA(Table1[[#This Row],[A ASEO]])</f>
        <v>0</v>
      </c>
      <c r="H238" s="1">
        <f>SUM(J238,L238,N238,P238,R238,T238,V238,X238,Z238,AB238,AD238,AF238,AH238)</f>
        <v>130.88200000000001</v>
      </c>
      <c r="I238" s="1">
        <v>20.149999999999999</v>
      </c>
      <c r="J238" s="1">
        <f>I238*1.34</f>
        <v>27.001000000000001</v>
      </c>
      <c r="K238" s="1">
        <v>7</v>
      </c>
      <c r="L238" s="1">
        <f>K238*1.34</f>
        <v>9.3800000000000008</v>
      </c>
      <c r="M238" s="1">
        <v>3.5</v>
      </c>
      <c r="N238" s="1">
        <f>M238*2.36</f>
        <v>8.26</v>
      </c>
      <c r="O238" s="1">
        <v>3.1</v>
      </c>
      <c r="P238" s="1">
        <f>O238*2.36</f>
        <v>7.3159999999999998</v>
      </c>
      <c r="Q238" s="1"/>
      <c r="R238" s="1"/>
      <c r="S238" s="1"/>
      <c r="T238" s="1"/>
      <c r="U238" s="1">
        <v>13.2</v>
      </c>
      <c r="V238" s="1">
        <f>U238*1.34</f>
        <v>17.687999999999999</v>
      </c>
      <c r="W238" s="1">
        <v>10.95</v>
      </c>
      <c r="X238" s="1">
        <f>W238*1.34</f>
        <v>14.673</v>
      </c>
      <c r="Y238" s="1">
        <v>8.9499999999999993</v>
      </c>
      <c r="Z238" s="1">
        <f>Y238*1.34</f>
        <v>11.993</v>
      </c>
      <c r="AA238" s="1">
        <v>8.15</v>
      </c>
      <c r="AB238" s="1">
        <f>AA238*1.34</f>
        <v>10.921000000000001</v>
      </c>
      <c r="AC238" s="1">
        <v>2.5</v>
      </c>
      <c r="AD238" s="1">
        <f>AC238*2.75</f>
        <v>6.875</v>
      </c>
      <c r="AE238" s="1">
        <v>6.1</v>
      </c>
      <c r="AF238" s="1">
        <f>AE238*2.75</f>
        <v>16.774999999999999</v>
      </c>
      <c r="AG238" s="1"/>
      <c r="AH238" s="1"/>
      <c r="AI238" s="39"/>
      <c r="AJ238" s="39"/>
      <c r="AK238" s="34"/>
      <c r="AL238" s="27">
        <f>SUM(I238,U238,W238,Y238,AA238,AC238,AE238,AG238)</f>
        <v>70</v>
      </c>
      <c r="AM238" s="27">
        <f>SUM(K238,M238,O238,Q238,S238)</f>
        <v>13.6</v>
      </c>
      <c r="AN238" s="27">
        <f>SUM(J238,V238,X238,Z238,AB238,AD238,AF238,AH238)</f>
        <v>105.92600000000002</v>
      </c>
      <c r="AO238" s="27">
        <f>SUM(L238,N238,P238,R238,T238)</f>
        <v>24.956</v>
      </c>
      <c r="AP238" s="30">
        <f>SUM(AG238,AE238,AC238,AA238,Y238,W238,U238,I238)/D238</f>
        <v>0.83732057416267935</v>
      </c>
      <c r="AQ238" s="30">
        <f>SUM(K238,M238,O238,Q238,S238)/D238</f>
        <v>0.16267942583732056</v>
      </c>
      <c r="AR238" s="30">
        <f>D238/H238</f>
        <v>0.63874329548753839</v>
      </c>
      <c r="AS238" s="30">
        <f>AL238/AN238</f>
        <v>0.66083869871419665</v>
      </c>
      <c r="AT238" s="30">
        <f>AM238/AO238</f>
        <v>0.54495912806539504</v>
      </c>
      <c r="AU238" s="35">
        <f>(((H238/2) - SQRT((H238/2)^2 - 4 * D238)) / 2)</f>
        <v>1.3034485748582689</v>
      </c>
      <c r="AV238" s="27">
        <f>(((H238/2) + SQRT((H238/2)^2 - 4 * D238)) / 2)</f>
        <v>64.137551425141737</v>
      </c>
      <c r="AW238" s="27">
        <f>AU238*2.7*2+AV238*2.7*2</f>
        <v>353.38140000000004</v>
      </c>
      <c r="AX238" s="30">
        <f>AW238/D238</f>
        <v>4.2270502392344502</v>
      </c>
      <c r="AY238" s="30"/>
    </row>
    <row r="239" spans="2:51" x14ac:dyDescent="0.25">
      <c r="B239" s="36" t="s">
        <v>42</v>
      </c>
      <c r="C239" t="s">
        <v>69</v>
      </c>
      <c r="D239" s="37">
        <f>SUM(I239,K239,M239,O239,Q239,S239,U239,W239,Y239,AA239,AC239,AE239,AG239)</f>
        <v>82.34</v>
      </c>
      <c r="E239" s="38">
        <f>COUNTA(U239,W239,Y239,AA239)</f>
        <v>4</v>
      </c>
      <c r="F239" s="38">
        <f>COUNTA(M239,O239,Q239)</f>
        <v>1</v>
      </c>
      <c r="G239" s="38">
        <f>COUNTA(Table1[[#This Row],[A ASEO]])</f>
        <v>0</v>
      </c>
      <c r="H239" s="1">
        <f>SUM(J239,L239,N239,P239,R239,T239,V239,X239,Z239,AB239,AD239,AF239,AH239)</f>
        <v>129.24610000000001</v>
      </c>
      <c r="I239" s="1">
        <v>20.51</v>
      </c>
      <c r="J239" s="1">
        <f>I239*1.34</f>
        <v>27.483400000000003</v>
      </c>
      <c r="K239" s="1">
        <v>10.36</v>
      </c>
      <c r="L239" s="1">
        <f>K239*1.34</f>
        <v>13.882400000000001</v>
      </c>
      <c r="M239" s="1">
        <v>3.79</v>
      </c>
      <c r="N239" s="1">
        <f>M239*2.36</f>
        <v>8.9443999999999999</v>
      </c>
      <c r="O239" s="1"/>
      <c r="P239" s="1"/>
      <c r="Q239" s="1"/>
      <c r="R239" s="1"/>
      <c r="S239" s="1"/>
      <c r="T239" s="1"/>
      <c r="U239" s="1">
        <v>10.55</v>
      </c>
      <c r="V239" s="1">
        <f>U239*1.34</f>
        <v>14.137000000000002</v>
      </c>
      <c r="W239" s="1">
        <v>10.53</v>
      </c>
      <c r="X239" s="1">
        <f>W239*1.34</f>
        <v>14.110200000000001</v>
      </c>
      <c r="Y239" s="1">
        <v>8.0299999999999994</v>
      </c>
      <c r="Z239" s="1">
        <f>Y239*1.34</f>
        <v>10.760199999999999</v>
      </c>
      <c r="AA239" s="1">
        <v>7.9</v>
      </c>
      <c r="AB239" s="1">
        <f>AA239*1.34</f>
        <v>10.586</v>
      </c>
      <c r="AC239" s="1">
        <v>5.46</v>
      </c>
      <c r="AD239" s="1">
        <f>AC239*2.75</f>
        <v>15.015000000000001</v>
      </c>
      <c r="AE239" s="1">
        <v>5.21</v>
      </c>
      <c r="AF239" s="1">
        <f>AE239*2.75</f>
        <v>14.327500000000001</v>
      </c>
      <c r="AG239" s="1"/>
      <c r="AH239" s="1"/>
      <c r="AI239" s="39">
        <v>2.1</v>
      </c>
      <c r="AJ239" s="39">
        <f>AI239*0.6</f>
        <v>1.26</v>
      </c>
      <c r="AK239" s="34"/>
      <c r="AL239" s="27">
        <f>SUM(I239,U239,W239,Y239,AA239,AC239,AE239,AG239)</f>
        <v>68.19</v>
      </c>
      <c r="AM239" s="27">
        <f>SUM(K239,M239,O239,Q239,S239)</f>
        <v>14.149999999999999</v>
      </c>
      <c r="AN239" s="27">
        <f>SUM(J239,V239,X239,Z239,AB239,AD239,AF239,AH239)</f>
        <v>106.41930000000001</v>
      </c>
      <c r="AO239" s="27">
        <f>SUM(L239,N239,P239,R239,T239)</f>
        <v>22.826799999999999</v>
      </c>
      <c r="AP239" s="30">
        <f>SUM(AG239,AE239,AC239,AA239,Y239,W239,U239,I239)/D239</f>
        <v>0.82815156667476331</v>
      </c>
      <c r="AQ239" s="30">
        <f>SUM(K239,M239,O239,Q239,S239)/D239</f>
        <v>0.1718484333252368</v>
      </c>
      <c r="AR239" s="30">
        <f>D239/H239</f>
        <v>0.63707918459435131</v>
      </c>
      <c r="AS239" s="30">
        <f>AL239/AN239</f>
        <v>0.64076722925258855</v>
      </c>
      <c r="AT239" s="30">
        <f>AM239/AO239</f>
        <v>0.61988539786566665</v>
      </c>
      <c r="AU239" s="35">
        <f>(((H239/2) - SQRT((H239/2)^2 - 4 * D239)) / 2)</f>
        <v>1.3003230267512862</v>
      </c>
      <c r="AV239" s="27">
        <f>(((H239/2) + SQRT((H239/2)^2 - 4 * D239)) / 2)</f>
        <v>63.32272697324872</v>
      </c>
      <c r="AW239" s="27">
        <f>AU239*2.7*2+AV239*2.7*2</f>
        <v>348.96447000000001</v>
      </c>
      <c r="AX239" s="30">
        <f>AW239/D239</f>
        <v>4.2380916929803254</v>
      </c>
      <c r="AY239" s="30"/>
    </row>
    <row r="240" spans="2:51" x14ac:dyDescent="0.25">
      <c r="B240" s="36" t="s">
        <v>42</v>
      </c>
      <c r="C240" t="s">
        <v>55</v>
      </c>
      <c r="D240" s="37">
        <f>SUM(I240,K240,M240,O240,Q240,S240,U240,W240,Y240,AA240,AC240,AE240,AG240)</f>
        <v>79.259999999999991</v>
      </c>
      <c r="E240" s="38">
        <f>COUNTA(U240,W240,Y240,AA240)</f>
        <v>4</v>
      </c>
      <c r="F240" s="38">
        <f>COUNTA(M240,O240,Q240)</f>
        <v>1</v>
      </c>
      <c r="G240" s="38">
        <f>COUNTA(Table1[[#This Row],[A ASEO]])</f>
        <v>0</v>
      </c>
      <c r="H240" s="1">
        <f>SUM(J240,L240,N240,P240,R240,T240,V240,X240,Z240,AB240,AD240,AF240,AH240)</f>
        <v>124.73010000000002</v>
      </c>
      <c r="I240" s="1">
        <v>19.82</v>
      </c>
      <c r="J240" s="1">
        <f>I240*1.34</f>
        <v>26.558800000000002</v>
      </c>
      <c r="K240" s="1">
        <v>7.04</v>
      </c>
      <c r="L240" s="1">
        <f>K240*1.34</f>
        <v>9.4336000000000002</v>
      </c>
      <c r="M240" s="1">
        <v>4.57</v>
      </c>
      <c r="N240" s="1">
        <f>M240*2.36</f>
        <v>10.7852</v>
      </c>
      <c r="O240" s="1"/>
      <c r="P240" s="1"/>
      <c r="Q240" s="1"/>
      <c r="R240" s="1"/>
      <c r="S240" s="1"/>
      <c r="T240" s="1"/>
      <c r="U240" s="1">
        <v>13.93</v>
      </c>
      <c r="V240" s="1">
        <f>U240*1.34</f>
        <v>18.6662</v>
      </c>
      <c r="W240" s="1">
        <v>8.0500000000000007</v>
      </c>
      <c r="X240" s="1">
        <f>W240*1.34</f>
        <v>10.787000000000001</v>
      </c>
      <c r="Y240" s="1">
        <v>8.02</v>
      </c>
      <c r="Z240" s="1">
        <f>Y240*1.34</f>
        <v>10.7468</v>
      </c>
      <c r="AA240" s="1">
        <v>8</v>
      </c>
      <c r="AB240" s="1">
        <f>AA240*1.34</f>
        <v>10.72</v>
      </c>
      <c r="AC240" s="1">
        <v>1.1200000000000001</v>
      </c>
      <c r="AD240" s="1">
        <f>AC240*2.75</f>
        <v>3.08</v>
      </c>
      <c r="AE240" s="1">
        <v>8.7100000000000009</v>
      </c>
      <c r="AF240" s="1">
        <f>AE240*2.75</f>
        <v>23.952500000000001</v>
      </c>
      <c r="AG240" s="1"/>
      <c r="AH240" s="1"/>
      <c r="AI240" s="39"/>
      <c r="AJ240" s="39"/>
      <c r="AK240" s="34"/>
      <c r="AL240" s="27">
        <f>SUM(I240,U240,W240,Y240,AA240,AC240,AE240,AG240)</f>
        <v>67.649999999999991</v>
      </c>
      <c r="AM240" s="27">
        <f>SUM(K240,M240,O240,Q240,S240)</f>
        <v>11.61</v>
      </c>
      <c r="AN240" s="27">
        <f>SUM(J240,V240,X240,Z240,AB240,AD240,AF240,AH240)</f>
        <v>104.51130000000001</v>
      </c>
      <c r="AO240" s="27">
        <f>SUM(L240,N240,P240,R240,T240)</f>
        <v>20.218800000000002</v>
      </c>
      <c r="AP240" s="30">
        <f>SUM(AG240,AE240,AC240,AA240,Y240,W240,U240,I240)/D240</f>
        <v>0.85352006056018181</v>
      </c>
      <c r="AQ240" s="30">
        <f>SUM(K240,M240,O240,Q240,S240)/D240</f>
        <v>0.14647993943981832</v>
      </c>
      <c r="AR240" s="30">
        <f>D240/H240</f>
        <v>0.63545206810545307</v>
      </c>
      <c r="AS240" s="30">
        <f>AL240/AN240</f>
        <v>0.64729842610320598</v>
      </c>
      <c r="AT240" s="30">
        <f>AM240/AO240</f>
        <v>0.57421805448394558</v>
      </c>
      <c r="AU240" s="35">
        <f>(((H240/2) - SQRT((H240/2)^2 - 4 * D240)) / 2)</f>
        <v>1.2979158277918899</v>
      </c>
      <c r="AV240" s="27">
        <f>(((H240/2) + SQRT((H240/2)^2 - 4 * D240)) / 2)</f>
        <v>61.067134172208121</v>
      </c>
      <c r="AW240" s="27">
        <f>AU240*2.7*2+AV240*2.7*2</f>
        <v>336.77127000000007</v>
      </c>
      <c r="AX240" s="30">
        <f>AW240/D240</f>
        <v>4.2489436033308117</v>
      </c>
      <c r="AY240" s="30"/>
    </row>
    <row r="241" spans="2:51" x14ac:dyDescent="0.25">
      <c r="B241" s="36" t="s">
        <v>42</v>
      </c>
      <c r="C241" t="s">
        <v>77</v>
      </c>
      <c r="D241" s="37">
        <f>SUM(I241,K241,M241,O241,Q241,S241,U241,W241,Y241,AA241,AC241,AE241,AG241)</f>
        <v>89.449999999999989</v>
      </c>
      <c r="E241" s="38">
        <f>COUNTA(U241,W241,Y241,AA241)</f>
        <v>4</v>
      </c>
      <c r="F241" s="38">
        <f>COUNTA(M241,O241,Q241)</f>
        <v>2</v>
      </c>
      <c r="G241" s="38">
        <f>COUNTA(Table1[[#This Row],[A ASEO]])</f>
        <v>0</v>
      </c>
      <c r="H241" s="1">
        <f>SUM(J241,L241,N241,P241,R241,T241,V241,X241,Z241,AB241,AD241,AF241,AH241)</f>
        <v>141.19150000000002</v>
      </c>
      <c r="I241" s="1">
        <v>20.8</v>
      </c>
      <c r="J241" s="1">
        <f>I241*1.34</f>
        <v>27.872000000000003</v>
      </c>
      <c r="K241" s="1">
        <v>9.5500000000000007</v>
      </c>
      <c r="L241" s="1">
        <f>K241*1.34</f>
        <v>12.797000000000002</v>
      </c>
      <c r="M241" s="1">
        <v>5.35</v>
      </c>
      <c r="N241" s="1">
        <f>M241*2.36</f>
        <v>12.625999999999998</v>
      </c>
      <c r="O241" s="1">
        <v>3.05</v>
      </c>
      <c r="P241" s="1">
        <f>O241*2.36</f>
        <v>7.1979999999999995</v>
      </c>
      <c r="Q241" s="1"/>
      <c r="R241" s="1"/>
      <c r="S241" s="1"/>
      <c r="T241" s="1"/>
      <c r="U241" s="1">
        <v>12.35</v>
      </c>
      <c r="V241" s="1">
        <f>U241*1.34</f>
        <v>16.548999999999999</v>
      </c>
      <c r="W241" s="1">
        <v>10.75</v>
      </c>
      <c r="X241" s="1">
        <f>W241*1.34</f>
        <v>14.405000000000001</v>
      </c>
      <c r="Y241" s="1">
        <v>10.199999999999999</v>
      </c>
      <c r="Z241" s="1">
        <f>Y241*1.34</f>
        <v>13.667999999999999</v>
      </c>
      <c r="AA241" s="1">
        <v>8.35</v>
      </c>
      <c r="AB241" s="1">
        <f>AA241*1.34</f>
        <v>11.189</v>
      </c>
      <c r="AC241" s="1">
        <v>3.35</v>
      </c>
      <c r="AD241" s="1">
        <f>AC241*2.75</f>
        <v>9.2125000000000004</v>
      </c>
      <c r="AE241" s="1">
        <v>5.7</v>
      </c>
      <c r="AF241" s="1">
        <f>AE241*2.75</f>
        <v>15.675000000000001</v>
      </c>
      <c r="AG241" s="1"/>
      <c r="AH241" s="1"/>
      <c r="AI241" s="39"/>
      <c r="AJ241" s="39"/>
      <c r="AK241" s="34"/>
      <c r="AL241" s="27">
        <f>SUM(I241,U241,W241,Y241,AA241,AC241,AE241,AG241)</f>
        <v>71.5</v>
      </c>
      <c r="AM241" s="27">
        <f>SUM(K241,M241,O241,Q241,S241)</f>
        <v>17.95</v>
      </c>
      <c r="AN241" s="27">
        <f>SUM(J241,V241,X241,Z241,AB241,AD241,AF241,AH241)</f>
        <v>108.5705</v>
      </c>
      <c r="AO241" s="27">
        <f>SUM(L241,N241,P241,R241,T241)</f>
        <v>32.621000000000002</v>
      </c>
      <c r="AP241" s="30">
        <f>SUM(AG241,AE241,AC241,AA241,Y241,W241,U241,I241)/D241</f>
        <v>0.79932923420905544</v>
      </c>
      <c r="AQ241" s="30">
        <f>SUM(K241,M241,O241,Q241,S241)/D241</f>
        <v>0.20067076579094467</v>
      </c>
      <c r="AR241" s="30">
        <f>D241/H241</f>
        <v>0.6335367214032005</v>
      </c>
      <c r="AS241" s="30">
        <f>AL241/AN241</f>
        <v>0.65855826398515249</v>
      </c>
      <c r="AT241" s="30">
        <f>AM241/AO241</f>
        <v>0.55025903559057043</v>
      </c>
      <c r="AU241" s="35">
        <f>(((H241/2) - SQRT((H241/2)^2 - 4 * D241)) / 2)</f>
        <v>1.2906701822613798</v>
      </c>
      <c r="AV241" s="27">
        <f>(((H241/2) + SQRT((H241/2)^2 - 4 * D241)) / 2)</f>
        <v>69.30507981773863</v>
      </c>
      <c r="AW241" s="27">
        <f>AU241*2.7*2+AV241*2.7*2</f>
        <v>381.21705000000009</v>
      </c>
      <c r="AX241" s="30">
        <f>AW241/D241</f>
        <v>4.2617892677473463</v>
      </c>
      <c r="AY241" s="30"/>
    </row>
    <row r="242" spans="2:51" x14ac:dyDescent="0.25">
      <c r="B242" s="36" t="s">
        <v>42</v>
      </c>
      <c r="C242" t="s">
        <v>77</v>
      </c>
      <c r="D242" s="37">
        <f>SUM(I242,K242,M242,O242,Q242,S242,U242,W242,Y242,AA242,AC242,AE242,AG242)</f>
        <v>82.549999999999983</v>
      </c>
      <c r="E242" s="38">
        <f>COUNTA(U242,W242,Y242,AA242)</f>
        <v>4</v>
      </c>
      <c r="F242" s="38">
        <f>COUNTA(M242,O242,Q242)</f>
        <v>2</v>
      </c>
      <c r="G242" s="38">
        <f>COUNTA(Table1[[#This Row],[A ASEO]])</f>
        <v>0</v>
      </c>
      <c r="H242" s="1">
        <f>SUM(J242,L242,N242,P242,R242,T242,V242,X242,Z242,AB242,AD242,AF242,AH242)</f>
        <v>131.64100000000002</v>
      </c>
      <c r="I242" s="1">
        <v>20.149999999999999</v>
      </c>
      <c r="J242" s="1">
        <f>I242*1.34</f>
        <v>27.001000000000001</v>
      </c>
      <c r="K242" s="1">
        <v>8.6999999999999993</v>
      </c>
      <c r="L242" s="1">
        <f>K242*1.34</f>
        <v>11.657999999999999</v>
      </c>
      <c r="M242" s="1">
        <v>3.55</v>
      </c>
      <c r="N242" s="1">
        <f>M242*2.36</f>
        <v>8.3779999999999983</v>
      </c>
      <c r="O242" s="1">
        <v>3.1</v>
      </c>
      <c r="P242" s="1">
        <f>O242*2.36</f>
        <v>7.3159999999999998</v>
      </c>
      <c r="Q242" s="1"/>
      <c r="R242" s="1"/>
      <c r="S242" s="1"/>
      <c r="T242" s="1"/>
      <c r="U242" s="1">
        <v>12.8</v>
      </c>
      <c r="V242" s="1">
        <f>U242*1.34</f>
        <v>17.152000000000001</v>
      </c>
      <c r="W242" s="1">
        <v>8.65</v>
      </c>
      <c r="X242" s="1">
        <f>W242*1.34</f>
        <v>11.591000000000001</v>
      </c>
      <c r="Y242" s="1">
        <v>7.75</v>
      </c>
      <c r="Z242" s="1">
        <f>Y242*1.34</f>
        <v>10.385</v>
      </c>
      <c r="AA242" s="1">
        <v>7.75</v>
      </c>
      <c r="AB242" s="1">
        <f>AA242*1.34</f>
        <v>10.385</v>
      </c>
      <c r="AC242" s="1">
        <v>4.05</v>
      </c>
      <c r="AD242" s="1">
        <f>AC242*2.75</f>
        <v>11.137499999999999</v>
      </c>
      <c r="AE242" s="1">
        <v>6.05</v>
      </c>
      <c r="AF242" s="1">
        <f>AE242*2.75</f>
        <v>16.637499999999999</v>
      </c>
      <c r="AG242" s="1"/>
      <c r="AH242" s="1"/>
      <c r="AI242" s="39"/>
      <c r="AJ242" s="39"/>
      <c r="AK242" s="34"/>
      <c r="AL242" s="27">
        <f>SUM(I242,U242,W242,Y242,AA242,AC242,AE242,AG242)</f>
        <v>67.2</v>
      </c>
      <c r="AM242" s="27">
        <f>SUM(K242,M242,O242,Q242,S242)</f>
        <v>15.35</v>
      </c>
      <c r="AN242" s="27">
        <f>SUM(J242,V242,X242,Z242,AB242,AD242,AF242,AH242)</f>
        <v>104.28900000000002</v>
      </c>
      <c r="AO242" s="27">
        <f>SUM(L242,N242,P242,R242,T242)</f>
        <v>27.351999999999997</v>
      </c>
      <c r="AP242" s="30">
        <f>SUM(AG242,AE242,AC242,AA242,Y242,W242,U242,I242)/D242</f>
        <v>0.81405208964264086</v>
      </c>
      <c r="AQ242" s="30">
        <f>SUM(K242,M242,O242,Q242,S242)/D242</f>
        <v>0.18594791035735922</v>
      </c>
      <c r="AR242" s="30">
        <f>D242/H242</f>
        <v>0.62708426705965448</v>
      </c>
      <c r="AS242" s="30">
        <f>AL242/AN242</f>
        <v>0.64436325978770526</v>
      </c>
      <c r="AT242" s="30">
        <f>AM242/AO242</f>
        <v>0.56120210587891206</v>
      </c>
      <c r="AU242" s="35">
        <f>(((H242/2) - SQRT((H242/2)^2 - 4 * D242)) / 2)</f>
        <v>1.2790224698755956</v>
      </c>
      <c r="AV242" s="27">
        <f>(((H242/2) + SQRT((H242/2)^2 - 4 * D242)) / 2)</f>
        <v>64.541477530124411</v>
      </c>
      <c r="AW242" s="27">
        <f>AU242*2.7*2+AV242*2.7*2</f>
        <v>355.43070000000006</v>
      </c>
      <c r="AX242" s="30">
        <f>AW242/D242</f>
        <v>4.3056414294367062</v>
      </c>
      <c r="AY242" s="30"/>
    </row>
    <row r="243" spans="2:51" x14ac:dyDescent="0.25">
      <c r="B243" s="36" t="s">
        <v>42</v>
      </c>
      <c r="C243" t="s">
        <v>46</v>
      </c>
      <c r="D243" s="37">
        <f>SUM(I243,K243,M243,O243,Q243,S243,U243,W243,Y243,AA243,AC243,AE243,AG243)</f>
        <v>95.399999999999991</v>
      </c>
      <c r="E243" s="38">
        <f>COUNTA(U243,W243,Y243,AA243)</f>
        <v>4</v>
      </c>
      <c r="F243" s="38">
        <f>COUNTA(M243,O243,Q243)</f>
        <v>2</v>
      </c>
      <c r="G243" s="38">
        <f>COUNTA(Table1[[#This Row],[A ASEO]])</f>
        <v>1</v>
      </c>
      <c r="H243" s="1">
        <f>SUM(J243,L243,N243,P243,R243,T243,V243,X243,Z243,AB243,AD243,AF243,AH243)</f>
        <v>152.322</v>
      </c>
      <c r="I243" s="1">
        <v>24.8</v>
      </c>
      <c r="J243" s="1">
        <f>I243*1.34</f>
        <v>33.232000000000006</v>
      </c>
      <c r="K243" s="1">
        <v>9.1</v>
      </c>
      <c r="L243" s="1">
        <f>K243*1.34</f>
        <v>12.194000000000001</v>
      </c>
      <c r="M243" s="1">
        <v>3.6</v>
      </c>
      <c r="N243" s="1">
        <f>M243*2.36</f>
        <v>8.4960000000000004</v>
      </c>
      <c r="O243" s="1">
        <v>3.4</v>
      </c>
      <c r="P243" s="1">
        <f>O243*2.36</f>
        <v>8.0239999999999991</v>
      </c>
      <c r="Q243" s="1"/>
      <c r="R243" s="1"/>
      <c r="S243" s="1">
        <v>1.8</v>
      </c>
      <c r="T243" s="1">
        <f>S243*2.36</f>
        <v>4.2480000000000002</v>
      </c>
      <c r="U243" s="1">
        <v>14.2</v>
      </c>
      <c r="V243" s="1">
        <f>U243*1.34</f>
        <v>19.027999999999999</v>
      </c>
      <c r="W243" s="1">
        <v>10.1</v>
      </c>
      <c r="X243" s="1">
        <f>W243*1.34</f>
        <v>13.534000000000001</v>
      </c>
      <c r="Y243" s="1">
        <v>8.6999999999999993</v>
      </c>
      <c r="Z243" s="1">
        <f>Y243*1.34</f>
        <v>11.657999999999999</v>
      </c>
      <c r="AA243" s="1">
        <v>8.6999999999999993</v>
      </c>
      <c r="AB243" s="1">
        <f>AA243*1.34</f>
        <v>11.657999999999999</v>
      </c>
      <c r="AC243" s="1"/>
      <c r="AD243" s="1"/>
      <c r="AE243" s="1">
        <v>11</v>
      </c>
      <c r="AF243" s="1">
        <f>AE243*2.75</f>
        <v>30.25</v>
      </c>
      <c r="AG243" s="1"/>
      <c r="AH243" s="1"/>
      <c r="AI243" s="39">
        <f>11.8+1.3</f>
        <v>13.100000000000001</v>
      </c>
      <c r="AJ243" s="39">
        <f>AI243*0.6</f>
        <v>7.86</v>
      </c>
      <c r="AK243" s="34"/>
      <c r="AL243" s="27">
        <f>SUM(I243,U243,W243,Y243,AA243,AC243,AE243,AG243)</f>
        <v>77.5</v>
      </c>
      <c r="AM243" s="27">
        <f>SUM(K243,M243,O243,Q243,S243)</f>
        <v>17.899999999999999</v>
      </c>
      <c r="AN243" s="27">
        <f>SUM(J243,V243,X243,Z243,AB243,AD243,AF243,AH243)</f>
        <v>119.36000000000001</v>
      </c>
      <c r="AO243" s="27">
        <f>SUM(L243,N243,P243,R243,T243)</f>
        <v>32.961999999999996</v>
      </c>
      <c r="AP243" s="30">
        <f>SUM(AG243,AE243,AC243,AA243,Y243,W243,U243,I243)/D243</f>
        <v>0.81236897274633135</v>
      </c>
      <c r="AQ243" s="30">
        <f>SUM(K243,M243,O243,Q243,S243)/D243</f>
        <v>0.18763102725366876</v>
      </c>
      <c r="AR243" s="30">
        <f>D243/H243</f>
        <v>0.62630480167014602</v>
      </c>
      <c r="AS243" s="30">
        <f>AL243/AN243</f>
        <v>0.64929624664879348</v>
      </c>
      <c r="AT243" s="30">
        <f>AM243/AO243</f>
        <v>0.54304957223469452</v>
      </c>
      <c r="AU243" s="35">
        <f>(((H243/2) - SQRT((H243/2)^2 - 4 * D243)) / 2)</f>
        <v>1.2739179765357775</v>
      </c>
      <c r="AV243" s="27">
        <f>(((H243/2) + SQRT((H243/2)^2 - 4 * D243)) / 2)</f>
        <v>74.887082023464217</v>
      </c>
      <c r="AW243" s="27">
        <f>AU243*2.7*2+AV243*2.7*2</f>
        <v>411.26939999999996</v>
      </c>
      <c r="AX243" s="30">
        <f>AW243/D243</f>
        <v>4.3109999999999999</v>
      </c>
      <c r="AY243" s="30"/>
    </row>
    <row r="244" spans="2:51" x14ac:dyDescent="0.25">
      <c r="B244" s="36" t="s">
        <v>42</v>
      </c>
      <c r="C244" t="s">
        <v>65</v>
      </c>
      <c r="D244" s="37">
        <f>SUM(I244,K244,M244,O244,Q244,S244,U244,W244,Y244,AA244,AC244,AE244,AG244)</f>
        <v>91.509999999999991</v>
      </c>
      <c r="E244" s="38">
        <f>COUNTA(U244,W244,Y244,AA244)</f>
        <v>4</v>
      </c>
      <c r="F244" s="38">
        <f>COUNTA(M244,O244,Q244)</f>
        <v>2</v>
      </c>
      <c r="G244" s="38">
        <f>COUNTA(Table1[[#This Row],[A ASEO]])</f>
        <v>0</v>
      </c>
      <c r="H244" s="1">
        <f>SUM(J244,L244,N244,P244,R244,T244,V244,X244,Z244,AB244,AD244,AF244,AH244)</f>
        <v>146.27269999999999</v>
      </c>
      <c r="I244" s="1">
        <v>22.51</v>
      </c>
      <c r="J244" s="1">
        <f>I244*1.34</f>
        <v>30.163400000000003</v>
      </c>
      <c r="K244" s="1">
        <v>10.87</v>
      </c>
      <c r="L244" s="1">
        <f>K244*1.34</f>
        <v>14.565799999999999</v>
      </c>
      <c r="M244" s="1">
        <v>4.67</v>
      </c>
      <c r="N244" s="1">
        <f>M244*2.36</f>
        <v>11.021199999999999</v>
      </c>
      <c r="O244" s="1">
        <v>4.42</v>
      </c>
      <c r="P244" s="1">
        <f>O244*2.36</f>
        <v>10.431199999999999</v>
      </c>
      <c r="Q244" s="1"/>
      <c r="R244" s="1"/>
      <c r="S244" s="1"/>
      <c r="T244" s="1"/>
      <c r="U244" s="1">
        <v>12.45</v>
      </c>
      <c r="V244" s="1">
        <f>U244*1.34</f>
        <v>16.683</v>
      </c>
      <c r="W244" s="1">
        <v>8.81</v>
      </c>
      <c r="X244" s="1">
        <f>W244*1.34</f>
        <v>11.805400000000001</v>
      </c>
      <c r="Y244" s="1">
        <v>8.4700000000000006</v>
      </c>
      <c r="Z244" s="1">
        <f>Y244*1.34</f>
        <v>11.349800000000002</v>
      </c>
      <c r="AA244" s="1">
        <v>8.43</v>
      </c>
      <c r="AB244" s="1">
        <f>AA244*1.34</f>
        <v>11.296200000000001</v>
      </c>
      <c r="AC244" s="1">
        <v>2.4700000000000002</v>
      </c>
      <c r="AD244" s="1">
        <f>AC244*2.75</f>
        <v>6.7925000000000004</v>
      </c>
      <c r="AE244" s="1">
        <v>5.94</v>
      </c>
      <c r="AF244" s="1">
        <f>AE244*2.75</f>
        <v>16.335000000000001</v>
      </c>
      <c r="AG244" s="1">
        <v>2.4700000000000002</v>
      </c>
      <c r="AH244" s="1">
        <f>AG244*2.36</f>
        <v>5.8292000000000002</v>
      </c>
      <c r="AI244" s="39">
        <v>3.12</v>
      </c>
      <c r="AJ244" s="39">
        <f>AI244*0.6</f>
        <v>1.8719999999999999</v>
      </c>
      <c r="AK244" s="34"/>
      <c r="AL244" s="27">
        <f>SUM(I244,U244,W244,Y244,AA244,AC244,AE244,AG244)</f>
        <v>71.55</v>
      </c>
      <c r="AM244" s="27">
        <f>SUM(K244,M244,O244,Q244,S244)</f>
        <v>19.96</v>
      </c>
      <c r="AN244" s="27">
        <f>SUM(J244,V244,X244,Z244,AB244,AD244,AF244,AH244)</f>
        <v>110.25449999999999</v>
      </c>
      <c r="AO244" s="27">
        <f>SUM(L244,N244,P244,R244,T244)</f>
        <v>36.018199999999993</v>
      </c>
      <c r="AP244" s="30">
        <f>SUM(AG244,AE244,AC244,AA244,Y244,W244,U244,I244)/D244</f>
        <v>0.78188176155611433</v>
      </c>
      <c r="AQ244" s="30">
        <f>SUM(K244,M244,O244,Q244,S244)/D244</f>
        <v>0.21811823844388595</v>
      </c>
      <c r="AR244" s="30">
        <f>D244/H244</f>
        <v>0.6256122981253508</v>
      </c>
      <c r="AS244" s="30">
        <f>AL244/AN244</f>
        <v>0.64895310395494066</v>
      </c>
      <c r="AT244" s="30">
        <f>AM244/AO244</f>
        <v>0.55416428361217396</v>
      </c>
      <c r="AU244" s="35">
        <f>(((H244/2) - SQRT((H244/2)^2 - 4 * D244)) / 2)</f>
        <v>1.2733960258992383</v>
      </c>
      <c r="AV244" s="27">
        <f>(((H244/2) + SQRT((H244/2)^2 - 4 * D244)) / 2)</f>
        <v>71.862953974100748</v>
      </c>
      <c r="AW244" s="27">
        <f>AU244*2.7*2+AV244*2.7*2</f>
        <v>394.93628999999999</v>
      </c>
      <c r="AX244" s="30">
        <f>AW244/D244</f>
        <v>4.31577193749317</v>
      </c>
      <c r="AY244" s="30"/>
    </row>
    <row r="245" spans="2:51" x14ac:dyDescent="0.25">
      <c r="B245" s="36" t="s">
        <v>42</v>
      </c>
      <c r="C245" t="s">
        <v>77</v>
      </c>
      <c r="D245" s="37">
        <f>SUM(I245,K245,M245,O245,Q245,S245,U245,W245,Y245,AA245,AC245,AE245,AG245)</f>
        <v>90.000000000000014</v>
      </c>
      <c r="E245" s="38">
        <f>COUNTA(U245,W245,Y245,AA245)</f>
        <v>4</v>
      </c>
      <c r="F245" s="38">
        <f>COUNTA(M245,O245,Q245)</f>
        <v>2</v>
      </c>
      <c r="G245" s="38">
        <f>COUNTA(Table1[[#This Row],[A ASEO]])</f>
        <v>0</v>
      </c>
      <c r="H245" s="1">
        <f>SUM(J245,L245,N245,P245,R245,T245,V245,X245,Z245,AB245,AD245,AF245,AH245)</f>
        <v>145.77000000000001</v>
      </c>
      <c r="I245" s="1">
        <v>21.15</v>
      </c>
      <c r="J245" s="1">
        <f>I245*1.34</f>
        <v>28.341000000000001</v>
      </c>
      <c r="K245" s="1">
        <v>8.5</v>
      </c>
      <c r="L245" s="1">
        <f>K245*1.34</f>
        <v>11.39</v>
      </c>
      <c r="M245" s="1">
        <v>4.1500000000000004</v>
      </c>
      <c r="N245" s="1">
        <f>M245*2.36</f>
        <v>9.7940000000000005</v>
      </c>
      <c r="O245" s="1">
        <v>3.8</v>
      </c>
      <c r="P245" s="1">
        <f>O245*2.36</f>
        <v>8.968</v>
      </c>
      <c r="Q245" s="1"/>
      <c r="R245" s="1"/>
      <c r="S245" s="1"/>
      <c r="T245" s="1"/>
      <c r="U245" s="1">
        <v>13.2</v>
      </c>
      <c r="V245" s="1">
        <f>U245*1.34</f>
        <v>17.687999999999999</v>
      </c>
      <c r="W245" s="1">
        <v>10.7</v>
      </c>
      <c r="X245" s="1">
        <f>W245*1.34</f>
        <v>14.337999999999999</v>
      </c>
      <c r="Y245" s="1">
        <v>9.4</v>
      </c>
      <c r="Z245" s="1">
        <f>Y245*1.34</f>
        <v>12.596000000000002</v>
      </c>
      <c r="AA245" s="1">
        <v>7</v>
      </c>
      <c r="AB245" s="1">
        <f>AA245*1.34</f>
        <v>9.3800000000000008</v>
      </c>
      <c r="AC245" s="1">
        <v>5.9</v>
      </c>
      <c r="AD245" s="1">
        <f>AC245*2.75</f>
        <v>16.225000000000001</v>
      </c>
      <c r="AE245" s="1">
        <v>6.2</v>
      </c>
      <c r="AF245" s="1">
        <f>AE245*2.75</f>
        <v>17.05</v>
      </c>
      <c r="AG245" s="1"/>
      <c r="AH245" s="1"/>
      <c r="AI245" s="39"/>
      <c r="AJ245" s="39"/>
      <c r="AK245" s="34"/>
      <c r="AL245" s="27">
        <f>SUM(I245,U245,W245,Y245,AA245,AC245,AE245,AG245)</f>
        <v>73.55</v>
      </c>
      <c r="AM245" s="27">
        <f>SUM(K245,M245,O245,Q245,S245)</f>
        <v>16.45</v>
      </c>
      <c r="AN245" s="27">
        <f>SUM(J245,V245,X245,Z245,AB245,AD245,AF245,AH245)</f>
        <v>115.61799999999998</v>
      </c>
      <c r="AO245" s="27">
        <f>SUM(L245,N245,P245,R245,T245)</f>
        <v>30.152000000000001</v>
      </c>
      <c r="AP245" s="30">
        <f>SUM(AG245,AE245,AC245,AA245,Y245,W245,U245,I245)/D245</f>
        <v>0.81722222222222218</v>
      </c>
      <c r="AQ245" s="30">
        <f>SUM(K245,M245,O245,Q245,S245)/D245</f>
        <v>0.18277777777777773</v>
      </c>
      <c r="AR245" s="30">
        <f>D245/H245</f>
        <v>0.6174109899156206</v>
      </c>
      <c r="AS245" s="30">
        <f>AL245/AN245</f>
        <v>0.63614662076839257</v>
      </c>
      <c r="AT245" s="30">
        <f>AM245/AO245</f>
        <v>0.54556911647651896</v>
      </c>
      <c r="AU245" s="35">
        <f>(((H245/2) - SQRT((H245/2)^2 - 4 * D245)) / 2)</f>
        <v>1.2564828021129983</v>
      </c>
      <c r="AV245" s="27">
        <f>(((H245/2) + SQRT((H245/2)^2 - 4 * D245)) / 2)</f>
        <v>71.628517197887007</v>
      </c>
      <c r="AW245" s="27">
        <f>AU245*2.7*2+AV245*2.7*2</f>
        <v>393.57900000000001</v>
      </c>
      <c r="AX245" s="30">
        <f>AW245/D245</f>
        <v>4.3730999999999991</v>
      </c>
      <c r="AY245" s="30"/>
    </row>
    <row r="246" spans="2:51" x14ac:dyDescent="0.25">
      <c r="B246" s="36" t="s">
        <v>42</v>
      </c>
      <c r="C246" t="s">
        <v>78</v>
      </c>
      <c r="D246" s="37">
        <f>SUM(I246,K246,M246,O246,Q246,S246,U246,W246,Y246,AA246,AC246,AE246,AG246)</f>
        <v>89.320000000000007</v>
      </c>
      <c r="E246" s="38">
        <f>COUNTA(U246,W246,Y246,AA246)</f>
        <v>4</v>
      </c>
      <c r="F246" s="38">
        <f>COUNTA(M246,O246,Q246)</f>
        <v>2</v>
      </c>
      <c r="G246" s="38">
        <f>COUNTA(Table1[[#This Row],[A ASEO]])</f>
        <v>0</v>
      </c>
      <c r="H246" s="1">
        <f>SUM(J246,L246,N246,P246,R246,T246,V246,X246,Z246,AB246,AD246,AF246,AH246)</f>
        <v>144.70069999999998</v>
      </c>
      <c r="I246" s="1">
        <v>22.47</v>
      </c>
      <c r="J246" s="1">
        <f>I246*1.34</f>
        <v>30.1098</v>
      </c>
      <c r="K246" s="1">
        <v>7.76</v>
      </c>
      <c r="L246" s="1">
        <f>K246*1.34</f>
        <v>10.398400000000001</v>
      </c>
      <c r="M246" s="1">
        <v>3.95</v>
      </c>
      <c r="N246" s="1">
        <f>M246*2.36</f>
        <v>9.3219999999999992</v>
      </c>
      <c r="O246" s="1">
        <v>3.61</v>
      </c>
      <c r="P246" s="1">
        <f>O246*2.36</f>
        <v>8.5195999999999987</v>
      </c>
      <c r="Q246" s="1"/>
      <c r="R246" s="1"/>
      <c r="S246" s="1"/>
      <c r="T246" s="1"/>
      <c r="U246" s="1">
        <v>12.06</v>
      </c>
      <c r="V246" s="1">
        <f>U246*1.34</f>
        <v>16.160400000000003</v>
      </c>
      <c r="W246" s="1">
        <v>9.18</v>
      </c>
      <c r="X246" s="1">
        <f>W246*1.34</f>
        <v>12.3012</v>
      </c>
      <c r="Y246" s="1">
        <v>9.16</v>
      </c>
      <c r="Z246" s="1">
        <f>Y246*1.34</f>
        <v>12.274400000000002</v>
      </c>
      <c r="AA246" s="1">
        <v>8.86</v>
      </c>
      <c r="AB246" s="1">
        <f>AA246*1.34</f>
        <v>11.872400000000001</v>
      </c>
      <c r="AC246" s="1">
        <v>5.76</v>
      </c>
      <c r="AD246" s="1">
        <f>AC246*2.75</f>
        <v>15.84</v>
      </c>
      <c r="AE246" s="1">
        <v>6.51</v>
      </c>
      <c r="AF246" s="1">
        <f>AE246*2.75</f>
        <v>17.9025</v>
      </c>
      <c r="AG246" s="1"/>
      <c r="AH246" s="1"/>
      <c r="AI246" s="39"/>
      <c r="AJ246" s="39"/>
      <c r="AK246" s="34"/>
      <c r="AL246" s="27">
        <f>SUM(I246,U246,W246,Y246,AA246,AC246,AE246,AG246)</f>
        <v>74.000000000000014</v>
      </c>
      <c r="AM246" s="27">
        <f>SUM(K246,M246,O246,Q246,S246)</f>
        <v>15.32</v>
      </c>
      <c r="AN246" s="27">
        <f>SUM(J246,V246,X246,Z246,AB246,AD246,AF246,AH246)</f>
        <v>116.46070000000002</v>
      </c>
      <c r="AO246" s="27">
        <f>SUM(L246,N246,P246,R246,T246)</f>
        <v>28.239999999999995</v>
      </c>
      <c r="AP246" s="30">
        <f>SUM(AG246,AE246,AC246,AA246,Y246,W246,U246,I246)/D246</f>
        <v>0.82848186296462156</v>
      </c>
      <c r="AQ246" s="30">
        <f>SUM(K246,M246,O246,Q246,S246)/D246</f>
        <v>0.17151813703537841</v>
      </c>
      <c r="AR246" s="30">
        <f>D246/H246</f>
        <v>0.61727413896408256</v>
      </c>
      <c r="AS246" s="30">
        <f>AL246/AN246</f>
        <v>0.63540748080683018</v>
      </c>
      <c r="AT246" s="30">
        <f>AM246/AO246</f>
        <v>0.54249291784702558</v>
      </c>
      <c r="AU246" s="35">
        <f>(((H246/2) - SQRT((H246/2)^2 - 4 * D246)) / 2)</f>
        <v>1.2563650792620749</v>
      </c>
      <c r="AV246" s="27">
        <f>(((H246/2) + SQRT((H246/2)^2 - 4 * D246)) / 2)</f>
        <v>71.09398492073791</v>
      </c>
      <c r="AW246" s="27">
        <f>AU246*2.7*2+AV246*2.7*2</f>
        <v>390.69188999999994</v>
      </c>
      <c r="AX246" s="30">
        <f>AW246/D246</f>
        <v>4.374069525302283</v>
      </c>
      <c r="AY246" s="30"/>
    </row>
    <row r="247" spans="2:51" x14ac:dyDescent="0.25">
      <c r="B247" s="36" t="s">
        <v>42</v>
      </c>
      <c r="C247" t="s">
        <v>68</v>
      </c>
      <c r="D247" s="37">
        <f>SUM(I247,K247,M247,O247,Q247,S247,U247,W247,Y247,AA247,AC247,AE247,AG247)</f>
        <v>90.000000000000014</v>
      </c>
      <c r="E247" s="38">
        <f>COUNTA(U247,W247,Y247,AA247)</f>
        <v>4</v>
      </c>
      <c r="F247" s="38">
        <f>COUNTA(M247,O247,Q247)</f>
        <v>2</v>
      </c>
      <c r="G247" s="38">
        <f>COUNTA(Table1[[#This Row],[A ASEO]])</f>
        <v>0</v>
      </c>
      <c r="H247" s="1">
        <f>SUM(J247,L247,N247,P247,R247,T247,V247,X247,Z247,AB247,AD247,AF247,AH247)</f>
        <v>146.85600000000002</v>
      </c>
      <c r="I247" s="1">
        <v>21.6</v>
      </c>
      <c r="J247" s="1">
        <f>I247*1.34</f>
        <v>28.944000000000003</v>
      </c>
      <c r="K247" s="1">
        <v>7.2</v>
      </c>
      <c r="L247" s="1">
        <f>K247*1.34</f>
        <v>9.6480000000000015</v>
      </c>
      <c r="M247" s="1">
        <v>4.4000000000000004</v>
      </c>
      <c r="N247" s="1">
        <f>M247*2.36</f>
        <v>10.384</v>
      </c>
      <c r="O247" s="1">
        <v>4.2</v>
      </c>
      <c r="P247" s="1">
        <f>O247*2.36</f>
        <v>9.911999999999999</v>
      </c>
      <c r="Q247" s="1"/>
      <c r="R247" s="1"/>
      <c r="S247" s="1"/>
      <c r="T247" s="1"/>
      <c r="U247" s="1">
        <v>13.15</v>
      </c>
      <c r="V247" s="1">
        <f>U247*1.34</f>
        <v>17.621000000000002</v>
      </c>
      <c r="W247" s="1">
        <v>11.6</v>
      </c>
      <c r="X247" s="1">
        <f>W247*1.34</f>
        <v>15.544</v>
      </c>
      <c r="Y247" s="1">
        <v>8.1999999999999993</v>
      </c>
      <c r="Z247" s="1">
        <f>Y247*1.34</f>
        <v>10.988</v>
      </c>
      <c r="AA247" s="1">
        <v>7.25</v>
      </c>
      <c r="AB247" s="1">
        <f>AA247*1.34</f>
        <v>9.7149999999999999</v>
      </c>
      <c r="AC247" s="1">
        <v>12.4</v>
      </c>
      <c r="AD247" s="1">
        <f>AC247*2.75</f>
        <v>34.1</v>
      </c>
      <c r="AE247" s="1"/>
      <c r="AF247" s="1"/>
      <c r="AG247" s="1"/>
      <c r="AH247" s="1"/>
      <c r="AI247" s="39"/>
      <c r="AJ247" s="39"/>
      <c r="AK247" s="34"/>
      <c r="AL247" s="27">
        <f>SUM(I247,U247,W247,Y247,AA247,AC247,AE247,AG247)</f>
        <v>74.2</v>
      </c>
      <c r="AM247" s="27">
        <f>SUM(K247,M247,O247,Q247,S247)</f>
        <v>15.8</v>
      </c>
      <c r="AN247" s="27">
        <f>SUM(J247,V247,X247,Z247,AB247,AD247,AF247,AH247)</f>
        <v>116.91200000000001</v>
      </c>
      <c r="AO247" s="27">
        <f>SUM(L247,N247,P247,R247,T247)</f>
        <v>29.944000000000003</v>
      </c>
      <c r="AP247" s="30">
        <f>SUM(AG247,AE247,AC247,AA247,Y247,W247,U247,I247)/D247</f>
        <v>0.8244444444444442</v>
      </c>
      <c r="AQ247" s="30">
        <f>SUM(K247,M247,O247,Q247,S247)/D247</f>
        <v>0.17555555555555555</v>
      </c>
      <c r="AR247" s="30">
        <f>D247/H247</f>
        <v>0.61284523614969766</v>
      </c>
      <c r="AS247" s="30">
        <f>AL247/AN247</f>
        <v>0.63466538935267547</v>
      </c>
      <c r="AT247" s="30">
        <f>AM247/AO247</f>
        <v>0.52765161635052094</v>
      </c>
      <c r="AU247" s="35">
        <f>(((H247/2) - SQRT((H247/2)^2 - 4 * D247)) / 2)</f>
        <v>1.2468631547456326</v>
      </c>
      <c r="AV247" s="27">
        <f>(((H247/2) + SQRT((H247/2)^2 - 4 * D247)) / 2)</f>
        <v>72.181136845254372</v>
      </c>
      <c r="AW247" s="27">
        <f>AU247*2.7*2+AV247*2.7*2</f>
        <v>396.51120000000003</v>
      </c>
      <c r="AX247" s="30">
        <f>AW247/D247</f>
        <v>4.4056799999999994</v>
      </c>
      <c r="AY247" s="30"/>
    </row>
    <row r="248" spans="2:51" x14ac:dyDescent="0.25">
      <c r="B248" s="36" t="s">
        <v>42</v>
      </c>
      <c r="C248" t="s">
        <v>77</v>
      </c>
      <c r="D248" s="37">
        <f>SUM(I248,K248,M248,O248,Q248,S248,U248,W248,Y248,AA248,AC248,AE248,AG248)</f>
        <v>90.949999999999989</v>
      </c>
      <c r="E248" s="38">
        <f>COUNTA(U248,W248,Y248,AA248)</f>
        <v>4</v>
      </c>
      <c r="F248" s="38">
        <f>COUNTA(M248,O248,Q248)</f>
        <v>2</v>
      </c>
      <c r="G248" s="38">
        <f>COUNTA(Table1[[#This Row],[A ASEO]])</f>
        <v>0</v>
      </c>
      <c r="H248" s="1">
        <f>SUM(J248,L248,N248,P248,R248,T248,V248,X248,Z248,AB248,AD248,AF248,AH248)</f>
        <v>148.471</v>
      </c>
      <c r="I248" s="1">
        <v>20.149999999999999</v>
      </c>
      <c r="J248" s="1">
        <f>I248*1.34</f>
        <v>27.001000000000001</v>
      </c>
      <c r="K248" s="1">
        <v>7</v>
      </c>
      <c r="L248" s="1">
        <f>K248*1.34</f>
        <v>9.3800000000000008</v>
      </c>
      <c r="M248" s="1">
        <v>3.9</v>
      </c>
      <c r="N248" s="1">
        <f>M248*2.36</f>
        <v>9.2039999999999988</v>
      </c>
      <c r="O248" s="1">
        <v>3.35</v>
      </c>
      <c r="P248" s="1">
        <f>O248*2.36</f>
        <v>7.9059999999999997</v>
      </c>
      <c r="Q248" s="1"/>
      <c r="R248" s="1"/>
      <c r="S248" s="1"/>
      <c r="T248" s="1"/>
      <c r="U248" s="1">
        <v>12.7</v>
      </c>
      <c r="V248" s="1">
        <f>U248*1.34</f>
        <v>17.018000000000001</v>
      </c>
      <c r="W248" s="1">
        <v>11.75</v>
      </c>
      <c r="X248" s="1">
        <f>W248*1.34</f>
        <v>15.745000000000001</v>
      </c>
      <c r="Y248" s="1">
        <v>10.85</v>
      </c>
      <c r="Z248" s="1">
        <f>Y248*1.34</f>
        <v>14.539</v>
      </c>
      <c r="AA248" s="1">
        <v>7.05</v>
      </c>
      <c r="AB248" s="1">
        <f>AA248*1.34</f>
        <v>9.447000000000001</v>
      </c>
      <c r="AC248" s="1">
        <v>3.7</v>
      </c>
      <c r="AD248" s="1">
        <f>AC248*2.75</f>
        <v>10.175000000000001</v>
      </c>
      <c r="AE248" s="1">
        <v>8.4</v>
      </c>
      <c r="AF248" s="1">
        <f>AE248*2.75</f>
        <v>23.1</v>
      </c>
      <c r="AG248" s="1">
        <v>2.1</v>
      </c>
      <c r="AH248" s="1">
        <f>AG248*2.36</f>
        <v>4.9559999999999995</v>
      </c>
      <c r="AI248" s="39"/>
      <c r="AJ248" s="39"/>
      <c r="AK248" s="34"/>
      <c r="AL248" s="27">
        <f>SUM(I248,U248,W248,Y248,AA248,AC248,AE248,AG248)</f>
        <v>76.699999999999989</v>
      </c>
      <c r="AM248" s="27">
        <f>SUM(K248,M248,O248,Q248,S248)</f>
        <v>14.25</v>
      </c>
      <c r="AN248" s="27">
        <f>SUM(J248,V248,X248,Z248,AB248,AD248,AF248,AH248)</f>
        <v>121.98100000000001</v>
      </c>
      <c r="AO248" s="27">
        <f>SUM(L248,N248,P248,R248,T248)</f>
        <v>26.49</v>
      </c>
      <c r="AP248" s="30">
        <f>SUM(AG248,AE248,AC248,AA248,Y248,W248,U248,I248)/D248</f>
        <v>0.84332050577240236</v>
      </c>
      <c r="AQ248" s="30">
        <f>SUM(K248,M248,O248,Q248,S248)/D248</f>
        <v>0.15667949422759761</v>
      </c>
      <c r="AR248" s="30">
        <f>D248/H248</f>
        <v>0.61257754039509393</v>
      </c>
      <c r="AS248" s="30">
        <f>AL248/AN248</f>
        <v>0.62878645034882463</v>
      </c>
      <c r="AT248" s="30">
        <f>AM248/AO248</f>
        <v>0.53793884484711219</v>
      </c>
      <c r="AU248" s="35">
        <f>(((H248/2) - SQRT((H248/2)^2 - 4 * D248)) / 2)</f>
        <v>1.2460708496939787</v>
      </c>
      <c r="AV248" s="27">
        <f>(((H248/2) + SQRT((H248/2)^2 - 4 * D248)) / 2)</f>
        <v>72.989429150306023</v>
      </c>
      <c r="AW248" s="27">
        <f>AU248*2.7*2+AV248*2.7*2</f>
        <v>400.87170000000003</v>
      </c>
      <c r="AX248" s="30">
        <f>AW248/D248</f>
        <v>4.4076052776250698</v>
      </c>
      <c r="AY248" s="30"/>
    </row>
    <row r="249" spans="2:51" x14ac:dyDescent="0.25">
      <c r="B249" s="36" t="s">
        <v>42</v>
      </c>
      <c r="C249" t="s">
        <v>46</v>
      </c>
      <c r="D249" s="37">
        <f>SUM(I249,K249,M249,O249,Q249,S249,U249,W249,Y249,AA249,AC249,AE249,AG249)</f>
        <v>100.30000000000001</v>
      </c>
      <c r="E249" s="38">
        <f>COUNTA(U249,W249,Y249,AA249)</f>
        <v>4</v>
      </c>
      <c r="F249" s="38">
        <f>COUNTA(M249,O249,Q249)</f>
        <v>2</v>
      </c>
      <c r="G249" s="38">
        <f>COUNTA(Table1[[#This Row],[A ASEO]])</f>
        <v>0</v>
      </c>
      <c r="H249" s="1">
        <f>SUM(J249,L249,N249,P249,R249,T249,V249,X249,Z249,AB249,AD249,AF249,AH249)</f>
        <v>163.85900000000001</v>
      </c>
      <c r="I249" s="1">
        <v>22.8</v>
      </c>
      <c r="J249" s="1">
        <f>I249*1.34</f>
        <v>30.552000000000003</v>
      </c>
      <c r="K249" s="1">
        <v>8.9</v>
      </c>
      <c r="L249" s="1">
        <f>K249*1.34</f>
        <v>11.926000000000002</v>
      </c>
      <c r="M249" s="1">
        <v>3.9</v>
      </c>
      <c r="N249" s="1">
        <f>M249*2.36</f>
        <v>9.2039999999999988</v>
      </c>
      <c r="O249" s="1">
        <v>3.2</v>
      </c>
      <c r="P249" s="1">
        <f>O249*2.36</f>
        <v>7.5519999999999996</v>
      </c>
      <c r="Q249" s="1"/>
      <c r="R249" s="1"/>
      <c r="S249" s="1"/>
      <c r="T249" s="1"/>
      <c r="U249" s="1">
        <v>15.6</v>
      </c>
      <c r="V249" s="1">
        <f>U249*1.34</f>
        <v>20.904</v>
      </c>
      <c r="W249" s="1">
        <v>9.3000000000000007</v>
      </c>
      <c r="X249" s="1">
        <f>W249*1.34</f>
        <v>12.462000000000002</v>
      </c>
      <c r="Y249" s="1">
        <v>9.3000000000000007</v>
      </c>
      <c r="Z249" s="1">
        <f>Y249*1.34</f>
        <v>12.462000000000002</v>
      </c>
      <c r="AA249" s="1">
        <v>9</v>
      </c>
      <c r="AB249" s="1">
        <f>AA249*1.34</f>
        <v>12.06</v>
      </c>
      <c r="AC249" s="1">
        <v>5.4</v>
      </c>
      <c r="AD249" s="1">
        <f>AC249*2.75</f>
        <v>14.850000000000001</v>
      </c>
      <c r="AE249" s="1">
        <v>3.7</v>
      </c>
      <c r="AF249" s="1">
        <f>AE249*2.75</f>
        <v>10.175000000000001</v>
      </c>
      <c r="AG249" s="1">
        <f>7.7+1.5</f>
        <v>9.1999999999999993</v>
      </c>
      <c r="AH249" s="1">
        <f>AG249*2.36</f>
        <v>21.711999999999996</v>
      </c>
      <c r="AI249" s="39"/>
      <c r="AJ249" s="39"/>
      <c r="AK249" s="34"/>
      <c r="AL249" s="27">
        <f>SUM(I249,U249,W249,Y249,AA249,AC249,AE249,AG249)</f>
        <v>84.300000000000011</v>
      </c>
      <c r="AM249" s="27">
        <f>SUM(K249,M249,O249,Q249,S249)</f>
        <v>16</v>
      </c>
      <c r="AN249" s="27">
        <f>SUM(J249,V249,X249,Z249,AB249,AD249,AF249,AH249)</f>
        <v>135.17700000000002</v>
      </c>
      <c r="AO249" s="27">
        <f>SUM(L249,N249,P249,R249,T249)</f>
        <v>28.682000000000002</v>
      </c>
      <c r="AP249" s="30">
        <f>SUM(AG249,AE249,AC249,AA249,Y249,W249,U249,I249)/D249</f>
        <v>0.84047856430707868</v>
      </c>
      <c r="AQ249" s="30">
        <f>SUM(K249,M249,O249,Q249,S249)/D249</f>
        <v>0.15952143569292121</v>
      </c>
      <c r="AR249" s="30">
        <f>D249/H249</f>
        <v>0.61211163256214185</v>
      </c>
      <c r="AS249" s="30">
        <f>AL249/AN249</f>
        <v>0.62362680041723073</v>
      </c>
      <c r="AT249" s="30">
        <f>AM249/AO249</f>
        <v>0.55784115473119023</v>
      </c>
      <c r="AU249" s="35">
        <f>(((H249/2) - SQRT((H249/2)^2 - 4 * D249)) / 2)</f>
        <v>1.2430840912984849</v>
      </c>
      <c r="AV249" s="27">
        <f>(((H249/2) + SQRT((H249/2)^2 - 4 * D249)) / 2)</f>
        <v>80.68641590870152</v>
      </c>
      <c r="AW249" s="27">
        <f>AU249*2.7*2+AV249*2.7*2</f>
        <v>442.41930000000002</v>
      </c>
      <c r="AX249" s="30">
        <f>AW249/D249</f>
        <v>4.4109601196410768</v>
      </c>
      <c r="AY249" s="30"/>
    </row>
    <row r="250" spans="2:51" x14ac:dyDescent="0.25">
      <c r="B250" s="36" t="s">
        <v>42</v>
      </c>
      <c r="C250" t="s">
        <v>121</v>
      </c>
      <c r="D250" s="37">
        <f>SUM(I250,K250,M250,O250,Q250,S250,U250,W250,Y250,AA250,AC250,AE250,AG250)</f>
        <v>98</v>
      </c>
      <c r="E250" s="38">
        <f>COUNTA(U250,W250,Y250,AA250)</f>
        <v>4</v>
      </c>
      <c r="F250" s="38">
        <f>COUNTA(M250,O250,Q250)</f>
        <v>2</v>
      </c>
      <c r="G250" s="38">
        <f>COUNTA(Table1[[#This Row],[A ASEO]])</f>
        <v>0</v>
      </c>
      <c r="H250" s="1">
        <f>SUM(J250,L250,N250,P250,R250,T250,V250,X250,Z250,AB250,AD250,AF250,AH250)</f>
        <v>160.22410000000002</v>
      </c>
      <c r="I250" s="1">
        <v>22.44</v>
      </c>
      <c r="J250" s="1">
        <f>I250*1.34</f>
        <v>30.069600000000005</v>
      </c>
      <c r="K250" s="1">
        <v>9.2200000000000006</v>
      </c>
      <c r="L250" s="1">
        <f>K250*1.34</f>
        <v>12.354800000000001</v>
      </c>
      <c r="M250" s="1">
        <v>3.84</v>
      </c>
      <c r="N250" s="1">
        <f>M250*2.36</f>
        <v>9.0623999999999985</v>
      </c>
      <c r="O250" s="1">
        <v>3.36</v>
      </c>
      <c r="P250" s="1">
        <f>O250*2.36</f>
        <v>7.9295999999999989</v>
      </c>
      <c r="Q250" s="1"/>
      <c r="R250" s="1"/>
      <c r="S250" s="1"/>
      <c r="T250" s="1"/>
      <c r="U250" s="1">
        <v>13.05</v>
      </c>
      <c r="V250" s="1">
        <f>U250*1.34</f>
        <v>17.487000000000002</v>
      </c>
      <c r="W250" s="1">
        <v>10.119999999999999</v>
      </c>
      <c r="X250" s="1">
        <f>W250*1.34</f>
        <v>13.5608</v>
      </c>
      <c r="Y250" s="1">
        <v>10.029999999999999</v>
      </c>
      <c r="Z250" s="1">
        <f>Y250*1.34</f>
        <v>13.440200000000001</v>
      </c>
      <c r="AA250" s="1">
        <v>9.67</v>
      </c>
      <c r="AB250" s="1">
        <f>AA250*1.34</f>
        <v>12.957800000000001</v>
      </c>
      <c r="AC250" s="1">
        <v>9.5</v>
      </c>
      <c r="AD250" s="1">
        <f>AC250*2.75</f>
        <v>26.125</v>
      </c>
      <c r="AE250" s="1">
        <v>3.23</v>
      </c>
      <c r="AF250" s="1">
        <f>AE250*2.75</f>
        <v>8.8825000000000003</v>
      </c>
      <c r="AG250" s="1">
        <v>3.54</v>
      </c>
      <c r="AH250" s="1">
        <f>AG250*2.36</f>
        <v>8.3544</v>
      </c>
      <c r="AI250" s="39"/>
      <c r="AJ250" s="39"/>
      <c r="AK250" s="34"/>
      <c r="AL250" s="27">
        <f>SUM(I250,U250,W250,Y250,AA250,AC250,AE250,AG250)</f>
        <v>81.580000000000013</v>
      </c>
      <c r="AM250" s="27">
        <f>SUM(K250,M250,O250,Q250,S250)</f>
        <v>16.420000000000002</v>
      </c>
      <c r="AN250" s="27">
        <f>SUM(J250,V250,X250,Z250,AB250,AD250,AF250,AH250)</f>
        <v>130.87730000000002</v>
      </c>
      <c r="AO250" s="27">
        <f>SUM(L250,N250,P250,R250,T250)</f>
        <v>29.346800000000002</v>
      </c>
      <c r="AP250" s="30">
        <f>SUM(AG250,AE250,AC250,AA250,Y250,W250,U250,I250)/D250</f>
        <v>0.83244897959183672</v>
      </c>
      <c r="AQ250" s="30">
        <f>SUM(K250,M250,O250,Q250,S250)/D250</f>
        <v>0.16755102040816328</v>
      </c>
      <c r="AR250" s="30">
        <f>D250/H250</f>
        <v>0.61164331707901609</v>
      </c>
      <c r="AS250" s="30">
        <f>AL250/AN250</f>
        <v>0.62333192998327436</v>
      </c>
      <c r="AT250" s="30">
        <f>AM250/AO250</f>
        <v>0.5595158586285387</v>
      </c>
      <c r="AU250" s="35">
        <f>(((H250/2) - SQRT((H250/2)^2 - 4 * D250)) / 2)</f>
        <v>1.2425590532357873</v>
      </c>
      <c r="AV250" s="27">
        <f>(((H250/2) + SQRT((H250/2)^2 - 4 * D250)) / 2)</f>
        <v>78.869490946764216</v>
      </c>
      <c r="AW250" s="27">
        <f>AU250*2.7*2+AV250*2.7*2</f>
        <v>432.60507000000007</v>
      </c>
      <c r="AX250" s="30">
        <f>AW250/D250</f>
        <v>4.4143374489795928</v>
      </c>
      <c r="AY250" s="30"/>
    </row>
    <row r="251" spans="2:51" x14ac:dyDescent="0.25">
      <c r="B251" s="36" t="s">
        <v>42</v>
      </c>
      <c r="C251" t="s">
        <v>46</v>
      </c>
      <c r="D251" s="37">
        <f>SUM(I251,K251,M251,O251,Q251,S251,U251,W251,Y251,AA251,AC251,AE251,AG251)</f>
        <v>94.8</v>
      </c>
      <c r="E251" s="38">
        <f>COUNTA(U251,W251,Y251,AA251)</f>
        <v>4</v>
      </c>
      <c r="F251" s="38">
        <f>COUNTA(M251,O251,Q251)</f>
        <v>2</v>
      </c>
      <c r="G251" s="38">
        <f>COUNTA(Table1[[#This Row],[A ASEO]])</f>
        <v>0</v>
      </c>
      <c r="H251" s="1">
        <f>SUM(J251,L251,N251,P251,R251,T251,V251,X251,Z251,AB251,AD251,AF251,AH251)</f>
        <v>155.74199999999999</v>
      </c>
      <c r="I251" s="1">
        <v>22</v>
      </c>
      <c r="J251" s="1">
        <f>I251*1.34</f>
        <v>29.48</v>
      </c>
      <c r="K251" s="1">
        <v>8.6</v>
      </c>
      <c r="L251" s="1">
        <f>K251*1.34</f>
        <v>11.524000000000001</v>
      </c>
      <c r="M251" s="1">
        <v>5.5</v>
      </c>
      <c r="N251" s="1">
        <f>M251*2.36</f>
        <v>12.979999999999999</v>
      </c>
      <c r="O251" s="1">
        <v>4.4000000000000004</v>
      </c>
      <c r="P251" s="1">
        <f>O251*2.36</f>
        <v>10.384</v>
      </c>
      <c r="Q251" s="1"/>
      <c r="R251" s="1"/>
      <c r="S251" s="1"/>
      <c r="T251" s="1"/>
      <c r="U251" s="1">
        <v>15.4</v>
      </c>
      <c r="V251" s="1">
        <f>U251*1.34</f>
        <v>20.636000000000003</v>
      </c>
      <c r="W251" s="1">
        <v>8.9</v>
      </c>
      <c r="X251" s="1">
        <f>W251*1.34</f>
        <v>11.926000000000002</v>
      </c>
      <c r="Y251" s="1">
        <v>8.8000000000000007</v>
      </c>
      <c r="Z251" s="1">
        <f>Y251*1.34</f>
        <v>11.792000000000002</v>
      </c>
      <c r="AA251" s="1">
        <v>8</v>
      </c>
      <c r="AB251" s="1">
        <f>AA251*1.34</f>
        <v>10.72</v>
      </c>
      <c r="AC251" s="1"/>
      <c r="AD251" s="1"/>
      <c r="AE251" s="1">
        <v>13.2</v>
      </c>
      <c r="AF251" s="1">
        <f>AE251*2.75</f>
        <v>36.299999999999997</v>
      </c>
      <c r="AG251" s="1"/>
      <c r="AH251" s="1"/>
      <c r="AI251" s="39">
        <f>10.7+1.2</f>
        <v>11.899999999999999</v>
      </c>
      <c r="AJ251" s="39">
        <f>AI251*0.6</f>
        <v>7.1399999999999988</v>
      </c>
      <c r="AK251" s="34"/>
      <c r="AL251" s="27">
        <f>SUM(I251,U251,W251,Y251,AA251,AC251,AE251,AG251)</f>
        <v>76.3</v>
      </c>
      <c r="AM251" s="27">
        <f>SUM(K251,M251,O251,Q251,S251)</f>
        <v>18.5</v>
      </c>
      <c r="AN251" s="27">
        <f>SUM(J251,V251,X251,Z251,AB251,AD251,AF251,AH251)</f>
        <v>120.854</v>
      </c>
      <c r="AO251" s="27">
        <f>SUM(L251,N251,P251,R251,T251)</f>
        <v>34.887999999999998</v>
      </c>
      <c r="AP251" s="30">
        <f>SUM(AG251,AE251,AC251,AA251,Y251,W251,U251,I251)/D251</f>
        <v>0.80485232067510548</v>
      </c>
      <c r="AQ251" s="30">
        <f>SUM(K251,M251,O251,Q251,S251)/D251</f>
        <v>0.19514767932489452</v>
      </c>
      <c r="AR251" s="30">
        <f>D251/H251</f>
        <v>0.60869900219593942</v>
      </c>
      <c r="AS251" s="30">
        <f>AL251/AN251</f>
        <v>0.63134029490128585</v>
      </c>
      <c r="AT251" s="30">
        <f>AM251/AO251</f>
        <v>0.53026828709011697</v>
      </c>
      <c r="AU251" s="35">
        <f>(((H251/2) - SQRT((H251/2)^2 - 4 * D251)) / 2)</f>
        <v>1.2370496306545746</v>
      </c>
      <c r="AV251" s="27">
        <f>(((H251/2) + SQRT((H251/2)^2 - 4 * D251)) / 2)</f>
        <v>76.633950369345428</v>
      </c>
      <c r="AW251" s="27">
        <f>AU251*2.7*2+AV251*2.7*2</f>
        <v>420.5034</v>
      </c>
      <c r="AX251" s="30">
        <f>AW251/D251</f>
        <v>4.4356898734177213</v>
      </c>
      <c r="AY251" s="30"/>
    </row>
    <row r="252" spans="2:51" x14ac:dyDescent="0.25">
      <c r="B252" s="36" t="s">
        <v>42</v>
      </c>
      <c r="C252" t="s">
        <v>77</v>
      </c>
      <c r="D252" s="37">
        <f>SUM(I252,K252,M252,O252,Q252,S252,U252,W252,Y252,AA252,AC252,AE252,AG252)</f>
        <v>89.850000000000023</v>
      </c>
      <c r="E252" s="38">
        <f>COUNTA(U252,W252,Y252,AA252)</f>
        <v>4</v>
      </c>
      <c r="F252" s="38">
        <f>COUNTA(M252,O252,Q252)</f>
        <v>2</v>
      </c>
      <c r="G252" s="38">
        <f>COUNTA(Table1[[#This Row],[A ASEO]])</f>
        <v>0</v>
      </c>
      <c r="H252" s="1">
        <f>SUM(J252,L252,N252,P252,R252,T252,V252,X252,Z252,AB252,AD252,AF252,AH252)</f>
        <v>148.52700000000002</v>
      </c>
      <c r="I252" s="1">
        <v>20.55</v>
      </c>
      <c r="J252" s="1">
        <f>I252*1.34</f>
        <v>27.537000000000003</v>
      </c>
      <c r="K252" s="1">
        <v>7.55</v>
      </c>
      <c r="L252" s="1">
        <f>K252*1.34</f>
        <v>10.117000000000001</v>
      </c>
      <c r="M252" s="1">
        <v>4.2</v>
      </c>
      <c r="N252" s="1">
        <f>M252*2.36</f>
        <v>9.911999999999999</v>
      </c>
      <c r="O252" s="1">
        <v>4.1500000000000004</v>
      </c>
      <c r="P252" s="1">
        <f>O252*2.36</f>
        <v>9.7940000000000005</v>
      </c>
      <c r="Q252" s="1"/>
      <c r="R252" s="1"/>
      <c r="S252" s="1"/>
      <c r="T252" s="1"/>
      <c r="U252" s="1">
        <v>11.85</v>
      </c>
      <c r="V252" s="1">
        <f>U252*1.34</f>
        <v>15.879000000000001</v>
      </c>
      <c r="W252" s="1">
        <v>9.4</v>
      </c>
      <c r="X252" s="1">
        <f>W252*1.34</f>
        <v>12.596000000000002</v>
      </c>
      <c r="Y252" s="1">
        <v>9.15</v>
      </c>
      <c r="Z252" s="1">
        <f>Y252*1.34</f>
        <v>12.261000000000001</v>
      </c>
      <c r="AA252" s="1">
        <v>8.4</v>
      </c>
      <c r="AB252" s="1">
        <f>AA252*1.34</f>
        <v>11.256000000000002</v>
      </c>
      <c r="AC252" s="1">
        <v>3.7</v>
      </c>
      <c r="AD252" s="1">
        <f>AC252*2.75</f>
        <v>10.175000000000001</v>
      </c>
      <c r="AE252" s="1">
        <v>8.4</v>
      </c>
      <c r="AF252" s="1">
        <f>AE252*2.75</f>
        <v>23.1</v>
      </c>
      <c r="AG252" s="1">
        <v>2.5</v>
      </c>
      <c r="AH252" s="1">
        <f>AG252*2.36</f>
        <v>5.8999999999999995</v>
      </c>
      <c r="AI252" s="39"/>
      <c r="AJ252" s="39"/>
      <c r="AK252" s="34"/>
      <c r="AL252" s="27">
        <f>SUM(I252,U252,W252,Y252,AA252,AC252,AE252,AG252)</f>
        <v>73.95</v>
      </c>
      <c r="AM252" s="27">
        <f>SUM(K252,M252,O252,Q252,S252)</f>
        <v>15.9</v>
      </c>
      <c r="AN252" s="27">
        <f>SUM(J252,V252,X252,Z252,AB252,AD252,AF252,AH252)</f>
        <v>118.70400000000001</v>
      </c>
      <c r="AO252" s="27">
        <f>SUM(L252,N252,P252,R252,T252)</f>
        <v>29.823</v>
      </c>
      <c r="AP252" s="30">
        <f>SUM(AG252,AE252,AC252,AA252,Y252,W252,U252,I252)/D252</f>
        <v>0.82303839732888129</v>
      </c>
      <c r="AQ252" s="30">
        <f>SUM(K252,M252,O252,Q252,S252)/D252</f>
        <v>0.17696160267111849</v>
      </c>
      <c r="AR252" s="30">
        <f>D252/H252</f>
        <v>0.60494051586580222</v>
      </c>
      <c r="AS252" s="30">
        <f>AL252/AN252</f>
        <v>0.62297816417306917</v>
      </c>
      <c r="AT252" s="30">
        <f>AM252/AO252</f>
        <v>0.53314555879690173</v>
      </c>
      <c r="AU252" s="35">
        <f>(((H252/2) - SQRT((H252/2)^2 - 4 * D252)) / 2)</f>
        <v>1.2302617569967609</v>
      </c>
      <c r="AV252" s="27">
        <f>(((H252/2) + SQRT((H252/2)^2 - 4 * D252)) / 2)</f>
        <v>73.03323824300324</v>
      </c>
      <c r="AW252" s="27">
        <f>AU252*2.7*2+AV252*2.7*2</f>
        <v>401.02289999999999</v>
      </c>
      <c r="AX252" s="30">
        <f>AW252/D252</f>
        <v>4.4632487479131875</v>
      </c>
      <c r="AY252" s="30"/>
    </row>
    <row r="253" spans="2:51" x14ac:dyDescent="0.25">
      <c r="B253" s="36" t="s">
        <v>99</v>
      </c>
      <c r="C253" t="s">
        <v>100</v>
      </c>
      <c r="D253" s="37">
        <f>SUM(I253,K253,M253,O253,Q253,S253,U253,W253,Y253,AA253,AC253,AE253,AG253)</f>
        <v>107.4</v>
      </c>
      <c r="E253" s="38">
        <f>COUNTA(U253,W253,Y253,AA253)</f>
        <v>4</v>
      </c>
      <c r="F253" s="38">
        <f>COUNTA(M253,O253,Q253)</f>
        <v>2</v>
      </c>
      <c r="G253" s="38">
        <f>COUNTA(Table1[[#This Row],[A ASEO]])</f>
        <v>0</v>
      </c>
      <c r="H253" s="1">
        <f>SUM(J253,L253,N253,P253,R253,T253,V253,X253,Z253,AB253,AD253,AF253,AH253)</f>
        <v>168.84750000000003</v>
      </c>
      <c r="I253" s="1">
        <v>27.4</v>
      </c>
      <c r="J253" s="1">
        <f>I253*1.34</f>
        <v>36.716000000000001</v>
      </c>
      <c r="K253" s="1">
        <v>13.75</v>
      </c>
      <c r="L253" s="1">
        <f>K253*1.34</f>
        <v>18.425000000000001</v>
      </c>
      <c r="M253" s="1">
        <v>4.0999999999999996</v>
      </c>
      <c r="N253" s="1">
        <f>M253*2.36</f>
        <v>9.6759999999999984</v>
      </c>
      <c r="O253" s="1">
        <v>4.0999999999999996</v>
      </c>
      <c r="P253" s="1">
        <f>O253*2.36</f>
        <v>9.6759999999999984</v>
      </c>
      <c r="Q253" s="1"/>
      <c r="R253" s="1"/>
      <c r="S253" s="1"/>
      <c r="T253" s="1"/>
      <c r="U253" s="1">
        <v>16.55</v>
      </c>
      <c r="V253" s="1">
        <f>U253*1.34</f>
        <v>22.177000000000003</v>
      </c>
      <c r="W253" s="1">
        <v>10.35</v>
      </c>
      <c r="X253" s="1">
        <f>W253*1.34</f>
        <v>13.869</v>
      </c>
      <c r="Y253" s="1">
        <v>10</v>
      </c>
      <c r="Z253" s="1">
        <f>Y253*1.34</f>
        <v>13.4</v>
      </c>
      <c r="AA253" s="1">
        <v>9.4</v>
      </c>
      <c r="AB253" s="1">
        <f>AA253*1.34</f>
        <v>12.596000000000002</v>
      </c>
      <c r="AC253" s="1">
        <v>10.45</v>
      </c>
      <c r="AD253" s="1">
        <f>AC253*2.75</f>
        <v>28.737499999999997</v>
      </c>
      <c r="AE253" s="1">
        <v>1.3</v>
      </c>
      <c r="AF253" s="1">
        <f>AE253*2.75</f>
        <v>3.5750000000000002</v>
      </c>
      <c r="AG253" s="1"/>
      <c r="AH253" s="1"/>
      <c r="AI253" s="39">
        <v>24.35</v>
      </c>
      <c r="AJ253" s="39">
        <f>AI253*0.6</f>
        <v>14.61</v>
      </c>
      <c r="AK253" s="34"/>
      <c r="AL253" s="27">
        <f>SUM(I253,U253,W253,Y253,AA253,AC253,AE253,AG253)</f>
        <v>85.450000000000017</v>
      </c>
      <c r="AM253" s="27">
        <f>SUM(K253,M253,O253,Q253,S253)</f>
        <v>21.950000000000003</v>
      </c>
      <c r="AN253" s="27">
        <f>SUM(J253,V253,X253,Z253,AB253,AD253,AF253,AH253)</f>
        <v>131.07050000000001</v>
      </c>
      <c r="AO253" s="27">
        <f>SUM(L253,N253,P253,R253,T253)</f>
        <v>37.777000000000001</v>
      </c>
      <c r="AP253" s="30">
        <f>SUM(AG253,AE253,AC253,AA253,Y253,W253,U253,I253)/D253</f>
        <v>0.79562383612662924</v>
      </c>
      <c r="AQ253" s="30">
        <f>SUM(K253,M253,O253,Q253,S253)/D253</f>
        <v>0.2043761638733706</v>
      </c>
      <c r="AR253" s="30">
        <f>D253/H253</f>
        <v>0.63607693332741078</v>
      </c>
      <c r="AS253" s="30">
        <f>AL253/AN253</f>
        <v>0.6519392235476329</v>
      </c>
      <c r="AT253" s="30">
        <f>AM253/AO253</f>
        <v>0.58104137438123737</v>
      </c>
      <c r="AU253" s="35">
        <f>(((H253/2) - SQRT((H253/2)^2 - 4 * D253)) / 2)</f>
        <v>1.291923985664404</v>
      </c>
      <c r="AV253" s="27">
        <f>(((H253/2) + SQRT((H253/2)^2 - 4 * D253)) / 2)</f>
        <v>83.131826014335616</v>
      </c>
      <c r="AW253" s="27">
        <f>AU253*2.7*2+AV253*2.7*2</f>
        <v>455.88825000000014</v>
      </c>
      <c r="AX253" s="30">
        <f>AW253/D253</f>
        <v>4.2447695530726266</v>
      </c>
      <c r="AY253" s="30"/>
    </row>
    <row r="254" spans="2:51" x14ac:dyDescent="0.25">
      <c r="B254" s="36" t="s">
        <v>99</v>
      </c>
      <c r="C254" t="s">
        <v>100</v>
      </c>
      <c r="D254" s="37">
        <f>SUM(I254,K254,M254,O254,Q254,S254,U254,W254,Y254,AA254,AC254,AE254,AG254)</f>
        <v>110.5</v>
      </c>
      <c r="E254" s="38">
        <f>COUNTA(U254,W254,Y254,AA254)</f>
        <v>4</v>
      </c>
      <c r="F254" s="38">
        <f>COUNTA(M254,O254,Q254)</f>
        <v>2</v>
      </c>
      <c r="G254" s="38">
        <f>COUNTA(Table1[[#This Row],[A ASEO]])</f>
        <v>0</v>
      </c>
      <c r="H254" s="1">
        <f>SUM(J254,L254,N254,P254,R254,T254,V254,X254,Z254,AB254,AD254,AF254,AH254)</f>
        <v>176.29550000000003</v>
      </c>
      <c r="I254" s="1">
        <v>24.25</v>
      </c>
      <c r="J254" s="1">
        <f>I254*1.34</f>
        <v>32.495000000000005</v>
      </c>
      <c r="K254" s="1">
        <v>17.850000000000001</v>
      </c>
      <c r="L254" s="1">
        <f>K254*1.34</f>
        <v>23.919000000000004</v>
      </c>
      <c r="M254" s="1">
        <v>4.6500000000000004</v>
      </c>
      <c r="N254" s="1">
        <f>M254*2.36</f>
        <v>10.974</v>
      </c>
      <c r="O254" s="1">
        <v>3.6</v>
      </c>
      <c r="P254" s="1">
        <f>O254*2.36</f>
        <v>8.4960000000000004</v>
      </c>
      <c r="Q254" s="1"/>
      <c r="R254" s="1"/>
      <c r="S254" s="1"/>
      <c r="T254" s="1"/>
      <c r="U254" s="1">
        <v>15.55</v>
      </c>
      <c r="V254" s="1">
        <f>U254*1.34</f>
        <v>20.837000000000003</v>
      </c>
      <c r="W254" s="1">
        <v>11.25</v>
      </c>
      <c r="X254" s="1">
        <f>W254*1.34</f>
        <v>15.075000000000001</v>
      </c>
      <c r="Y254" s="1">
        <v>10.25</v>
      </c>
      <c r="Z254" s="1">
        <f>Y254*1.34</f>
        <v>13.735000000000001</v>
      </c>
      <c r="AA254" s="1">
        <v>9.0500000000000007</v>
      </c>
      <c r="AB254" s="1">
        <f>AA254*1.34</f>
        <v>12.127000000000002</v>
      </c>
      <c r="AC254" s="1">
        <v>10.35</v>
      </c>
      <c r="AD254" s="1">
        <f>AC254*2.75</f>
        <v>28.462499999999999</v>
      </c>
      <c r="AE254" s="1">
        <v>3.7</v>
      </c>
      <c r="AF254" s="1">
        <f>AE254*2.75</f>
        <v>10.175000000000001</v>
      </c>
      <c r="AG254" s="1"/>
      <c r="AH254" s="1"/>
      <c r="AI254" s="39">
        <f>49.35+89.1</f>
        <v>138.44999999999999</v>
      </c>
      <c r="AJ254" s="39">
        <f>AI254*0.6</f>
        <v>83.07</v>
      </c>
      <c r="AK254" s="34"/>
      <c r="AL254" s="27">
        <f>SUM(I254,U254,W254,Y254,AA254,AC254,AE254,AG254)</f>
        <v>84.399999999999991</v>
      </c>
      <c r="AM254" s="27">
        <f>SUM(K254,M254,O254,Q254,S254)</f>
        <v>26.1</v>
      </c>
      <c r="AN254" s="27">
        <f>SUM(J254,V254,X254,Z254,AB254,AD254,AF254,AH254)</f>
        <v>132.90650000000002</v>
      </c>
      <c r="AO254" s="27">
        <f>SUM(L254,N254,P254,R254,T254)</f>
        <v>43.389000000000003</v>
      </c>
      <c r="AP254" s="30">
        <f>SUM(AG254,AE254,AC254,AA254,Y254,W254,U254,I254)/D254</f>
        <v>0.76380090497737563</v>
      </c>
      <c r="AQ254" s="30">
        <f>SUM(K254,M254,O254,Q254,S254)/D254</f>
        <v>0.23619909502262446</v>
      </c>
      <c r="AR254" s="30">
        <f>D254/H254</f>
        <v>0.62678854536842954</v>
      </c>
      <c r="AS254" s="30">
        <f>AL254/AN254</f>
        <v>0.63503289906814175</v>
      </c>
      <c r="AT254" s="30">
        <f>AM254/AO254</f>
        <v>0.6015349512549264</v>
      </c>
      <c r="AU254" s="35">
        <f>(((H254/2) - SQRT((H254/2)^2 - 4 * D254)) / 2)</f>
        <v>1.2719304470287511</v>
      </c>
      <c r="AV254" s="27">
        <f>(((H254/2) + SQRT((H254/2)^2 - 4 * D254)) / 2)</f>
        <v>86.875819552971265</v>
      </c>
      <c r="AW254" s="27">
        <f>AU254*2.7*2+AV254*2.7*2</f>
        <v>475.99785000000014</v>
      </c>
      <c r="AX254" s="30">
        <f>AW254/D254</f>
        <v>4.3076728506787347</v>
      </c>
      <c r="AY254" s="30"/>
    </row>
    <row r="255" spans="2:51" x14ac:dyDescent="0.25">
      <c r="B255" s="36" t="s">
        <v>99</v>
      </c>
      <c r="C255" t="s">
        <v>100</v>
      </c>
      <c r="D255" s="37">
        <f>SUM(I255,K255,M255,O255,Q255,S255,U255,W255,Y255,AA255,AC255,AE255,AG255)</f>
        <v>115.29999999999998</v>
      </c>
      <c r="E255" s="38">
        <f>COUNTA(U255,W255,Y255,AA255)</f>
        <v>4</v>
      </c>
      <c r="F255" s="38">
        <f>COUNTA(M255,O255,Q255)</f>
        <v>2</v>
      </c>
      <c r="G255" s="38">
        <f>COUNTA(Table1[[#This Row],[A ASEO]])</f>
        <v>0</v>
      </c>
      <c r="H255" s="1">
        <f>SUM(J255,L255,N255,P255,R255,T255,V255,X255,Z255,AB255,AD255,AF255,AH255)</f>
        <v>187.46300000000002</v>
      </c>
      <c r="I255" s="1">
        <v>25.55</v>
      </c>
      <c r="J255" s="1">
        <f>I255*1.34</f>
        <v>34.237000000000002</v>
      </c>
      <c r="K255" s="1">
        <v>16.75</v>
      </c>
      <c r="L255" s="1">
        <f>K255*1.34</f>
        <v>22.445</v>
      </c>
      <c r="M255" s="1">
        <v>4.55</v>
      </c>
      <c r="N255" s="1">
        <f>M255*2.36</f>
        <v>10.738</v>
      </c>
      <c r="O255" s="1">
        <v>3.85</v>
      </c>
      <c r="P255" s="1">
        <f>O255*2.36</f>
        <v>9.0860000000000003</v>
      </c>
      <c r="Q255" s="1"/>
      <c r="R255" s="1"/>
      <c r="S255" s="1"/>
      <c r="T255" s="1"/>
      <c r="U255" s="1">
        <v>16.7</v>
      </c>
      <c r="V255" s="1">
        <f>U255*1.34</f>
        <v>22.378</v>
      </c>
      <c r="W255" s="1">
        <v>10.3</v>
      </c>
      <c r="X255" s="1">
        <f>W255*1.34</f>
        <v>13.802000000000001</v>
      </c>
      <c r="Y255" s="1">
        <v>10.3</v>
      </c>
      <c r="Z255" s="1">
        <f>Y255*1.34</f>
        <v>13.802000000000001</v>
      </c>
      <c r="AA255" s="1">
        <v>10</v>
      </c>
      <c r="AB255" s="1">
        <f>AA255*1.34</f>
        <v>13.4</v>
      </c>
      <c r="AC255" s="1">
        <v>4</v>
      </c>
      <c r="AD255" s="1">
        <f>AC255*2.75</f>
        <v>11</v>
      </c>
      <c r="AE255" s="1">
        <v>13.3</v>
      </c>
      <c r="AF255" s="1">
        <f>AE255*2.75</f>
        <v>36.575000000000003</v>
      </c>
      <c r="AG255" s="1"/>
      <c r="AH255" s="1"/>
      <c r="AI255" s="39">
        <f>17.6+6.4+4.85</f>
        <v>28.85</v>
      </c>
      <c r="AJ255" s="39">
        <f>AI255*0.6</f>
        <v>17.309999999999999</v>
      </c>
      <c r="AK255" s="34"/>
      <c r="AL255" s="27">
        <f>SUM(I255,U255,W255,Y255,AA255,AC255,AE255,AG255)</f>
        <v>90.149999999999991</v>
      </c>
      <c r="AM255" s="27">
        <f>SUM(K255,M255,O255,Q255,S255)</f>
        <v>25.150000000000002</v>
      </c>
      <c r="AN255" s="27">
        <f>SUM(J255,V255,X255,Z255,AB255,AD255,AF255,AH255)</f>
        <v>145.19400000000002</v>
      </c>
      <c r="AO255" s="27">
        <f>SUM(L255,N255,P255,R255,T255)</f>
        <v>42.268999999999998</v>
      </c>
      <c r="AP255" s="30">
        <f>SUM(AG255,AE255,AC255,AA255,Y255,W255,U255,I255)/D255</f>
        <v>0.78187337380745892</v>
      </c>
      <c r="AQ255" s="30">
        <f>SUM(K255,M255,O255,Q255,S255)/D255</f>
        <v>0.21812662619254125</v>
      </c>
      <c r="AR255" s="30">
        <f>D255/H255</f>
        <v>0.61505470412828112</v>
      </c>
      <c r="AS255" s="30">
        <f>AL255/AN255</f>
        <v>0.62089342534815473</v>
      </c>
      <c r="AT255" s="30">
        <f>AM255/AO255</f>
        <v>0.59499869881000267</v>
      </c>
      <c r="AU255" s="35">
        <f>(((H255/2) - SQRT((H255/2)^2 - 4 * D255)) / 2)</f>
        <v>1.2466912299804278</v>
      </c>
      <c r="AV255" s="27">
        <f>(((H255/2) + SQRT((H255/2)^2 - 4 * D255)) / 2)</f>
        <v>92.484808770019583</v>
      </c>
      <c r="AW255" s="27">
        <f>AU255*2.7*2+AV255*2.7*2</f>
        <v>506.15010000000007</v>
      </c>
      <c r="AX255" s="30">
        <f>AW255/D255</f>
        <v>4.3898534258456214</v>
      </c>
      <c r="AY255" s="30"/>
    </row>
    <row r="256" spans="2:51" x14ac:dyDescent="0.25">
      <c r="B256" s="36" t="s">
        <v>74</v>
      </c>
      <c r="C256" t="s">
        <v>75</v>
      </c>
      <c r="D256" s="37">
        <f>SUM(I256,K256,M256,O256,Q256,S256,U256,W256,Y256,AA256,AC256,AE256,AG256)</f>
        <v>100.05</v>
      </c>
      <c r="E256" s="38">
        <f>COUNTA(U256,W256,Y256,AA256)</f>
        <v>4</v>
      </c>
      <c r="F256" s="38">
        <f>COUNTA(M256,O256,Q256)</f>
        <v>2</v>
      </c>
      <c r="G256" s="38">
        <f>COUNTA(Table1[[#This Row],[A ASEO]])</f>
        <v>0</v>
      </c>
      <c r="H256" s="1">
        <f>SUM(J256,L256,N256,P256,R256,T256,V256,X256,Z256,AB256,AD256,AF256,AH256)</f>
        <v>153.54</v>
      </c>
      <c r="I256" s="1">
        <v>23.6</v>
      </c>
      <c r="J256" s="1">
        <f>I256*1.34</f>
        <v>31.624000000000002</v>
      </c>
      <c r="K256" s="1">
        <v>12.05</v>
      </c>
      <c r="L256" s="1">
        <f>K256*1.34</f>
        <v>16.147000000000002</v>
      </c>
      <c r="M256" s="1">
        <v>4.8499999999999996</v>
      </c>
      <c r="N256" s="1">
        <f>M256*2.36</f>
        <v>11.445999999999998</v>
      </c>
      <c r="O256" s="1">
        <v>4.1500000000000004</v>
      </c>
      <c r="P256" s="1">
        <f>O256*2.36</f>
        <v>9.7940000000000005</v>
      </c>
      <c r="Q256" s="1"/>
      <c r="R256" s="1"/>
      <c r="S256" s="1"/>
      <c r="T256" s="1"/>
      <c r="U256" s="1">
        <v>15.6</v>
      </c>
      <c r="V256" s="1">
        <f>U256*1.34</f>
        <v>20.904</v>
      </c>
      <c r="W256" s="1">
        <v>12.25</v>
      </c>
      <c r="X256" s="1">
        <f>W256*1.34</f>
        <v>16.415000000000003</v>
      </c>
      <c r="Y256" s="1">
        <v>10.3</v>
      </c>
      <c r="Z256" s="1">
        <f>Y256*1.34</f>
        <v>13.802000000000001</v>
      </c>
      <c r="AA256" s="1">
        <v>9.9499999999999993</v>
      </c>
      <c r="AB256" s="1">
        <f>AA256*1.34</f>
        <v>13.333</v>
      </c>
      <c r="AC256" s="1">
        <v>7.3</v>
      </c>
      <c r="AD256" s="1">
        <f>AC256*2.75</f>
        <v>20.074999999999999</v>
      </c>
      <c r="AE256" s="1"/>
      <c r="AF256" s="1"/>
      <c r="AG256" s="1"/>
      <c r="AH256" s="1"/>
      <c r="AI256" s="39">
        <f>110.45+7.5</f>
        <v>117.95</v>
      </c>
      <c r="AJ256" s="39">
        <f>AI256*0.6</f>
        <v>70.77</v>
      </c>
      <c r="AK256" s="34"/>
      <c r="AL256" s="27">
        <f>SUM(I256,U256,W256,Y256,AA256,AC256,AE256,AG256)</f>
        <v>79</v>
      </c>
      <c r="AM256" s="27">
        <f>SUM(K256,M256,O256,Q256,S256)</f>
        <v>21.049999999999997</v>
      </c>
      <c r="AN256" s="27">
        <f>SUM(J256,V256,X256,Z256,AB256,AD256,AF256,AH256)</f>
        <v>116.15300000000002</v>
      </c>
      <c r="AO256" s="27">
        <f>SUM(L256,N256,P256,R256,T256)</f>
        <v>37.387</v>
      </c>
      <c r="AP256" s="30">
        <f>SUM(AG256,AE256,AC256,AA256,Y256,W256,U256,I256)/D256</f>
        <v>0.78960519740129942</v>
      </c>
      <c r="AQ256" s="30">
        <f>SUM(K256,M256,O256,Q256,S256)/D256</f>
        <v>0.21039480259870064</v>
      </c>
      <c r="AR256" s="30">
        <f>D256/H256</f>
        <v>0.65162172723720202</v>
      </c>
      <c r="AS256" s="30">
        <f>AL256/AN256</f>
        <v>0.68013740497447317</v>
      </c>
      <c r="AT256" s="30">
        <f>AM256/AO256</f>
        <v>0.56302993018963798</v>
      </c>
      <c r="AU256" s="35">
        <f>(((H256/2) - SQRT((H256/2)^2 - 4 * D256)) / 2)</f>
        <v>1.3261518662546621</v>
      </c>
      <c r="AV256" s="27">
        <f>(((H256/2) + SQRT((H256/2)^2 - 4 * D256)) / 2)</f>
        <v>75.443848133745334</v>
      </c>
      <c r="AW256" s="27">
        <f>AU256*2.7*2+AV256*2.7*2</f>
        <v>414.55799999999999</v>
      </c>
      <c r="AX256" s="30">
        <f>AW256/D256</f>
        <v>4.1435082458770616</v>
      </c>
      <c r="AY256" s="30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9C33-7D1A-4764-85AF-2063D3D4BE5C}">
  <dimension ref="A1:JY141"/>
  <sheetViews>
    <sheetView topLeftCell="B1" zoomScale="115" zoomScaleNormal="115" workbookViewId="0">
      <pane xSplit="3" ySplit="4" topLeftCell="O104" activePane="bottomRight" state="frozen"/>
      <selection activeCell="B1" sqref="B1"/>
      <selection pane="topRight" activeCell="E1" sqref="E1"/>
      <selection pane="bottomLeft" activeCell="B5" sqref="B5"/>
      <selection pane="bottomRight" activeCell="AL4" sqref="AL4"/>
    </sheetView>
  </sheetViews>
  <sheetFormatPr defaultColWidth="9.28515625" defaultRowHeight="15" x14ac:dyDescent="0.25"/>
  <cols>
    <col min="1" max="1" width="10.7109375" hidden="1" customWidth="1"/>
    <col min="2" max="2" width="15.7109375" customWidth="1"/>
    <col min="3" max="3" width="31" customWidth="1"/>
    <col min="4" max="4" width="26.140625" customWidth="1"/>
    <col min="5" max="5" width="13.85546875" style="10" customWidth="1"/>
    <col min="6" max="6" width="16.28515625" style="10" customWidth="1"/>
    <col min="7" max="7" width="1.5703125" customWidth="1"/>
    <col min="8" max="10" width="1.85546875" customWidth="1"/>
    <col min="11" max="11" width="11" bestFit="1" customWidth="1"/>
    <col min="12" max="12" width="11.28515625" bestFit="1" customWidth="1"/>
    <col min="13" max="13" width="11" bestFit="1" customWidth="1"/>
    <col min="14" max="14" width="11.28515625" bestFit="1" customWidth="1"/>
    <col min="15" max="15" width="11" bestFit="1" customWidth="1"/>
    <col min="16" max="16" width="11.28515625" bestFit="1" customWidth="1"/>
    <col min="17" max="17" width="2.140625" customWidth="1"/>
    <col min="18" max="18" width="1.7109375" customWidth="1"/>
    <col min="19" max="19" width="11" bestFit="1" customWidth="1"/>
    <col min="20" max="20" width="11.28515625" bestFit="1" customWidth="1"/>
    <col min="21" max="21" width="11" bestFit="1" customWidth="1"/>
    <col min="22" max="22" width="11.28515625" bestFit="1" customWidth="1"/>
    <col min="23" max="23" width="14.28515625" customWidth="1"/>
    <col min="24" max="24" width="11.28515625" bestFit="1" customWidth="1"/>
    <col min="25" max="25" width="11" bestFit="1" customWidth="1"/>
    <col min="26" max="26" width="14.28515625" customWidth="1"/>
    <col min="27" max="27" width="11" bestFit="1" customWidth="1"/>
    <col min="28" max="28" width="11.28515625" bestFit="1" customWidth="1"/>
    <col min="29" max="29" width="0.85546875" customWidth="1"/>
    <col min="30" max="30" width="0.7109375" customWidth="1"/>
    <col min="31" max="31" width="11" bestFit="1" customWidth="1"/>
    <col min="32" max="32" width="11.28515625" bestFit="1" customWidth="1"/>
    <col min="33" max="33" width="11" bestFit="1" customWidth="1"/>
    <col min="34" max="34" width="11.28515625" bestFit="1" customWidth="1"/>
    <col min="35" max="35" width="11" bestFit="1" customWidth="1"/>
    <col min="36" max="36" width="11.28515625" bestFit="1" customWidth="1"/>
    <col min="37" max="37" width="11" style="10" bestFit="1" customWidth="1"/>
    <col min="38" max="38" width="11.28515625" style="10" bestFit="1" customWidth="1"/>
    <col min="39" max="39" width="11" style="10" bestFit="1" customWidth="1"/>
    <col min="40" max="40" width="11.28515625" style="10" bestFit="1" customWidth="1"/>
    <col min="41" max="41" width="17" bestFit="1" customWidth="1"/>
    <col min="42" max="42" width="11.28515625" bestFit="1" customWidth="1"/>
    <col min="44" max="44" width="9" bestFit="1" customWidth="1"/>
    <col min="45" max="45" width="11.7109375" bestFit="1" customWidth="1"/>
  </cols>
  <sheetData>
    <row r="1" spans="1:285" s="4" customFormat="1" x14ac:dyDescent="0.25">
      <c r="E1" s="15" t="s">
        <v>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285" s="7" customFormat="1" ht="15.75" x14ac:dyDescent="0.25">
      <c r="A2" s="7" t="s">
        <v>61</v>
      </c>
      <c r="B2" s="7" t="s">
        <v>39</v>
      </c>
      <c r="C2" s="7" t="s">
        <v>44</v>
      </c>
      <c r="D2" s="7" t="s">
        <v>1</v>
      </c>
      <c r="E2" s="13" t="s">
        <v>21</v>
      </c>
      <c r="F2" s="13"/>
      <c r="G2" s="14" t="s">
        <v>22</v>
      </c>
      <c r="H2" s="14"/>
      <c r="I2" s="16" t="s">
        <v>20</v>
      </c>
      <c r="J2" s="16"/>
      <c r="K2" s="16" t="s">
        <v>23</v>
      </c>
      <c r="L2" s="16"/>
      <c r="M2" s="16" t="s">
        <v>24</v>
      </c>
      <c r="N2" s="16"/>
      <c r="O2" s="16" t="s">
        <v>32</v>
      </c>
      <c r="P2" s="16"/>
      <c r="Q2" s="16" t="s">
        <v>33</v>
      </c>
      <c r="R2" s="16"/>
      <c r="S2" s="16" t="s">
        <v>19</v>
      </c>
      <c r="T2" s="16"/>
      <c r="U2" s="14" t="s">
        <v>25</v>
      </c>
      <c r="V2" s="14"/>
      <c r="W2" s="14" t="s">
        <v>26</v>
      </c>
      <c r="X2" s="14"/>
      <c r="Y2" s="14" t="s">
        <v>27</v>
      </c>
      <c r="Z2" s="14"/>
      <c r="AA2" s="14" t="s">
        <v>28</v>
      </c>
      <c r="AB2" s="14"/>
      <c r="AC2" s="14" t="s">
        <v>29</v>
      </c>
      <c r="AD2" s="14"/>
      <c r="AE2" s="14" t="s">
        <v>31</v>
      </c>
      <c r="AF2" s="14"/>
      <c r="AG2" s="14" t="s">
        <v>30</v>
      </c>
      <c r="AH2" s="14"/>
      <c r="AI2" s="14" t="s">
        <v>37</v>
      </c>
      <c r="AJ2" s="14"/>
      <c r="AK2" s="13" t="s">
        <v>84</v>
      </c>
      <c r="AL2" s="13"/>
      <c r="AM2" s="13" t="s">
        <v>83</v>
      </c>
      <c r="AN2" s="13"/>
      <c r="AO2" s="14" t="s">
        <v>38</v>
      </c>
      <c r="AP2" s="14"/>
      <c r="AR2" s="7" t="s">
        <v>35</v>
      </c>
      <c r="AS2" s="7" t="s">
        <v>36</v>
      </c>
      <c r="AT2" s="7" t="s">
        <v>147</v>
      </c>
    </row>
    <row r="3" spans="1:285" s="4" customFormat="1" x14ac:dyDescent="0.25">
      <c r="E3" s="8" t="s">
        <v>156</v>
      </c>
      <c r="F3" s="8" t="s">
        <v>157</v>
      </c>
      <c r="G3" s="4" t="s">
        <v>156</v>
      </c>
      <c r="H3" s="4" t="s">
        <v>157</v>
      </c>
      <c r="I3" s="5" t="s">
        <v>156</v>
      </c>
      <c r="J3" s="5" t="s">
        <v>157</v>
      </c>
      <c r="K3" s="5" t="s">
        <v>156</v>
      </c>
      <c r="L3" s="5" t="s">
        <v>157</v>
      </c>
      <c r="M3" s="5" t="s">
        <v>156</v>
      </c>
      <c r="N3" s="5" t="s">
        <v>157</v>
      </c>
      <c r="O3" s="5" t="s">
        <v>156</v>
      </c>
      <c r="P3" s="5" t="s">
        <v>157</v>
      </c>
      <c r="Q3" s="5" t="s">
        <v>156</v>
      </c>
      <c r="R3" s="5" t="s">
        <v>157</v>
      </c>
      <c r="S3" s="5" t="s">
        <v>156</v>
      </c>
      <c r="T3" s="5" t="s">
        <v>157</v>
      </c>
      <c r="U3" s="4" t="s">
        <v>156</v>
      </c>
      <c r="V3" s="4" t="s">
        <v>157</v>
      </c>
      <c r="W3" s="4" t="s">
        <v>156</v>
      </c>
      <c r="X3" s="4" t="s">
        <v>157</v>
      </c>
      <c r="Y3" s="4" t="s">
        <v>156</v>
      </c>
      <c r="Z3" s="4" t="s">
        <v>157</v>
      </c>
      <c r="AA3" s="4" t="s">
        <v>156</v>
      </c>
      <c r="AB3" s="4" t="s">
        <v>157</v>
      </c>
      <c r="AC3" s="4" t="s">
        <v>156</v>
      </c>
      <c r="AD3" s="4" t="s">
        <v>157</v>
      </c>
      <c r="AE3" s="4" t="s">
        <v>156</v>
      </c>
      <c r="AF3" s="4" t="s">
        <v>157</v>
      </c>
      <c r="AG3" s="4" t="s">
        <v>156</v>
      </c>
      <c r="AH3" s="4" t="s">
        <v>157</v>
      </c>
      <c r="AI3" s="4" t="s">
        <v>156</v>
      </c>
      <c r="AJ3" s="4" t="s">
        <v>157</v>
      </c>
      <c r="AK3" s="8" t="s">
        <v>156</v>
      </c>
      <c r="AL3" s="8" t="s">
        <v>157</v>
      </c>
      <c r="AM3" s="8" t="s">
        <v>156</v>
      </c>
      <c r="AN3" s="8" t="s">
        <v>157</v>
      </c>
      <c r="AO3" s="4" t="s">
        <v>156</v>
      </c>
      <c r="AP3" s="4" t="s">
        <v>157</v>
      </c>
    </row>
    <row r="4" spans="1:285" s="4" customFormat="1" x14ac:dyDescent="0.25">
      <c r="D4" s="4" t="s">
        <v>173</v>
      </c>
      <c r="E4" s="8" t="s">
        <v>160</v>
      </c>
      <c r="F4" s="8" t="s">
        <v>161</v>
      </c>
      <c r="G4" s="4" t="s">
        <v>170</v>
      </c>
      <c r="H4" s="4" t="s">
        <v>171</v>
      </c>
      <c r="I4" s="5" t="s">
        <v>162</v>
      </c>
      <c r="J4" s="5" t="s">
        <v>165</v>
      </c>
      <c r="K4" s="5" t="s">
        <v>163</v>
      </c>
      <c r="L4" s="5" t="s">
        <v>157</v>
      </c>
      <c r="M4" s="5" t="s">
        <v>164</v>
      </c>
      <c r="N4" s="5" t="s">
        <v>157</v>
      </c>
      <c r="O4" s="5" t="s">
        <v>156</v>
      </c>
      <c r="P4" s="5" t="s">
        <v>157</v>
      </c>
      <c r="Q4" s="5" t="s">
        <v>156</v>
      </c>
      <c r="R4" s="5" t="s">
        <v>157</v>
      </c>
      <c r="S4" s="5" t="s">
        <v>156</v>
      </c>
      <c r="T4" s="5" t="s">
        <v>157</v>
      </c>
      <c r="U4" s="4" t="s">
        <v>166</v>
      </c>
      <c r="V4" s="4" t="s">
        <v>157</v>
      </c>
      <c r="W4" s="4" t="s">
        <v>156</v>
      </c>
      <c r="X4" s="4" t="s">
        <v>157</v>
      </c>
      <c r="Y4" s="4" t="s">
        <v>156</v>
      </c>
      <c r="Z4" s="4" t="s">
        <v>157</v>
      </c>
      <c r="AA4" s="4" t="s">
        <v>156</v>
      </c>
      <c r="AB4" s="4" t="s">
        <v>157</v>
      </c>
      <c r="AC4" s="4" t="s">
        <v>156</v>
      </c>
      <c r="AD4" s="4" t="s">
        <v>157</v>
      </c>
      <c r="AE4" s="4" t="s">
        <v>167</v>
      </c>
      <c r="AF4" s="4" t="s">
        <v>157</v>
      </c>
      <c r="AG4" s="4" t="s">
        <v>168</v>
      </c>
      <c r="AH4" s="4" t="s">
        <v>157</v>
      </c>
      <c r="AI4" s="4" t="s">
        <v>169</v>
      </c>
      <c r="AJ4" s="4" t="s">
        <v>157</v>
      </c>
      <c r="AK4" s="8" t="s">
        <v>172</v>
      </c>
      <c r="AL4" s="8" t="s">
        <v>157</v>
      </c>
      <c r="AM4" s="8" t="s">
        <v>172</v>
      </c>
      <c r="AN4" s="8" t="s">
        <v>157</v>
      </c>
      <c r="AO4" s="4" t="s">
        <v>156</v>
      </c>
      <c r="AP4" s="4" t="s">
        <v>157</v>
      </c>
    </row>
    <row r="5" spans="1:285" x14ac:dyDescent="0.25">
      <c r="D5" s="1">
        <f t="shared" ref="D5:D44" si="0">E5+G5+I5+K5+M5+O5+Q5+S5+U5+W5+Y5+AA5+AC5+AE5+AG5+AI5+AK5+AM5</f>
        <v>29.8</v>
      </c>
      <c r="E5" s="9">
        <v>11.8</v>
      </c>
      <c r="F5" s="9">
        <f t="shared" ref="F5:F44" si="1">E5*1.34</f>
        <v>15.812000000000001</v>
      </c>
      <c r="G5" s="1"/>
      <c r="H5" s="1"/>
      <c r="I5" s="1"/>
      <c r="J5" s="1"/>
      <c r="K5" s="1">
        <v>5.4</v>
      </c>
      <c r="L5" s="1">
        <f t="shared" ref="L5:L44" si="2">K5*2.36</f>
        <v>12.744</v>
      </c>
      <c r="M5" s="1"/>
      <c r="N5" s="1"/>
      <c r="O5" s="1"/>
      <c r="P5" s="1"/>
      <c r="Q5" s="1"/>
      <c r="R5" s="1"/>
      <c r="S5" s="1"/>
      <c r="T5" s="1"/>
      <c r="U5" s="1">
        <v>9.9</v>
      </c>
      <c r="V5" s="1">
        <f t="shared" ref="V5:V9" si="3">U5*1.34</f>
        <v>13.266000000000002</v>
      </c>
      <c r="W5" s="1"/>
      <c r="X5" s="1"/>
      <c r="Y5" s="1"/>
      <c r="Z5" s="1"/>
      <c r="AA5" s="1"/>
      <c r="AB5" s="1"/>
      <c r="AC5" s="1"/>
      <c r="AD5" s="1"/>
      <c r="AE5" s="1">
        <v>2.7</v>
      </c>
      <c r="AF5" s="1">
        <f t="shared" ref="AF5" si="4">AE5*2.75</f>
        <v>7.4250000000000007</v>
      </c>
      <c r="AG5" s="1"/>
      <c r="AH5" s="1"/>
      <c r="AI5" s="1"/>
      <c r="AJ5" s="1"/>
      <c r="AK5" s="9"/>
      <c r="AL5" s="9"/>
      <c r="AM5" s="9"/>
      <c r="AN5" s="9"/>
      <c r="AO5" s="1"/>
      <c r="AP5" s="1"/>
      <c r="AR5" s="1">
        <f>ROUND((E5+G5+U5+W5+Y5+AA5+AC5+AE5+AG5+AI5+AK5+AM5)/D5,2)</f>
        <v>0.82</v>
      </c>
      <c r="AS5" s="1">
        <f t="shared" ref="AS5:AS44" si="5">ROUND((I5+K5+M5+O5+Q5+S5)/D5,2)</f>
        <v>0.18</v>
      </c>
      <c r="AT5" s="1">
        <f t="shared" ref="AT5:AT44" si="6">AR5+AS5</f>
        <v>1</v>
      </c>
    </row>
    <row r="6" spans="1:285" x14ac:dyDescent="0.25">
      <c r="D6" s="1">
        <f t="shared" si="0"/>
        <v>31.799999999999997</v>
      </c>
      <c r="E6" s="9">
        <v>16.2</v>
      </c>
      <c r="F6" s="9">
        <f t="shared" si="1"/>
        <v>21.708000000000002</v>
      </c>
      <c r="G6" s="1"/>
      <c r="H6" s="1"/>
      <c r="I6" s="1"/>
      <c r="J6" s="1"/>
      <c r="K6" s="1">
        <v>2.56</v>
      </c>
      <c r="L6" s="1">
        <f t="shared" si="2"/>
        <v>6.0415999999999999</v>
      </c>
      <c r="M6" s="1"/>
      <c r="N6" s="1"/>
      <c r="O6" s="1"/>
      <c r="P6" s="1"/>
      <c r="Q6" s="1"/>
      <c r="R6" s="1"/>
      <c r="S6" s="1"/>
      <c r="T6" s="1"/>
      <c r="U6" s="1">
        <v>13.04</v>
      </c>
      <c r="V6" s="1">
        <f t="shared" si="3"/>
        <v>17.473600000000001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9"/>
      <c r="AL6" s="9"/>
      <c r="AM6" s="9"/>
      <c r="AN6" s="9"/>
      <c r="AO6" s="1"/>
      <c r="AP6" s="1"/>
      <c r="AR6" s="1">
        <f t="shared" ref="AR5:AR44" si="7">ROUND((E6+G6+U6+W6+Y6+AA6+AC6+AE6+AG6+AI6+AK6+AM6)/D6,2)</f>
        <v>0.92</v>
      </c>
      <c r="AS6" s="1">
        <f t="shared" si="5"/>
        <v>0.08</v>
      </c>
      <c r="AT6" s="1">
        <f t="shared" si="6"/>
        <v>1</v>
      </c>
    </row>
    <row r="7" spans="1:285" x14ac:dyDescent="0.25">
      <c r="B7" t="s">
        <v>40</v>
      </c>
      <c r="C7" t="s">
        <v>125</v>
      </c>
      <c r="D7" s="1">
        <f t="shared" si="0"/>
        <v>32.58</v>
      </c>
      <c r="E7" s="9">
        <v>18.329999999999998</v>
      </c>
      <c r="F7" s="9">
        <f t="shared" si="1"/>
        <v>24.562200000000001</v>
      </c>
      <c r="G7" s="1"/>
      <c r="H7" s="1"/>
      <c r="I7" s="1"/>
      <c r="J7" s="1"/>
      <c r="K7" s="1">
        <v>3.03</v>
      </c>
      <c r="L7" s="1">
        <f t="shared" si="2"/>
        <v>7.1507999999999994</v>
      </c>
      <c r="M7" s="1"/>
      <c r="N7" s="1"/>
      <c r="O7" s="1"/>
      <c r="P7" s="1"/>
      <c r="Q7" s="1"/>
      <c r="R7" s="1"/>
      <c r="S7" s="1"/>
      <c r="T7" s="1"/>
      <c r="U7" s="1">
        <v>11.22</v>
      </c>
      <c r="V7" s="1">
        <f t="shared" si="3"/>
        <v>15.034800000000002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9"/>
      <c r="AL7" s="9"/>
      <c r="AM7" s="9"/>
      <c r="AN7" s="9"/>
      <c r="AO7" s="1">
        <v>5.24</v>
      </c>
      <c r="AP7" s="1">
        <f>AO7*0.6</f>
        <v>3.1440000000000001</v>
      </c>
      <c r="AR7" s="1">
        <f t="shared" si="7"/>
        <v>0.91</v>
      </c>
      <c r="AS7" s="1">
        <f t="shared" si="5"/>
        <v>0.09</v>
      </c>
      <c r="AT7" s="1">
        <f t="shared" si="6"/>
        <v>1</v>
      </c>
    </row>
    <row r="8" spans="1:285" x14ac:dyDescent="0.25">
      <c r="B8" s="1" t="s">
        <v>81</v>
      </c>
      <c r="C8" s="1" t="s">
        <v>82</v>
      </c>
      <c r="D8" s="1">
        <f t="shared" si="0"/>
        <v>33.450000000000003</v>
      </c>
      <c r="E8" s="9">
        <v>20.239999999999998</v>
      </c>
      <c r="F8" s="9">
        <f t="shared" si="1"/>
        <v>27.121600000000001</v>
      </c>
      <c r="G8" s="1"/>
      <c r="H8" s="1"/>
      <c r="I8" s="1"/>
      <c r="J8" s="1"/>
      <c r="K8" s="1">
        <v>3.07</v>
      </c>
      <c r="L8" s="1">
        <f t="shared" si="2"/>
        <v>7.2451999999999996</v>
      </c>
      <c r="M8" s="1"/>
      <c r="N8" s="1"/>
      <c r="O8" s="1"/>
      <c r="P8" s="1"/>
      <c r="Q8" s="1"/>
      <c r="R8" s="1"/>
      <c r="S8" s="1"/>
      <c r="T8" s="1"/>
      <c r="U8" s="1">
        <v>10.14</v>
      </c>
      <c r="V8" s="1">
        <f t="shared" si="3"/>
        <v>13.587600000000002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9"/>
      <c r="AL8" s="9"/>
      <c r="AM8" s="9"/>
      <c r="AN8" s="9"/>
      <c r="AO8" s="1"/>
      <c r="AP8" s="1"/>
      <c r="AR8" s="1">
        <f t="shared" si="7"/>
        <v>0.91</v>
      </c>
      <c r="AS8" s="1">
        <f t="shared" si="5"/>
        <v>0.09</v>
      </c>
      <c r="AT8" s="1">
        <f t="shared" si="6"/>
        <v>1</v>
      </c>
    </row>
    <row r="9" spans="1:285" x14ac:dyDescent="0.25">
      <c r="A9" s="1"/>
      <c r="B9" s="1" t="s">
        <v>81</v>
      </c>
      <c r="C9" s="1" t="s">
        <v>82</v>
      </c>
      <c r="D9" s="1">
        <f t="shared" si="0"/>
        <v>34</v>
      </c>
      <c r="E9" s="9">
        <v>20.45</v>
      </c>
      <c r="F9" s="9">
        <f t="shared" si="1"/>
        <v>27.403000000000002</v>
      </c>
      <c r="G9" s="1"/>
      <c r="H9" s="1"/>
      <c r="I9" s="1"/>
      <c r="J9" s="1"/>
      <c r="K9" s="1">
        <v>3.28</v>
      </c>
      <c r="L9" s="1">
        <f t="shared" si="2"/>
        <v>7.7407999999999992</v>
      </c>
      <c r="M9" s="1"/>
      <c r="N9" s="1"/>
      <c r="O9" s="1"/>
      <c r="P9" s="1"/>
      <c r="Q9" s="1"/>
      <c r="R9" s="1"/>
      <c r="S9" s="1"/>
      <c r="T9" s="1"/>
      <c r="U9" s="1">
        <v>10.27</v>
      </c>
      <c r="V9" s="1">
        <f t="shared" si="3"/>
        <v>13.761800000000001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9"/>
      <c r="AL9" s="9"/>
      <c r="AM9" s="9"/>
      <c r="AN9" s="9"/>
      <c r="AO9" s="1">
        <v>1.85</v>
      </c>
      <c r="AP9" s="1">
        <f>AO9*0.6</f>
        <v>1.1100000000000001</v>
      </c>
      <c r="AQ9" s="1"/>
      <c r="AR9" s="1">
        <f t="shared" si="7"/>
        <v>0.9</v>
      </c>
      <c r="AS9" s="1">
        <f t="shared" si="5"/>
        <v>0.1</v>
      </c>
      <c r="AT9" s="1">
        <f t="shared" si="6"/>
        <v>1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</row>
    <row r="10" spans="1:285" x14ac:dyDescent="0.25">
      <c r="D10" s="1">
        <f t="shared" si="0"/>
        <v>35</v>
      </c>
      <c r="E10" s="9">
        <v>17.100000000000001</v>
      </c>
      <c r="F10" s="9">
        <f t="shared" si="1"/>
        <v>22.914000000000005</v>
      </c>
      <c r="G10" s="1"/>
      <c r="H10" s="1"/>
      <c r="I10" s="1"/>
      <c r="J10" s="1"/>
      <c r="K10" s="1">
        <v>4.3</v>
      </c>
      <c r="L10" s="1">
        <f t="shared" si="2"/>
        <v>10.148</v>
      </c>
      <c r="M10" s="1"/>
      <c r="N10" s="1"/>
      <c r="O10" s="1"/>
      <c r="P10" s="1"/>
      <c r="Q10" s="1"/>
      <c r="R10" s="1"/>
      <c r="S10" s="1"/>
      <c r="T10" s="1"/>
      <c r="U10" s="1">
        <v>10.6</v>
      </c>
      <c r="V10" s="1">
        <f t="shared" ref="V10:V47" si="8">U10*1.34</f>
        <v>14.204000000000001</v>
      </c>
      <c r="W10" s="1"/>
      <c r="X10" s="1"/>
      <c r="Y10" s="1"/>
      <c r="Z10" s="1"/>
      <c r="AA10" s="1"/>
      <c r="AB10" s="1"/>
      <c r="AC10" s="1"/>
      <c r="AD10" s="1"/>
      <c r="AE10" s="1">
        <v>3</v>
      </c>
      <c r="AF10" s="1">
        <f t="shared" ref="AF10" si="9">AE10*2.75</f>
        <v>8.25</v>
      </c>
      <c r="AG10" s="1"/>
      <c r="AH10" s="1"/>
      <c r="AI10" s="1"/>
      <c r="AJ10" s="1"/>
      <c r="AK10" s="9"/>
      <c r="AL10" s="9"/>
      <c r="AM10" s="9"/>
      <c r="AN10" s="9"/>
      <c r="AO10" s="1"/>
      <c r="AP10" s="1"/>
      <c r="AR10" s="1">
        <f t="shared" si="7"/>
        <v>0.88</v>
      </c>
      <c r="AS10" s="1">
        <f t="shared" si="5"/>
        <v>0.12</v>
      </c>
      <c r="AT10" s="1">
        <f t="shared" si="6"/>
        <v>1</v>
      </c>
    </row>
    <row r="11" spans="1:285" x14ac:dyDescent="0.25">
      <c r="D11" s="1">
        <f t="shared" si="0"/>
        <v>37.1</v>
      </c>
      <c r="E11" s="9">
        <f>11.3+9.2</f>
        <v>20.5</v>
      </c>
      <c r="F11" s="9">
        <f t="shared" si="1"/>
        <v>27.470000000000002</v>
      </c>
      <c r="G11" s="1"/>
      <c r="H11" s="1"/>
      <c r="I11" s="1"/>
      <c r="J11" s="1"/>
      <c r="K11" s="1">
        <v>3.7</v>
      </c>
      <c r="L11" s="1">
        <f t="shared" si="2"/>
        <v>8.7319999999999993</v>
      </c>
      <c r="M11" s="1"/>
      <c r="N11" s="1"/>
      <c r="O11" s="1"/>
      <c r="P11" s="1"/>
      <c r="Q11" s="1"/>
      <c r="R11" s="1"/>
      <c r="S11" s="1"/>
      <c r="T11" s="1"/>
      <c r="U11" s="1">
        <v>8.9</v>
      </c>
      <c r="V11" s="1">
        <f t="shared" si="8"/>
        <v>11.926000000000002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2.8</v>
      </c>
      <c r="AH11" s="1">
        <f>AG11*2.75</f>
        <v>7.6999999999999993</v>
      </c>
      <c r="AI11" s="1">
        <v>1.2</v>
      </c>
      <c r="AJ11" s="1">
        <f>AI11*2.36</f>
        <v>2.8319999999999999</v>
      </c>
      <c r="AK11" s="9"/>
      <c r="AL11" s="9"/>
      <c r="AM11" s="9"/>
      <c r="AN11" s="9"/>
      <c r="AO11" s="1"/>
      <c r="AP11" s="1"/>
      <c r="AR11" s="1">
        <f t="shared" si="7"/>
        <v>0.9</v>
      </c>
      <c r="AS11" s="1">
        <f t="shared" si="5"/>
        <v>0.1</v>
      </c>
      <c r="AT11" s="1">
        <f t="shared" si="6"/>
        <v>1</v>
      </c>
    </row>
    <row r="12" spans="1:285" x14ac:dyDescent="0.25">
      <c r="A12" s="1"/>
      <c r="B12" s="1" t="s">
        <v>74</v>
      </c>
      <c r="C12" s="1" t="s">
        <v>75</v>
      </c>
      <c r="D12" s="1">
        <f t="shared" si="0"/>
        <v>37.4</v>
      </c>
      <c r="E12" s="9">
        <v>22.3</v>
      </c>
      <c r="F12" s="9">
        <f t="shared" si="1"/>
        <v>29.882000000000001</v>
      </c>
      <c r="G12" s="1"/>
      <c r="H12" s="1"/>
      <c r="I12" s="1"/>
      <c r="J12" s="1"/>
      <c r="K12" s="1">
        <v>4.2</v>
      </c>
      <c r="L12" s="1">
        <f t="shared" si="2"/>
        <v>9.911999999999999</v>
      </c>
      <c r="M12" s="1"/>
      <c r="N12" s="1"/>
      <c r="O12" s="1"/>
      <c r="P12" s="1"/>
      <c r="Q12" s="1"/>
      <c r="R12" s="1"/>
      <c r="S12" s="1"/>
      <c r="T12" s="1"/>
      <c r="U12" s="1">
        <v>10.9</v>
      </c>
      <c r="V12" s="1">
        <f t="shared" si="8"/>
        <v>14.606000000000002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9"/>
      <c r="AL12" s="9"/>
      <c r="AM12" s="9"/>
      <c r="AN12" s="9"/>
      <c r="AO12" s="1">
        <v>20.25</v>
      </c>
      <c r="AP12" s="1">
        <f>AO12*0.6</f>
        <v>12.15</v>
      </c>
      <c r="AQ12" s="1"/>
      <c r="AR12" s="1">
        <f t="shared" si="7"/>
        <v>0.89</v>
      </c>
      <c r="AS12" s="1">
        <f t="shared" si="5"/>
        <v>0.11</v>
      </c>
      <c r="AT12" s="1">
        <f t="shared" si="6"/>
        <v>1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</row>
    <row r="13" spans="1:285" x14ac:dyDescent="0.25">
      <c r="D13" s="1">
        <f t="shared" si="0"/>
        <v>38.699999999999996</v>
      </c>
      <c r="E13" s="9">
        <v>12.6</v>
      </c>
      <c r="F13" s="9">
        <f t="shared" si="1"/>
        <v>16.884</v>
      </c>
      <c r="G13" s="1"/>
      <c r="H13" s="1"/>
      <c r="I13" s="1"/>
      <c r="J13" s="1"/>
      <c r="K13" s="1">
        <v>4.2</v>
      </c>
      <c r="L13" s="1">
        <f t="shared" si="2"/>
        <v>9.911999999999999</v>
      </c>
      <c r="M13" s="1"/>
      <c r="N13" s="1"/>
      <c r="O13" s="1"/>
      <c r="P13" s="1"/>
      <c r="Q13" s="1"/>
      <c r="R13" s="1"/>
      <c r="S13" s="1"/>
      <c r="T13" s="1"/>
      <c r="U13" s="1">
        <v>11.1</v>
      </c>
      <c r="V13" s="1">
        <f t="shared" si="8"/>
        <v>14.874000000000001</v>
      </c>
      <c r="W13" s="1">
        <v>8.4</v>
      </c>
      <c r="X13" s="1">
        <f t="shared" ref="X13" si="10">W13*1.34</f>
        <v>11.256000000000002</v>
      </c>
      <c r="Y13" s="1"/>
      <c r="Z13" s="1"/>
      <c r="AA13" s="1"/>
      <c r="AB13" s="1"/>
      <c r="AC13" s="1"/>
      <c r="AD13" s="1"/>
      <c r="AE13" s="1"/>
      <c r="AF13" s="1"/>
      <c r="AG13" s="1">
        <v>2.4</v>
      </c>
      <c r="AH13" s="1">
        <f>AG13*2.75</f>
        <v>6.6</v>
      </c>
      <c r="AI13" s="1"/>
      <c r="AJ13" s="1"/>
      <c r="AK13" s="9"/>
      <c r="AL13" s="9"/>
      <c r="AM13" s="9"/>
      <c r="AN13" s="9"/>
      <c r="AO13" s="1"/>
      <c r="AP13" s="1"/>
      <c r="AR13" s="1">
        <f t="shared" si="7"/>
        <v>0.89</v>
      </c>
      <c r="AS13" s="1">
        <f t="shared" si="5"/>
        <v>0.11</v>
      </c>
      <c r="AT13" s="1">
        <f t="shared" si="6"/>
        <v>1</v>
      </c>
    </row>
    <row r="14" spans="1:285" x14ac:dyDescent="0.25">
      <c r="B14" t="s">
        <v>62</v>
      </c>
      <c r="C14" t="s">
        <v>131</v>
      </c>
      <c r="D14" s="1">
        <f t="shared" si="0"/>
        <v>39.6</v>
      </c>
      <c r="E14" s="9">
        <v>23.9</v>
      </c>
      <c r="F14" s="9">
        <f t="shared" si="1"/>
        <v>32.026000000000003</v>
      </c>
      <c r="G14" s="1"/>
      <c r="H14" s="1"/>
      <c r="I14" s="1"/>
      <c r="J14" s="1"/>
      <c r="K14" s="1">
        <v>4.0999999999999996</v>
      </c>
      <c r="L14" s="1">
        <f t="shared" si="2"/>
        <v>9.6759999999999984</v>
      </c>
      <c r="M14" s="1"/>
      <c r="N14" s="1"/>
      <c r="O14" s="1"/>
      <c r="P14" s="1"/>
      <c r="Q14" s="1"/>
      <c r="R14" s="1"/>
      <c r="S14" s="1"/>
      <c r="T14" s="1"/>
      <c r="U14" s="1">
        <v>11.6</v>
      </c>
      <c r="V14" s="1">
        <f t="shared" si="8"/>
        <v>15.544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9"/>
      <c r="AL14" s="9"/>
      <c r="AM14" s="9"/>
      <c r="AN14" s="9"/>
      <c r="AO14" s="1">
        <v>12.3</v>
      </c>
      <c r="AP14" s="1">
        <f>AO14*0.6</f>
        <v>7.38</v>
      </c>
      <c r="AR14" s="1">
        <f t="shared" si="7"/>
        <v>0.9</v>
      </c>
      <c r="AS14" s="1">
        <f t="shared" si="5"/>
        <v>0.1</v>
      </c>
      <c r="AT14" s="1">
        <f t="shared" si="6"/>
        <v>1</v>
      </c>
    </row>
    <row r="15" spans="1:285" x14ac:dyDescent="0.25">
      <c r="D15" s="1">
        <f t="shared" si="0"/>
        <v>39.680000000000007</v>
      </c>
      <c r="E15" s="9">
        <v>19.600000000000001</v>
      </c>
      <c r="F15" s="9">
        <f t="shared" si="1"/>
        <v>26.264000000000003</v>
      </c>
      <c r="G15" s="1"/>
      <c r="H15" s="1"/>
      <c r="I15" s="1"/>
      <c r="J15" s="1"/>
      <c r="K15" s="1">
        <v>3.6</v>
      </c>
      <c r="L15" s="1">
        <f t="shared" si="2"/>
        <v>8.4960000000000004</v>
      </c>
      <c r="M15" s="1"/>
      <c r="N15" s="1"/>
      <c r="O15" s="1"/>
      <c r="P15" s="1"/>
      <c r="Q15" s="1"/>
      <c r="R15" s="1"/>
      <c r="S15" s="1"/>
      <c r="T15" s="1"/>
      <c r="U15" s="1">
        <v>8.8800000000000008</v>
      </c>
      <c r="V15" s="1">
        <f t="shared" si="8"/>
        <v>11.899200000000002</v>
      </c>
      <c r="W15" s="1">
        <v>7.6</v>
      </c>
      <c r="X15" s="1">
        <f t="shared" ref="X15" si="11">W15*1.34</f>
        <v>10.183999999999999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9"/>
      <c r="AL15" s="9"/>
      <c r="AM15" s="9"/>
      <c r="AN15" s="9"/>
      <c r="AO15" s="1"/>
      <c r="AP15" s="1"/>
      <c r="AR15" s="1">
        <f t="shared" si="7"/>
        <v>0.91</v>
      </c>
      <c r="AS15" s="1">
        <f t="shared" si="5"/>
        <v>0.09</v>
      </c>
      <c r="AT15" s="1">
        <f t="shared" si="6"/>
        <v>1</v>
      </c>
    </row>
    <row r="16" spans="1:285" x14ac:dyDescent="0.25">
      <c r="D16" s="1">
        <f t="shared" si="0"/>
        <v>40.64</v>
      </c>
      <c r="E16" s="9">
        <v>24.1</v>
      </c>
      <c r="F16" s="9">
        <f t="shared" si="1"/>
        <v>32.294000000000004</v>
      </c>
      <c r="G16" s="1"/>
      <c r="H16" s="1"/>
      <c r="I16" s="1"/>
      <c r="J16" s="1"/>
      <c r="K16" s="1">
        <v>4.5</v>
      </c>
      <c r="L16" s="1">
        <f t="shared" si="2"/>
        <v>10.62</v>
      </c>
      <c r="M16" s="1"/>
      <c r="N16" s="1"/>
      <c r="O16" s="1"/>
      <c r="P16" s="1"/>
      <c r="Q16" s="1"/>
      <c r="R16" s="1"/>
      <c r="S16" s="1"/>
      <c r="T16" s="1"/>
      <c r="U16" s="1">
        <v>12.04</v>
      </c>
      <c r="V16" s="1">
        <f t="shared" si="8"/>
        <v>16.133600000000001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  <c r="AL16" s="9"/>
      <c r="AM16" s="9"/>
      <c r="AN16" s="9"/>
      <c r="AO16" s="1"/>
      <c r="AP16" s="1"/>
      <c r="AR16" s="1">
        <f t="shared" si="7"/>
        <v>0.89</v>
      </c>
      <c r="AS16" s="1">
        <f t="shared" si="5"/>
        <v>0.11</v>
      </c>
      <c r="AT16" s="1">
        <f t="shared" si="6"/>
        <v>1</v>
      </c>
    </row>
    <row r="17" spans="2:46" x14ac:dyDescent="0.25">
      <c r="B17" t="s">
        <v>106</v>
      </c>
      <c r="C17" t="s">
        <v>113</v>
      </c>
      <c r="D17" s="1">
        <f t="shared" si="0"/>
        <v>40.82</v>
      </c>
      <c r="E17" s="9">
        <v>20.22</v>
      </c>
      <c r="F17" s="9">
        <f t="shared" si="1"/>
        <v>27.094799999999999</v>
      </c>
      <c r="G17" s="1"/>
      <c r="H17" s="1"/>
      <c r="I17" s="1"/>
      <c r="J17" s="1"/>
      <c r="K17" s="1">
        <v>4.16</v>
      </c>
      <c r="L17" s="1">
        <f t="shared" si="2"/>
        <v>9.8176000000000005</v>
      </c>
      <c r="M17" s="1"/>
      <c r="N17" s="1"/>
      <c r="O17" s="1"/>
      <c r="P17" s="1"/>
      <c r="Q17" s="1"/>
      <c r="R17" s="1"/>
      <c r="S17" s="1"/>
      <c r="T17" s="1"/>
      <c r="U17" s="1">
        <v>11.54</v>
      </c>
      <c r="V17" s="1">
        <f t="shared" si="8"/>
        <v>15.4636</v>
      </c>
      <c r="W17" s="1"/>
      <c r="X17" s="1"/>
      <c r="Y17" s="1"/>
      <c r="Z17" s="1"/>
      <c r="AA17" s="1"/>
      <c r="AB17" s="1"/>
      <c r="AC17" s="1"/>
      <c r="AD17" s="1"/>
      <c r="AE17" s="1">
        <v>4.9000000000000004</v>
      </c>
      <c r="AF17" s="1">
        <f t="shared" ref="AF17" si="12">AE17*2.75</f>
        <v>13.475000000000001</v>
      </c>
      <c r="AG17" s="1"/>
      <c r="AH17" s="1"/>
      <c r="AI17" s="1"/>
      <c r="AJ17" s="1"/>
      <c r="AK17" s="9"/>
      <c r="AL17" s="9"/>
      <c r="AM17" s="9"/>
      <c r="AN17" s="9"/>
      <c r="AO17" s="1">
        <v>11.84</v>
      </c>
      <c r="AP17" s="1">
        <f>AO17*0.6</f>
        <v>7.1040000000000001</v>
      </c>
      <c r="AR17" s="1">
        <f t="shared" si="7"/>
        <v>0.9</v>
      </c>
      <c r="AS17" s="1">
        <f t="shared" si="5"/>
        <v>0.1</v>
      </c>
      <c r="AT17" s="1">
        <f t="shared" si="6"/>
        <v>1</v>
      </c>
    </row>
    <row r="18" spans="2:46" x14ac:dyDescent="0.25">
      <c r="B18" t="s">
        <v>143</v>
      </c>
      <c r="C18" t="s">
        <v>142</v>
      </c>
      <c r="D18" s="1">
        <f t="shared" si="0"/>
        <v>42.9</v>
      </c>
      <c r="E18" s="9">
        <v>25.9</v>
      </c>
      <c r="F18" s="9">
        <f t="shared" si="1"/>
        <v>34.706000000000003</v>
      </c>
      <c r="G18" s="1"/>
      <c r="H18" s="1"/>
      <c r="I18" s="1"/>
      <c r="J18" s="1"/>
      <c r="K18" s="1">
        <v>4</v>
      </c>
      <c r="L18" s="1">
        <f t="shared" si="2"/>
        <v>9.44</v>
      </c>
      <c r="M18" s="1"/>
      <c r="N18" s="1"/>
      <c r="O18" s="1"/>
      <c r="P18" s="1"/>
      <c r="Q18" s="1"/>
      <c r="R18" s="1"/>
      <c r="S18" s="1"/>
      <c r="T18" s="1"/>
      <c r="U18" s="1">
        <v>13</v>
      </c>
      <c r="V18" s="1">
        <f t="shared" si="8"/>
        <v>17.420000000000002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9"/>
      <c r="AL18" s="9"/>
      <c r="AM18" s="9"/>
      <c r="AN18" s="9"/>
      <c r="AO18" s="1">
        <v>5.9</v>
      </c>
      <c r="AP18" s="1">
        <f>AO18*0.6</f>
        <v>3.54</v>
      </c>
      <c r="AR18" s="1">
        <f t="shared" si="7"/>
        <v>0.91</v>
      </c>
      <c r="AS18" s="1">
        <f t="shared" si="5"/>
        <v>0.09</v>
      </c>
      <c r="AT18" s="1">
        <f t="shared" si="6"/>
        <v>1</v>
      </c>
    </row>
    <row r="19" spans="2:46" x14ac:dyDescent="0.25">
      <c r="B19" t="s">
        <v>106</v>
      </c>
      <c r="C19" t="s">
        <v>114</v>
      </c>
      <c r="D19" s="1">
        <f t="shared" si="0"/>
        <v>44.000000000000007</v>
      </c>
      <c r="E19" s="9">
        <v>22.1</v>
      </c>
      <c r="F19" s="9">
        <f t="shared" si="1"/>
        <v>29.614000000000004</v>
      </c>
      <c r="G19" s="1"/>
      <c r="H19" s="1"/>
      <c r="I19" s="1"/>
      <c r="J19" s="1"/>
      <c r="K19" s="1">
        <v>4.5</v>
      </c>
      <c r="L19" s="1">
        <f t="shared" si="2"/>
        <v>10.62</v>
      </c>
      <c r="M19" s="1"/>
      <c r="N19" s="1"/>
      <c r="O19" s="1"/>
      <c r="P19" s="1"/>
      <c r="Q19" s="1"/>
      <c r="R19" s="1"/>
      <c r="S19" s="1"/>
      <c r="T19" s="1"/>
      <c r="U19" s="1">
        <v>11.1</v>
      </c>
      <c r="V19" s="1">
        <f t="shared" si="8"/>
        <v>14.874000000000001</v>
      </c>
      <c r="W19" s="1"/>
      <c r="X19" s="1"/>
      <c r="Y19" s="1"/>
      <c r="Z19" s="1"/>
      <c r="AA19" s="1"/>
      <c r="AB19" s="1"/>
      <c r="AC19" s="1"/>
      <c r="AD19" s="1"/>
      <c r="AE19" s="1">
        <v>3.2</v>
      </c>
      <c r="AF19" s="1">
        <f t="shared" ref="AF19" si="13">AE19*2.75</f>
        <v>8.8000000000000007</v>
      </c>
      <c r="AG19" s="1">
        <v>2.1</v>
      </c>
      <c r="AH19" s="1">
        <f t="shared" ref="AH19" si="14">AG19*2.75</f>
        <v>5.7750000000000004</v>
      </c>
      <c r="AI19" s="1">
        <v>1</v>
      </c>
      <c r="AJ19" s="1">
        <f>AI19*2.36</f>
        <v>2.36</v>
      </c>
      <c r="AK19" s="9"/>
      <c r="AL19" s="9"/>
      <c r="AM19" s="9"/>
      <c r="AN19" s="9"/>
      <c r="AO19" s="1"/>
      <c r="AP19" s="1"/>
      <c r="AR19" s="1">
        <f t="shared" si="7"/>
        <v>0.9</v>
      </c>
      <c r="AS19" s="1">
        <f t="shared" si="5"/>
        <v>0.1</v>
      </c>
      <c r="AT19" s="1">
        <f t="shared" si="6"/>
        <v>1</v>
      </c>
    </row>
    <row r="20" spans="2:46" x14ac:dyDescent="0.25">
      <c r="D20" s="1">
        <f t="shared" si="0"/>
        <v>44.75</v>
      </c>
      <c r="E20" s="9">
        <v>26.61</v>
      </c>
      <c r="F20" s="9">
        <f t="shared" si="1"/>
        <v>35.657400000000003</v>
      </c>
      <c r="G20" s="1"/>
      <c r="H20" s="1"/>
      <c r="I20" s="1"/>
      <c r="J20" s="1"/>
      <c r="K20" s="1">
        <v>4.53</v>
      </c>
      <c r="L20" s="1">
        <f t="shared" si="2"/>
        <v>10.690799999999999</v>
      </c>
      <c r="M20" s="1"/>
      <c r="N20" s="1"/>
      <c r="O20" s="1"/>
      <c r="P20" s="1"/>
      <c r="Q20" s="1"/>
      <c r="R20" s="1"/>
      <c r="S20" s="1"/>
      <c r="T20" s="1"/>
      <c r="U20" s="1">
        <v>13.61</v>
      </c>
      <c r="V20" s="1">
        <f t="shared" si="8"/>
        <v>18.237400000000001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9"/>
      <c r="AL20" s="9"/>
      <c r="AM20" s="9"/>
      <c r="AN20" s="9"/>
      <c r="AO20" s="1"/>
      <c r="AP20" s="1"/>
      <c r="AR20" s="1">
        <f t="shared" si="7"/>
        <v>0.9</v>
      </c>
      <c r="AS20" s="1">
        <f t="shared" si="5"/>
        <v>0.1</v>
      </c>
      <c r="AT20" s="1">
        <f t="shared" si="6"/>
        <v>1</v>
      </c>
    </row>
    <row r="21" spans="2:46" x14ac:dyDescent="0.25">
      <c r="B21" t="s">
        <v>62</v>
      </c>
      <c r="C21" t="s">
        <v>116</v>
      </c>
      <c r="D21" s="1">
        <f t="shared" si="0"/>
        <v>46.699999999999989</v>
      </c>
      <c r="E21" s="9">
        <v>19.399999999999999</v>
      </c>
      <c r="F21" s="9">
        <f t="shared" si="1"/>
        <v>25.995999999999999</v>
      </c>
      <c r="G21" s="1"/>
      <c r="H21" s="1"/>
      <c r="I21" s="1"/>
      <c r="J21" s="1"/>
      <c r="K21" s="1">
        <v>3.65</v>
      </c>
      <c r="L21" s="1">
        <f t="shared" si="2"/>
        <v>8.613999999999999</v>
      </c>
      <c r="M21" s="1"/>
      <c r="N21" s="1"/>
      <c r="O21" s="1"/>
      <c r="P21" s="1"/>
      <c r="Q21" s="1"/>
      <c r="R21" s="1"/>
      <c r="S21" s="1"/>
      <c r="T21" s="1"/>
      <c r="U21" s="1">
        <v>10.15</v>
      </c>
      <c r="V21" s="1">
        <f t="shared" si="8"/>
        <v>13.601000000000001</v>
      </c>
      <c r="W21" s="1">
        <v>7.65</v>
      </c>
      <c r="X21" s="1">
        <f t="shared" ref="X21" si="15">W21*1.34</f>
        <v>10.251000000000001</v>
      </c>
      <c r="Y21" s="1"/>
      <c r="Z21" s="1"/>
      <c r="AA21" s="1"/>
      <c r="AB21" s="1"/>
      <c r="AC21" s="1"/>
      <c r="AD21" s="1"/>
      <c r="AE21" s="1">
        <v>2.8</v>
      </c>
      <c r="AF21" s="1">
        <f t="shared" ref="AF21:AF22" si="16">AE21*2.75</f>
        <v>7.6999999999999993</v>
      </c>
      <c r="AG21" s="1">
        <v>3.05</v>
      </c>
      <c r="AH21" s="1">
        <f>AG21*2.75</f>
        <v>8.3874999999999993</v>
      </c>
      <c r="AI21" s="1"/>
      <c r="AJ21" s="1"/>
      <c r="AK21" s="9"/>
      <c r="AL21" s="9"/>
      <c r="AM21" s="9"/>
      <c r="AN21" s="9"/>
      <c r="AO21" s="1">
        <v>18</v>
      </c>
      <c r="AP21" s="1">
        <f t="shared" ref="AP21:AP22" si="17">AO21*0.6</f>
        <v>10.799999999999999</v>
      </c>
      <c r="AR21" s="1">
        <f t="shared" si="7"/>
        <v>0.92</v>
      </c>
      <c r="AS21" s="1">
        <f t="shared" si="5"/>
        <v>0.08</v>
      </c>
      <c r="AT21" s="1">
        <f t="shared" si="6"/>
        <v>1</v>
      </c>
    </row>
    <row r="22" spans="2:46" x14ac:dyDescent="0.25">
      <c r="B22" t="s">
        <v>119</v>
      </c>
      <c r="C22" t="s">
        <v>120</v>
      </c>
      <c r="D22" s="1">
        <f t="shared" si="0"/>
        <v>47.02</v>
      </c>
      <c r="E22" s="9">
        <v>25.5</v>
      </c>
      <c r="F22" s="9">
        <f t="shared" si="1"/>
        <v>34.17</v>
      </c>
      <c r="G22" s="1"/>
      <c r="H22" s="1"/>
      <c r="I22" s="1"/>
      <c r="J22" s="1"/>
      <c r="K22" s="1">
        <v>4.13</v>
      </c>
      <c r="L22" s="1">
        <f t="shared" si="2"/>
        <v>9.7467999999999986</v>
      </c>
      <c r="M22" s="1"/>
      <c r="N22" s="1"/>
      <c r="O22" s="1"/>
      <c r="P22" s="1"/>
      <c r="Q22" s="1"/>
      <c r="R22" s="1"/>
      <c r="S22" s="1"/>
      <c r="T22" s="1"/>
      <c r="U22" s="1">
        <v>15.01</v>
      </c>
      <c r="V22" s="1">
        <f t="shared" si="8"/>
        <v>20.113400000000002</v>
      </c>
      <c r="W22" s="1"/>
      <c r="X22" s="1"/>
      <c r="Y22" s="1"/>
      <c r="Z22" s="1"/>
      <c r="AA22" s="1"/>
      <c r="AB22" s="1"/>
      <c r="AC22" s="1"/>
      <c r="AD22" s="1"/>
      <c r="AE22" s="1">
        <v>2.38</v>
      </c>
      <c r="AF22" s="1">
        <f t="shared" si="16"/>
        <v>6.5449999999999999</v>
      </c>
      <c r="AG22" s="1"/>
      <c r="AH22" s="1"/>
      <c r="AI22" s="1"/>
      <c r="AJ22" s="1"/>
      <c r="AK22" s="9"/>
      <c r="AL22" s="9"/>
      <c r="AM22" s="9"/>
      <c r="AN22" s="9"/>
      <c r="AO22" s="1">
        <f>29.28+10.37</f>
        <v>39.65</v>
      </c>
      <c r="AP22" s="1">
        <f t="shared" si="17"/>
        <v>23.79</v>
      </c>
      <c r="AR22" s="1">
        <f t="shared" si="7"/>
        <v>0.91</v>
      </c>
      <c r="AS22" s="1">
        <f t="shared" si="5"/>
        <v>0.09</v>
      </c>
      <c r="AT22" s="1">
        <f t="shared" si="6"/>
        <v>1</v>
      </c>
    </row>
    <row r="23" spans="2:46" x14ac:dyDescent="0.25">
      <c r="B23" t="s">
        <v>117</v>
      </c>
      <c r="C23" t="s">
        <v>118</v>
      </c>
      <c r="D23" s="1">
        <f t="shared" si="0"/>
        <v>48.260000000000005</v>
      </c>
      <c r="E23" s="9">
        <v>26.67</v>
      </c>
      <c r="F23" s="9">
        <f t="shared" si="1"/>
        <v>35.737800000000007</v>
      </c>
      <c r="G23" s="1"/>
      <c r="H23" s="1"/>
      <c r="I23" s="1"/>
      <c r="J23" s="1"/>
      <c r="K23" s="1">
        <v>3.5</v>
      </c>
      <c r="L23" s="1">
        <f t="shared" si="2"/>
        <v>8.26</v>
      </c>
      <c r="M23" s="1"/>
      <c r="N23" s="1"/>
      <c r="O23" s="1"/>
      <c r="P23" s="1"/>
      <c r="Q23" s="1"/>
      <c r="R23" s="1"/>
      <c r="S23" s="1"/>
      <c r="T23" s="1"/>
      <c r="U23" s="1">
        <v>18.09</v>
      </c>
      <c r="V23" s="1">
        <f t="shared" si="8"/>
        <v>24.240600000000001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9"/>
      <c r="AL23" s="9"/>
      <c r="AM23" s="9"/>
      <c r="AN23" s="9"/>
      <c r="AO23" s="1"/>
      <c r="AP23" s="1"/>
      <c r="AR23" s="1">
        <f t="shared" si="7"/>
        <v>0.93</v>
      </c>
      <c r="AS23" s="1">
        <f t="shared" si="5"/>
        <v>7.0000000000000007E-2</v>
      </c>
      <c r="AT23" s="1">
        <f t="shared" si="6"/>
        <v>1</v>
      </c>
    </row>
    <row r="24" spans="2:46" x14ac:dyDescent="0.25">
      <c r="D24" s="1">
        <f t="shared" si="0"/>
        <v>50.1</v>
      </c>
      <c r="E24" s="9">
        <v>26</v>
      </c>
      <c r="F24" s="9">
        <f t="shared" si="1"/>
        <v>34.840000000000003</v>
      </c>
      <c r="G24" s="1"/>
      <c r="H24" s="1"/>
      <c r="I24" s="1"/>
      <c r="J24" s="1"/>
      <c r="K24" s="1">
        <v>3.59</v>
      </c>
      <c r="L24" s="1">
        <f t="shared" si="2"/>
        <v>8.4723999999999986</v>
      </c>
      <c r="M24" s="1"/>
      <c r="N24" s="1"/>
      <c r="O24" s="1"/>
      <c r="P24" s="1"/>
      <c r="Q24" s="1"/>
      <c r="R24" s="1"/>
      <c r="S24" s="1"/>
      <c r="T24" s="1"/>
      <c r="U24" s="1">
        <v>12.22</v>
      </c>
      <c r="V24" s="1">
        <f t="shared" si="8"/>
        <v>16.3748</v>
      </c>
      <c r="W24" s="1">
        <v>8.2899999999999991</v>
      </c>
      <c r="X24" s="1">
        <f t="shared" ref="X24:X30" si="18">W24*1.34</f>
        <v>11.108599999999999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9"/>
      <c r="AL24" s="9"/>
      <c r="AM24" s="9"/>
      <c r="AN24" s="9"/>
      <c r="AO24" s="1"/>
      <c r="AP24" s="1"/>
      <c r="AR24" s="1">
        <f t="shared" si="7"/>
        <v>0.93</v>
      </c>
      <c r="AS24" s="1">
        <f t="shared" si="5"/>
        <v>7.0000000000000007E-2</v>
      </c>
      <c r="AT24" s="1">
        <f t="shared" si="6"/>
        <v>1</v>
      </c>
    </row>
    <row r="25" spans="2:46" x14ac:dyDescent="0.25">
      <c r="B25" t="s">
        <v>42</v>
      </c>
      <c r="C25" t="s">
        <v>70</v>
      </c>
      <c r="D25" s="1">
        <f t="shared" si="0"/>
        <v>50.11</v>
      </c>
      <c r="E25" s="9">
        <v>20.94</v>
      </c>
      <c r="F25" s="9">
        <f t="shared" si="1"/>
        <v>28.059600000000003</v>
      </c>
      <c r="G25" s="1"/>
      <c r="H25" s="1"/>
      <c r="I25" s="1"/>
      <c r="J25" s="1"/>
      <c r="K25" s="1">
        <v>3.9</v>
      </c>
      <c r="L25" s="1">
        <f t="shared" si="2"/>
        <v>9.2039999999999988</v>
      </c>
      <c r="M25" s="1"/>
      <c r="N25" s="1"/>
      <c r="O25" s="1"/>
      <c r="P25" s="1"/>
      <c r="Q25" s="1"/>
      <c r="R25" s="1"/>
      <c r="S25" s="1"/>
      <c r="T25" s="1"/>
      <c r="U25" s="1">
        <v>12.3</v>
      </c>
      <c r="V25" s="1">
        <f t="shared" si="8"/>
        <v>16.482000000000003</v>
      </c>
      <c r="W25" s="1">
        <v>8.5500000000000007</v>
      </c>
      <c r="X25" s="1">
        <f t="shared" si="18"/>
        <v>11.457000000000003</v>
      </c>
      <c r="Y25" s="1"/>
      <c r="Z25" s="1"/>
      <c r="AA25" s="1"/>
      <c r="AB25" s="1"/>
      <c r="AC25" s="1"/>
      <c r="AD25" s="1"/>
      <c r="AE25" s="1">
        <v>4.42</v>
      </c>
      <c r="AF25" s="1">
        <f t="shared" ref="AF25" si="19">AE25*2.75</f>
        <v>12.154999999999999</v>
      </c>
      <c r="AG25" s="1"/>
      <c r="AH25" s="1"/>
      <c r="AI25" s="1"/>
      <c r="AJ25" s="1"/>
      <c r="AK25" s="9"/>
      <c r="AL25" s="9"/>
      <c r="AM25" s="9"/>
      <c r="AN25" s="9"/>
      <c r="AO25" s="1"/>
      <c r="AP25" s="1"/>
      <c r="AR25" s="1">
        <f t="shared" si="7"/>
        <v>0.92</v>
      </c>
      <c r="AS25" s="1">
        <f t="shared" si="5"/>
        <v>0.08</v>
      </c>
      <c r="AT25" s="1">
        <f t="shared" si="6"/>
        <v>1</v>
      </c>
    </row>
    <row r="26" spans="2:46" x14ac:dyDescent="0.25">
      <c r="B26" t="s">
        <v>81</v>
      </c>
      <c r="C26" t="s">
        <v>82</v>
      </c>
      <c r="D26" s="1">
        <f t="shared" si="0"/>
        <v>50.210000000000008</v>
      </c>
      <c r="E26" s="9">
        <v>21.54</v>
      </c>
      <c r="F26" s="9">
        <f t="shared" si="1"/>
        <v>28.863600000000002</v>
      </c>
      <c r="G26" s="1"/>
      <c r="H26" s="1"/>
      <c r="I26" s="1"/>
      <c r="J26" s="1"/>
      <c r="K26" s="1">
        <v>3.98</v>
      </c>
      <c r="L26" s="1">
        <f t="shared" si="2"/>
        <v>9.3927999999999994</v>
      </c>
      <c r="M26" s="1">
        <v>2.59</v>
      </c>
      <c r="N26" s="1">
        <f>M26*2.36</f>
        <v>6.1123999999999992</v>
      </c>
      <c r="O26" s="1"/>
      <c r="P26" s="1"/>
      <c r="Q26" s="1"/>
      <c r="R26" s="1"/>
      <c r="S26" s="1"/>
      <c r="T26" s="1"/>
      <c r="U26" s="1">
        <v>10.199999999999999</v>
      </c>
      <c r="V26" s="1">
        <f t="shared" si="8"/>
        <v>13.667999999999999</v>
      </c>
      <c r="W26" s="1">
        <v>8.23</v>
      </c>
      <c r="X26" s="1">
        <f t="shared" si="18"/>
        <v>11.028200000000002</v>
      </c>
      <c r="Y26" s="1"/>
      <c r="Z26" s="1"/>
      <c r="AA26" s="1"/>
      <c r="AB26" s="1"/>
      <c r="AC26" s="1"/>
      <c r="AD26" s="1"/>
      <c r="AE26" s="1"/>
      <c r="AF26" s="1"/>
      <c r="AG26" s="1">
        <v>3.67</v>
      </c>
      <c r="AH26" s="1">
        <f>AG26*2.75</f>
        <v>10.092499999999999</v>
      </c>
      <c r="AI26" s="1"/>
      <c r="AJ26" s="1"/>
      <c r="AK26" s="9"/>
      <c r="AL26" s="9"/>
      <c r="AM26" s="9"/>
      <c r="AN26" s="9"/>
      <c r="AO26" s="1">
        <v>7.75</v>
      </c>
      <c r="AP26" s="1">
        <f t="shared" ref="AP26:AP27" si="20">AO26*0.6</f>
        <v>4.6499999999999995</v>
      </c>
      <c r="AR26" s="1">
        <f t="shared" si="7"/>
        <v>0.87</v>
      </c>
      <c r="AS26" s="1">
        <f t="shared" si="5"/>
        <v>0.13</v>
      </c>
      <c r="AT26" s="1">
        <f t="shared" si="6"/>
        <v>1</v>
      </c>
    </row>
    <row r="27" spans="2:46" x14ac:dyDescent="0.25">
      <c r="B27" t="s">
        <v>42</v>
      </c>
      <c r="C27" t="s">
        <v>128</v>
      </c>
      <c r="D27" s="1">
        <f t="shared" si="0"/>
        <v>50.4</v>
      </c>
      <c r="E27" s="10">
        <v>20</v>
      </c>
      <c r="F27" s="9">
        <f t="shared" si="1"/>
        <v>26.8</v>
      </c>
      <c r="K27" s="1">
        <v>3.2</v>
      </c>
      <c r="L27" s="1">
        <f t="shared" si="2"/>
        <v>7.5519999999999996</v>
      </c>
      <c r="M27" s="1">
        <v>3.1</v>
      </c>
      <c r="N27" s="1">
        <f>M27*2.36</f>
        <v>7.3159999999999998</v>
      </c>
      <c r="U27" s="1">
        <v>12</v>
      </c>
      <c r="V27" s="1">
        <f t="shared" si="8"/>
        <v>16.080000000000002</v>
      </c>
      <c r="W27" s="1">
        <v>8.6</v>
      </c>
      <c r="X27" s="1">
        <f t="shared" si="18"/>
        <v>11.524000000000001</v>
      </c>
      <c r="AE27" s="1">
        <v>3.5</v>
      </c>
      <c r="AF27" s="1">
        <f t="shared" ref="AF27" si="21">AE27*2.75</f>
        <v>9.625</v>
      </c>
      <c r="AO27">
        <f>25.9+18.4</f>
        <v>44.3</v>
      </c>
      <c r="AP27" s="1">
        <f t="shared" si="20"/>
        <v>26.58</v>
      </c>
      <c r="AR27" s="1">
        <f t="shared" si="7"/>
        <v>0.88</v>
      </c>
      <c r="AS27" s="1">
        <f t="shared" si="5"/>
        <v>0.13</v>
      </c>
      <c r="AT27" s="1">
        <f t="shared" si="6"/>
        <v>1.01</v>
      </c>
    </row>
    <row r="28" spans="2:46" x14ac:dyDescent="0.25">
      <c r="B28" t="s">
        <v>42</v>
      </c>
      <c r="C28" t="s">
        <v>70</v>
      </c>
      <c r="D28" s="1">
        <f t="shared" si="0"/>
        <v>50.769999999999996</v>
      </c>
      <c r="E28" s="9">
        <v>21.38</v>
      </c>
      <c r="F28" s="9">
        <f t="shared" si="1"/>
        <v>28.6492</v>
      </c>
      <c r="G28" s="1"/>
      <c r="H28" s="1"/>
      <c r="I28" s="1"/>
      <c r="J28" s="1"/>
      <c r="K28" s="1">
        <v>5.47</v>
      </c>
      <c r="L28" s="1">
        <f t="shared" si="2"/>
        <v>12.909199999999998</v>
      </c>
      <c r="M28" s="1"/>
      <c r="N28" s="1"/>
      <c r="O28" s="1"/>
      <c r="P28" s="1"/>
      <c r="Q28" s="1"/>
      <c r="R28" s="1"/>
      <c r="S28" s="1"/>
      <c r="T28" s="1"/>
      <c r="U28" s="1">
        <v>12.3</v>
      </c>
      <c r="V28" s="1">
        <f t="shared" si="8"/>
        <v>16.482000000000003</v>
      </c>
      <c r="W28" s="1">
        <v>9.7200000000000006</v>
      </c>
      <c r="X28" s="1">
        <f t="shared" si="18"/>
        <v>13.024800000000001</v>
      </c>
      <c r="Y28" s="1"/>
      <c r="Z28" s="1"/>
      <c r="AA28" s="1"/>
      <c r="AB28" s="1"/>
      <c r="AC28" s="1"/>
      <c r="AD28" s="1"/>
      <c r="AE28" s="1"/>
      <c r="AF28" s="1"/>
      <c r="AG28" s="1">
        <v>1.9</v>
      </c>
      <c r="AH28" s="1">
        <f t="shared" ref="AH28:AH30" si="22">AG28*2.75</f>
        <v>5.2249999999999996</v>
      </c>
      <c r="AI28" s="1"/>
      <c r="AJ28" s="1"/>
      <c r="AK28" s="9"/>
      <c r="AL28" s="9"/>
      <c r="AM28" s="9"/>
      <c r="AN28" s="9"/>
      <c r="AO28" s="1"/>
      <c r="AP28" s="1"/>
      <c r="AR28" s="1">
        <f t="shared" si="7"/>
        <v>0.89</v>
      </c>
      <c r="AS28" s="1">
        <f t="shared" si="5"/>
        <v>0.11</v>
      </c>
      <c r="AT28" s="1">
        <f t="shared" si="6"/>
        <v>1</v>
      </c>
    </row>
    <row r="29" spans="2:46" x14ac:dyDescent="0.25">
      <c r="B29" t="s">
        <v>106</v>
      </c>
      <c r="C29" t="s">
        <v>107</v>
      </c>
      <c r="D29" s="1">
        <f t="shared" si="0"/>
        <v>51.35</v>
      </c>
      <c r="E29" s="9">
        <v>21.75</v>
      </c>
      <c r="F29" s="9">
        <f t="shared" si="1"/>
        <v>29.145000000000003</v>
      </c>
      <c r="G29" s="1"/>
      <c r="H29" s="1"/>
      <c r="I29" s="1"/>
      <c r="J29" s="1"/>
      <c r="K29" s="1">
        <v>4.5</v>
      </c>
      <c r="L29" s="1">
        <f t="shared" si="2"/>
        <v>10.62</v>
      </c>
      <c r="M29" s="1">
        <v>3.9</v>
      </c>
      <c r="N29" s="1">
        <f>M29*2.36</f>
        <v>9.2039999999999988</v>
      </c>
      <c r="O29" s="1"/>
      <c r="P29" s="1"/>
      <c r="Q29" s="1"/>
      <c r="R29" s="1"/>
      <c r="S29" s="1"/>
      <c r="T29" s="1"/>
      <c r="U29" s="1">
        <v>11.8</v>
      </c>
      <c r="V29" s="1">
        <f t="shared" si="8"/>
        <v>15.812000000000001</v>
      </c>
      <c r="W29" s="1">
        <v>6.55</v>
      </c>
      <c r="X29" s="1">
        <f t="shared" si="18"/>
        <v>8.777000000000001</v>
      </c>
      <c r="Y29" s="1"/>
      <c r="Z29" s="1"/>
      <c r="AA29" s="1"/>
      <c r="AB29" s="1"/>
      <c r="AC29" s="1"/>
      <c r="AD29" s="1"/>
      <c r="AE29" s="1"/>
      <c r="AF29" s="1"/>
      <c r="AG29" s="1">
        <v>2.25</v>
      </c>
      <c r="AH29" s="1">
        <f t="shared" si="22"/>
        <v>6.1875</v>
      </c>
      <c r="AI29" s="1">
        <v>0.6</v>
      </c>
      <c r="AJ29" s="1">
        <f>AI29*2.36</f>
        <v>1.4159999999999999</v>
      </c>
      <c r="AK29" s="9"/>
      <c r="AL29" s="9"/>
      <c r="AM29" s="9"/>
      <c r="AN29" s="9"/>
      <c r="AO29" s="1">
        <v>6.35</v>
      </c>
      <c r="AP29" s="1">
        <f>AO29*0.6</f>
        <v>3.8099999999999996</v>
      </c>
      <c r="AR29" s="1">
        <f t="shared" si="7"/>
        <v>0.84</v>
      </c>
      <c r="AS29" s="1">
        <f t="shared" si="5"/>
        <v>0.16</v>
      </c>
      <c r="AT29" s="1">
        <f t="shared" si="6"/>
        <v>1</v>
      </c>
    </row>
    <row r="30" spans="2:46" x14ac:dyDescent="0.25">
      <c r="B30" t="s">
        <v>97</v>
      </c>
      <c r="C30" t="s">
        <v>98</v>
      </c>
      <c r="D30" s="1">
        <f t="shared" si="0"/>
        <v>52.529999999999994</v>
      </c>
      <c r="E30" s="9">
        <v>20.239999999999998</v>
      </c>
      <c r="F30" s="9">
        <f t="shared" si="1"/>
        <v>27.121600000000001</v>
      </c>
      <c r="G30" s="1"/>
      <c r="H30" s="1"/>
      <c r="I30" s="1"/>
      <c r="J30" s="1"/>
      <c r="K30" s="1">
        <v>5.14</v>
      </c>
      <c r="L30" s="1">
        <f t="shared" si="2"/>
        <v>12.130399999999998</v>
      </c>
      <c r="M30" s="1">
        <v>3.73</v>
      </c>
      <c r="N30" s="1">
        <f>M30*2.36</f>
        <v>8.8027999999999995</v>
      </c>
      <c r="O30" s="1"/>
      <c r="P30" s="1"/>
      <c r="Q30" s="1"/>
      <c r="R30" s="1"/>
      <c r="S30" s="1"/>
      <c r="T30" s="1"/>
      <c r="U30" s="1">
        <v>12.52</v>
      </c>
      <c r="V30" s="1">
        <f t="shared" si="8"/>
        <v>16.776800000000001</v>
      </c>
      <c r="W30" s="1">
        <v>8.8000000000000007</v>
      </c>
      <c r="X30" s="1">
        <f t="shared" si="18"/>
        <v>11.792000000000002</v>
      </c>
      <c r="Y30" s="1"/>
      <c r="Z30" s="1"/>
      <c r="AA30" s="1"/>
      <c r="AB30" s="1"/>
      <c r="AC30" s="1"/>
      <c r="AD30" s="1"/>
      <c r="AE30" s="1"/>
      <c r="AF30" s="1"/>
      <c r="AG30" s="1">
        <v>2.1</v>
      </c>
      <c r="AH30" s="1">
        <f t="shared" si="22"/>
        <v>5.7750000000000004</v>
      </c>
      <c r="AI30" s="1"/>
      <c r="AJ30" s="1"/>
      <c r="AK30" s="9"/>
      <c r="AL30" s="9"/>
      <c r="AM30" s="9"/>
      <c r="AN30" s="9"/>
      <c r="AO30" s="1">
        <v>5.26</v>
      </c>
      <c r="AP30" s="1">
        <f>AO30*0.6</f>
        <v>3.1559999999999997</v>
      </c>
      <c r="AR30" s="1">
        <f t="shared" si="7"/>
        <v>0.83</v>
      </c>
      <c r="AS30" s="1">
        <f t="shared" si="5"/>
        <v>0.17</v>
      </c>
      <c r="AT30" s="1">
        <f t="shared" si="6"/>
        <v>1</v>
      </c>
    </row>
    <row r="31" spans="2:46" x14ac:dyDescent="0.25">
      <c r="B31" t="s">
        <v>81</v>
      </c>
      <c r="C31" t="s">
        <v>82</v>
      </c>
      <c r="D31" s="1">
        <f t="shared" si="0"/>
        <v>53.32</v>
      </c>
      <c r="E31" s="9">
        <v>20.059999999999999</v>
      </c>
      <c r="F31" s="9">
        <f t="shared" si="1"/>
        <v>26.880400000000002</v>
      </c>
      <c r="G31" s="1"/>
      <c r="H31" s="1"/>
      <c r="I31" s="1"/>
      <c r="J31" s="1"/>
      <c r="K31" s="1">
        <v>3.3</v>
      </c>
      <c r="L31" s="1">
        <f t="shared" si="2"/>
        <v>7.7879999999999994</v>
      </c>
      <c r="M31" s="1">
        <v>3.27</v>
      </c>
      <c r="N31" s="1">
        <f>M31*2.36</f>
        <v>7.7172000000000001</v>
      </c>
      <c r="O31" s="1"/>
      <c r="P31" s="1"/>
      <c r="Q31" s="1"/>
      <c r="R31" s="1"/>
      <c r="S31" s="1"/>
      <c r="T31" s="1"/>
      <c r="U31" s="1">
        <v>10.87</v>
      </c>
      <c r="V31" s="1">
        <f t="shared" si="8"/>
        <v>14.565799999999999</v>
      </c>
      <c r="W31" s="1">
        <v>8.7899999999999991</v>
      </c>
      <c r="X31" s="1">
        <f t="shared" ref="X31:X36" si="23">W31*1.34</f>
        <v>11.778599999999999</v>
      </c>
      <c r="Y31" s="1"/>
      <c r="Z31" s="1"/>
      <c r="AA31" s="1"/>
      <c r="AB31" s="1"/>
      <c r="AC31" s="1"/>
      <c r="AD31" s="1"/>
      <c r="AE31" s="1"/>
      <c r="AF31" s="1"/>
      <c r="AG31" s="1">
        <v>5.96</v>
      </c>
      <c r="AH31" s="1">
        <f t="shared" ref="AH31:AH32" si="24">AG31*2.75</f>
        <v>16.39</v>
      </c>
      <c r="AI31" s="1">
        <v>1.07</v>
      </c>
      <c r="AJ31" s="1">
        <f>AI31*2.36</f>
        <v>2.5251999999999999</v>
      </c>
      <c r="AK31" s="9"/>
      <c r="AL31" s="9"/>
      <c r="AM31" s="9"/>
      <c r="AN31" s="9"/>
      <c r="AO31" s="1"/>
      <c r="AP31" s="1"/>
      <c r="AR31" s="1">
        <f t="shared" si="7"/>
        <v>0.88</v>
      </c>
      <c r="AS31" s="1">
        <f t="shared" si="5"/>
        <v>0.12</v>
      </c>
      <c r="AT31" s="1">
        <f t="shared" si="6"/>
        <v>1</v>
      </c>
    </row>
    <row r="32" spans="2:46" x14ac:dyDescent="0.25">
      <c r="B32" t="s">
        <v>103</v>
      </c>
      <c r="C32" t="s">
        <v>104</v>
      </c>
      <c r="D32" s="1">
        <f t="shared" si="0"/>
        <v>53.449999999999996</v>
      </c>
      <c r="E32" s="9">
        <v>23.61</v>
      </c>
      <c r="F32" s="9">
        <f t="shared" si="1"/>
        <v>31.6374</v>
      </c>
      <c r="G32" s="1"/>
      <c r="H32" s="1"/>
      <c r="I32" s="1"/>
      <c r="J32" s="1"/>
      <c r="K32" s="1">
        <v>3.98</v>
      </c>
      <c r="L32" s="1">
        <f t="shared" si="2"/>
        <v>9.3927999999999994</v>
      </c>
      <c r="M32" s="1">
        <v>3.11</v>
      </c>
      <c r="N32" s="1">
        <f>M32*2.36</f>
        <v>7.339599999999999</v>
      </c>
      <c r="O32" s="1"/>
      <c r="P32" s="1"/>
      <c r="Q32" s="1"/>
      <c r="R32" s="1"/>
      <c r="S32" s="1"/>
      <c r="T32" s="1"/>
      <c r="U32" s="1">
        <v>11.83</v>
      </c>
      <c r="V32" s="1">
        <f t="shared" si="8"/>
        <v>15.852200000000002</v>
      </c>
      <c r="W32" s="1">
        <v>8.69</v>
      </c>
      <c r="X32" s="1">
        <f t="shared" si="23"/>
        <v>11.644600000000001</v>
      </c>
      <c r="Y32" s="1"/>
      <c r="Z32" s="1"/>
      <c r="AA32" s="1"/>
      <c r="AB32" s="1"/>
      <c r="AC32" s="1"/>
      <c r="AD32" s="1"/>
      <c r="AE32" s="1"/>
      <c r="AF32" s="1"/>
      <c r="AG32" s="1">
        <v>2.23</v>
      </c>
      <c r="AH32" s="1">
        <f t="shared" si="24"/>
        <v>6.1325000000000003</v>
      </c>
      <c r="AI32" s="1"/>
      <c r="AJ32" s="1"/>
      <c r="AK32" s="9"/>
      <c r="AL32" s="9"/>
      <c r="AM32" s="9"/>
      <c r="AN32" s="9"/>
      <c r="AO32" s="1">
        <v>9</v>
      </c>
      <c r="AP32" s="1">
        <f>AO32*0.6</f>
        <v>5.3999999999999995</v>
      </c>
      <c r="AR32" s="1">
        <f t="shared" si="7"/>
        <v>0.87</v>
      </c>
      <c r="AS32" s="1">
        <f t="shared" si="5"/>
        <v>0.13</v>
      </c>
      <c r="AT32" s="1">
        <f t="shared" si="6"/>
        <v>1</v>
      </c>
    </row>
    <row r="33" spans="1:46" x14ac:dyDescent="0.25">
      <c r="B33" t="s">
        <v>42</v>
      </c>
      <c r="C33" t="s">
        <v>70</v>
      </c>
      <c r="D33" s="1">
        <f t="shared" si="0"/>
        <v>53.77</v>
      </c>
      <c r="E33" s="9">
        <v>21.03</v>
      </c>
      <c r="F33" s="9">
        <f t="shared" si="1"/>
        <v>28.180200000000003</v>
      </c>
      <c r="G33" s="1"/>
      <c r="H33" s="1"/>
      <c r="I33" s="1"/>
      <c r="J33" s="1"/>
      <c r="K33" s="1">
        <v>5.12</v>
      </c>
      <c r="L33" s="1">
        <f t="shared" si="2"/>
        <v>12.0832</v>
      </c>
      <c r="M33" s="1"/>
      <c r="N33" s="1"/>
      <c r="O33" s="1"/>
      <c r="P33" s="1"/>
      <c r="Q33" s="1"/>
      <c r="R33" s="1"/>
      <c r="S33" s="1"/>
      <c r="T33" s="1"/>
      <c r="U33" s="1">
        <v>12.62</v>
      </c>
      <c r="V33" s="1">
        <f t="shared" si="8"/>
        <v>16.910799999999998</v>
      </c>
      <c r="W33" s="1">
        <v>9.42</v>
      </c>
      <c r="X33" s="1">
        <f t="shared" si="23"/>
        <v>12.6228</v>
      </c>
      <c r="Y33" s="1"/>
      <c r="Z33" s="1"/>
      <c r="AA33" s="1"/>
      <c r="AB33" s="1"/>
      <c r="AC33" s="1"/>
      <c r="AD33" s="1"/>
      <c r="AE33" s="1">
        <v>5.58</v>
      </c>
      <c r="AF33" s="1">
        <f t="shared" ref="AF33:AF34" si="25">AE33*2.75</f>
        <v>15.345000000000001</v>
      </c>
      <c r="AG33" s="1"/>
      <c r="AH33" s="1"/>
      <c r="AI33" s="1"/>
      <c r="AJ33" s="1"/>
      <c r="AK33" s="9"/>
      <c r="AL33" s="9"/>
      <c r="AM33" s="9"/>
      <c r="AN33" s="9"/>
      <c r="AO33" s="1"/>
      <c r="AP33" s="1"/>
      <c r="AR33" s="1">
        <f t="shared" si="7"/>
        <v>0.9</v>
      </c>
      <c r="AS33" s="1">
        <f t="shared" si="5"/>
        <v>0.1</v>
      </c>
      <c r="AT33" s="1">
        <f t="shared" si="6"/>
        <v>1</v>
      </c>
    </row>
    <row r="34" spans="1:46" x14ac:dyDescent="0.25">
      <c r="B34" t="s">
        <v>119</v>
      </c>
      <c r="C34" t="s">
        <v>120</v>
      </c>
      <c r="D34" s="1">
        <f t="shared" si="0"/>
        <v>53.92</v>
      </c>
      <c r="E34" s="9">
        <v>22.2</v>
      </c>
      <c r="F34" s="9">
        <f t="shared" si="1"/>
        <v>29.748000000000001</v>
      </c>
      <c r="G34" s="1"/>
      <c r="H34" s="1"/>
      <c r="I34" s="1"/>
      <c r="J34" s="1"/>
      <c r="K34" s="1">
        <v>5.12</v>
      </c>
      <c r="L34" s="1">
        <f t="shared" si="2"/>
        <v>12.0832</v>
      </c>
      <c r="M34" s="1"/>
      <c r="N34" s="1"/>
      <c r="O34" s="1"/>
      <c r="P34" s="1"/>
      <c r="Q34" s="1"/>
      <c r="R34" s="1"/>
      <c r="S34" s="1"/>
      <c r="T34" s="1"/>
      <c r="U34" s="1">
        <v>11.47</v>
      </c>
      <c r="V34" s="1">
        <f t="shared" si="8"/>
        <v>15.369800000000001</v>
      </c>
      <c r="W34" s="1">
        <v>10.96</v>
      </c>
      <c r="X34" s="1">
        <f t="shared" si="23"/>
        <v>14.686400000000003</v>
      </c>
      <c r="Y34" s="1"/>
      <c r="Z34" s="1"/>
      <c r="AA34" s="1"/>
      <c r="AB34" s="1"/>
      <c r="AC34" s="1"/>
      <c r="AD34" s="1"/>
      <c r="AE34" s="1">
        <v>2.21</v>
      </c>
      <c r="AF34" s="1">
        <f t="shared" si="25"/>
        <v>6.0774999999999997</v>
      </c>
      <c r="AG34" s="1">
        <v>1.96</v>
      </c>
      <c r="AH34" s="1">
        <f t="shared" ref="AH34:AH36" si="26">AG34*2.75</f>
        <v>5.39</v>
      </c>
      <c r="AI34" s="1"/>
      <c r="AJ34" s="1"/>
      <c r="AK34" s="9"/>
      <c r="AL34" s="9"/>
      <c r="AM34" s="9"/>
      <c r="AN34" s="9"/>
      <c r="AO34" s="1">
        <f>12.7+7.7</f>
        <v>20.399999999999999</v>
      </c>
      <c r="AP34" s="1">
        <f>AO34*0.6</f>
        <v>12.239999999999998</v>
      </c>
      <c r="AR34" s="1">
        <f t="shared" si="7"/>
        <v>0.91</v>
      </c>
      <c r="AS34" s="1">
        <f t="shared" si="5"/>
        <v>0.09</v>
      </c>
      <c r="AT34" s="1">
        <f t="shared" si="6"/>
        <v>1</v>
      </c>
    </row>
    <row r="35" spans="1:46" x14ac:dyDescent="0.25">
      <c r="B35" t="s">
        <v>40</v>
      </c>
      <c r="C35" t="s">
        <v>50</v>
      </c>
      <c r="D35" s="1">
        <f t="shared" si="0"/>
        <v>53.949999999999996</v>
      </c>
      <c r="E35" s="9">
        <v>25</v>
      </c>
      <c r="F35" s="9">
        <f t="shared" si="1"/>
        <v>33.5</v>
      </c>
      <c r="G35" s="1"/>
      <c r="H35" s="1"/>
      <c r="I35" s="1"/>
      <c r="J35" s="1"/>
      <c r="K35" s="1">
        <v>4.3099999999999996</v>
      </c>
      <c r="L35" s="1">
        <f t="shared" si="2"/>
        <v>10.171599999999998</v>
      </c>
      <c r="M35" s="1"/>
      <c r="N35" s="1"/>
      <c r="O35" s="1"/>
      <c r="P35" s="1"/>
      <c r="Q35" s="1"/>
      <c r="R35" s="1"/>
      <c r="S35" s="1"/>
      <c r="T35" s="1"/>
      <c r="U35" s="1">
        <v>12.01</v>
      </c>
      <c r="V35" s="1">
        <f t="shared" si="8"/>
        <v>16.093399999999999</v>
      </c>
      <c r="W35" s="1">
        <v>9.98</v>
      </c>
      <c r="X35" s="1">
        <f t="shared" si="23"/>
        <v>13.373200000000001</v>
      </c>
      <c r="Y35" s="1"/>
      <c r="Z35" s="1"/>
      <c r="AA35" s="1"/>
      <c r="AB35" s="1"/>
      <c r="AC35" s="1"/>
      <c r="AD35" s="1"/>
      <c r="AE35" s="1"/>
      <c r="AF35" s="1"/>
      <c r="AG35" s="1">
        <v>2.65</v>
      </c>
      <c r="AH35" s="1">
        <f t="shared" si="26"/>
        <v>7.2874999999999996</v>
      </c>
      <c r="AI35" s="1"/>
      <c r="AJ35" s="1"/>
      <c r="AK35" s="9"/>
      <c r="AL35" s="9"/>
      <c r="AM35" s="9"/>
      <c r="AN35" s="9"/>
      <c r="AO35" s="1"/>
      <c r="AP35" s="1"/>
      <c r="AR35" s="1">
        <f t="shared" si="7"/>
        <v>0.92</v>
      </c>
      <c r="AS35" s="1">
        <f t="shared" si="5"/>
        <v>0.08</v>
      </c>
      <c r="AT35" s="1">
        <f t="shared" si="6"/>
        <v>1</v>
      </c>
    </row>
    <row r="36" spans="1:46" x14ac:dyDescent="0.25">
      <c r="B36" t="s">
        <v>42</v>
      </c>
      <c r="C36" t="s">
        <v>70</v>
      </c>
      <c r="D36" s="1">
        <f t="shared" si="0"/>
        <v>53.970000000000006</v>
      </c>
      <c r="E36" s="9">
        <v>20.22</v>
      </c>
      <c r="F36" s="9">
        <f t="shared" si="1"/>
        <v>27.094799999999999</v>
      </c>
      <c r="G36" s="1"/>
      <c r="H36" s="1"/>
      <c r="I36" s="1"/>
      <c r="J36" s="1"/>
      <c r="K36" s="1">
        <v>5.27</v>
      </c>
      <c r="L36" s="1">
        <f t="shared" si="2"/>
        <v>12.437199999999999</v>
      </c>
      <c r="M36" s="1"/>
      <c r="N36" s="1"/>
      <c r="O36" s="1"/>
      <c r="P36" s="1"/>
      <c r="Q36" s="1"/>
      <c r="R36" s="1"/>
      <c r="S36" s="1"/>
      <c r="T36" s="1"/>
      <c r="U36" s="1">
        <v>12.87</v>
      </c>
      <c r="V36" s="1">
        <f t="shared" si="8"/>
        <v>17.245799999999999</v>
      </c>
      <c r="W36" s="1">
        <v>9.23</v>
      </c>
      <c r="X36" s="1">
        <f t="shared" si="23"/>
        <v>12.368200000000002</v>
      </c>
      <c r="Y36" s="1"/>
      <c r="Z36" s="1"/>
      <c r="AA36" s="1"/>
      <c r="AB36" s="1"/>
      <c r="AC36" s="1"/>
      <c r="AD36" s="1"/>
      <c r="AE36" s="1"/>
      <c r="AF36" s="1"/>
      <c r="AG36" s="1">
        <v>6.38</v>
      </c>
      <c r="AH36" s="1">
        <f t="shared" si="26"/>
        <v>17.544999999999998</v>
      </c>
      <c r="AI36" s="1"/>
      <c r="AJ36" s="1"/>
      <c r="AK36" s="9"/>
      <c r="AL36" s="9"/>
      <c r="AM36" s="9"/>
      <c r="AN36" s="9"/>
      <c r="AO36" s="1"/>
      <c r="AP36" s="1"/>
      <c r="AR36" s="1">
        <f t="shared" si="7"/>
        <v>0.9</v>
      </c>
      <c r="AS36" s="1">
        <f t="shared" si="5"/>
        <v>0.1</v>
      </c>
      <c r="AT36" s="1">
        <f t="shared" si="6"/>
        <v>1</v>
      </c>
    </row>
    <row r="37" spans="1:46" x14ac:dyDescent="0.25">
      <c r="B37" t="s">
        <v>117</v>
      </c>
      <c r="C37" t="s">
        <v>118</v>
      </c>
      <c r="D37" s="1">
        <f t="shared" si="0"/>
        <v>54.11</v>
      </c>
      <c r="E37" s="9">
        <v>32.5</v>
      </c>
      <c r="F37" s="9">
        <f t="shared" si="1"/>
        <v>43.550000000000004</v>
      </c>
      <c r="G37" s="1"/>
      <c r="H37" s="1"/>
      <c r="I37" s="1"/>
      <c r="J37" s="1"/>
      <c r="K37" s="1">
        <v>3.5</v>
      </c>
      <c r="L37" s="1">
        <f t="shared" si="2"/>
        <v>8.26</v>
      </c>
      <c r="M37" s="1"/>
      <c r="N37" s="1"/>
      <c r="O37" s="1"/>
      <c r="P37" s="1"/>
      <c r="Q37" s="1"/>
      <c r="R37" s="1"/>
      <c r="S37" s="1"/>
      <c r="T37" s="1"/>
      <c r="U37" s="1">
        <v>18.11</v>
      </c>
      <c r="V37" s="1">
        <f t="shared" si="8"/>
        <v>24.267400000000002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9"/>
      <c r="AL37" s="9"/>
      <c r="AM37" s="9"/>
      <c r="AN37" s="9"/>
      <c r="AO37" s="1"/>
      <c r="AP37" s="1"/>
      <c r="AR37" s="1">
        <f t="shared" si="7"/>
        <v>0.94</v>
      </c>
      <c r="AS37" s="1">
        <f t="shared" si="5"/>
        <v>0.06</v>
      </c>
      <c r="AT37" s="1">
        <f t="shared" si="6"/>
        <v>1</v>
      </c>
    </row>
    <row r="38" spans="1:46" x14ac:dyDescent="0.25">
      <c r="B38" t="s">
        <v>42</v>
      </c>
      <c r="C38" t="s">
        <v>70</v>
      </c>
      <c r="D38" s="1">
        <f t="shared" si="0"/>
        <v>54.149999999999991</v>
      </c>
      <c r="E38" s="9">
        <v>20.59</v>
      </c>
      <c r="F38" s="9">
        <f t="shared" si="1"/>
        <v>27.590600000000002</v>
      </c>
      <c r="G38" s="1"/>
      <c r="H38" s="1"/>
      <c r="I38" s="1"/>
      <c r="J38" s="1"/>
      <c r="K38" s="1">
        <v>5.27</v>
      </c>
      <c r="L38" s="1">
        <f t="shared" si="2"/>
        <v>12.437199999999999</v>
      </c>
      <c r="M38" s="1"/>
      <c r="N38" s="1"/>
      <c r="O38" s="1"/>
      <c r="P38" s="1"/>
      <c r="Q38" s="1"/>
      <c r="R38" s="1"/>
      <c r="S38" s="1"/>
      <c r="T38" s="1"/>
      <c r="U38" s="1">
        <v>12.87</v>
      </c>
      <c r="V38" s="1">
        <f t="shared" si="8"/>
        <v>17.245799999999999</v>
      </c>
      <c r="W38" s="1">
        <v>9.15</v>
      </c>
      <c r="X38" s="1">
        <f t="shared" ref="X38" si="27">W38*1.34</f>
        <v>12.261000000000001</v>
      </c>
      <c r="Y38" s="1"/>
      <c r="Z38" s="1"/>
      <c r="AA38" s="1"/>
      <c r="AB38" s="1"/>
      <c r="AC38" s="1"/>
      <c r="AD38" s="1"/>
      <c r="AE38" s="1"/>
      <c r="AF38" s="1"/>
      <c r="AG38" s="1">
        <v>6.27</v>
      </c>
      <c r="AH38" s="1">
        <f t="shared" ref="AH38:AH39" si="28">AG38*2.75</f>
        <v>17.2425</v>
      </c>
      <c r="AI38" s="1"/>
      <c r="AJ38" s="1"/>
      <c r="AK38" s="9"/>
      <c r="AL38" s="9"/>
      <c r="AM38" s="9"/>
      <c r="AN38" s="9"/>
      <c r="AO38" s="1"/>
      <c r="AP38" s="1"/>
      <c r="AR38" s="1">
        <f t="shared" si="7"/>
        <v>0.9</v>
      </c>
      <c r="AS38" s="1">
        <f t="shared" si="5"/>
        <v>0.1</v>
      </c>
      <c r="AT38" s="1">
        <f t="shared" si="6"/>
        <v>1</v>
      </c>
    </row>
    <row r="39" spans="1:46" x14ac:dyDescent="0.25">
      <c r="B39" t="s">
        <v>62</v>
      </c>
      <c r="C39" t="s">
        <v>63</v>
      </c>
      <c r="D39" s="1">
        <f t="shared" si="0"/>
        <v>54.54</v>
      </c>
      <c r="E39" s="9">
        <v>34.89</v>
      </c>
      <c r="F39" s="9">
        <f t="shared" si="1"/>
        <v>46.752600000000001</v>
      </c>
      <c r="G39" s="1"/>
      <c r="H39" s="1"/>
      <c r="I39" s="1"/>
      <c r="J39" s="1"/>
      <c r="K39" s="1">
        <v>3.64</v>
      </c>
      <c r="L39" s="1">
        <f t="shared" si="2"/>
        <v>8.5904000000000007</v>
      </c>
      <c r="M39" s="1"/>
      <c r="N39" s="1"/>
      <c r="O39" s="1"/>
      <c r="P39" s="1"/>
      <c r="Q39" s="1"/>
      <c r="R39" s="1"/>
      <c r="S39" s="1"/>
      <c r="T39" s="1"/>
      <c r="U39" s="1">
        <v>12.86</v>
      </c>
      <c r="V39" s="1">
        <f t="shared" si="8"/>
        <v>17.232400000000002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3.15</v>
      </c>
      <c r="AH39" s="1">
        <f t="shared" si="28"/>
        <v>8.6624999999999996</v>
      </c>
      <c r="AI39" s="1"/>
      <c r="AJ39" s="1"/>
      <c r="AK39" s="9"/>
      <c r="AL39" s="9"/>
      <c r="AM39" s="9"/>
      <c r="AN39" s="9"/>
      <c r="AO39" s="1">
        <f>10.97+2.96</f>
        <v>13.93</v>
      </c>
      <c r="AP39" s="1">
        <f>AO39*0.6</f>
        <v>8.3579999999999988</v>
      </c>
      <c r="AR39" s="1">
        <f t="shared" si="7"/>
        <v>0.93</v>
      </c>
      <c r="AS39" s="1">
        <f t="shared" si="5"/>
        <v>7.0000000000000007E-2</v>
      </c>
      <c r="AT39" s="1">
        <f t="shared" si="6"/>
        <v>1</v>
      </c>
    </row>
    <row r="40" spans="1:46" x14ac:dyDescent="0.25">
      <c r="D40" s="1">
        <f t="shared" si="0"/>
        <v>55.1</v>
      </c>
      <c r="E40" s="9">
        <v>31</v>
      </c>
      <c r="F40" s="9">
        <f t="shared" si="1"/>
        <v>41.54</v>
      </c>
      <c r="G40" s="1"/>
      <c r="H40" s="1"/>
      <c r="I40" s="1"/>
      <c r="J40" s="1"/>
      <c r="K40" s="1">
        <v>3.59</v>
      </c>
      <c r="L40" s="1">
        <f t="shared" si="2"/>
        <v>8.4723999999999986</v>
      </c>
      <c r="M40" s="1"/>
      <c r="N40" s="1"/>
      <c r="O40" s="1"/>
      <c r="P40" s="1"/>
      <c r="Q40" s="1"/>
      <c r="R40" s="1"/>
      <c r="S40" s="1"/>
      <c r="T40" s="1"/>
      <c r="U40" s="1">
        <v>12.22</v>
      </c>
      <c r="V40" s="1">
        <f t="shared" si="8"/>
        <v>16.3748</v>
      </c>
      <c r="W40" s="1">
        <v>8.2899999999999991</v>
      </c>
      <c r="X40" s="1">
        <f t="shared" ref="X40:X45" si="29">W40*1.34</f>
        <v>11.108599999999999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9"/>
      <c r="AL40" s="9"/>
      <c r="AM40" s="9"/>
      <c r="AN40" s="9"/>
      <c r="AO40" s="1"/>
      <c r="AP40" s="1"/>
      <c r="AR40" s="1">
        <f t="shared" si="7"/>
        <v>0.93</v>
      </c>
      <c r="AS40" s="1">
        <f t="shared" si="5"/>
        <v>7.0000000000000007E-2</v>
      </c>
      <c r="AT40" s="1">
        <f t="shared" si="6"/>
        <v>1</v>
      </c>
    </row>
    <row r="41" spans="1:46" x14ac:dyDescent="0.25">
      <c r="B41" t="s">
        <v>88</v>
      </c>
      <c r="C41" t="s">
        <v>89</v>
      </c>
      <c r="D41" s="1">
        <f t="shared" si="0"/>
        <v>55.58</v>
      </c>
      <c r="E41" s="9">
        <v>21.97</v>
      </c>
      <c r="F41" s="9">
        <f t="shared" si="1"/>
        <v>29.439800000000002</v>
      </c>
      <c r="G41" s="1"/>
      <c r="H41" s="1"/>
      <c r="I41" s="1"/>
      <c r="J41" s="1"/>
      <c r="K41" s="1">
        <v>3.61</v>
      </c>
      <c r="L41" s="1">
        <f t="shared" si="2"/>
        <v>8.5195999999999987</v>
      </c>
      <c r="M41" s="1">
        <v>3.08</v>
      </c>
      <c r="N41" s="1">
        <f>M41*2.36</f>
        <v>7.2687999999999997</v>
      </c>
      <c r="O41" s="1"/>
      <c r="P41" s="1"/>
      <c r="Q41" s="1"/>
      <c r="R41" s="1"/>
      <c r="S41" s="1"/>
      <c r="T41" s="1"/>
      <c r="U41" s="1">
        <v>12.55</v>
      </c>
      <c r="V41" s="1">
        <f t="shared" si="8"/>
        <v>16.817000000000004</v>
      </c>
      <c r="W41" s="1">
        <v>9.85</v>
      </c>
      <c r="X41" s="1">
        <f t="shared" si="29"/>
        <v>13.199</v>
      </c>
      <c r="Y41" s="1"/>
      <c r="Z41" s="1"/>
      <c r="AA41" s="1"/>
      <c r="AB41" s="1"/>
      <c r="AC41" s="1"/>
      <c r="AD41" s="1"/>
      <c r="AE41" s="1">
        <v>4.5199999999999996</v>
      </c>
      <c r="AF41" s="1">
        <f t="shared" ref="AF41" si="30">AE41*2.75</f>
        <v>12.43</v>
      </c>
      <c r="AG41" s="1"/>
      <c r="AH41" s="1"/>
      <c r="AI41" s="1"/>
      <c r="AJ41" s="1"/>
      <c r="AK41" s="9"/>
      <c r="AL41" s="9"/>
      <c r="AM41" s="9"/>
      <c r="AN41" s="9"/>
      <c r="AO41" s="1">
        <f>8.67+1.6</f>
        <v>10.27</v>
      </c>
      <c r="AP41" s="1">
        <f>AO41*0.6</f>
        <v>6.1619999999999999</v>
      </c>
      <c r="AR41" s="1">
        <f t="shared" si="7"/>
        <v>0.88</v>
      </c>
      <c r="AS41" s="1">
        <f t="shared" si="5"/>
        <v>0.12</v>
      </c>
      <c r="AT41" s="1">
        <f t="shared" si="6"/>
        <v>1</v>
      </c>
    </row>
    <row r="42" spans="1:46" x14ac:dyDescent="0.25">
      <c r="B42" t="s">
        <v>106</v>
      </c>
      <c r="C42" t="s">
        <v>113</v>
      </c>
      <c r="D42" s="1">
        <f t="shared" si="0"/>
        <v>55.960000000000008</v>
      </c>
      <c r="E42" s="9">
        <v>24.1</v>
      </c>
      <c r="F42" s="9">
        <f t="shared" si="1"/>
        <v>32.294000000000004</v>
      </c>
      <c r="G42" s="1"/>
      <c r="H42" s="1"/>
      <c r="I42" s="1"/>
      <c r="J42" s="1"/>
      <c r="K42" s="1">
        <v>3.59</v>
      </c>
      <c r="L42" s="1">
        <f t="shared" si="2"/>
        <v>8.4723999999999986</v>
      </c>
      <c r="M42" s="1"/>
      <c r="N42" s="1"/>
      <c r="O42" s="1"/>
      <c r="P42" s="1"/>
      <c r="Q42" s="1"/>
      <c r="R42" s="1"/>
      <c r="S42" s="1"/>
      <c r="T42" s="1"/>
      <c r="U42" s="1">
        <v>11.58</v>
      </c>
      <c r="V42" s="1">
        <f t="shared" si="8"/>
        <v>15.517200000000001</v>
      </c>
      <c r="W42" s="1">
        <v>10.53</v>
      </c>
      <c r="X42" s="1">
        <f t="shared" si="29"/>
        <v>14.110200000000001</v>
      </c>
      <c r="Y42" s="1"/>
      <c r="Z42" s="1"/>
      <c r="AA42" s="1"/>
      <c r="AB42" s="1"/>
      <c r="AC42" s="1"/>
      <c r="AD42" s="1"/>
      <c r="AE42" s="1"/>
      <c r="AF42" s="1"/>
      <c r="AG42" s="1">
        <v>6.16</v>
      </c>
      <c r="AH42" s="1">
        <f t="shared" ref="AH42:AH47" si="31">AG42*2.75</f>
        <v>16.940000000000001</v>
      </c>
      <c r="AI42" s="1"/>
      <c r="AJ42" s="1"/>
      <c r="AK42" s="9"/>
      <c r="AL42" s="9"/>
      <c r="AM42" s="9"/>
      <c r="AN42" s="9"/>
      <c r="AO42" s="1">
        <v>15.37</v>
      </c>
      <c r="AP42" s="1">
        <f>AO42*0.6</f>
        <v>9.2219999999999995</v>
      </c>
      <c r="AR42" s="1">
        <f t="shared" si="7"/>
        <v>0.94</v>
      </c>
      <c r="AS42" s="1">
        <f t="shared" si="5"/>
        <v>0.06</v>
      </c>
      <c r="AT42" s="1">
        <f t="shared" si="6"/>
        <v>1</v>
      </c>
    </row>
    <row r="43" spans="1:46" x14ac:dyDescent="0.25">
      <c r="B43" t="s">
        <v>40</v>
      </c>
      <c r="C43" t="s">
        <v>50</v>
      </c>
      <c r="D43" s="1">
        <f t="shared" si="0"/>
        <v>57.21</v>
      </c>
      <c r="E43" s="9">
        <v>25</v>
      </c>
      <c r="F43" s="9">
        <f t="shared" si="1"/>
        <v>33.5</v>
      </c>
      <c r="G43" s="1"/>
      <c r="H43" s="1"/>
      <c r="I43" s="1"/>
      <c r="J43" s="1"/>
      <c r="K43" s="1">
        <v>3.67</v>
      </c>
      <c r="L43" s="1">
        <f t="shared" si="2"/>
        <v>8.6611999999999991</v>
      </c>
      <c r="M43" s="1">
        <v>3.44</v>
      </c>
      <c r="N43" s="1">
        <f>M43*2.36</f>
        <v>8.1183999999999994</v>
      </c>
      <c r="O43" s="1"/>
      <c r="P43" s="1"/>
      <c r="Q43" s="1"/>
      <c r="R43" s="1"/>
      <c r="S43" s="1"/>
      <c r="T43" s="1"/>
      <c r="U43" s="1">
        <v>12.35</v>
      </c>
      <c r="V43" s="1">
        <f t="shared" si="8"/>
        <v>16.548999999999999</v>
      </c>
      <c r="W43" s="1">
        <v>8.25</v>
      </c>
      <c r="X43" s="1">
        <f t="shared" si="29"/>
        <v>11.055000000000001</v>
      </c>
      <c r="Y43" s="1"/>
      <c r="Z43" s="1"/>
      <c r="AA43" s="1"/>
      <c r="AB43" s="1"/>
      <c r="AC43" s="1"/>
      <c r="AD43" s="1"/>
      <c r="AE43" s="1"/>
      <c r="AF43" s="1"/>
      <c r="AG43" s="1">
        <v>4.5</v>
      </c>
      <c r="AH43" s="1">
        <f t="shared" si="31"/>
        <v>12.375</v>
      </c>
      <c r="AI43" s="1"/>
      <c r="AJ43" s="1"/>
      <c r="AK43" s="9"/>
      <c r="AL43" s="9"/>
      <c r="AM43" s="9"/>
      <c r="AN43" s="9"/>
      <c r="AO43" s="1"/>
      <c r="AP43" s="1"/>
      <c r="AR43" s="1">
        <f t="shared" si="7"/>
        <v>0.88</v>
      </c>
      <c r="AS43" s="1">
        <f t="shared" si="5"/>
        <v>0.12</v>
      </c>
      <c r="AT43" s="1">
        <f t="shared" si="6"/>
        <v>1</v>
      </c>
    </row>
    <row r="44" spans="1:46" x14ac:dyDescent="0.25">
      <c r="B44" t="s">
        <v>62</v>
      </c>
      <c r="C44" t="s">
        <v>116</v>
      </c>
      <c r="D44" s="1">
        <f t="shared" si="0"/>
        <v>57.3</v>
      </c>
      <c r="E44" s="9">
        <v>24.05</v>
      </c>
      <c r="F44" s="9">
        <f t="shared" si="1"/>
        <v>32.227000000000004</v>
      </c>
      <c r="G44" s="1"/>
      <c r="H44" s="1"/>
      <c r="I44" s="1"/>
      <c r="J44" s="1"/>
      <c r="K44" s="1">
        <v>4.1500000000000004</v>
      </c>
      <c r="L44" s="1">
        <f t="shared" si="2"/>
        <v>9.7940000000000005</v>
      </c>
      <c r="M44" s="1">
        <v>3.7</v>
      </c>
      <c r="N44" s="1">
        <f t="shared" ref="N44:N45" si="32">M44*2.36</f>
        <v>8.7319999999999993</v>
      </c>
      <c r="O44" s="1"/>
      <c r="P44" s="1"/>
      <c r="Q44" s="1"/>
      <c r="R44" s="1"/>
      <c r="S44" s="1"/>
      <c r="T44" s="1"/>
      <c r="U44" s="1">
        <v>13.3</v>
      </c>
      <c r="V44" s="1">
        <f t="shared" si="8"/>
        <v>17.822000000000003</v>
      </c>
      <c r="W44" s="1">
        <v>10.3</v>
      </c>
      <c r="X44" s="1">
        <f t="shared" si="29"/>
        <v>13.802000000000001</v>
      </c>
      <c r="Y44" s="1"/>
      <c r="Z44" s="1"/>
      <c r="AA44" s="1"/>
      <c r="AB44" s="1"/>
      <c r="AC44" s="1"/>
      <c r="AD44" s="1"/>
      <c r="AE44" s="1"/>
      <c r="AF44" s="1"/>
      <c r="AG44" s="1">
        <v>1.8</v>
      </c>
      <c r="AH44" s="1">
        <f t="shared" si="31"/>
        <v>4.95</v>
      </c>
      <c r="AI44" s="1"/>
      <c r="AJ44" s="1"/>
      <c r="AK44" s="9"/>
      <c r="AL44" s="9"/>
      <c r="AM44" s="9"/>
      <c r="AN44" s="9"/>
      <c r="AO44" s="1"/>
      <c r="AP44" s="1"/>
      <c r="AR44" s="1">
        <f t="shared" si="7"/>
        <v>0.86</v>
      </c>
      <c r="AS44" s="1">
        <f t="shared" si="5"/>
        <v>0.14000000000000001</v>
      </c>
      <c r="AT44" s="1">
        <f t="shared" si="6"/>
        <v>1</v>
      </c>
    </row>
    <row r="45" spans="1:46" x14ac:dyDescent="0.25">
      <c r="B45" t="s">
        <v>138</v>
      </c>
      <c r="C45" t="s">
        <v>137</v>
      </c>
      <c r="D45" s="1">
        <f t="shared" ref="D45:D68" si="33">E45+G45+I45+K45+M45+O45+Q45+S45+U45+W45+Y45+AA45+AC45+AE45+AG45+AI45+AK45+AM45</f>
        <v>57.400000000000006</v>
      </c>
      <c r="E45" s="9">
        <v>19.399999999999999</v>
      </c>
      <c r="F45" s="9">
        <f t="shared" ref="F45:F68" si="34">E45*1.34</f>
        <v>25.995999999999999</v>
      </c>
      <c r="G45" s="1"/>
      <c r="H45" s="1"/>
      <c r="I45" s="1"/>
      <c r="J45" s="1"/>
      <c r="K45" s="1">
        <v>3.5</v>
      </c>
      <c r="L45" s="1">
        <f t="shared" ref="L45:L68" si="35">K45*2.36</f>
        <v>8.26</v>
      </c>
      <c r="M45" s="1">
        <v>2.2999999999999998</v>
      </c>
      <c r="N45" s="1">
        <f t="shared" si="32"/>
        <v>5.427999999999999</v>
      </c>
      <c r="O45" s="1"/>
      <c r="P45" s="1"/>
      <c r="Q45" s="1"/>
      <c r="R45" s="1"/>
      <c r="S45" s="1"/>
      <c r="T45" s="1"/>
      <c r="U45" s="1">
        <v>10.199999999999999</v>
      </c>
      <c r="V45" s="1">
        <f t="shared" si="8"/>
        <v>13.667999999999999</v>
      </c>
      <c r="W45" s="1">
        <v>6.2</v>
      </c>
      <c r="X45" s="1">
        <f t="shared" si="29"/>
        <v>8.3080000000000016</v>
      </c>
      <c r="Y45" s="1">
        <v>6.2</v>
      </c>
      <c r="Z45" s="1">
        <f t="shared" ref="Z45" si="36">Y45*1.34</f>
        <v>8.3080000000000016</v>
      </c>
      <c r="AA45" s="1"/>
      <c r="AB45" s="1"/>
      <c r="AC45" s="1"/>
      <c r="AD45" s="1"/>
      <c r="AE45" s="1"/>
      <c r="AF45" s="1"/>
      <c r="AG45" s="1">
        <v>6.1</v>
      </c>
      <c r="AH45" s="1">
        <f t="shared" si="31"/>
        <v>16.774999999999999</v>
      </c>
      <c r="AI45" s="1">
        <v>1.1000000000000001</v>
      </c>
      <c r="AJ45" s="1">
        <f>AI45*2.36</f>
        <v>2.5960000000000001</v>
      </c>
      <c r="AK45" s="9">
        <v>2.4</v>
      </c>
      <c r="AL45" s="9">
        <f t="shared" ref="AL45" si="37">AK45*2.75</f>
        <v>6.6</v>
      </c>
      <c r="AM45" s="9"/>
      <c r="AN45" s="9"/>
      <c r="AO45" s="1">
        <v>55</v>
      </c>
      <c r="AP45" s="1">
        <f t="shared" ref="AP45" si="38">AO45*0.6</f>
        <v>33</v>
      </c>
      <c r="AR45" s="1">
        <f t="shared" ref="AR45:AR68" si="39">ROUND((E45+G45+U45+W45+Y45+AA45+AC45+AE45+AG45+AI45+AK45+AM45)/D45,2)</f>
        <v>0.9</v>
      </c>
      <c r="AS45" s="1">
        <f t="shared" ref="AS45:AS68" si="40">ROUND((I45+K45+M45+O45+Q45+S45)/D45,2)</f>
        <v>0.1</v>
      </c>
      <c r="AT45" s="1">
        <f t="shared" ref="AT45:AT68" si="41">AR45+AS45</f>
        <v>1</v>
      </c>
    </row>
    <row r="46" spans="1:46" x14ac:dyDescent="0.25">
      <c r="B46" t="s">
        <v>86</v>
      </c>
      <c r="C46" t="s">
        <v>87</v>
      </c>
      <c r="D46" s="1">
        <f t="shared" si="33"/>
        <v>58</v>
      </c>
      <c r="E46" s="9">
        <v>31.7</v>
      </c>
      <c r="F46" s="9">
        <f t="shared" si="34"/>
        <v>42.478000000000002</v>
      </c>
      <c r="G46" s="1"/>
      <c r="H46" s="1"/>
      <c r="I46" s="1"/>
      <c r="J46" s="1"/>
      <c r="K46" s="1">
        <v>5</v>
      </c>
      <c r="L46" s="1">
        <f t="shared" si="35"/>
        <v>11.799999999999999</v>
      </c>
      <c r="M46" s="1"/>
      <c r="N46" s="1"/>
      <c r="O46" s="1"/>
      <c r="P46" s="1"/>
      <c r="Q46" s="1"/>
      <c r="R46" s="1"/>
      <c r="S46" s="1"/>
      <c r="T46" s="1"/>
      <c r="U46" s="1">
        <v>12.4</v>
      </c>
      <c r="V46" s="1">
        <f t="shared" si="8"/>
        <v>16.616000000000003</v>
      </c>
      <c r="W46" s="1"/>
      <c r="X46" s="1"/>
      <c r="Y46" s="1"/>
      <c r="Z46" s="1"/>
      <c r="AA46" s="1"/>
      <c r="AB46" s="1"/>
      <c r="AC46" s="1"/>
      <c r="AD46" s="1"/>
      <c r="AE46" s="1">
        <v>2.8</v>
      </c>
      <c r="AF46" s="1">
        <f t="shared" ref="AF46" si="42">AE46*2.75</f>
        <v>7.6999999999999993</v>
      </c>
      <c r="AG46" s="1">
        <v>3</v>
      </c>
      <c r="AH46" s="1">
        <f t="shared" si="31"/>
        <v>8.25</v>
      </c>
      <c r="AI46" s="1">
        <v>3.1</v>
      </c>
      <c r="AJ46" s="1">
        <f>AI46*2.36</f>
        <v>7.3159999999999998</v>
      </c>
      <c r="AK46" s="9"/>
      <c r="AL46" s="9"/>
      <c r="AM46" s="9"/>
      <c r="AN46" s="9"/>
      <c r="AO46" s="1">
        <v>3.7</v>
      </c>
      <c r="AP46" s="1">
        <f>AO46*0.6</f>
        <v>2.2200000000000002</v>
      </c>
      <c r="AR46" s="1">
        <f t="shared" si="39"/>
        <v>0.91</v>
      </c>
      <c r="AS46" s="1">
        <f t="shared" si="40"/>
        <v>0.09</v>
      </c>
      <c r="AT46" s="1">
        <f t="shared" si="41"/>
        <v>1</v>
      </c>
    </row>
    <row r="47" spans="1:46" x14ac:dyDescent="0.25">
      <c r="A47" t="s">
        <v>115</v>
      </c>
      <c r="B47" t="s">
        <v>62</v>
      </c>
      <c r="C47" t="s">
        <v>116</v>
      </c>
      <c r="D47" s="1">
        <f t="shared" si="33"/>
        <v>58</v>
      </c>
      <c r="E47" s="9">
        <v>24</v>
      </c>
      <c r="F47" s="9">
        <f t="shared" si="34"/>
        <v>32.160000000000004</v>
      </c>
      <c r="G47" s="1"/>
      <c r="H47" s="1"/>
      <c r="I47" s="1"/>
      <c r="J47" s="1"/>
      <c r="K47" s="1">
        <v>4.3499999999999996</v>
      </c>
      <c r="L47" s="1">
        <f t="shared" si="35"/>
        <v>10.265999999999998</v>
      </c>
      <c r="M47" s="1">
        <v>3.7</v>
      </c>
      <c r="N47" s="1">
        <f>M47*2.36</f>
        <v>8.7319999999999993</v>
      </c>
      <c r="O47" s="1"/>
      <c r="P47" s="1"/>
      <c r="Q47" s="1"/>
      <c r="R47" s="1"/>
      <c r="S47" s="1"/>
      <c r="T47" s="1"/>
      <c r="U47" s="1">
        <v>13.7</v>
      </c>
      <c r="V47" s="1">
        <f t="shared" si="8"/>
        <v>18.358000000000001</v>
      </c>
      <c r="W47" s="1">
        <v>10.4</v>
      </c>
      <c r="X47" s="1">
        <f t="shared" ref="X47:Z72" si="43">W47*1.34</f>
        <v>13.936000000000002</v>
      </c>
      <c r="Y47" s="1"/>
      <c r="Z47" s="1"/>
      <c r="AA47" s="1"/>
      <c r="AB47" s="1"/>
      <c r="AC47" s="1"/>
      <c r="AD47" s="1"/>
      <c r="AE47" s="1"/>
      <c r="AF47" s="1"/>
      <c r="AG47" s="1">
        <v>1.85</v>
      </c>
      <c r="AH47" s="1">
        <f t="shared" si="31"/>
        <v>5.0875000000000004</v>
      </c>
      <c r="AI47" s="1"/>
      <c r="AJ47" s="1"/>
      <c r="AK47" s="9"/>
      <c r="AL47" s="9"/>
      <c r="AM47" s="9"/>
      <c r="AN47" s="9"/>
      <c r="AO47" s="1"/>
      <c r="AP47" s="1"/>
      <c r="AR47" s="1">
        <f t="shared" si="39"/>
        <v>0.86</v>
      </c>
      <c r="AS47" s="1">
        <f t="shared" si="40"/>
        <v>0.14000000000000001</v>
      </c>
      <c r="AT47" s="1">
        <f t="shared" si="41"/>
        <v>1</v>
      </c>
    </row>
    <row r="48" spans="1:46" x14ac:dyDescent="0.25">
      <c r="A48" t="s">
        <v>60</v>
      </c>
      <c r="B48" t="s">
        <v>42</v>
      </c>
      <c r="C48" t="s">
        <v>70</v>
      </c>
      <c r="D48" s="1">
        <f t="shared" si="33"/>
        <v>58.43</v>
      </c>
      <c r="E48" s="9">
        <v>21.95</v>
      </c>
      <c r="F48" s="9">
        <f t="shared" si="34"/>
        <v>29.413</v>
      </c>
      <c r="G48" s="1"/>
      <c r="H48" s="1"/>
      <c r="I48" s="1"/>
      <c r="J48" s="1"/>
      <c r="K48" s="1">
        <v>7.16</v>
      </c>
      <c r="L48" s="1">
        <f t="shared" si="35"/>
        <v>16.897600000000001</v>
      </c>
      <c r="M48" s="1"/>
      <c r="N48" s="1"/>
      <c r="O48" s="1"/>
      <c r="P48" s="1"/>
      <c r="Q48" s="1"/>
      <c r="R48" s="1"/>
      <c r="S48" s="1"/>
      <c r="T48" s="1"/>
      <c r="U48" s="1">
        <v>12.4</v>
      </c>
      <c r="V48" s="1">
        <f t="shared" ref="V48:V71" si="44">U48*1.34</f>
        <v>16.616000000000003</v>
      </c>
      <c r="W48" s="1">
        <v>9.86</v>
      </c>
      <c r="X48" s="1">
        <f t="shared" si="43"/>
        <v>13.212400000000001</v>
      </c>
      <c r="Y48" s="1"/>
      <c r="Z48" s="1"/>
      <c r="AA48" s="1"/>
      <c r="AB48" s="1"/>
      <c r="AC48" s="1"/>
      <c r="AD48" s="1"/>
      <c r="AE48" s="1">
        <v>7.06</v>
      </c>
      <c r="AF48" s="1">
        <f t="shared" ref="AF48" si="45">AE48*2.75</f>
        <v>19.414999999999999</v>
      </c>
      <c r="AG48" s="1"/>
      <c r="AH48" s="1"/>
      <c r="AI48" s="1"/>
      <c r="AJ48" s="1"/>
      <c r="AK48" s="9"/>
      <c r="AL48" s="9"/>
      <c r="AM48" s="9"/>
      <c r="AN48" s="9"/>
      <c r="AO48" s="1"/>
      <c r="AP48" s="1"/>
      <c r="AR48" s="1">
        <f t="shared" si="39"/>
        <v>0.88</v>
      </c>
      <c r="AS48" s="1">
        <f t="shared" si="40"/>
        <v>0.12</v>
      </c>
      <c r="AT48" s="1">
        <f t="shared" si="41"/>
        <v>1</v>
      </c>
    </row>
    <row r="49" spans="2:46" x14ac:dyDescent="0.25">
      <c r="B49" t="s">
        <v>40</v>
      </c>
      <c r="C49" t="s">
        <v>45</v>
      </c>
      <c r="D49" s="1">
        <f t="shared" si="33"/>
        <v>58.599999999999994</v>
      </c>
      <c r="E49" s="9">
        <v>27.6</v>
      </c>
      <c r="F49" s="9">
        <f t="shared" si="34"/>
        <v>36.984000000000002</v>
      </c>
      <c r="G49" s="1"/>
      <c r="H49" s="1"/>
      <c r="I49" s="1"/>
      <c r="J49" s="1"/>
      <c r="K49" s="1">
        <v>3.4</v>
      </c>
      <c r="L49" s="1">
        <f t="shared" si="35"/>
        <v>8.0239999999999991</v>
      </c>
      <c r="M49" s="1">
        <v>3.3</v>
      </c>
      <c r="N49" s="1">
        <f>M49*2.36</f>
        <v>7.7879999999999994</v>
      </c>
      <c r="O49" s="1"/>
      <c r="P49" s="1"/>
      <c r="Q49" s="1"/>
      <c r="R49" s="1"/>
      <c r="S49" s="1"/>
      <c r="T49" s="1"/>
      <c r="U49" s="1">
        <v>13</v>
      </c>
      <c r="V49" s="1">
        <f t="shared" si="44"/>
        <v>17.420000000000002</v>
      </c>
      <c r="W49" s="1">
        <v>8.9</v>
      </c>
      <c r="X49" s="1">
        <f t="shared" si="43"/>
        <v>11.926000000000002</v>
      </c>
      <c r="Y49" s="1"/>
      <c r="Z49" s="1"/>
      <c r="AA49" s="1"/>
      <c r="AB49" s="1"/>
      <c r="AC49" s="1"/>
      <c r="AD49" s="1"/>
      <c r="AE49" s="1"/>
      <c r="AF49" s="1"/>
      <c r="AG49" s="1">
        <v>2.4</v>
      </c>
      <c r="AH49" s="1">
        <f t="shared" ref="AH49:AH51" si="46">AG49*2.75</f>
        <v>6.6</v>
      </c>
      <c r="AI49" s="1"/>
      <c r="AJ49" s="1"/>
      <c r="AK49" s="9"/>
      <c r="AL49" s="9"/>
      <c r="AM49" s="9"/>
      <c r="AN49" s="9"/>
      <c r="AO49" s="1">
        <v>6.5</v>
      </c>
      <c r="AP49" s="1">
        <f>AO49*0.6</f>
        <v>3.9</v>
      </c>
      <c r="AR49" s="1">
        <f t="shared" si="39"/>
        <v>0.89</v>
      </c>
      <c r="AS49" s="1">
        <f t="shared" si="40"/>
        <v>0.11</v>
      </c>
      <c r="AT49" s="1">
        <f t="shared" si="41"/>
        <v>1</v>
      </c>
    </row>
    <row r="50" spans="2:46" x14ac:dyDescent="0.25">
      <c r="B50" t="s">
        <v>42</v>
      </c>
      <c r="C50" t="s">
        <v>70</v>
      </c>
      <c r="D50" s="1">
        <f t="shared" si="33"/>
        <v>58.96</v>
      </c>
      <c r="E50" s="9">
        <v>27.01</v>
      </c>
      <c r="F50" s="9">
        <f t="shared" si="34"/>
        <v>36.193400000000004</v>
      </c>
      <c r="G50" s="1"/>
      <c r="H50" s="1"/>
      <c r="I50" s="1"/>
      <c r="J50" s="1"/>
      <c r="K50" s="1">
        <v>5.88</v>
      </c>
      <c r="L50" s="1">
        <f t="shared" si="35"/>
        <v>13.876799999999999</v>
      </c>
      <c r="M50" s="1"/>
      <c r="N50" s="1"/>
      <c r="O50" s="1"/>
      <c r="P50" s="1"/>
      <c r="Q50" s="1"/>
      <c r="R50" s="1"/>
      <c r="S50" s="1"/>
      <c r="T50" s="1"/>
      <c r="U50" s="1">
        <v>13.33</v>
      </c>
      <c r="V50" s="1">
        <f t="shared" si="44"/>
        <v>17.862200000000001</v>
      </c>
      <c r="W50" s="1">
        <v>10.36</v>
      </c>
      <c r="X50" s="1">
        <f t="shared" si="43"/>
        <v>13.882400000000001</v>
      </c>
      <c r="Y50" s="1"/>
      <c r="Z50" s="1"/>
      <c r="AA50" s="1"/>
      <c r="AB50" s="1"/>
      <c r="AC50" s="1"/>
      <c r="AD50" s="1"/>
      <c r="AE50" s="1"/>
      <c r="AF50" s="1"/>
      <c r="AG50" s="1">
        <v>2.38</v>
      </c>
      <c r="AH50" s="1">
        <f t="shared" si="46"/>
        <v>6.5449999999999999</v>
      </c>
      <c r="AI50" s="1"/>
      <c r="AJ50" s="1"/>
      <c r="AK50" s="9"/>
      <c r="AL50" s="9"/>
      <c r="AM50" s="9"/>
      <c r="AN50" s="9"/>
      <c r="AO50" s="1"/>
      <c r="AP50" s="1"/>
      <c r="AR50" s="1">
        <f t="shared" si="39"/>
        <v>0.9</v>
      </c>
      <c r="AS50" s="1">
        <f t="shared" si="40"/>
        <v>0.1</v>
      </c>
      <c r="AT50" s="1">
        <f t="shared" si="41"/>
        <v>1</v>
      </c>
    </row>
    <row r="51" spans="2:46" x14ac:dyDescent="0.25">
      <c r="B51" t="s">
        <v>40</v>
      </c>
      <c r="C51" t="s">
        <v>45</v>
      </c>
      <c r="D51" s="1">
        <f t="shared" si="33"/>
        <v>59</v>
      </c>
      <c r="E51" s="9">
        <v>27.8</v>
      </c>
      <c r="F51" s="9">
        <f t="shared" si="34"/>
        <v>37.252000000000002</v>
      </c>
      <c r="G51" s="1"/>
      <c r="H51" s="1"/>
      <c r="I51" s="1"/>
      <c r="J51" s="1"/>
      <c r="K51" s="1">
        <v>3.4</v>
      </c>
      <c r="L51" s="1">
        <f t="shared" si="35"/>
        <v>8.0239999999999991</v>
      </c>
      <c r="M51" s="1">
        <v>3.4</v>
      </c>
      <c r="N51" s="1">
        <f>M51*2.36</f>
        <v>8.0239999999999991</v>
      </c>
      <c r="O51" s="1"/>
      <c r="P51" s="1"/>
      <c r="Q51" s="1"/>
      <c r="R51" s="1"/>
      <c r="S51" s="1"/>
      <c r="T51" s="1"/>
      <c r="U51" s="1">
        <v>13</v>
      </c>
      <c r="V51" s="1">
        <f t="shared" si="44"/>
        <v>17.420000000000002</v>
      </c>
      <c r="W51" s="1">
        <v>9</v>
      </c>
      <c r="X51" s="1">
        <f t="shared" si="43"/>
        <v>12.06</v>
      </c>
      <c r="Y51" s="1"/>
      <c r="Z51" s="1"/>
      <c r="AA51" s="1"/>
      <c r="AB51" s="1"/>
      <c r="AC51" s="1"/>
      <c r="AD51" s="1"/>
      <c r="AE51" s="1"/>
      <c r="AF51" s="1"/>
      <c r="AG51" s="1">
        <v>2.4</v>
      </c>
      <c r="AH51" s="1">
        <f t="shared" si="46"/>
        <v>6.6</v>
      </c>
      <c r="AI51" s="1"/>
      <c r="AJ51" s="1"/>
      <c r="AK51" s="9"/>
      <c r="AL51" s="9"/>
      <c r="AM51" s="9"/>
      <c r="AN51" s="9"/>
      <c r="AO51" s="1">
        <v>6</v>
      </c>
      <c r="AP51" s="1">
        <f>AO51*0.6</f>
        <v>3.5999999999999996</v>
      </c>
      <c r="AR51" s="1">
        <f t="shared" si="39"/>
        <v>0.88</v>
      </c>
      <c r="AS51" s="1">
        <f t="shared" si="40"/>
        <v>0.12</v>
      </c>
      <c r="AT51" s="1">
        <f t="shared" si="41"/>
        <v>1</v>
      </c>
    </row>
    <row r="52" spans="2:46" x14ac:dyDescent="0.25">
      <c r="B52" t="s">
        <v>42</v>
      </c>
      <c r="C52" t="s">
        <v>70</v>
      </c>
      <c r="D52" s="1">
        <f t="shared" si="33"/>
        <v>59.99</v>
      </c>
      <c r="E52" s="9">
        <v>22.78</v>
      </c>
      <c r="F52" s="9">
        <f t="shared" si="34"/>
        <v>30.525200000000002</v>
      </c>
      <c r="G52" s="1"/>
      <c r="H52" s="1"/>
      <c r="I52" s="1"/>
      <c r="J52" s="1"/>
      <c r="K52" s="1">
        <v>4.6500000000000004</v>
      </c>
      <c r="L52" s="1">
        <f t="shared" si="35"/>
        <v>10.974</v>
      </c>
      <c r="M52" s="1"/>
      <c r="N52" s="1"/>
      <c r="O52" s="1"/>
      <c r="P52" s="1"/>
      <c r="Q52" s="1"/>
      <c r="R52" s="1"/>
      <c r="S52" s="1"/>
      <c r="T52" s="1"/>
      <c r="U52" s="1">
        <v>13.79</v>
      </c>
      <c r="V52" s="1">
        <f t="shared" si="44"/>
        <v>18.4786</v>
      </c>
      <c r="W52" s="1">
        <v>9.98</v>
      </c>
      <c r="X52" s="1">
        <f t="shared" si="43"/>
        <v>13.373200000000001</v>
      </c>
      <c r="Y52" s="1"/>
      <c r="Z52" s="1"/>
      <c r="AA52" s="1"/>
      <c r="AB52" s="1"/>
      <c r="AC52" s="1"/>
      <c r="AD52" s="1"/>
      <c r="AE52" s="1"/>
      <c r="AF52" s="1"/>
      <c r="AG52" s="1">
        <v>8.7899999999999991</v>
      </c>
      <c r="AH52" s="1">
        <f t="shared" ref="AH52" si="47">AG52*2.75</f>
        <v>24.172499999999999</v>
      </c>
      <c r="AI52" s="1"/>
      <c r="AJ52" s="1"/>
      <c r="AK52" s="9"/>
      <c r="AL52" s="9"/>
      <c r="AM52" s="9"/>
      <c r="AN52" s="9"/>
      <c r="AO52" s="1"/>
      <c r="AP52" s="1"/>
      <c r="AR52" s="1">
        <f t="shared" si="39"/>
        <v>0.92</v>
      </c>
      <c r="AS52" s="1">
        <f t="shared" si="40"/>
        <v>0.08</v>
      </c>
      <c r="AT52" s="1">
        <f t="shared" si="41"/>
        <v>1</v>
      </c>
    </row>
    <row r="53" spans="2:46" x14ac:dyDescent="0.25">
      <c r="B53" t="s">
        <v>40</v>
      </c>
      <c r="C53" t="s">
        <v>45</v>
      </c>
      <c r="D53" s="1">
        <f t="shared" si="33"/>
        <v>60.1</v>
      </c>
      <c r="E53" s="9">
        <v>28.3</v>
      </c>
      <c r="F53" s="9">
        <f t="shared" si="34"/>
        <v>37.922000000000004</v>
      </c>
      <c r="G53" s="1"/>
      <c r="H53" s="1"/>
      <c r="I53" s="1"/>
      <c r="J53" s="1"/>
      <c r="K53" s="1">
        <v>3.4</v>
      </c>
      <c r="L53" s="1">
        <f t="shared" si="35"/>
        <v>8.0239999999999991</v>
      </c>
      <c r="M53" s="1">
        <v>3.4</v>
      </c>
      <c r="N53" s="1">
        <f>M53*2.36</f>
        <v>8.0239999999999991</v>
      </c>
      <c r="O53" s="1"/>
      <c r="P53" s="1"/>
      <c r="Q53" s="1"/>
      <c r="R53" s="1"/>
      <c r="S53" s="1"/>
      <c r="T53" s="1"/>
      <c r="U53" s="1">
        <v>13.1</v>
      </c>
      <c r="V53" s="1">
        <f t="shared" si="44"/>
        <v>17.554000000000002</v>
      </c>
      <c r="W53" s="1">
        <v>9.5</v>
      </c>
      <c r="X53" s="1">
        <f t="shared" si="43"/>
        <v>12.73</v>
      </c>
      <c r="Y53" s="1"/>
      <c r="Z53" s="1"/>
      <c r="AA53" s="1"/>
      <c r="AB53" s="1"/>
      <c r="AC53" s="1"/>
      <c r="AD53" s="1"/>
      <c r="AE53" s="1"/>
      <c r="AF53" s="1"/>
      <c r="AG53" s="1">
        <v>2.4</v>
      </c>
      <c r="AH53" s="1">
        <f>AG53*2.75</f>
        <v>6.6</v>
      </c>
      <c r="AI53" s="1"/>
      <c r="AJ53" s="1"/>
      <c r="AK53" s="9"/>
      <c r="AL53" s="9"/>
      <c r="AM53" s="9"/>
      <c r="AN53" s="9"/>
      <c r="AO53" s="1">
        <v>8.9</v>
      </c>
      <c r="AP53" s="1">
        <f t="shared" ref="AP53:AP54" si="48">AO53*0.6</f>
        <v>5.34</v>
      </c>
      <c r="AR53" s="1">
        <f t="shared" si="39"/>
        <v>0.89</v>
      </c>
      <c r="AS53" s="1">
        <f t="shared" si="40"/>
        <v>0.11</v>
      </c>
      <c r="AT53" s="1">
        <f t="shared" si="41"/>
        <v>1</v>
      </c>
    </row>
    <row r="54" spans="2:46" x14ac:dyDescent="0.25">
      <c r="B54" t="s">
        <v>88</v>
      </c>
      <c r="C54" t="s">
        <v>89</v>
      </c>
      <c r="D54" s="1">
        <f t="shared" si="33"/>
        <v>60.120000000000005</v>
      </c>
      <c r="E54" s="9">
        <v>24.22</v>
      </c>
      <c r="F54" s="9">
        <f t="shared" si="34"/>
        <v>32.454799999999999</v>
      </c>
      <c r="G54" s="1"/>
      <c r="H54" s="1"/>
      <c r="I54" s="1"/>
      <c r="J54" s="1"/>
      <c r="K54" s="1">
        <v>3.57</v>
      </c>
      <c r="L54" s="1">
        <f t="shared" si="35"/>
        <v>8.4251999999999985</v>
      </c>
      <c r="M54" s="1">
        <v>2.93</v>
      </c>
      <c r="N54" s="1">
        <f>M54*2.36</f>
        <v>6.9147999999999996</v>
      </c>
      <c r="O54" s="1"/>
      <c r="P54" s="1"/>
      <c r="Q54" s="1"/>
      <c r="R54" s="1"/>
      <c r="S54" s="1"/>
      <c r="T54" s="1"/>
      <c r="U54" s="1">
        <v>13.7</v>
      </c>
      <c r="V54" s="1">
        <f t="shared" si="44"/>
        <v>18.358000000000001</v>
      </c>
      <c r="W54" s="1">
        <v>10.039999999999999</v>
      </c>
      <c r="X54" s="1">
        <f t="shared" si="43"/>
        <v>13.4536</v>
      </c>
      <c r="Y54" s="1"/>
      <c r="Z54" s="1"/>
      <c r="AA54" s="1"/>
      <c r="AB54" s="1"/>
      <c r="AC54" s="1"/>
      <c r="AD54" s="1"/>
      <c r="AE54" s="1">
        <v>5.66</v>
      </c>
      <c r="AF54" s="1">
        <f t="shared" ref="AF54" si="49">AE54*2.75</f>
        <v>15.565000000000001</v>
      </c>
      <c r="AG54" s="1"/>
      <c r="AH54" s="1"/>
      <c r="AI54" s="1"/>
      <c r="AJ54" s="1"/>
      <c r="AK54" s="9"/>
      <c r="AL54" s="9"/>
      <c r="AM54" s="9"/>
      <c r="AN54" s="9"/>
      <c r="AO54" s="1">
        <f>12.58+6.67+1.98</f>
        <v>21.23</v>
      </c>
      <c r="AP54" s="1">
        <f t="shared" si="48"/>
        <v>12.738</v>
      </c>
      <c r="AR54" s="1">
        <f t="shared" si="39"/>
        <v>0.89</v>
      </c>
      <c r="AS54" s="1">
        <f t="shared" si="40"/>
        <v>0.11</v>
      </c>
      <c r="AT54" s="1">
        <f t="shared" si="41"/>
        <v>1</v>
      </c>
    </row>
    <row r="55" spans="2:46" x14ac:dyDescent="0.25">
      <c r="B55" t="s">
        <v>40</v>
      </c>
      <c r="C55" t="s">
        <v>50</v>
      </c>
      <c r="D55" s="1">
        <f t="shared" si="33"/>
        <v>60.339999999999996</v>
      </c>
      <c r="E55" s="9">
        <v>25.64</v>
      </c>
      <c r="F55" s="9">
        <f t="shared" si="34"/>
        <v>34.357600000000005</v>
      </c>
      <c r="G55" s="1"/>
      <c r="H55" s="1"/>
      <c r="I55" s="1"/>
      <c r="J55" s="1"/>
      <c r="K55" s="1">
        <v>3.75</v>
      </c>
      <c r="L55" s="1">
        <f t="shared" si="35"/>
        <v>8.85</v>
      </c>
      <c r="M55" s="1"/>
      <c r="N55" s="1"/>
      <c r="O55" s="1"/>
      <c r="P55" s="1"/>
      <c r="Q55" s="1"/>
      <c r="R55" s="1"/>
      <c r="S55" s="1"/>
      <c r="T55" s="1"/>
      <c r="U55" s="1">
        <v>12.83</v>
      </c>
      <c r="V55" s="1">
        <f t="shared" si="44"/>
        <v>17.1922</v>
      </c>
      <c r="W55" s="1">
        <v>11.04</v>
      </c>
      <c r="X55" s="1">
        <f t="shared" si="43"/>
        <v>14.7936</v>
      </c>
      <c r="Y55" s="1"/>
      <c r="Z55" s="1"/>
      <c r="AA55" s="1"/>
      <c r="AB55" s="1"/>
      <c r="AC55" s="1"/>
      <c r="AD55" s="1"/>
      <c r="AE55" s="1"/>
      <c r="AF55" s="1"/>
      <c r="AG55" s="1">
        <v>4.9800000000000004</v>
      </c>
      <c r="AH55" s="1">
        <f t="shared" ref="AH55:AH58" si="50">AG55*2.75</f>
        <v>13.695</v>
      </c>
      <c r="AI55" s="1">
        <v>2.1</v>
      </c>
      <c r="AJ55" s="1">
        <f>AI55*2.36</f>
        <v>4.9559999999999995</v>
      </c>
      <c r="AK55" s="9"/>
      <c r="AL55" s="9"/>
      <c r="AM55" s="9"/>
      <c r="AN55" s="9"/>
      <c r="AO55" s="1"/>
      <c r="AP55" s="1"/>
      <c r="AR55" s="1">
        <f t="shared" si="39"/>
        <v>0.94</v>
      </c>
      <c r="AS55" s="1">
        <f t="shared" si="40"/>
        <v>0.06</v>
      </c>
      <c r="AT55" s="1">
        <f t="shared" si="41"/>
        <v>1</v>
      </c>
    </row>
    <row r="56" spans="2:46" x14ac:dyDescent="0.25">
      <c r="B56" t="s">
        <v>41</v>
      </c>
      <c r="C56" t="s">
        <v>47</v>
      </c>
      <c r="D56" s="1">
        <f t="shared" si="33"/>
        <v>60.699999999999996</v>
      </c>
      <c r="E56" s="9">
        <v>27.3</v>
      </c>
      <c r="F56" s="9">
        <f t="shared" si="34"/>
        <v>36.582000000000001</v>
      </c>
      <c r="G56" s="1"/>
      <c r="H56" s="1"/>
      <c r="I56" s="1"/>
      <c r="J56" s="1"/>
      <c r="K56" s="1">
        <v>4</v>
      </c>
      <c r="L56" s="1">
        <f t="shared" si="35"/>
        <v>9.44</v>
      </c>
      <c r="M56" s="1">
        <v>3.8</v>
      </c>
      <c r="N56" s="1">
        <f>M56*2.36</f>
        <v>8.968</v>
      </c>
      <c r="O56" s="1"/>
      <c r="P56" s="1"/>
      <c r="Q56" s="1"/>
      <c r="R56" s="1"/>
      <c r="S56" s="1"/>
      <c r="T56" s="1"/>
      <c r="U56" s="1">
        <v>13.4</v>
      </c>
      <c r="V56" s="1">
        <f t="shared" si="44"/>
        <v>17.956000000000003</v>
      </c>
      <c r="W56" s="1">
        <v>9.9</v>
      </c>
      <c r="X56" s="1">
        <f t="shared" si="43"/>
        <v>13.266000000000002</v>
      </c>
      <c r="Y56" s="1"/>
      <c r="Z56" s="1"/>
      <c r="AA56" s="1"/>
      <c r="AB56" s="1"/>
      <c r="AC56" s="1"/>
      <c r="AD56" s="1"/>
      <c r="AE56" s="1"/>
      <c r="AF56" s="1"/>
      <c r="AG56" s="1">
        <v>2.2999999999999998</v>
      </c>
      <c r="AH56" s="1">
        <f t="shared" si="50"/>
        <v>6.3249999999999993</v>
      </c>
      <c r="AI56" s="1"/>
      <c r="AJ56" s="1"/>
      <c r="AK56" s="9"/>
      <c r="AL56" s="9"/>
      <c r="AM56" s="9"/>
      <c r="AN56" s="9"/>
      <c r="AO56" s="1">
        <f>6.8+1.3</f>
        <v>8.1</v>
      </c>
      <c r="AP56" s="1">
        <f t="shared" ref="AP56" si="51">AO56*0.6</f>
        <v>4.8599999999999994</v>
      </c>
      <c r="AR56" s="1">
        <f t="shared" si="39"/>
        <v>0.87</v>
      </c>
      <c r="AS56" s="1">
        <f t="shared" si="40"/>
        <v>0.13</v>
      </c>
      <c r="AT56" s="1">
        <f t="shared" si="41"/>
        <v>1</v>
      </c>
    </row>
    <row r="57" spans="2:46" x14ac:dyDescent="0.25">
      <c r="B57" t="s">
        <v>40</v>
      </c>
      <c r="C57" t="s">
        <v>45</v>
      </c>
      <c r="D57" s="1">
        <f t="shared" si="33"/>
        <v>61.300000000000004</v>
      </c>
      <c r="E57" s="9">
        <v>27.6</v>
      </c>
      <c r="F57" s="9">
        <f t="shared" si="34"/>
        <v>36.984000000000002</v>
      </c>
      <c r="G57" s="1"/>
      <c r="H57" s="1"/>
      <c r="I57" s="1"/>
      <c r="J57" s="1"/>
      <c r="K57" s="1">
        <v>3.7</v>
      </c>
      <c r="L57" s="1">
        <f t="shared" si="35"/>
        <v>8.7319999999999993</v>
      </c>
      <c r="M57" s="1">
        <v>3.1</v>
      </c>
      <c r="N57" s="1">
        <f t="shared" ref="N57:N59" si="52">M57*2.36</f>
        <v>7.3159999999999998</v>
      </c>
      <c r="O57" s="1"/>
      <c r="P57" s="1"/>
      <c r="Q57" s="1"/>
      <c r="R57" s="1"/>
      <c r="S57" s="1"/>
      <c r="T57" s="1"/>
      <c r="U57" s="1">
        <v>13.8</v>
      </c>
      <c r="V57" s="1">
        <f t="shared" si="44"/>
        <v>18.492000000000001</v>
      </c>
      <c r="W57" s="1">
        <v>10.7</v>
      </c>
      <c r="X57" s="1">
        <f t="shared" si="43"/>
        <v>14.337999999999999</v>
      </c>
      <c r="Y57" s="1"/>
      <c r="Z57" s="1"/>
      <c r="AA57" s="1"/>
      <c r="AB57" s="1"/>
      <c r="AC57" s="1"/>
      <c r="AD57" s="1"/>
      <c r="AE57" s="1"/>
      <c r="AF57" s="1"/>
      <c r="AG57" s="1">
        <v>2.4</v>
      </c>
      <c r="AH57" s="1">
        <f t="shared" si="50"/>
        <v>6.6</v>
      </c>
      <c r="AI57" s="1"/>
      <c r="AJ57" s="1"/>
      <c r="AK57" s="9"/>
      <c r="AL57" s="9"/>
      <c r="AM57" s="9"/>
      <c r="AN57" s="9"/>
      <c r="AO57" s="1">
        <v>13.3</v>
      </c>
      <c r="AP57" s="1">
        <f t="shared" ref="AP57:AP58" si="53">AO57*0.6</f>
        <v>7.98</v>
      </c>
      <c r="AR57" s="1">
        <f t="shared" si="39"/>
        <v>0.89</v>
      </c>
      <c r="AS57" s="1">
        <f t="shared" si="40"/>
        <v>0.11</v>
      </c>
      <c r="AT57" s="1">
        <f t="shared" si="41"/>
        <v>1</v>
      </c>
    </row>
    <row r="58" spans="2:46" x14ac:dyDescent="0.25">
      <c r="B58" t="s">
        <v>81</v>
      </c>
      <c r="C58" t="s">
        <v>82</v>
      </c>
      <c r="D58" s="1">
        <f t="shared" si="33"/>
        <v>61.35</v>
      </c>
      <c r="E58" s="9">
        <v>25.87</v>
      </c>
      <c r="F58" s="9">
        <f t="shared" si="34"/>
        <v>34.665800000000004</v>
      </c>
      <c r="G58" s="1"/>
      <c r="H58" s="1"/>
      <c r="I58" s="1"/>
      <c r="J58" s="1"/>
      <c r="K58" s="1">
        <v>2.65</v>
      </c>
      <c r="L58" s="1">
        <f t="shared" si="35"/>
        <v>6.2539999999999996</v>
      </c>
      <c r="M58" s="1">
        <v>2.34</v>
      </c>
      <c r="N58" s="1">
        <f t="shared" si="52"/>
        <v>5.5223999999999993</v>
      </c>
      <c r="O58" s="1"/>
      <c r="P58" s="1"/>
      <c r="Q58" s="1"/>
      <c r="R58" s="1"/>
      <c r="S58" s="1"/>
      <c r="T58" s="1"/>
      <c r="U58" s="1">
        <v>12.1</v>
      </c>
      <c r="V58" s="1">
        <f t="shared" si="44"/>
        <v>16.214000000000002</v>
      </c>
      <c r="W58" s="1">
        <v>8.66</v>
      </c>
      <c r="X58" s="1">
        <f t="shared" si="43"/>
        <v>11.6044</v>
      </c>
      <c r="Y58" s="1">
        <v>7.8</v>
      </c>
      <c r="Z58" s="1">
        <f t="shared" si="43"/>
        <v>10.452</v>
      </c>
      <c r="AA58" s="1"/>
      <c r="AB58" s="1"/>
      <c r="AC58" s="1"/>
      <c r="AD58" s="1"/>
      <c r="AE58" s="1"/>
      <c r="AF58" s="1"/>
      <c r="AG58" s="1">
        <v>1.93</v>
      </c>
      <c r="AH58" s="1">
        <f t="shared" si="50"/>
        <v>5.3075000000000001</v>
      </c>
      <c r="AI58" s="1"/>
      <c r="AJ58" s="1"/>
      <c r="AK58" s="9"/>
      <c r="AL58" s="9"/>
      <c r="AM58" s="9"/>
      <c r="AN58" s="9"/>
      <c r="AO58" s="1">
        <f>56.24+71.71+4.68</f>
        <v>132.63</v>
      </c>
      <c r="AP58" s="1">
        <f t="shared" si="53"/>
        <v>79.577999999999989</v>
      </c>
      <c r="AR58" s="1">
        <f t="shared" si="39"/>
        <v>0.92</v>
      </c>
      <c r="AS58" s="1">
        <f t="shared" si="40"/>
        <v>0.08</v>
      </c>
      <c r="AT58" s="1">
        <f t="shared" si="41"/>
        <v>1</v>
      </c>
    </row>
    <row r="59" spans="2:46" x14ac:dyDescent="0.25">
      <c r="B59" t="s">
        <v>88</v>
      </c>
      <c r="C59" t="s">
        <v>89</v>
      </c>
      <c r="D59" s="1">
        <f t="shared" si="33"/>
        <v>61.56</v>
      </c>
      <c r="E59" s="9">
        <v>25.82</v>
      </c>
      <c r="F59" s="9">
        <f t="shared" si="34"/>
        <v>34.598800000000004</v>
      </c>
      <c r="G59" s="1"/>
      <c r="H59" s="1"/>
      <c r="I59" s="1"/>
      <c r="J59" s="1"/>
      <c r="K59" s="1">
        <v>3.55</v>
      </c>
      <c r="L59" s="1">
        <f t="shared" si="35"/>
        <v>8.3779999999999983</v>
      </c>
      <c r="M59" s="1">
        <v>3.06</v>
      </c>
      <c r="N59" s="1">
        <f t="shared" si="52"/>
        <v>7.2215999999999996</v>
      </c>
      <c r="O59" s="1"/>
      <c r="P59" s="1"/>
      <c r="Q59" s="1"/>
      <c r="R59" s="1"/>
      <c r="S59" s="1"/>
      <c r="T59" s="1"/>
      <c r="U59" s="1">
        <v>15.78</v>
      </c>
      <c r="V59" s="1">
        <f t="shared" si="44"/>
        <v>21.145199999999999</v>
      </c>
      <c r="W59" s="1">
        <v>9.64</v>
      </c>
      <c r="X59" s="1">
        <f t="shared" si="43"/>
        <v>12.917600000000002</v>
      </c>
      <c r="Y59" s="1"/>
      <c r="Z59" s="1"/>
      <c r="AA59" s="1"/>
      <c r="AB59" s="1"/>
      <c r="AC59" s="1"/>
      <c r="AD59" s="1"/>
      <c r="AE59" s="1">
        <v>3.71</v>
      </c>
      <c r="AF59" s="1">
        <f t="shared" ref="AF59" si="54">AE59*2.75</f>
        <v>10.202500000000001</v>
      </c>
      <c r="AG59" s="1"/>
      <c r="AH59" s="1"/>
      <c r="AI59" s="1"/>
      <c r="AJ59" s="1"/>
      <c r="AK59" s="9"/>
      <c r="AL59" s="9"/>
      <c r="AM59" s="9"/>
      <c r="AN59" s="9"/>
      <c r="AO59" s="1">
        <f>8.69+1.96</f>
        <v>10.649999999999999</v>
      </c>
      <c r="AP59" s="1">
        <f t="shared" ref="AP59" si="55">AO59*0.6</f>
        <v>6.3899999999999988</v>
      </c>
      <c r="AR59" s="1">
        <f t="shared" si="39"/>
        <v>0.89</v>
      </c>
      <c r="AS59" s="1">
        <f t="shared" si="40"/>
        <v>0.11</v>
      </c>
      <c r="AT59" s="1">
        <f t="shared" si="41"/>
        <v>1</v>
      </c>
    </row>
    <row r="60" spans="2:46" x14ac:dyDescent="0.25">
      <c r="B60" t="s">
        <v>40</v>
      </c>
      <c r="C60" t="s">
        <v>50</v>
      </c>
      <c r="D60" s="1">
        <f t="shared" si="33"/>
        <v>62.399999999999991</v>
      </c>
      <c r="E60" s="9">
        <v>25.57</v>
      </c>
      <c r="F60" s="9">
        <f t="shared" si="34"/>
        <v>34.263800000000003</v>
      </c>
      <c r="G60" s="1"/>
      <c r="H60" s="1"/>
      <c r="I60" s="1"/>
      <c r="J60" s="1"/>
      <c r="K60" s="1">
        <v>3.62</v>
      </c>
      <c r="L60" s="1">
        <f t="shared" si="35"/>
        <v>8.5432000000000006</v>
      </c>
      <c r="M60" s="1">
        <v>2.96</v>
      </c>
      <c r="N60" s="1">
        <f>M60*2.36</f>
        <v>6.9855999999999998</v>
      </c>
      <c r="O60" s="1"/>
      <c r="P60" s="1"/>
      <c r="Q60" s="1"/>
      <c r="R60" s="1"/>
      <c r="S60" s="1"/>
      <c r="T60" s="1"/>
      <c r="U60" s="1">
        <v>13.72</v>
      </c>
      <c r="V60" s="1">
        <f t="shared" si="44"/>
        <v>18.384800000000002</v>
      </c>
      <c r="W60" s="1">
        <v>9.0299999999999994</v>
      </c>
      <c r="X60" s="1">
        <f t="shared" si="43"/>
        <v>12.100199999999999</v>
      </c>
      <c r="Y60" s="1"/>
      <c r="Z60" s="1"/>
      <c r="AA60" s="1"/>
      <c r="AB60" s="1"/>
      <c r="AC60" s="1"/>
      <c r="AD60" s="1"/>
      <c r="AE60" s="1"/>
      <c r="AF60" s="1"/>
      <c r="AG60" s="1">
        <v>4.09</v>
      </c>
      <c r="AH60" s="1">
        <f t="shared" ref="AH60" si="56">AG60*2.75</f>
        <v>11.247499999999999</v>
      </c>
      <c r="AI60" s="1">
        <v>3.41</v>
      </c>
      <c r="AJ60" s="1">
        <f>AI60*2.36</f>
        <v>8.0475999999999992</v>
      </c>
      <c r="AK60" s="9"/>
      <c r="AL60" s="9"/>
      <c r="AM60" s="9"/>
      <c r="AN60" s="9"/>
      <c r="AO60" s="1"/>
      <c r="AP60" s="1"/>
      <c r="AR60" s="1">
        <f t="shared" si="39"/>
        <v>0.89</v>
      </c>
      <c r="AS60" s="1">
        <f t="shared" si="40"/>
        <v>0.11</v>
      </c>
      <c r="AT60" s="1">
        <f t="shared" si="41"/>
        <v>1</v>
      </c>
    </row>
    <row r="61" spans="2:46" x14ac:dyDescent="0.25">
      <c r="B61" t="s">
        <v>40</v>
      </c>
      <c r="C61" t="s">
        <v>50</v>
      </c>
      <c r="D61" s="1">
        <f t="shared" si="33"/>
        <v>64.05</v>
      </c>
      <c r="E61" s="9">
        <v>28.63</v>
      </c>
      <c r="F61" s="9">
        <f t="shared" si="34"/>
        <v>38.364200000000004</v>
      </c>
      <c r="G61" s="1"/>
      <c r="H61" s="1"/>
      <c r="J61" s="1"/>
      <c r="K61" s="1">
        <v>5.0999999999999996</v>
      </c>
      <c r="L61" s="1">
        <f t="shared" si="35"/>
        <v>12.035999999999998</v>
      </c>
      <c r="M61" s="1">
        <v>3.49</v>
      </c>
      <c r="N61" s="1">
        <f>M61*2.36</f>
        <v>8.2363999999999997</v>
      </c>
      <c r="O61" s="1">
        <v>2.97</v>
      </c>
      <c r="P61" s="1">
        <f>O61*2.36</f>
        <v>7.0091999999999999</v>
      </c>
      <c r="Q61" s="1"/>
      <c r="R61" s="1"/>
      <c r="S61" s="1"/>
      <c r="T61" s="1"/>
      <c r="U61" s="1">
        <v>13.28</v>
      </c>
      <c r="V61" s="1">
        <f t="shared" si="44"/>
        <v>17.795200000000001</v>
      </c>
      <c r="W61" s="1">
        <v>8.24</v>
      </c>
      <c r="X61" s="1">
        <f t="shared" si="43"/>
        <v>11.041600000000001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2.34</v>
      </c>
      <c r="AJ61" s="1">
        <f>AI61*2.36</f>
        <v>5.5223999999999993</v>
      </c>
      <c r="AK61" s="9"/>
      <c r="AL61" s="9"/>
      <c r="AM61" s="9"/>
      <c r="AN61" s="9"/>
      <c r="AO61" s="1"/>
      <c r="AP61" s="1"/>
      <c r="AR61" s="1">
        <f t="shared" si="39"/>
        <v>0.82</v>
      </c>
      <c r="AS61" s="1">
        <f t="shared" si="40"/>
        <v>0.18</v>
      </c>
      <c r="AT61" s="1">
        <f t="shared" si="41"/>
        <v>1</v>
      </c>
    </row>
    <row r="62" spans="2:46" x14ac:dyDescent="0.25">
      <c r="B62" t="s">
        <v>119</v>
      </c>
      <c r="C62" t="s">
        <v>120</v>
      </c>
      <c r="D62" s="1">
        <f t="shared" si="33"/>
        <v>64.97</v>
      </c>
      <c r="E62" s="9">
        <v>30.4</v>
      </c>
      <c r="F62" s="9">
        <f t="shared" si="34"/>
        <v>40.735999999999997</v>
      </c>
      <c r="G62" s="1"/>
      <c r="H62" s="1"/>
      <c r="I62" s="1"/>
      <c r="J62" s="1"/>
      <c r="K62" s="1">
        <v>3.91</v>
      </c>
      <c r="L62" s="1">
        <f t="shared" si="35"/>
        <v>9.2276000000000007</v>
      </c>
      <c r="M62" s="1">
        <v>3.89</v>
      </c>
      <c r="N62" s="1">
        <f>M62*2.36</f>
        <v>9.1804000000000006</v>
      </c>
      <c r="O62" s="1"/>
      <c r="P62" s="1"/>
      <c r="Q62" s="1"/>
      <c r="R62" s="1"/>
      <c r="S62" s="1"/>
      <c r="T62" s="1"/>
      <c r="U62" s="1">
        <v>11.94</v>
      </c>
      <c r="V62" s="1">
        <f t="shared" si="44"/>
        <v>15.999600000000001</v>
      </c>
      <c r="W62" s="1">
        <v>9.68</v>
      </c>
      <c r="X62" s="1">
        <f t="shared" si="43"/>
        <v>12.9712</v>
      </c>
      <c r="Y62" s="1"/>
      <c r="Z62" s="1"/>
      <c r="AA62" s="1"/>
      <c r="AB62" s="1"/>
      <c r="AC62" s="1"/>
      <c r="AD62" s="1"/>
      <c r="AE62" s="1">
        <v>2.85</v>
      </c>
      <c r="AF62" s="1">
        <f t="shared" ref="AF62:AF63" si="57">AE62*2.75</f>
        <v>7.8375000000000004</v>
      </c>
      <c r="AG62" s="1">
        <v>2.2999999999999998</v>
      </c>
      <c r="AH62" s="1">
        <f t="shared" ref="AH62:AH70" si="58">AG62*2.75</f>
        <v>6.3249999999999993</v>
      </c>
      <c r="AI62" s="1"/>
      <c r="AJ62" s="1"/>
      <c r="AK62" s="9"/>
      <c r="AL62" s="9"/>
      <c r="AM62" s="9"/>
      <c r="AN62" s="9"/>
      <c r="AO62" s="1">
        <v>19.66</v>
      </c>
      <c r="AP62" s="1">
        <f t="shared" ref="AP62:AP63" si="59">AO62*0.6</f>
        <v>11.795999999999999</v>
      </c>
      <c r="AR62" s="1">
        <f t="shared" si="39"/>
        <v>0.88</v>
      </c>
      <c r="AS62" s="1">
        <f t="shared" si="40"/>
        <v>0.12</v>
      </c>
      <c r="AT62" s="1">
        <f t="shared" si="41"/>
        <v>1</v>
      </c>
    </row>
    <row r="63" spans="2:46" x14ac:dyDescent="0.25">
      <c r="B63" t="s">
        <v>119</v>
      </c>
      <c r="C63" t="s">
        <v>120</v>
      </c>
      <c r="D63" s="1">
        <f t="shared" si="33"/>
        <v>65.260000000000005</v>
      </c>
      <c r="E63" s="9">
        <v>30.02</v>
      </c>
      <c r="F63" s="9">
        <f t="shared" si="34"/>
        <v>40.226800000000004</v>
      </c>
      <c r="G63" s="1"/>
      <c r="H63" s="1"/>
      <c r="I63" s="1"/>
      <c r="J63" s="1"/>
      <c r="K63" s="1">
        <v>4.58</v>
      </c>
      <c r="L63" s="1">
        <f t="shared" si="35"/>
        <v>10.8088</v>
      </c>
      <c r="M63" s="1">
        <v>3.7</v>
      </c>
      <c r="N63" s="1">
        <f>M63*2.36</f>
        <v>8.7319999999999993</v>
      </c>
      <c r="O63" s="1"/>
      <c r="P63" s="1"/>
      <c r="Q63" s="1"/>
      <c r="R63" s="1"/>
      <c r="S63" s="1"/>
      <c r="T63" s="1"/>
      <c r="U63" s="1">
        <v>11.9</v>
      </c>
      <c r="V63" s="1">
        <f t="shared" si="44"/>
        <v>15.946000000000002</v>
      </c>
      <c r="W63" s="1">
        <v>9.68</v>
      </c>
      <c r="X63" s="1">
        <f t="shared" si="43"/>
        <v>12.9712</v>
      </c>
      <c r="Y63" s="1"/>
      <c r="Z63" s="1"/>
      <c r="AA63" s="1"/>
      <c r="AB63" s="1"/>
      <c r="AC63" s="1"/>
      <c r="AD63" s="1"/>
      <c r="AE63" s="1">
        <v>3</v>
      </c>
      <c r="AF63" s="1">
        <f t="shared" si="57"/>
        <v>8.25</v>
      </c>
      <c r="AG63" s="1">
        <v>2.38</v>
      </c>
      <c r="AH63" s="1">
        <f t="shared" si="58"/>
        <v>6.5449999999999999</v>
      </c>
      <c r="AI63" s="1"/>
      <c r="AJ63" s="1"/>
      <c r="AK63" s="9"/>
      <c r="AL63" s="9"/>
      <c r="AM63" s="9"/>
      <c r="AN63" s="9"/>
      <c r="AO63" s="1">
        <v>20.46</v>
      </c>
      <c r="AP63" s="1">
        <f t="shared" si="59"/>
        <v>12.276</v>
      </c>
      <c r="AR63" s="1">
        <f t="shared" si="39"/>
        <v>0.87</v>
      </c>
      <c r="AS63" s="1">
        <f t="shared" si="40"/>
        <v>0.13</v>
      </c>
      <c r="AT63" s="1">
        <f t="shared" si="41"/>
        <v>1</v>
      </c>
    </row>
    <row r="64" spans="2:46" x14ac:dyDescent="0.25">
      <c r="B64" t="s">
        <v>62</v>
      </c>
      <c r="C64" t="s">
        <v>116</v>
      </c>
      <c r="D64" s="1">
        <f t="shared" si="33"/>
        <v>65.350000000000009</v>
      </c>
      <c r="E64" s="9">
        <v>27.1</v>
      </c>
      <c r="F64" s="9">
        <f t="shared" si="34"/>
        <v>36.314000000000007</v>
      </c>
      <c r="G64" s="1"/>
      <c r="H64" s="1"/>
      <c r="I64" s="1"/>
      <c r="J64" s="1"/>
      <c r="K64" s="1">
        <v>4.25</v>
      </c>
      <c r="L64" s="1">
        <f t="shared" si="35"/>
        <v>10.029999999999999</v>
      </c>
      <c r="M64" s="1">
        <v>4.2</v>
      </c>
      <c r="N64" s="1">
        <f>M64*2.36</f>
        <v>9.911999999999999</v>
      </c>
      <c r="O64" s="1"/>
      <c r="P64" s="1"/>
      <c r="Q64" s="1"/>
      <c r="R64" s="1"/>
      <c r="S64" s="1"/>
      <c r="T64" s="1"/>
      <c r="U64" s="1">
        <v>16.8</v>
      </c>
      <c r="V64" s="1">
        <f t="shared" si="44"/>
        <v>22.512000000000004</v>
      </c>
      <c r="W64" s="1">
        <v>11.15</v>
      </c>
      <c r="X64" s="1">
        <f t="shared" si="43"/>
        <v>14.941000000000001</v>
      </c>
      <c r="Y64" s="1"/>
      <c r="Z64" s="1"/>
      <c r="AA64" s="1"/>
      <c r="AB64" s="1"/>
      <c r="AC64" s="1"/>
      <c r="AD64" s="1"/>
      <c r="AE64" s="1"/>
      <c r="AF64" s="1"/>
      <c r="AG64" s="1">
        <v>1.85</v>
      </c>
      <c r="AH64" s="1">
        <f t="shared" si="58"/>
        <v>5.0875000000000004</v>
      </c>
      <c r="AI64" s="1"/>
      <c r="AJ64" s="1"/>
      <c r="AK64" s="9"/>
      <c r="AL64" s="9"/>
      <c r="AM64" s="9"/>
      <c r="AN64" s="9"/>
      <c r="AO64" s="1">
        <v>36.75</v>
      </c>
      <c r="AP64" s="1">
        <f t="shared" ref="AP64:AP67" si="60">AO64*0.6</f>
        <v>22.05</v>
      </c>
      <c r="AR64" s="1">
        <f t="shared" si="39"/>
        <v>0.87</v>
      </c>
      <c r="AS64" s="1">
        <f t="shared" si="40"/>
        <v>0.13</v>
      </c>
      <c r="AT64" s="1">
        <f t="shared" si="41"/>
        <v>1</v>
      </c>
    </row>
    <row r="65" spans="1:46" x14ac:dyDescent="0.25">
      <c r="C65" t="s">
        <v>53</v>
      </c>
      <c r="D65" s="1">
        <f t="shared" si="33"/>
        <v>65.430000000000007</v>
      </c>
      <c r="E65" s="9">
        <v>28.7</v>
      </c>
      <c r="F65" s="9">
        <f t="shared" si="34"/>
        <v>38.457999999999998</v>
      </c>
      <c r="G65" s="1"/>
      <c r="H65" s="1"/>
      <c r="I65" s="1"/>
      <c r="J65" s="1"/>
      <c r="K65" s="1">
        <v>3.66</v>
      </c>
      <c r="L65" s="1">
        <f t="shared" si="35"/>
        <v>8.6375999999999991</v>
      </c>
      <c r="M65" s="1">
        <v>3.5</v>
      </c>
      <c r="N65" s="1">
        <f t="shared" ref="N65:N68" si="61">M65*2.36</f>
        <v>8.26</v>
      </c>
      <c r="O65" s="1"/>
      <c r="P65" s="1"/>
      <c r="Q65" s="1"/>
      <c r="R65" s="1"/>
      <c r="S65" s="1"/>
      <c r="T65" s="1"/>
      <c r="U65" s="1">
        <v>12.75</v>
      </c>
      <c r="V65" s="1">
        <f t="shared" si="44"/>
        <v>17.085000000000001</v>
      </c>
      <c r="W65" s="1">
        <v>10.09</v>
      </c>
      <c r="X65" s="1">
        <f t="shared" si="43"/>
        <v>13.5206</v>
      </c>
      <c r="Y65" s="1"/>
      <c r="Z65" s="1"/>
      <c r="AA65" s="1"/>
      <c r="AB65" s="1"/>
      <c r="AC65" s="1"/>
      <c r="AD65" s="1"/>
      <c r="AE65" s="1">
        <v>3.64</v>
      </c>
      <c r="AF65" s="1">
        <f t="shared" ref="AF65" si="62">AE65*2.75</f>
        <v>10.01</v>
      </c>
      <c r="AG65" s="1">
        <v>3.09</v>
      </c>
      <c r="AH65" s="1">
        <f t="shared" si="58"/>
        <v>8.4974999999999987</v>
      </c>
      <c r="AI65" s="1"/>
      <c r="AJ65" s="1"/>
      <c r="AK65" s="9"/>
      <c r="AL65" s="9"/>
      <c r="AM65" s="9"/>
      <c r="AN65" s="9"/>
      <c r="AO65" s="1">
        <v>9.52</v>
      </c>
      <c r="AP65" s="1">
        <f t="shared" si="60"/>
        <v>5.7119999999999997</v>
      </c>
      <c r="AR65" s="1">
        <f t="shared" si="39"/>
        <v>0.89</v>
      </c>
      <c r="AS65" s="1">
        <f t="shared" si="40"/>
        <v>0.11</v>
      </c>
      <c r="AT65" s="1">
        <f t="shared" si="41"/>
        <v>1</v>
      </c>
    </row>
    <row r="66" spans="1:46" x14ac:dyDescent="0.25">
      <c r="B66" t="s">
        <v>81</v>
      </c>
      <c r="C66" t="s">
        <v>82</v>
      </c>
      <c r="D66" s="1">
        <f t="shared" si="33"/>
        <v>65.92</v>
      </c>
      <c r="E66" s="9">
        <v>31.67</v>
      </c>
      <c r="F66" s="9">
        <f t="shared" si="34"/>
        <v>42.437800000000003</v>
      </c>
      <c r="G66" s="1"/>
      <c r="H66" s="1"/>
      <c r="I66" s="1"/>
      <c r="J66" s="1"/>
      <c r="K66" s="1">
        <v>3.25</v>
      </c>
      <c r="L66" s="1">
        <f t="shared" si="35"/>
        <v>7.67</v>
      </c>
      <c r="M66" s="1">
        <v>2.96</v>
      </c>
      <c r="N66" s="1">
        <f t="shared" si="61"/>
        <v>6.9855999999999998</v>
      </c>
      <c r="O66" s="1"/>
      <c r="P66" s="1"/>
      <c r="Q66" s="1"/>
      <c r="R66" s="1"/>
      <c r="S66" s="1"/>
      <c r="T66" s="1"/>
      <c r="U66" s="1">
        <v>13.11</v>
      </c>
      <c r="V66" s="1">
        <f t="shared" si="44"/>
        <v>17.567399999999999</v>
      </c>
      <c r="W66" s="1">
        <v>10.53</v>
      </c>
      <c r="X66" s="1">
        <f t="shared" si="43"/>
        <v>14.110200000000001</v>
      </c>
      <c r="Y66" s="1"/>
      <c r="Z66" s="1"/>
      <c r="AA66" s="1"/>
      <c r="AB66" s="1"/>
      <c r="AC66" s="1"/>
      <c r="AD66" s="1"/>
      <c r="AE66" s="1"/>
      <c r="AF66" s="1"/>
      <c r="AG66" s="1">
        <v>4.4000000000000004</v>
      </c>
      <c r="AH66" s="1">
        <f t="shared" si="58"/>
        <v>12.100000000000001</v>
      </c>
      <c r="AI66" s="1"/>
      <c r="AJ66" s="1"/>
      <c r="AK66" s="9"/>
      <c r="AL66" s="9"/>
      <c r="AM66" s="9"/>
      <c r="AN66" s="9"/>
      <c r="AO66" s="1">
        <v>9.1</v>
      </c>
      <c r="AP66" s="1">
        <f t="shared" si="60"/>
        <v>5.46</v>
      </c>
      <c r="AR66" s="1">
        <f t="shared" si="39"/>
        <v>0.91</v>
      </c>
      <c r="AS66" s="1">
        <f t="shared" si="40"/>
        <v>0.09</v>
      </c>
      <c r="AT66" s="1">
        <f t="shared" si="41"/>
        <v>1</v>
      </c>
    </row>
    <row r="67" spans="1:46" x14ac:dyDescent="0.25">
      <c r="B67" t="s">
        <v>90</v>
      </c>
      <c r="C67" t="s">
        <v>91</v>
      </c>
      <c r="D67" s="1">
        <f t="shared" si="33"/>
        <v>65.94</v>
      </c>
      <c r="E67" s="9">
        <v>26.99</v>
      </c>
      <c r="F67" s="9">
        <f t="shared" si="34"/>
        <v>36.166600000000003</v>
      </c>
      <c r="G67" s="1"/>
      <c r="H67" s="1"/>
      <c r="I67" s="1"/>
      <c r="J67" s="1"/>
      <c r="K67" s="1">
        <v>3.57</v>
      </c>
      <c r="L67" s="1">
        <f t="shared" si="35"/>
        <v>8.4251999999999985</v>
      </c>
      <c r="M67" s="1">
        <v>3.15</v>
      </c>
      <c r="N67" s="1">
        <f t="shared" si="61"/>
        <v>7.4339999999999993</v>
      </c>
      <c r="O67" s="1"/>
      <c r="P67" s="1"/>
      <c r="Q67" s="1"/>
      <c r="R67" s="1"/>
      <c r="S67" s="1"/>
      <c r="T67" s="1"/>
      <c r="U67" s="1">
        <v>12.71</v>
      </c>
      <c r="V67" s="1">
        <f t="shared" si="44"/>
        <v>17.031400000000001</v>
      </c>
      <c r="W67" s="1">
        <v>9.67</v>
      </c>
      <c r="X67" s="1">
        <f t="shared" si="43"/>
        <v>12.957800000000001</v>
      </c>
      <c r="Y67" s="1"/>
      <c r="Z67" s="1"/>
      <c r="AA67" s="1"/>
      <c r="AB67" s="1"/>
      <c r="AC67" s="1"/>
      <c r="AD67" s="1"/>
      <c r="AE67" s="1">
        <v>3.5</v>
      </c>
      <c r="AF67" s="1">
        <f t="shared" ref="AF67:AF73" si="63">AE67*2.75</f>
        <v>9.625</v>
      </c>
      <c r="AG67" s="1">
        <v>5.33</v>
      </c>
      <c r="AH67" s="1">
        <f t="shared" si="58"/>
        <v>14.657500000000001</v>
      </c>
      <c r="AI67" s="1">
        <v>1.02</v>
      </c>
      <c r="AJ67" s="1">
        <f>AI67*2.36</f>
        <v>2.4072</v>
      </c>
      <c r="AK67" s="9"/>
      <c r="AL67" s="9"/>
      <c r="AM67" s="9"/>
      <c r="AN67" s="9"/>
      <c r="AO67" s="1">
        <v>5.26</v>
      </c>
      <c r="AP67" s="1">
        <f t="shared" si="60"/>
        <v>3.1559999999999997</v>
      </c>
      <c r="AR67" s="1">
        <f t="shared" si="39"/>
        <v>0.9</v>
      </c>
      <c r="AS67" s="1">
        <f t="shared" si="40"/>
        <v>0.1</v>
      </c>
      <c r="AT67" s="1">
        <f t="shared" si="41"/>
        <v>1</v>
      </c>
    </row>
    <row r="68" spans="1:46" x14ac:dyDescent="0.25">
      <c r="B68" t="s">
        <v>62</v>
      </c>
      <c r="C68" t="s">
        <v>116</v>
      </c>
      <c r="D68" s="1">
        <f t="shared" si="33"/>
        <v>65.95</v>
      </c>
      <c r="E68" s="9">
        <v>28.05</v>
      </c>
      <c r="F68" s="9">
        <f t="shared" si="34"/>
        <v>37.587000000000003</v>
      </c>
      <c r="G68" s="1"/>
      <c r="H68" s="1"/>
      <c r="I68" s="1"/>
      <c r="J68" s="1"/>
      <c r="K68" s="1">
        <v>3.85</v>
      </c>
      <c r="L68" s="1">
        <f t="shared" si="35"/>
        <v>9.0860000000000003</v>
      </c>
      <c r="M68" s="1">
        <v>3.4</v>
      </c>
      <c r="N68" s="1">
        <f t="shared" si="61"/>
        <v>8.0239999999999991</v>
      </c>
      <c r="O68" s="1"/>
      <c r="P68" s="1"/>
      <c r="Q68" s="1"/>
      <c r="R68" s="1"/>
      <c r="S68" s="1"/>
      <c r="T68" s="1"/>
      <c r="U68" s="1">
        <v>12.4</v>
      </c>
      <c r="V68" s="1">
        <f t="shared" si="44"/>
        <v>16.616000000000003</v>
      </c>
      <c r="W68" s="1">
        <v>10.25</v>
      </c>
      <c r="X68" s="1">
        <f t="shared" si="43"/>
        <v>13.735000000000001</v>
      </c>
      <c r="Y68" s="1"/>
      <c r="Z68" s="1"/>
      <c r="AA68" s="1"/>
      <c r="AB68" s="1"/>
      <c r="AC68" s="1"/>
      <c r="AD68" s="1"/>
      <c r="AE68" s="1">
        <v>6.3</v>
      </c>
      <c r="AF68" s="1">
        <f t="shared" si="63"/>
        <v>17.324999999999999</v>
      </c>
      <c r="AG68" s="1">
        <v>1.7</v>
      </c>
      <c r="AH68" s="1">
        <f t="shared" si="58"/>
        <v>4.6749999999999998</v>
      </c>
      <c r="AI68" s="1"/>
      <c r="AJ68" s="1"/>
      <c r="AK68" s="9"/>
      <c r="AL68" s="9"/>
      <c r="AM68" s="9"/>
      <c r="AN68" s="9"/>
      <c r="AO68" s="1"/>
      <c r="AP68" s="1"/>
      <c r="AR68" s="1">
        <f t="shared" si="39"/>
        <v>0.89</v>
      </c>
      <c r="AS68" s="1">
        <f t="shared" si="40"/>
        <v>0.11</v>
      </c>
      <c r="AT68" s="1">
        <f t="shared" si="41"/>
        <v>1</v>
      </c>
    </row>
    <row r="69" spans="1:46" x14ac:dyDescent="0.25">
      <c r="B69" t="s">
        <v>90</v>
      </c>
      <c r="C69" t="s">
        <v>91</v>
      </c>
      <c r="D69" s="1">
        <f t="shared" ref="D69:D76" si="64">E69+G69+I69+K69+M69+O69+Q69+S69+U69+W69+Y69+AA69+AC69+AE69+AG69+AI69+AK69+AM69</f>
        <v>67.02</v>
      </c>
      <c r="E69" s="9">
        <v>26.55</v>
      </c>
      <c r="F69" s="9">
        <f t="shared" ref="F69:F76" si="65">E69*1.34</f>
        <v>35.577000000000005</v>
      </c>
      <c r="G69" s="1"/>
      <c r="H69" s="1"/>
      <c r="I69" s="1"/>
      <c r="J69" s="1"/>
      <c r="K69" s="1">
        <v>3.6</v>
      </c>
      <c r="L69" s="1">
        <f t="shared" ref="L69:L76" si="66">K69*2.36</f>
        <v>8.4960000000000004</v>
      </c>
      <c r="M69" s="1">
        <v>3.21</v>
      </c>
      <c r="N69" s="1">
        <f t="shared" ref="N69:N70" si="67">M69*2.36</f>
        <v>7.5755999999999997</v>
      </c>
      <c r="O69" s="1"/>
      <c r="P69" s="1"/>
      <c r="Q69" s="1"/>
      <c r="R69" s="1"/>
      <c r="S69" s="1"/>
      <c r="T69" s="1"/>
      <c r="U69" s="1">
        <v>13.77</v>
      </c>
      <c r="V69" s="1">
        <f t="shared" si="44"/>
        <v>18.451800000000002</v>
      </c>
      <c r="W69" s="1">
        <v>9.0299999999999994</v>
      </c>
      <c r="X69" s="1">
        <f t="shared" si="43"/>
        <v>12.100199999999999</v>
      </c>
      <c r="Y69" s="1"/>
      <c r="Z69" s="1"/>
      <c r="AA69" s="1"/>
      <c r="AB69" s="1"/>
      <c r="AC69" s="1"/>
      <c r="AD69" s="1"/>
      <c r="AE69" s="1">
        <v>2.14</v>
      </c>
      <c r="AF69" s="1">
        <f t="shared" si="63"/>
        <v>5.8850000000000007</v>
      </c>
      <c r="AG69" s="1">
        <v>7.4</v>
      </c>
      <c r="AH69" s="1">
        <f t="shared" si="58"/>
        <v>20.350000000000001</v>
      </c>
      <c r="AI69" s="1">
        <v>1.32</v>
      </c>
      <c r="AJ69" s="1">
        <f>AI69*2.36</f>
        <v>3.1152000000000002</v>
      </c>
      <c r="AK69" s="9"/>
      <c r="AL69" s="9"/>
      <c r="AM69" s="9"/>
      <c r="AN69" s="9"/>
      <c r="AO69" s="1">
        <v>4.8</v>
      </c>
      <c r="AP69" s="1">
        <f>AO69*0.6</f>
        <v>2.88</v>
      </c>
      <c r="AR69" s="1">
        <f t="shared" ref="AR69:AR76" si="68">ROUND((E69+G69+U69+W69+Y69+AA69+AC69+AE69+AG69+AI69+AK69+AM69)/D69,2)</f>
        <v>0.9</v>
      </c>
      <c r="AS69" s="1">
        <f t="shared" ref="AS69:AS76" si="69">ROUND((I69+K69+M69+O69+Q69+S69)/D69,2)</f>
        <v>0.1</v>
      </c>
      <c r="AT69" s="1">
        <f t="shared" ref="AT69:AT76" si="70">AR69+AS69</f>
        <v>1</v>
      </c>
    </row>
    <row r="70" spans="1:46" x14ac:dyDescent="0.25">
      <c r="B70" t="s">
        <v>86</v>
      </c>
      <c r="C70" t="s">
        <v>85</v>
      </c>
      <c r="D70" s="1">
        <f t="shared" si="64"/>
        <v>67.2</v>
      </c>
      <c r="E70" s="9">
        <v>27.4</v>
      </c>
      <c r="F70" s="9">
        <f t="shared" si="65"/>
        <v>36.716000000000001</v>
      </c>
      <c r="G70" s="1"/>
      <c r="H70" s="1"/>
      <c r="I70" s="1"/>
      <c r="J70" s="1"/>
      <c r="K70" s="1">
        <v>5</v>
      </c>
      <c r="L70" s="1">
        <f t="shared" si="66"/>
        <v>11.799999999999999</v>
      </c>
      <c r="M70" s="1">
        <v>3.4</v>
      </c>
      <c r="N70" s="1">
        <f t="shared" si="67"/>
        <v>8.0239999999999991</v>
      </c>
      <c r="O70" s="1"/>
      <c r="P70" s="1"/>
      <c r="Q70" s="1"/>
      <c r="R70" s="1"/>
      <c r="S70" s="1"/>
      <c r="T70" s="1"/>
      <c r="U70" s="1">
        <v>13.4</v>
      </c>
      <c r="V70" s="1">
        <f t="shared" si="44"/>
        <v>17.956000000000003</v>
      </c>
      <c r="W70" s="1">
        <v>8.8000000000000007</v>
      </c>
      <c r="X70" s="1">
        <f t="shared" si="43"/>
        <v>11.792000000000002</v>
      </c>
      <c r="Y70" s="1"/>
      <c r="Z70" s="1"/>
      <c r="AA70" s="1"/>
      <c r="AB70" s="1"/>
      <c r="AC70" s="1"/>
      <c r="AD70" s="1"/>
      <c r="AE70" s="1">
        <v>2.2000000000000002</v>
      </c>
      <c r="AF70" s="1">
        <f t="shared" si="63"/>
        <v>6.0500000000000007</v>
      </c>
      <c r="AG70" s="1">
        <v>3.7</v>
      </c>
      <c r="AH70" s="1">
        <f t="shared" si="58"/>
        <v>10.175000000000001</v>
      </c>
      <c r="AI70" s="1">
        <v>3.3</v>
      </c>
      <c r="AJ70" s="1">
        <f>AI70*2.36</f>
        <v>7.7879999999999994</v>
      </c>
      <c r="AK70" s="9"/>
      <c r="AL70" s="9"/>
      <c r="AM70" s="9"/>
      <c r="AN70" s="9"/>
      <c r="AO70" s="1"/>
      <c r="AP70" s="1"/>
      <c r="AR70" s="1">
        <f t="shared" si="68"/>
        <v>0.88</v>
      </c>
      <c r="AS70" s="1">
        <f t="shared" si="69"/>
        <v>0.13</v>
      </c>
      <c r="AT70" s="1">
        <f t="shared" si="70"/>
        <v>1.01</v>
      </c>
    </row>
    <row r="71" spans="1:46" x14ac:dyDescent="0.25">
      <c r="B71" t="s">
        <v>42</v>
      </c>
      <c r="C71" t="s">
        <v>66</v>
      </c>
      <c r="D71" s="1">
        <f t="shared" si="64"/>
        <v>67.25</v>
      </c>
      <c r="E71" s="9">
        <v>27.27</v>
      </c>
      <c r="F71" s="9">
        <f t="shared" si="65"/>
        <v>36.541800000000002</v>
      </c>
      <c r="G71" s="1"/>
      <c r="H71" s="1"/>
      <c r="I71" s="1"/>
      <c r="J71" s="1"/>
      <c r="K71" s="1">
        <v>7.7</v>
      </c>
      <c r="L71" s="1">
        <f t="shared" si="66"/>
        <v>18.172000000000001</v>
      </c>
      <c r="M71" s="1"/>
      <c r="N71" s="1"/>
      <c r="O71" s="1"/>
      <c r="P71" s="1"/>
      <c r="Q71" s="1"/>
      <c r="R71" s="1"/>
      <c r="S71" s="1"/>
      <c r="T71" s="1"/>
      <c r="U71" s="1">
        <v>17.309999999999999</v>
      </c>
      <c r="V71" s="1">
        <f t="shared" si="44"/>
        <v>23.195399999999999</v>
      </c>
      <c r="W71" s="1">
        <v>12.34</v>
      </c>
      <c r="X71" s="1">
        <f t="shared" si="43"/>
        <v>16.535600000000002</v>
      </c>
      <c r="Y71" s="1"/>
      <c r="Z71" s="1"/>
      <c r="AA71" s="1"/>
      <c r="AB71" s="1"/>
      <c r="AC71" s="1"/>
      <c r="AD71" s="1"/>
      <c r="AE71" s="1">
        <v>2.63</v>
      </c>
      <c r="AF71" s="1">
        <f t="shared" si="63"/>
        <v>7.2324999999999999</v>
      </c>
      <c r="AG71" s="1"/>
      <c r="AH71" s="1"/>
      <c r="AI71" s="1"/>
      <c r="AJ71" s="1"/>
      <c r="AK71" s="9"/>
      <c r="AL71" s="9"/>
      <c r="AM71" s="9"/>
      <c r="AN71" s="9"/>
      <c r="AO71" s="1"/>
      <c r="AP71" s="1"/>
      <c r="AR71" s="1">
        <f t="shared" si="68"/>
        <v>0.89</v>
      </c>
      <c r="AS71" s="1">
        <f t="shared" si="69"/>
        <v>0.11</v>
      </c>
      <c r="AT71" s="1">
        <f t="shared" si="70"/>
        <v>1</v>
      </c>
    </row>
    <row r="72" spans="1:46" x14ac:dyDescent="0.25">
      <c r="B72" t="s">
        <v>42</v>
      </c>
      <c r="C72" t="s">
        <v>49</v>
      </c>
      <c r="D72" s="1">
        <f t="shared" si="64"/>
        <v>67.430000000000021</v>
      </c>
      <c r="E72" s="9">
        <v>27.19</v>
      </c>
      <c r="F72" s="9">
        <f t="shared" si="65"/>
        <v>36.434600000000003</v>
      </c>
      <c r="G72" s="1"/>
      <c r="H72" s="1"/>
      <c r="I72" s="1"/>
      <c r="J72" s="1"/>
      <c r="K72" s="1">
        <v>4.08</v>
      </c>
      <c r="L72" s="1">
        <f t="shared" si="66"/>
        <v>9.6288</v>
      </c>
      <c r="M72" s="1">
        <v>3.88</v>
      </c>
      <c r="N72" s="1">
        <f t="shared" ref="N72" si="71">M72*2.36</f>
        <v>9.1567999999999987</v>
      </c>
      <c r="O72" s="1"/>
      <c r="P72" s="1"/>
      <c r="Q72" s="1"/>
      <c r="R72" s="1"/>
      <c r="S72" s="1"/>
      <c r="T72" s="1"/>
      <c r="U72" s="1">
        <v>13.09</v>
      </c>
      <c r="V72" s="1">
        <f t="shared" ref="V72:V77" si="72">U72*1.34</f>
        <v>17.540600000000001</v>
      </c>
      <c r="W72" s="1">
        <v>10.11</v>
      </c>
      <c r="X72" s="1">
        <f t="shared" si="43"/>
        <v>13.5474</v>
      </c>
      <c r="Y72" s="1"/>
      <c r="Z72" s="1"/>
      <c r="AA72" s="1"/>
      <c r="AB72" s="1"/>
      <c r="AC72" s="1"/>
      <c r="AD72" s="1"/>
      <c r="AE72" s="1">
        <v>4.8099999999999996</v>
      </c>
      <c r="AF72" s="1">
        <f t="shared" si="63"/>
        <v>13.227499999999999</v>
      </c>
      <c r="AG72" s="1">
        <v>2.59</v>
      </c>
      <c r="AH72" s="1">
        <f t="shared" ref="AH72:AH73" si="73">AG72*2.75</f>
        <v>7.1224999999999996</v>
      </c>
      <c r="AI72" s="1">
        <v>1.68</v>
      </c>
      <c r="AJ72" s="1">
        <f>AI72*2.36</f>
        <v>3.9647999999999994</v>
      </c>
      <c r="AK72" s="9"/>
      <c r="AL72" s="9"/>
      <c r="AM72" s="9"/>
      <c r="AN72" s="9"/>
      <c r="AO72" s="1">
        <v>10.210000000000001</v>
      </c>
      <c r="AP72" s="1">
        <f>AO72*0.6</f>
        <v>6.1260000000000003</v>
      </c>
      <c r="AR72" s="1">
        <f t="shared" si="68"/>
        <v>0.88</v>
      </c>
      <c r="AS72" s="1">
        <f t="shared" si="69"/>
        <v>0.12</v>
      </c>
      <c r="AT72" s="1">
        <f t="shared" si="70"/>
        <v>1</v>
      </c>
    </row>
    <row r="73" spans="1:46" x14ac:dyDescent="0.25">
      <c r="B73" t="s">
        <v>86</v>
      </c>
      <c r="C73" t="s">
        <v>87</v>
      </c>
      <c r="D73" s="1">
        <f t="shared" si="64"/>
        <v>67.899999999999991</v>
      </c>
      <c r="E73" s="9">
        <v>25</v>
      </c>
      <c r="F73" s="9">
        <f t="shared" si="65"/>
        <v>33.5</v>
      </c>
      <c r="G73" s="1"/>
      <c r="H73" s="1"/>
      <c r="I73" s="1"/>
      <c r="J73" s="1"/>
      <c r="K73" s="1">
        <v>5.4</v>
      </c>
      <c r="L73" s="1">
        <f t="shared" si="66"/>
        <v>12.744</v>
      </c>
      <c r="M73" s="1">
        <v>3.3</v>
      </c>
      <c r="N73" s="1">
        <f t="shared" ref="N73:N74" si="74">M73*2.36</f>
        <v>7.7879999999999994</v>
      </c>
      <c r="O73" s="1"/>
      <c r="P73" s="1"/>
      <c r="Q73" s="1"/>
      <c r="R73" s="1"/>
      <c r="S73" s="1"/>
      <c r="T73" s="1"/>
      <c r="U73" s="1">
        <v>12.7</v>
      </c>
      <c r="V73" s="1">
        <f t="shared" si="72"/>
        <v>17.018000000000001</v>
      </c>
      <c r="W73" s="1">
        <v>8</v>
      </c>
      <c r="X73" s="1">
        <f t="shared" ref="X73:X77" si="75">W73*1.34</f>
        <v>10.72</v>
      </c>
      <c r="Y73" s="1"/>
      <c r="Z73" s="1"/>
      <c r="AA73" s="1"/>
      <c r="AB73" s="1"/>
      <c r="AC73" s="1"/>
      <c r="AD73" s="1"/>
      <c r="AE73" s="1">
        <v>5.9</v>
      </c>
      <c r="AF73" s="1">
        <f t="shared" si="63"/>
        <v>16.225000000000001</v>
      </c>
      <c r="AG73" s="1">
        <v>4.5999999999999996</v>
      </c>
      <c r="AH73" s="1">
        <f t="shared" si="73"/>
        <v>12.649999999999999</v>
      </c>
      <c r="AI73" s="1">
        <v>3</v>
      </c>
      <c r="AJ73" s="1">
        <f>AI73*2.36</f>
        <v>7.08</v>
      </c>
      <c r="AK73" s="9"/>
      <c r="AL73" s="9"/>
      <c r="AM73" s="9"/>
      <c r="AN73" s="9"/>
      <c r="AO73" s="1"/>
      <c r="AP73" s="1"/>
      <c r="AR73" s="1">
        <f t="shared" si="68"/>
        <v>0.87</v>
      </c>
      <c r="AS73" s="1">
        <f t="shared" si="69"/>
        <v>0.13</v>
      </c>
      <c r="AT73" s="1">
        <f t="shared" si="70"/>
        <v>1</v>
      </c>
    </row>
    <row r="74" spans="1:46" x14ac:dyDescent="0.25">
      <c r="B74" t="s">
        <v>81</v>
      </c>
      <c r="C74" t="s">
        <v>82</v>
      </c>
      <c r="D74" s="1">
        <f t="shared" si="64"/>
        <v>67.930000000000007</v>
      </c>
      <c r="E74" s="9">
        <v>35.46</v>
      </c>
      <c r="F74" s="9">
        <f t="shared" si="65"/>
        <v>47.516400000000004</v>
      </c>
      <c r="G74" s="1"/>
      <c r="H74" s="1"/>
      <c r="I74" s="1"/>
      <c r="J74" s="1"/>
      <c r="K74" s="1">
        <v>3.78</v>
      </c>
      <c r="L74" s="1">
        <f t="shared" si="66"/>
        <v>8.9207999999999998</v>
      </c>
      <c r="M74" s="1">
        <v>2.88</v>
      </c>
      <c r="N74" s="1">
        <f t="shared" si="74"/>
        <v>6.7967999999999993</v>
      </c>
      <c r="O74" s="1"/>
      <c r="P74" s="1"/>
      <c r="Q74" s="1"/>
      <c r="R74" s="1"/>
      <c r="S74" s="1"/>
      <c r="T74" s="1"/>
      <c r="U74" s="1">
        <v>15.64</v>
      </c>
      <c r="V74" s="1">
        <f t="shared" si="72"/>
        <v>20.957600000000003</v>
      </c>
      <c r="W74" s="1">
        <v>10.17</v>
      </c>
      <c r="X74" s="1">
        <f t="shared" si="75"/>
        <v>13.627800000000001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9"/>
      <c r="AL74" s="9"/>
      <c r="AM74" s="9"/>
      <c r="AN74" s="9"/>
      <c r="AO74" s="1">
        <v>15.71</v>
      </c>
      <c r="AP74" s="1">
        <f>AO74*0.6</f>
        <v>9.4260000000000002</v>
      </c>
      <c r="AR74" s="1">
        <f t="shared" si="68"/>
        <v>0.9</v>
      </c>
      <c r="AS74" s="1">
        <f t="shared" si="69"/>
        <v>0.1</v>
      </c>
      <c r="AT74" s="1">
        <f t="shared" si="70"/>
        <v>1</v>
      </c>
    </row>
    <row r="75" spans="1:46" x14ac:dyDescent="0.25">
      <c r="A75" t="s">
        <v>60</v>
      </c>
      <c r="B75" t="s">
        <v>42</v>
      </c>
      <c r="C75" t="s">
        <v>70</v>
      </c>
      <c r="D75" s="1">
        <f t="shared" si="64"/>
        <v>69.09</v>
      </c>
      <c r="E75" s="9">
        <v>24.03</v>
      </c>
      <c r="F75" s="9">
        <f t="shared" si="65"/>
        <v>32.200200000000002</v>
      </c>
      <c r="G75" s="1"/>
      <c r="H75" s="1"/>
      <c r="I75" s="1"/>
      <c r="J75" s="1"/>
      <c r="K75" s="1">
        <v>5.93</v>
      </c>
      <c r="L75" s="1">
        <f t="shared" si="66"/>
        <v>13.994799999999998</v>
      </c>
      <c r="M75" s="1"/>
      <c r="N75" s="1"/>
      <c r="O75" s="1"/>
      <c r="P75" s="1"/>
      <c r="Q75" s="1"/>
      <c r="R75" s="1"/>
      <c r="S75" s="1"/>
      <c r="T75" s="1"/>
      <c r="U75" s="1">
        <v>12.14</v>
      </c>
      <c r="V75" s="1">
        <f t="shared" si="72"/>
        <v>16.267600000000002</v>
      </c>
      <c r="W75" s="1">
        <v>8.82</v>
      </c>
      <c r="X75" s="1">
        <f t="shared" si="75"/>
        <v>11.818800000000001</v>
      </c>
      <c r="Y75" s="1">
        <v>8.59</v>
      </c>
      <c r="Z75" s="1">
        <f t="shared" ref="Z75" si="76">Y75*1.34</f>
        <v>11.5106</v>
      </c>
      <c r="AA75" s="1"/>
      <c r="AB75" s="1"/>
      <c r="AC75" s="1"/>
      <c r="AD75" s="1"/>
      <c r="AE75" s="1">
        <v>9.58</v>
      </c>
      <c r="AF75" s="1">
        <f t="shared" ref="AF75" si="77">AE75*2.75</f>
        <v>26.344999999999999</v>
      </c>
      <c r="AG75" s="1"/>
      <c r="AH75" s="1"/>
      <c r="AI75" s="1"/>
      <c r="AJ75" s="1"/>
      <c r="AK75" s="9"/>
      <c r="AL75" s="9"/>
      <c r="AM75" s="9"/>
      <c r="AN75" s="9"/>
      <c r="AO75" s="1"/>
      <c r="AP75" s="1"/>
      <c r="AR75" s="1">
        <f t="shared" si="68"/>
        <v>0.91</v>
      </c>
      <c r="AS75" s="1">
        <f t="shared" si="69"/>
        <v>0.09</v>
      </c>
      <c r="AT75" s="1">
        <f t="shared" si="70"/>
        <v>1</v>
      </c>
    </row>
    <row r="76" spans="1:46" x14ac:dyDescent="0.25">
      <c r="B76" t="s">
        <v>42</v>
      </c>
      <c r="C76" t="s">
        <v>66</v>
      </c>
      <c r="D76" s="1">
        <f t="shared" si="64"/>
        <v>69.87</v>
      </c>
      <c r="E76" s="9">
        <v>25.2</v>
      </c>
      <c r="F76" s="9">
        <f t="shared" si="65"/>
        <v>33.768000000000001</v>
      </c>
      <c r="G76" s="1"/>
      <c r="H76" s="1"/>
      <c r="I76" s="1"/>
      <c r="J76" s="1"/>
      <c r="K76" s="1">
        <v>4.1100000000000003</v>
      </c>
      <c r="L76" s="1">
        <f t="shared" si="66"/>
        <v>9.6996000000000002</v>
      </c>
      <c r="M76" s="1">
        <v>3.8</v>
      </c>
      <c r="N76" s="1">
        <f t="shared" ref="N76" si="78">M76*2.36</f>
        <v>8.968</v>
      </c>
      <c r="O76" s="1"/>
      <c r="P76" s="1"/>
      <c r="Q76" s="1"/>
      <c r="R76" s="1"/>
      <c r="S76" s="1"/>
      <c r="T76" s="1"/>
      <c r="U76" s="1">
        <v>13.93</v>
      </c>
      <c r="V76" s="1">
        <f t="shared" si="72"/>
        <v>18.6662</v>
      </c>
      <c r="W76" s="1">
        <v>11.24</v>
      </c>
      <c r="X76" s="1">
        <f t="shared" si="75"/>
        <v>15.0616</v>
      </c>
      <c r="Y76" s="1"/>
      <c r="Z76" s="1"/>
      <c r="AA76" s="1"/>
      <c r="AB76" s="1"/>
      <c r="AC76" s="1"/>
      <c r="AD76" s="1"/>
      <c r="AE76" s="1">
        <v>9.2799999999999994</v>
      </c>
      <c r="AF76" s="1">
        <f t="shared" ref="AF76:AF78" si="79">AE76*2.75</f>
        <v>25.52</v>
      </c>
      <c r="AG76" s="1">
        <v>2.31</v>
      </c>
      <c r="AH76" s="1">
        <f t="shared" ref="AH76" si="80">AG76*2.75</f>
        <v>6.3525</v>
      </c>
      <c r="AI76" s="1"/>
      <c r="AJ76" s="1"/>
      <c r="AK76" s="9"/>
      <c r="AL76" s="9"/>
      <c r="AM76" s="9"/>
      <c r="AN76" s="9"/>
      <c r="AO76" s="1"/>
      <c r="AP76" s="1"/>
      <c r="AR76" s="1">
        <f t="shared" si="68"/>
        <v>0.89</v>
      </c>
      <c r="AS76" s="1">
        <f t="shared" si="69"/>
        <v>0.11</v>
      </c>
      <c r="AT76" s="1">
        <f t="shared" si="70"/>
        <v>1</v>
      </c>
    </row>
    <row r="77" spans="1:46" x14ac:dyDescent="0.25">
      <c r="B77" t="s">
        <v>42</v>
      </c>
      <c r="C77" t="s">
        <v>70</v>
      </c>
      <c r="D77" s="1">
        <f t="shared" ref="D77:D95" si="81">E77+G77+I77+K77+M77+O77+Q77+S77+U77+W77+Y77+AA77+AC77+AE77+AG77+AI77+AK77+AM77</f>
        <v>70</v>
      </c>
      <c r="E77" s="9">
        <v>24.36</v>
      </c>
      <c r="F77" s="9">
        <f t="shared" ref="F77:F95" si="82">E77*1.34</f>
        <v>32.642400000000002</v>
      </c>
      <c r="G77" s="1"/>
      <c r="H77" s="1"/>
      <c r="I77" s="1"/>
      <c r="J77" s="1"/>
      <c r="K77" s="1">
        <v>5.32</v>
      </c>
      <c r="L77" s="1">
        <f t="shared" ref="L77:L95" si="83">K77*2.36</f>
        <v>12.555199999999999</v>
      </c>
      <c r="M77" s="1">
        <v>3.67</v>
      </c>
      <c r="N77" s="1">
        <f t="shared" ref="N77" si="84">M77*2.36</f>
        <v>8.6611999999999991</v>
      </c>
      <c r="O77" s="1"/>
      <c r="P77" s="1"/>
      <c r="Q77" s="1"/>
      <c r="R77" s="1"/>
      <c r="S77" s="1"/>
      <c r="T77" s="1"/>
      <c r="U77" s="1">
        <v>12.21</v>
      </c>
      <c r="V77" s="1">
        <f t="shared" si="72"/>
        <v>16.361400000000003</v>
      </c>
      <c r="W77" s="1">
        <v>8.4499999999999993</v>
      </c>
      <c r="X77" s="1">
        <f t="shared" si="75"/>
        <v>11.323</v>
      </c>
      <c r="Y77" s="1">
        <v>8.3699999999999992</v>
      </c>
      <c r="Z77" s="1">
        <f t="shared" ref="Z77:Z84" si="85">Y77*1.34</f>
        <v>11.2158</v>
      </c>
      <c r="AA77" s="1"/>
      <c r="AB77" s="1"/>
      <c r="AC77" s="1"/>
      <c r="AD77" s="1"/>
      <c r="AE77" s="1">
        <v>7.62</v>
      </c>
      <c r="AF77" s="1">
        <f t="shared" si="79"/>
        <v>20.955000000000002</v>
      </c>
      <c r="AG77" s="1"/>
      <c r="AH77" s="1"/>
      <c r="AI77" s="1"/>
      <c r="AJ77" s="1"/>
      <c r="AK77" s="9"/>
      <c r="AL77" s="9"/>
      <c r="AM77" s="9"/>
      <c r="AN77" s="9"/>
      <c r="AO77" s="1"/>
      <c r="AP77" s="1"/>
      <c r="AR77" s="1">
        <f t="shared" ref="AR77:AR95" si="86">ROUND((E77+G77+U77+W77+Y77+AA77+AC77+AE77+AG77+AI77+AK77+AM77)/D77,2)</f>
        <v>0.87</v>
      </c>
      <c r="AS77" s="1">
        <f t="shared" ref="AS77:AS95" si="87">ROUND((I77+K77+M77+O77+Q77+S77)/D77,2)</f>
        <v>0.13</v>
      </c>
      <c r="AT77" s="1">
        <f t="shared" ref="AT77:AT95" si="88">AR77+AS77</f>
        <v>1</v>
      </c>
    </row>
    <row r="78" spans="1:46" x14ac:dyDescent="0.25">
      <c r="B78" t="s">
        <v>42</v>
      </c>
      <c r="C78" t="s">
        <v>76</v>
      </c>
      <c r="D78" s="1">
        <f t="shared" si="81"/>
        <v>71.399999999999991</v>
      </c>
      <c r="E78" s="9">
        <v>29.9</v>
      </c>
      <c r="F78" s="9">
        <f t="shared" si="82"/>
        <v>40.066000000000003</v>
      </c>
      <c r="G78" s="1"/>
      <c r="H78" s="1"/>
      <c r="I78" s="1"/>
      <c r="J78" s="1"/>
      <c r="K78" s="1">
        <v>3.75</v>
      </c>
      <c r="L78" s="1">
        <f t="shared" si="83"/>
        <v>8.85</v>
      </c>
      <c r="M78" s="1"/>
      <c r="N78" s="1"/>
      <c r="O78" s="1"/>
      <c r="P78" s="1"/>
      <c r="Q78" s="1"/>
      <c r="R78" s="1"/>
      <c r="S78" s="1"/>
      <c r="T78" s="1"/>
      <c r="U78" s="1">
        <v>11.9</v>
      </c>
      <c r="V78" s="1">
        <f t="shared" ref="V78:V97" si="89">U78*1.34</f>
        <v>15.946000000000002</v>
      </c>
      <c r="W78" s="1">
        <v>8.75</v>
      </c>
      <c r="X78" s="1">
        <f t="shared" ref="X78:X97" si="90">W78*1.34</f>
        <v>11.725000000000001</v>
      </c>
      <c r="Y78" s="1">
        <v>8.4</v>
      </c>
      <c r="Z78" s="1">
        <f t="shared" si="85"/>
        <v>11.256000000000002</v>
      </c>
      <c r="AA78" s="1"/>
      <c r="AB78" s="1"/>
      <c r="AC78" s="1"/>
      <c r="AD78" s="1"/>
      <c r="AE78" s="1">
        <v>6.45</v>
      </c>
      <c r="AF78" s="1">
        <f t="shared" si="79"/>
        <v>17.737500000000001</v>
      </c>
      <c r="AG78" s="1">
        <v>2.25</v>
      </c>
      <c r="AH78" s="1">
        <f t="shared" ref="AH78:AH85" si="91">AG78*2.75</f>
        <v>6.1875</v>
      </c>
      <c r="AI78" s="1"/>
      <c r="AJ78" s="1"/>
      <c r="AK78" s="9"/>
      <c r="AL78" s="9"/>
      <c r="AM78" s="9"/>
      <c r="AN78" s="9"/>
      <c r="AO78" s="1">
        <v>1.9</v>
      </c>
      <c r="AP78" s="1">
        <f>AO78*0.6</f>
        <v>1.1399999999999999</v>
      </c>
      <c r="AR78" s="1">
        <f t="shared" si="86"/>
        <v>0.95</v>
      </c>
      <c r="AS78" s="1">
        <f t="shared" si="87"/>
        <v>0.05</v>
      </c>
      <c r="AT78" s="1">
        <f t="shared" si="88"/>
        <v>1</v>
      </c>
    </row>
    <row r="79" spans="1:46" x14ac:dyDescent="0.25">
      <c r="B79" t="s">
        <v>40</v>
      </c>
      <c r="C79" t="s">
        <v>50</v>
      </c>
      <c r="D79" s="1">
        <f t="shared" si="81"/>
        <v>71.7</v>
      </c>
      <c r="E79" s="9">
        <v>26.77</v>
      </c>
      <c r="F79" s="9">
        <f t="shared" si="82"/>
        <v>35.8718</v>
      </c>
      <c r="G79" s="1"/>
      <c r="H79" s="1"/>
      <c r="I79" s="1"/>
      <c r="J79" s="1"/>
      <c r="K79" s="1">
        <v>4.03</v>
      </c>
      <c r="L79" s="1">
        <f t="shared" si="83"/>
        <v>9.5107999999999997</v>
      </c>
      <c r="M79" s="1"/>
      <c r="N79" s="1"/>
      <c r="O79" s="1"/>
      <c r="P79" s="1"/>
      <c r="Q79" s="1"/>
      <c r="R79" s="1"/>
      <c r="S79" s="1"/>
      <c r="T79" s="1"/>
      <c r="U79" s="1">
        <v>13.91</v>
      </c>
      <c r="V79" s="1">
        <f t="shared" si="89"/>
        <v>18.639400000000002</v>
      </c>
      <c r="W79" s="1">
        <v>12.28</v>
      </c>
      <c r="X79" s="1">
        <f t="shared" si="90"/>
        <v>16.455200000000001</v>
      </c>
      <c r="Y79" s="1">
        <v>9.0500000000000007</v>
      </c>
      <c r="Z79" s="1">
        <f t="shared" si="85"/>
        <v>12.127000000000002</v>
      </c>
      <c r="AA79" s="1"/>
      <c r="AB79" s="1"/>
      <c r="AC79" s="1"/>
      <c r="AD79" s="1"/>
      <c r="AE79" s="1"/>
      <c r="AF79" s="1"/>
      <c r="AG79" s="1">
        <v>3.66</v>
      </c>
      <c r="AH79" s="1">
        <f t="shared" si="91"/>
        <v>10.065000000000001</v>
      </c>
      <c r="AI79" s="1">
        <v>2</v>
      </c>
      <c r="AJ79" s="1">
        <f>AI79*2.36</f>
        <v>4.72</v>
      </c>
      <c r="AK79" s="9"/>
      <c r="AL79" s="9"/>
      <c r="AM79" s="9"/>
      <c r="AN79" s="9"/>
      <c r="AO79" s="1"/>
      <c r="AP79" s="1"/>
      <c r="AR79" s="1">
        <f t="shared" si="86"/>
        <v>0.94</v>
      </c>
      <c r="AS79" s="1">
        <f t="shared" si="87"/>
        <v>0.06</v>
      </c>
      <c r="AT79" s="1">
        <f t="shared" si="88"/>
        <v>1</v>
      </c>
    </row>
    <row r="80" spans="1:46" x14ac:dyDescent="0.25">
      <c r="B80" t="s">
        <v>42</v>
      </c>
      <c r="C80" t="s">
        <v>76</v>
      </c>
      <c r="D80" s="1">
        <f t="shared" si="81"/>
        <v>71.899999999999991</v>
      </c>
      <c r="E80" s="9">
        <v>29.9</v>
      </c>
      <c r="F80" s="9">
        <f t="shared" si="82"/>
        <v>40.066000000000003</v>
      </c>
      <c r="G80" s="1"/>
      <c r="H80" s="1"/>
      <c r="I80" s="1"/>
      <c r="J80" s="1"/>
      <c r="K80" s="1">
        <v>4.75</v>
      </c>
      <c r="L80" s="1">
        <f t="shared" si="83"/>
        <v>11.209999999999999</v>
      </c>
      <c r="M80" s="1"/>
      <c r="N80" s="1"/>
      <c r="O80" s="1"/>
      <c r="P80" s="1"/>
      <c r="Q80" s="1"/>
      <c r="R80" s="1"/>
      <c r="S80" s="1"/>
      <c r="T80" s="1"/>
      <c r="U80" s="1">
        <v>11.4</v>
      </c>
      <c r="V80" s="1">
        <f t="shared" si="89"/>
        <v>15.276000000000002</v>
      </c>
      <c r="W80" s="1">
        <v>8.75</v>
      </c>
      <c r="X80" s="1">
        <f t="shared" si="90"/>
        <v>11.725000000000001</v>
      </c>
      <c r="Y80" s="1">
        <v>8.4</v>
      </c>
      <c r="Z80" s="1">
        <f t="shared" si="85"/>
        <v>11.256000000000002</v>
      </c>
      <c r="AA80" s="1"/>
      <c r="AB80" s="1"/>
      <c r="AC80" s="1"/>
      <c r="AD80" s="1"/>
      <c r="AE80" s="1">
        <v>6.45</v>
      </c>
      <c r="AF80" s="1">
        <f t="shared" ref="AF80:AF82" si="92">AE80*2.75</f>
        <v>17.737500000000001</v>
      </c>
      <c r="AG80" s="1">
        <v>2.25</v>
      </c>
      <c r="AH80" s="1">
        <f t="shared" si="91"/>
        <v>6.1875</v>
      </c>
      <c r="AI80" s="1"/>
      <c r="AJ80" s="1"/>
      <c r="AK80" s="9"/>
      <c r="AL80" s="9"/>
      <c r="AM80" s="9"/>
      <c r="AN80" s="9"/>
      <c r="AO80" s="1">
        <v>1.6</v>
      </c>
      <c r="AP80" s="1">
        <f>AO80*0.6</f>
        <v>0.96</v>
      </c>
      <c r="AR80" s="1">
        <f t="shared" si="86"/>
        <v>0.93</v>
      </c>
      <c r="AS80" s="1">
        <f t="shared" si="87"/>
        <v>7.0000000000000007E-2</v>
      </c>
      <c r="AT80" s="1">
        <f t="shared" si="88"/>
        <v>1</v>
      </c>
    </row>
    <row r="81" spans="2:46" x14ac:dyDescent="0.25">
      <c r="B81" t="s">
        <v>97</v>
      </c>
      <c r="C81" t="s">
        <v>98</v>
      </c>
      <c r="D81" s="1">
        <f t="shared" si="81"/>
        <v>73.39</v>
      </c>
      <c r="E81" s="9">
        <v>24.9</v>
      </c>
      <c r="F81" s="9">
        <f t="shared" si="82"/>
        <v>33.366</v>
      </c>
      <c r="G81" s="1"/>
      <c r="H81" s="1"/>
      <c r="I81" s="1"/>
      <c r="J81" s="1"/>
      <c r="K81" s="1">
        <v>4.08</v>
      </c>
      <c r="L81" s="1">
        <f t="shared" si="83"/>
        <v>9.6288</v>
      </c>
      <c r="M81" s="1">
        <v>3.91</v>
      </c>
      <c r="N81" s="1">
        <f>M81*2.36</f>
        <v>9.2276000000000007</v>
      </c>
      <c r="O81" s="1"/>
      <c r="P81" s="1"/>
      <c r="Q81" s="1"/>
      <c r="R81" s="1"/>
      <c r="S81" s="1"/>
      <c r="T81" s="1"/>
      <c r="U81" s="1">
        <v>13.78</v>
      </c>
      <c r="V81" s="1">
        <f t="shared" si="89"/>
        <v>18.465199999999999</v>
      </c>
      <c r="W81" s="1">
        <v>10.48</v>
      </c>
      <c r="X81" s="1">
        <f t="shared" si="90"/>
        <v>14.043200000000001</v>
      </c>
      <c r="Y81" s="1">
        <v>8.35</v>
      </c>
      <c r="Z81" s="1">
        <f t="shared" si="85"/>
        <v>11.189</v>
      </c>
      <c r="AA81" s="1"/>
      <c r="AB81" s="1"/>
      <c r="AC81" s="1"/>
      <c r="AD81" s="1"/>
      <c r="AE81" s="1">
        <v>4.34</v>
      </c>
      <c r="AF81" s="1">
        <f t="shared" si="92"/>
        <v>11.934999999999999</v>
      </c>
      <c r="AG81" s="1">
        <v>3.55</v>
      </c>
      <c r="AH81" s="1">
        <f t="shared" si="91"/>
        <v>9.7624999999999993</v>
      </c>
      <c r="AI81" s="1"/>
      <c r="AJ81" s="1"/>
      <c r="AK81" s="9"/>
      <c r="AL81" s="9"/>
      <c r="AM81" s="9"/>
      <c r="AN81" s="9"/>
      <c r="AO81" s="1">
        <v>4.13</v>
      </c>
      <c r="AP81" s="1">
        <f t="shared" ref="AP81" si="93">AO81*0.6</f>
        <v>2.4779999999999998</v>
      </c>
      <c r="AR81" s="1">
        <f t="shared" si="86"/>
        <v>0.89</v>
      </c>
      <c r="AS81" s="1">
        <f t="shared" si="87"/>
        <v>0.11</v>
      </c>
      <c r="AT81" s="1">
        <f t="shared" si="88"/>
        <v>1</v>
      </c>
    </row>
    <row r="82" spans="2:46" x14ac:dyDescent="0.25">
      <c r="B82" t="s">
        <v>97</v>
      </c>
      <c r="C82" t="s">
        <v>98</v>
      </c>
      <c r="D82" s="1">
        <f t="shared" si="81"/>
        <v>73.739999999999995</v>
      </c>
      <c r="E82" s="9">
        <v>24.75</v>
      </c>
      <c r="F82" s="9">
        <f t="shared" si="82"/>
        <v>33.164999999999999</v>
      </c>
      <c r="G82" s="1"/>
      <c r="H82" s="1"/>
      <c r="I82" s="1"/>
      <c r="J82" s="1"/>
      <c r="K82" s="1">
        <v>4.9800000000000004</v>
      </c>
      <c r="L82" s="1">
        <f t="shared" si="83"/>
        <v>11.752800000000001</v>
      </c>
      <c r="M82" s="1">
        <v>3.49</v>
      </c>
      <c r="N82" s="1">
        <f>M82*2.36</f>
        <v>8.2363999999999997</v>
      </c>
      <c r="O82" s="1"/>
      <c r="P82" s="1"/>
      <c r="Q82" s="1"/>
      <c r="R82" s="1"/>
      <c r="S82" s="1"/>
      <c r="T82" s="1"/>
      <c r="U82" s="1">
        <v>14.33</v>
      </c>
      <c r="V82" s="1">
        <f t="shared" si="89"/>
        <v>19.202200000000001</v>
      </c>
      <c r="W82" s="1">
        <v>10.48</v>
      </c>
      <c r="X82" s="1">
        <f t="shared" si="90"/>
        <v>14.043200000000001</v>
      </c>
      <c r="Y82" s="1">
        <v>7.5</v>
      </c>
      <c r="Z82" s="1">
        <f t="shared" si="85"/>
        <v>10.050000000000001</v>
      </c>
      <c r="AA82" s="1"/>
      <c r="AB82" s="1"/>
      <c r="AC82" s="1"/>
      <c r="AD82" s="1"/>
      <c r="AE82" s="1">
        <v>4.1900000000000004</v>
      </c>
      <c r="AF82" s="1">
        <f t="shared" si="92"/>
        <v>11.522500000000001</v>
      </c>
      <c r="AG82" s="1">
        <v>4.0199999999999996</v>
      </c>
      <c r="AH82" s="1">
        <f t="shared" si="91"/>
        <v>11.055</v>
      </c>
      <c r="AI82" s="1"/>
      <c r="AJ82" s="1"/>
      <c r="AK82" s="9"/>
      <c r="AL82" s="9"/>
      <c r="AM82" s="9"/>
      <c r="AN82" s="9"/>
      <c r="AO82" s="1">
        <v>4.13</v>
      </c>
      <c r="AP82" s="1">
        <f t="shared" ref="AP82" si="94">AO82*0.6</f>
        <v>2.4779999999999998</v>
      </c>
      <c r="AR82" s="1">
        <f t="shared" si="86"/>
        <v>0.89</v>
      </c>
      <c r="AS82" s="1">
        <f t="shared" si="87"/>
        <v>0.11</v>
      </c>
      <c r="AT82" s="1">
        <f t="shared" si="88"/>
        <v>1</v>
      </c>
    </row>
    <row r="83" spans="2:46" x14ac:dyDescent="0.25">
      <c r="B83" t="s">
        <v>40</v>
      </c>
      <c r="C83" t="s">
        <v>50</v>
      </c>
      <c r="D83" s="1">
        <f t="shared" si="81"/>
        <v>74.59</v>
      </c>
      <c r="E83" s="9">
        <v>28.76</v>
      </c>
      <c r="F83" s="9">
        <f t="shared" si="82"/>
        <v>38.538400000000003</v>
      </c>
      <c r="G83" s="1"/>
      <c r="H83" s="1"/>
      <c r="I83" s="1"/>
      <c r="J83" s="1"/>
      <c r="K83" s="1">
        <v>4.3099999999999996</v>
      </c>
      <c r="L83" s="1">
        <f t="shared" si="83"/>
        <v>10.171599999999998</v>
      </c>
      <c r="M83" s="1"/>
      <c r="N83" s="1"/>
      <c r="O83" s="1"/>
      <c r="P83" s="1"/>
      <c r="Q83" s="1"/>
      <c r="R83" s="1"/>
      <c r="S83" s="1"/>
      <c r="T83" s="1"/>
      <c r="U83" s="1">
        <v>14.55</v>
      </c>
      <c r="V83" s="1">
        <f t="shared" si="89"/>
        <v>19.497000000000003</v>
      </c>
      <c r="W83" s="1">
        <v>10.97</v>
      </c>
      <c r="X83" s="1">
        <f t="shared" si="90"/>
        <v>14.699800000000002</v>
      </c>
      <c r="Y83" s="1">
        <v>9.9700000000000006</v>
      </c>
      <c r="Z83" s="1">
        <f t="shared" si="85"/>
        <v>13.359800000000002</v>
      </c>
      <c r="AA83" s="1"/>
      <c r="AB83" s="1"/>
      <c r="AC83" s="1"/>
      <c r="AD83" s="1"/>
      <c r="AE83" s="1"/>
      <c r="AF83" s="1"/>
      <c r="AG83" s="1">
        <v>3.69</v>
      </c>
      <c r="AH83" s="1">
        <f t="shared" si="91"/>
        <v>10.147499999999999</v>
      </c>
      <c r="AI83" s="1">
        <v>2.34</v>
      </c>
      <c r="AJ83" s="1">
        <f>AI83*2.36</f>
        <v>5.5223999999999993</v>
      </c>
      <c r="AK83" s="9"/>
      <c r="AL83" s="9"/>
      <c r="AM83" s="9"/>
      <c r="AN83" s="9"/>
      <c r="AO83" s="1"/>
      <c r="AP83" s="1"/>
      <c r="AR83" s="1">
        <f t="shared" si="86"/>
        <v>0.94</v>
      </c>
      <c r="AS83" s="1">
        <f t="shared" si="87"/>
        <v>0.06</v>
      </c>
      <c r="AT83" s="1">
        <f t="shared" si="88"/>
        <v>1</v>
      </c>
    </row>
    <row r="84" spans="2:46" x14ac:dyDescent="0.25">
      <c r="B84" t="s">
        <v>106</v>
      </c>
      <c r="C84" t="s">
        <v>108</v>
      </c>
      <c r="D84" s="1">
        <f t="shared" si="81"/>
        <v>74.740000000000009</v>
      </c>
      <c r="E84" s="9">
        <v>26.55</v>
      </c>
      <c r="F84" s="9">
        <f t="shared" si="82"/>
        <v>35.577000000000005</v>
      </c>
      <c r="G84" s="1"/>
      <c r="H84" s="1"/>
      <c r="I84" s="1"/>
      <c r="J84" s="1"/>
      <c r="K84" s="1">
        <v>4.55</v>
      </c>
      <c r="L84" s="1">
        <f t="shared" si="83"/>
        <v>10.738</v>
      </c>
      <c r="M84" s="1">
        <v>3.91</v>
      </c>
      <c r="N84" s="1">
        <f>M84*2.36</f>
        <v>9.2276000000000007</v>
      </c>
      <c r="O84" s="1"/>
      <c r="P84" s="1"/>
      <c r="Q84" s="1"/>
      <c r="R84" s="1"/>
      <c r="S84" s="1"/>
      <c r="T84" s="1"/>
      <c r="U84" s="1">
        <v>16.12</v>
      </c>
      <c r="V84" s="1">
        <f t="shared" si="89"/>
        <v>21.600800000000003</v>
      </c>
      <c r="W84" s="1">
        <v>9.11</v>
      </c>
      <c r="X84" s="1">
        <f t="shared" si="90"/>
        <v>12.2074</v>
      </c>
      <c r="Y84" s="1">
        <v>6.48</v>
      </c>
      <c r="Z84" s="1">
        <f t="shared" si="85"/>
        <v>8.6832000000000011</v>
      </c>
      <c r="AA84" s="1"/>
      <c r="AB84" s="1"/>
      <c r="AC84" s="1"/>
      <c r="AD84" s="1"/>
      <c r="AE84" s="1"/>
      <c r="AF84" s="1"/>
      <c r="AG84" s="1">
        <v>8.02</v>
      </c>
      <c r="AH84" s="1">
        <f t="shared" si="91"/>
        <v>22.055</v>
      </c>
      <c r="AI84" s="1"/>
      <c r="AJ84" s="1"/>
      <c r="AK84" s="9"/>
      <c r="AL84" s="9"/>
      <c r="AM84" s="9"/>
      <c r="AN84" s="9"/>
      <c r="AO84" s="1">
        <v>9.11</v>
      </c>
      <c r="AP84" s="1">
        <f t="shared" ref="AP84:AP86" si="95">AO84*0.6</f>
        <v>5.4659999999999993</v>
      </c>
      <c r="AR84" s="1">
        <f t="shared" si="86"/>
        <v>0.89</v>
      </c>
      <c r="AS84" s="1">
        <f t="shared" si="87"/>
        <v>0.11</v>
      </c>
      <c r="AT84" s="1">
        <f t="shared" si="88"/>
        <v>1</v>
      </c>
    </row>
    <row r="85" spans="2:46" x14ac:dyDescent="0.25">
      <c r="B85" t="s">
        <v>101</v>
      </c>
      <c r="C85" t="s">
        <v>102</v>
      </c>
      <c r="D85" s="1">
        <f t="shared" si="81"/>
        <v>74.86</v>
      </c>
      <c r="E85" s="9">
        <v>31.65</v>
      </c>
      <c r="F85" s="9">
        <f t="shared" si="82"/>
        <v>42.411000000000001</v>
      </c>
      <c r="G85" s="1"/>
      <c r="H85" s="1"/>
      <c r="I85" s="1"/>
      <c r="J85" s="1"/>
      <c r="K85" s="1">
        <v>4.1500000000000004</v>
      </c>
      <c r="L85" s="1">
        <f t="shared" si="83"/>
        <v>9.7940000000000005</v>
      </c>
      <c r="M85" s="1">
        <v>4.03</v>
      </c>
      <c r="N85" s="1">
        <f>M85*2.36</f>
        <v>9.5107999999999997</v>
      </c>
      <c r="O85" s="1"/>
      <c r="P85" s="1"/>
      <c r="Q85" s="1"/>
      <c r="R85" s="1"/>
      <c r="S85" s="1"/>
      <c r="T85" s="1"/>
      <c r="U85" s="1">
        <v>15.34</v>
      </c>
      <c r="V85" s="1">
        <f t="shared" si="89"/>
        <v>20.555600000000002</v>
      </c>
      <c r="W85" s="1">
        <v>11.02</v>
      </c>
      <c r="X85" s="1">
        <f t="shared" si="90"/>
        <v>14.7668</v>
      </c>
      <c r="Y85" s="1"/>
      <c r="Z85" s="1"/>
      <c r="AA85" s="1"/>
      <c r="AB85" s="1"/>
      <c r="AC85" s="1"/>
      <c r="AD85" s="1"/>
      <c r="AE85" s="1">
        <v>4.66</v>
      </c>
      <c r="AF85" s="1">
        <f t="shared" ref="AF85" si="96">AE85*2.75</f>
        <v>12.815000000000001</v>
      </c>
      <c r="AG85" s="1">
        <v>4.01</v>
      </c>
      <c r="AH85" s="1">
        <f t="shared" si="91"/>
        <v>11.0275</v>
      </c>
      <c r="AI85" s="1"/>
      <c r="AJ85" s="1"/>
      <c r="AK85" s="9"/>
      <c r="AL85" s="9"/>
      <c r="AM85" s="9"/>
      <c r="AN85" s="9"/>
      <c r="AO85" s="1">
        <v>8.18</v>
      </c>
      <c r="AP85" s="1">
        <f t="shared" si="95"/>
        <v>4.9079999999999995</v>
      </c>
      <c r="AR85" s="1">
        <f t="shared" si="86"/>
        <v>0.89</v>
      </c>
      <c r="AS85" s="1">
        <f t="shared" si="87"/>
        <v>0.11</v>
      </c>
      <c r="AT85" s="1">
        <f t="shared" si="88"/>
        <v>1</v>
      </c>
    </row>
    <row r="86" spans="2:46" x14ac:dyDescent="0.25">
      <c r="B86" t="s">
        <v>81</v>
      </c>
      <c r="C86" t="s">
        <v>82</v>
      </c>
      <c r="D86" s="1">
        <f t="shared" si="81"/>
        <v>75.460000000000008</v>
      </c>
      <c r="E86" s="9">
        <v>24.36</v>
      </c>
      <c r="F86" s="9">
        <f t="shared" si="82"/>
        <v>32.642400000000002</v>
      </c>
      <c r="G86" s="1"/>
      <c r="H86" s="1"/>
      <c r="I86" s="1"/>
      <c r="J86" s="1"/>
      <c r="K86" s="1">
        <v>2.75</v>
      </c>
      <c r="L86" s="1">
        <f t="shared" si="83"/>
        <v>6.4899999999999993</v>
      </c>
      <c r="M86" s="1"/>
      <c r="N86" s="1"/>
      <c r="O86" s="1"/>
      <c r="P86" s="1"/>
      <c r="Q86" s="1"/>
      <c r="R86" s="1"/>
      <c r="S86" s="1"/>
      <c r="T86" s="1"/>
      <c r="U86" s="1">
        <v>10.54</v>
      </c>
      <c r="V86" s="1">
        <f t="shared" si="89"/>
        <v>14.1236</v>
      </c>
      <c r="W86" s="1">
        <v>7.89</v>
      </c>
      <c r="X86" s="1">
        <f t="shared" si="90"/>
        <v>10.5726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9"/>
      <c r="AL86" s="9"/>
      <c r="AM86" s="9">
        <v>29.92</v>
      </c>
      <c r="AN86" s="9">
        <f t="shared" ref="AN86" si="97">AM86*1.34</f>
        <v>40.092800000000004</v>
      </c>
      <c r="AO86" s="1">
        <f>8.9+3.56</f>
        <v>12.46</v>
      </c>
      <c r="AP86" s="1">
        <f t="shared" si="95"/>
        <v>7.476</v>
      </c>
      <c r="AR86" s="1">
        <f t="shared" si="86"/>
        <v>0.96</v>
      </c>
      <c r="AS86" s="1">
        <f t="shared" si="87"/>
        <v>0.04</v>
      </c>
      <c r="AT86" s="1">
        <f t="shared" si="88"/>
        <v>1</v>
      </c>
    </row>
    <row r="87" spans="2:46" x14ac:dyDescent="0.25">
      <c r="B87" t="s">
        <v>97</v>
      </c>
      <c r="C87" t="s">
        <v>98</v>
      </c>
      <c r="D87" s="1">
        <f t="shared" si="81"/>
        <v>75.989999999999995</v>
      </c>
      <c r="E87" s="9">
        <v>24.9</v>
      </c>
      <c r="F87" s="9">
        <f t="shared" si="82"/>
        <v>33.366</v>
      </c>
      <c r="G87" s="1"/>
      <c r="H87" s="1"/>
      <c r="I87" s="1"/>
      <c r="J87" s="1"/>
      <c r="K87" s="1">
        <v>5.13</v>
      </c>
      <c r="L87" s="1">
        <f t="shared" si="83"/>
        <v>12.1068</v>
      </c>
      <c r="M87" s="1">
        <v>4.3899999999999997</v>
      </c>
      <c r="N87" s="1">
        <f>M87*2.36</f>
        <v>10.360399999999998</v>
      </c>
      <c r="O87" s="1"/>
      <c r="P87" s="1"/>
      <c r="Q87" s="1"/>
      <c r="R87" s="1"/>
      <c r="S87" s="1"/>
      <c r="T87" s="1"/>
      <c r="U87" s="1">
        <v>13.88</v>
      </c>
      <c r="V87" s="1">
        <f t="shared" si="89"/>
        <v>18.599200000000003</v>
      </c>
      <c r="W87" s="1">
        <v>10.48</v>
      </c>
      <c r="X87" s="1">
        <f t="shared" si="90"/>
        <v>14.043200000000001</v>
      </c>
      <c r="Y87" s="1">
        <v>8.16</v>
      </c>
      <c r="Z87" s="1">
        <f t="shared" ref="Z87:Z90" si="98">Y87*1.34</f>
        <v>10.9344</v>
      </c>
      <c r="AA87" s="1"/>
      <c r="AB87" s="1"/>
      <c r="AC87" s="1"/>
      <c r="AD87" s="1"/>
      <c r="AE87" s="1">
        <v>5.6</v>
      </c>
      <c r="AF87" s="1">
        <f t="shared" ref="AF87:AF88" si="99">AE87*2.75</f>
        <v>15.399999999999999</v>
      </c>
      <c r="AG87" s="1">
        <v>3.45</v>
      </c>
      <c r="AH87" s="1">
        <f t="shared" ref="AH87:AH100" si="100">AG87*2.75</f>
        <v>9.4875000000000007</v>
      </c>
      <c r="AI87" s="1"/>
      <c r="AJ87" s="1"/>
      <c r="AK87" s="9"/>
      <c r="AL87" s="9"/>
      <c r="AM87" s="9"/>
      <c r="AN87" s="9"/>
      <c r="AO87" s="1">
        <v>4.13</v>
      </c>
      <c r="AP87" s="1">
        <f t="shared" ref="AP87:AP88" si="101">AO87*0.6</f>
        <v>2.4779999999999998</v>
      </c>
      <c r="AR87" s="1">
        <f t="shared" si="86"/>
        <v>0.87</v>
      </c>
      <c r="AS87" s="1">
        <f t="shared" si="87"/>
        <v>0.13</v>
      </c>
      <c r="AT87" s="1">
        <f t="shared" si="88"/>
        <v>1</v>
      </c>
    </row>
    <row r="88" spans="2:46" x14ac:dyDescent="0.25">
      <c r="B88" t="s">
        <v>97</v>
      </c>
      <c r="C88" t="s">
        <v>98</v>
      </c>
      <c r="D88" s="1">
        <f t="shared" si="81"/>
        <v>76.029999999999987</v>
      </c>
      <c r="E88" s="9">
        <v>24.9</v>
      </c>
      <c r="F88" s="9">
        <f t="shared" si="82"/>
        <v>33.366</v>
      </c>
      <c r="G88" s="1"/>
      <c r="H88" s="1"/>
      <c r="I88" s="1"/>
      <c r="J88" s="1"/>
      <c r="K88" s="1">
        <v>4.3099999999999996</v>
      </c>
      <c r="L88" s="1">
        <f t="shared" si="83"/>
        <v>10.171599999999998</v>
      </c>
      <c r="M88" s="1">
        <v>4.3</v>
      </c>
      <c r="N88" s="1">
        <f>M88*2.36</f>
        <v>10.148</v>
      </c>
      <c r="O88" s="1"/>
      <c r="P88" s="1"/>
      <c r="Q88" s="1"/>
      <c r="R88" s="1"/>
      <c r="S88" s="1"/>
      <c r="T88" s="1"/>
      <c r="U88" s="1">
        <v>15.92</v>
      </c>
      <c r="V88" s="1">
        <f t="shared" si="89"/>
        <v>21.332800000000002</v>
      </c>
      <c r="W88" s="1">
        <v>10.48</v>
      </c>
      <c r="X88" s="1">
        <f t="shared" si="90"/>
        <v>14.043200000000001</v>
      </c>
      <c r="Y88" s="1">
        <v>8.35</v>
      </c>
      <c r="Z88" s="1">
        <f t="shared" si="98"/>
        <v>11.189</v>
      </c>
      <c r="AA88" s="1"/>
      <c r="AB88" s="1"/>
      <c r="AC88" s="1"/>
      <c r="AD88" s="1"/>
      <c r="AE88" s="1">
        <v>4.22</v>
      </c>
      <c r="AF88" s="1">
        <f t="shared" si="99"/>
        <v>11.604999999999999</v>
      </c>
      <c r="AG88" s="1">
        <v>3.55</v>
      </c>
      <c r="AH88" s="1">
        <f t="shared" si="100"/>
        <v>9.7624999999999993</v>
      </c>
      <c r="AI88" s="1"/>
      <c r="AJ88" s="1"/>
      <c r="AK88" s="9"/>
      <c r="AL88" s="9"/>
      <c r="AM88" s="9"/>
      <c r="AN88" s="9"/>
      <c r="AO88" s="1">
        <v>4.13</v>
      </c>
      <c r="AP88" s="1">
        <f t="shared" si="101"/>
        <v>2.4779999999999998</v>
      </c>
      <c r="AR88" s="1">
        <f t="shared" si="86"/>
        <v>0.89</v>
      </c>
      <c r="AS88" s="1">
        <f t="shared" si="87"/>
        <v>0.11</v>
      </c>
      <c r="AT88" s="1">
        <f t="shared" si="88"/>
        <v>1</v>
      </c>
    </row>
    <row r="89" spans="2:46" x14ac:dyDescent="0.25">
      <c r="B89" t="s">
        <v>103</v>
      </c>
      <c r="C89" t="s">
        <v>104</v>
      </c>
      <c r="D89" s="1">
        <f t="shared" si="81"/>
        <v>76.63</v>
      </c>
      <c r="E89" s="9">
        <v>32.36</v>
      </c>
      <c r="F89" s="9">
        <f t="shared" si="82"/>
        <v>43.362400000000001</v>
      </c>
      <c r="G89" s="1"/>
      <c r="H89" s="1"/>
      <c r="I89" s="1"/>
      <c r="J89" s="1"/>
      <c r="K89" s="1">
        <v>4.12</v>
      </c>
      <c r="L89" s="1">
        <f t="shared" si="83"/>
        <v>9.7232000000000003</v>
      </c>
      <c r="M89" s="1">
        <v>3.44</v>
      </c>
      <c r="N89" s="1">
        <f t="shared" ref="N89:N91" si="102">M89*2.36</f>
        <v>8.1183999999999994</v>
      </c>
      <c r="O89" s="1"/>
      <c r="P89" s="1"/>
      <c r="Q89" s="1"/>
      <c r="R89" s="1"/>
      <c r="S89" s="1"/>
      <c r="T89" s="1"/>
      <c r="U89" s="1">
        <v>13.94</v>
      </c>
      <c r="V89" s="1">
        <f t="shared" si="89"/>
        <v>18.679600000000001</v>
      </c>
      <c r="W89" s="1">
        <v>9.7899999999999991</v>
      </c>
      <c r="X89" s="1">
        <f t="shared" si="90"/>
        <v>13.118599999999999</v>
      </c>
      <c r="Y89" s="1">
        <v>9.7899999999999991</v>
      </c>
      <c r="Z89" s="1">
        <f t="shared" si="98"/>
        <v>13.118599999999999</v>
      </c>
      <c r="AA89" s="1"/>
      <c r="AB89" s="1"/>
      <c r="AC89" s="1"/>
      <c r="AD89" s="1"/>
      <c r="AE89" s="1"/>
      <c r="AF89" s="1"/>
      <c r="AG89" s="1">
        <v>3.19</v>
      </c>
      <c r="AH89" s="1">
        <f t="shared" si="100"/>
        <v>8.7724999999999991</v>
      </c>
      <c r="AI89" s="1"/>
      <c r="AJ89" s="1"/>
      <c r="AK89" s="9"/>
      <c r="AL89" s="9"/>
      <c r="AM89" s="9"/>
      <c r="AN89" s="9"/>
      <c r="AO89" s="1">
        <v>13.02</v>
      </c>
      <c r="AP89" s="1">
        <f t="shared" ref="AP89:AP91" si="103">AO89*0.6</f>
        <v>7.8119999999999994</v>
      </c>
      <c r="AR89" s="1">
        <f t="shared" si="86"/>
        <v>0.9</v>
      </c>
      <c r="AS89" s="1">
        <f t="shared" si="87"/>
        <v>0.1</v>
      </c>
      <c r="AT89" s="1">
        <f t="shared" si="88"/>
        <v>1</v>
      </c>
    </row>
    <row r="90" spans="2:46" x14ac:dyDescent="0.25">
      <c r="B90" t="s">
        <v>81</v>
      </c>
      <c r="C90" t="s">
        <v>82</v>
      </c>
      <c r="D90" s="1">
        <f t="shared" si="81"/>
        <v>76.760000000000005</v>
      </c>
      <c r="E90" s="9">
        <v>31.62</v>
      </c>
      <c r="F90" s="9">
        <f t="shared" si="82"/>
        <v>42.370800000000003</v>
      </c>
      <c r="G90" s="1"/>
      <c r="H90" s="1"/>
      <c r="I90" s="1"/>
      <c r="J90" s="1"/>
      <c r="K90" s="1">
        <v>3.51</v>
      </c>
      <c r="L90" s="1">
        <f t="shared" si="83"/>
        <v>8.2835999999999999</v>
      </c>
      <c r="M90" s="1">
        <v>2.95</v>
      </c>
      <c r="N90" s="1">
        <f t="shared" si="102"/>
        <v>6.9619999999999997</v>
      </c>
      <c r="O90" s="1"/>
      <c r="P90" s="1"/>
      <c r="Q90" s="1"/>
      <c r="R90" s="1"/>
      <c r="S90" s="1"/>
      <c r="T90" s="1"/>
      <c r="U90" s="1">
        <v>13.88</v>
      </c>
      <c r="V90" s="1">
        <f t="shared" si="89"/>
        <v>18.599200000000003</v>
      </c>
      <c r="W90" s="1">
        <v>10.14</v>
      </c>
      <c r="X90" s="1">
        <f t="shared" si="90"/>
        <v>13.587600000000002</v>
      </c>
      <c r="Y90" s="1">
        <v>8.81</v>
      </c>
      <c r="Z90" s="1">
        <f t="shared" si="98"/>
        <v>11.805400000000001</v>
      </c>
      <c r="AA90" s="1"/>
      <c r="AB90" s="1"/>
      <c r="AC90" s="1"/>
      <c r="AD90" s="1"/>
      <c r="AE90" s="1"/>
      <c r="AF90" s="1"/>
      <c r="AG90" s="1">
        <v>5.85</v>
      </c>
      <c r="AH90" s="1">
        <f t="shared" si="100"/>
        <v>16.087499999999999</v>
      </c>
      <c r="AI90" s="1"/>
      <c r="AJ90" s="1"/>
      <c r="AK90" s="9"/>
      <c r="AL90" s="9"/>
      <c r="AM90" s="9"/>
      <c r="AN90" s="9"/>
      <c r="AO90" s="1">
        <v>4.22</v>
      </c>
      <c r="AP90" s="1">
        <f t="shared" si="103"/>
        <v>2.5319999999999996</v>
      </c>
      <c r="AR90" s="1">
        <f t="shared" si="86"/>
        <v>0.92</v>
      </c>
      <c r="AS90" s="1">
        <f t="shared" si="87"/>
        <v>0.08</v>
      </c>
      <c r="AT90" s="1">
        <f t="shared" si="88"/>
        <v>1</v>
      </c>
    </row>
    <row r="91" spans="2:46" x14ac:dyDescent="0.25">
      <c r="B91" t="s">
        <v>81</v>
      </c>
      <c r="C91" t="s">
        <v>82</v>
      </c>
      <c r="D91" s="1">
        <f t="shared" si="81"/>
        <v>76.92</v>
      </c>
      <c r="E91" s="9">
        <v>31.79</v>
      </c>
      <c r="F91" s="9">
        <f t="shared" si="82"/>
        <v>42.598600000000005</v>
      </c>
      <c r="G91" s="1"/>
      <c r="H91" s="1"/>
      <c r="I91" s="1"/>
      <c r="J91" s="1"/>
      <c r="K91" s="1">
        <v>4.1399999999999997</v>
      </c>
      <c r="L91" s="1">
        <f t="shared" si="83"/>
        <v>9.7703999999999986</v>
      </c>
      <c r="M91" s="1">
        <v>2.91</v>
      </c>
      <c r="N91" s="1">
        <f t="shared" si="102"/>
        <v>6.8676000000000004</v>
      </c>
      <c r="O91" s="1"/>
      <c r="P91" s="1"/>
      <c r="Q91" s="1"/>
      <c r="R91" s="1"/>
      <c r="S91" s="1"/>
      <c r="T91" s="1"/>
      <c r="U91" s="1">
        <v>12.8</v>
      </c>
      <c r="V91" s="1">
        <f t="shared" si="89"/>
        <v>17.152000000000001</v>
      </c>
      <c r="W91" s="1">
        <v>9.75</v>
      </c>
      <c r="X91" s="1">
        <f t="shared" si="90"/>
        <v>13.065000000000001</v>
      </c>
      <c r="Y91" s="1">
        <v>9.48</v>
      </c>
      <c r="Z91" s="1">
        <f t="shared" ref="Z91" si="104">Y91*1.34</f>
        <v>12.703200000000001</v>
      </c>
      <c r="AA91" s="1"/>
      <c r="AB91" s="1"/>
      <c r="AC91" s="1"/>
      <c r="AD91" s="1"/>
      <c r="AE91" s="1"/>
      <c r="AF91" s="1"/>
      <c r="AG91" s="1">
        <v>4.84</v>
      </c>
      <c r="AH91" s="1">
        <f t="shared" si="100"/>
        <v>13.309999999999999</v>
      </c>
      <c r="AI91" s="1">
        <v>1.21</v>
      </c>
      <c r="AJ91" s="1">
        <f>AI91*2.36</f>
        <v>2.8555999999999999</v>
      </c>
      <c r="AK91" s="9"/>
      <c r="AL91" s="9"/>
      <c r="AM91" s="9"/>
      <c r="AN91" s="9"/>
      <c r="AO91" s="1">
        <f>39.61+71.73</f>
        <v>111.34</v>
      </c>
      <c r="AP91" s="1">
        <f t="shared" si="103"/>
        <v>66.804000000000002</v>
      </c>
      <c r="AR91" s="1">
        <f t="shared" si="86"/>
        <v>0.91</v>
      </c>
      <c r="AS91" s="1">
        <f t="shared" si="87"/>
        <v>0.09</v>
      </c>
      <c r="AT91" s="1">
        <f t="shared" si="88"/>
        <v>1</v>
      </c>
    </row>
    <row r="92" spans="2:46" x14ac:dyDescent="0.25">
      <c r="C92" t="s">
        <v>53</v>
      </c>
      <c r="D92" s="1">
        <f t="shared" si="81"/>
        <v>77.860000000000014</v>
      </c>
      <c r="E92" s="9">
        <v>31.23</v>
      </c>
      <c r="F92" s="9">
        <f t="shared" si="82"/>
        <v>41.848200000000006</v>
      </c>
      <c r="G92" s="1"/>
      <c r="H92" s="1"/>
      <c r="I92" s="1"/>
      <c r="J92" s="1"/>
      <c r="K92" s="1">
        <v>4.17</v>
      </c>
      <c r="L92" s="1">
        <f t="shared" si="83"/>
        <v>9.8411999999999988</v>
      </c>
      <c r="M92" s="1"/>
      <c r="N92" s="1"/>
      <c r="O92" s="1"/>
      <c r="P92" s="1"/>
      <c r="Q92" s="1"/>
      <c r="R92" s="1"/>
      <c r="S92" s="1"/>
      <c r="T92" s="1"/>
      <c r="U92" s="1">
        <v>13.86</v>
      </c>
      <c r="V92" s="1">
        <f t="shared" si="89"/>
        <v>18.572400000000002</v>
      </c>
      <c r="W92" s="1">
        <v>10.52</v>
      </c>
      <c r="X92" s="1">
        <f t="shared" si="90"/>
        <v>14.0968</v>
      </c>
      <c r="Y92" s="1">
        <v>9.6199999999999992</v>
      </c>
      <c r="Z92" s="1">
        <f t="shared" ref="Z92:Z104" si="105">Y92*1.34</f>
        <v>12.8908</v>
      </c>
      <c r="AA92" s="1"/>
      <c r="AB92" s="1"/>
      <c r="AC92" s="1"/>
      <c r="AD92" s="1"/>
      <c r="AE92" s="1">
        <v>2.48</v>
      </c>
      <c r="AF92" s="1">
        <f t="shared" ref="AF92" si="106">AE92*2.75</f>
        <v>6.82</v>
      </c>
      <c r="AG92" s="1">
        <v>3.54</v>
      </c>
      <c r="AH92" s="1">
        <f t="shared" si="100"/>
        <v>9.7349999999999994</v>
      </c>
      <c r="AI92" s="1">
        <v>2.44</v>
      </c>
      <c r="AJ92" s="1">
        <f>AI92*2.36</f>
        <v>5.7584</v>
      </c>
      <c r="AK92" s="9"/>
      <c r="AL92" s="9"/>
      <c r="AM92" s="9"/>
      <c r="AN92" s="9"/>
      <c r="AO92" s="1">
        <v>13.73</v>
      </c>
      <c r="AP92" s="1">
        <f t="shared" ref="AP92:AP94" si="107">AO92*0.6</f>
        <v>8.2379999999999995</v>
      </c>
      <c r="AR92" s="1">
        <f t="shared" si="86"/>
        <v>0.95</v>
      </c>
      <c r="AS92" s="1">
        <f t="shared" si="87"/>
        <v>0.05</v>
      </c>
      <c r="AT92" s="1">
        <f t="shared" si="88"/>
        <v>1</v>
      </c>
    </row>
    <row r="93" spans="2:46" x14ac:dyDescent="0.25">
      <c r="B93" t="s">
        <v>103</v>
      </c>
      <c r="C93" t="s">
        <v>104</v>
      </c>
      <c r="D93" s="1">
        <f t="shared" si="81"/>
        <v>78.040000000000006</v>
      </c>
      <c r="E93" s="9">
        <v>34.1</v>
      </c>
      <c r="F93" s="9">
        <f t="shared" si="82"/>
        <v>45.694000000000003</v>
      </c>
      <c r="G93" s="1"/>
      <c r="H93" s="1"/>
      <c r="I93" s="1"/>
      <c r="J93" s="1"/>
      <c r="K93" s="1">
        <v>4.2</v>
      </c>
      <c r="L93" s="1">
        <f t="shared" si="83"/>
        <v>9.911999999999999</v>
      </c>
      <c r="M93" s="1">
        <v>3.36</v>
      </c>
      <c r="N93" s="1">
        <f>M93*2.36</f>
        <v>7.9295999999999989</v>
      </c>
      <c r="O93" s="1"/>
      <c r="P93" s="1"/>
      <c r="Q93" s="1"/>
      <c r="R93" s="1"/>
      <c r="S93" s="1"/>
      <c r="T93" s="1"/>
      <c r="U93" s="1">
        <v>13.82</v>
      </c>
      <c r="V93" s="1">
        <f t="shared" si="89"/>
        <v>18.518800000000002</v>
      </c>
      <c r="W93" s="1">
        <v>9.6999999999999993</v>
      </c>
      <c r="X93" s="1">
        <f t="shared" si="90"/>
        <v>12.997999999999999</v>
      </c>
      <c r="Y93" s="1">
        <v>9.6999999999999993</v>
      </c>
      <c r="Z93" s="1">
        <f t="shared" si="105"/>
        <v>12.997999999999999</v>
      </c>
      <c r="AA93" s="1"/>
      <c r="AB93" s="1"/>
      <c r="AC93" s="1"/>
      <c r="AD93" s="1"/>
      <c r="AE93" s="1"/>
      <c r="AF93" s="1"/>
      <c r="AG93" s="1">
        <v>3.16</v>
      </c>
      <c r="AH93" s="1">
        <f t="shared" si="100"/>
        <v>8.6900000000000013</v>
      </c>
      <c r="AI93" s="1"/>
      <c r="AJ93" s="1"/>
      <c r="AK93" s="9"/>
      <c r="AL93" s="9"/>
      <c r="AM93" s="9"/>
      <c r="AN93" s="9"/>
      <c r="AO93" s="1">
        <v>22.48</v>
      </c>
      <c r="AP93" s="1">
        <f t="shared" si="107"/>
        <v>13.488</v>
      </c>
      <c r="AR93" s="1">
        <f t="shared" si="86"/>
        <v>0.9</v>
      </c>
      <c r="AS93" s="1">
        <f t="shared" si="87"/>
        <v>0.1</v>
      </c>
      <c r="AT93" s="1">
        <f t="shared" si="88"/>
        <v>1</v>
      </c>
    </row>
    <row r="94" spans="2:46" x14ac:dyDescent="0.25">
      <c r="C94" t="s">
        <v>53</v>
      </c>
      <c r="D94" s="1">
        <f t="shared" si="81"/>
        <v>78.069999999999993</v>
      </c>
      <c r="E94" s="9">
        <v>29.1</v>
      </c>
      <c r="F94" s="9">
        <f t="shared" si="82"/>
        <v>38.994000000000007</v>
      </c>
      <c r="G94" s="1"/>
      <c r="H94" s="1"/>
      <c r="I94" s="1"/>
      <c r="J94" s="1"/>
      <c r="K94" s="1">
        <v>3.78</v>
      </c>
      <c r="L94" s="1">
        <f t="shared" si="83"/>
        <v>8.9207999999999998</v>
      </c>
      <c r="M94" s="1"/>
      <c r="N94" s="1"/>
      <c r="O94" s="1"/>
      <c r="P94" s="1"/>
      <c r="Q94" s="1"/>
      <c r="R94" s="1"/>
      <c r="S94" s="1"/>
      <c r="T94" s="1"/>
      <c r="U94" s="1">
        <v>13.02</v>
      </c>
      <c r="V94" s="1">
        <f t="shared" si="89"/>
        <v>17.4468</v>
      </c>
      <c r="W94" s="1">
        <v>10.050000000000001</v>
      </c>
      <c r="X94" s="1">
        <f t="shared" si="90"/>
        <v>13.467000000000002</v>
      </c>
      <c r="Y94" s="1">
        <v>9.4600000000000009</v>
      </c>
      <c r="Z94" s="1">
        <f t="shared" si="105"/>
        <v>12.676400000000003</v>
      </c>
      <c r="AA94" s="1"/>
      <c r="AB94" s="1"/>
      <c r="AC94" s="1"/>
      <c r="AD94" s="1"/>
      <c r="AE94" s="1">
        <v>4.5</v>
      </c>
      <c r="AF94" s="1">
        <f t="shared" ref="AF94" si="108">AE94*2.75</f>
        <v>12.375</v>
      </c>
      <c r="AG94" s="1">
        <v>4.78</v>
      </c>
      <c r="AH94" s="1">
        <f t="shared" si="100"/>
        <v>13.145000000000001</v>
      </c>
      <c r="AI94" s="1">
        <v>3.38</v>
      </c>
      <c r="AJ94" s="1">
        <f>AI94*2.36</f>
        <v>7.976799999999999</v>
      </c>
      <c r="AK94" s="9"/>
      <c r="AL94" s="9"/>
      <c r="AM94" s="9"/>
      <c r="AN94" s="9"/>
      <c r="AO94" s="1">
        <v>19.649999999999999</v>
      </c>
      <c r="AP94" s="1">
        <f t="shared" si="107"/>
        <v>11.79</v>
      </c>
      <c r="AR94" s="1">
        <f t="shared" si="86"/>
        <v>0.95</v>
      </c>
      <c r="AS94" s="1">
        <f t="shared" si="87"/>
        <v>0.05</v>
      </c>
      <c r="AT94" s="1">
        <f t="shared" si="88"/>
        <v>1</v>
      </c>
    </row>
    <row r="95" spans="2:46" x14ac:dyDescent="0.25">
      <c r="B95" t="s">
        <v>103</v>
      </c>
      <c r="C95" t="s">
        <v>104</v>
      </c>
      <c r="D95" s="1">
        <f t="shared" si="81"/>
        <v>78.33</v>
      </c>
      <c r="E95" s="9">
        <v>34.14</v>
      </c>
      <c r="F95" s="9">
        <f t="shared" si="82"/>
        <v>45.747600000000006</v>
      </c>
      <c r="G95" s="1"/>
      <c r="H95" s="1"/>
      <c r="I95" s="1"/>
      <c r="J95" s="1"/>
      <c r="K95" s="1">
        <v>4.2</v>
      </c>
      <c r="L95" s="1">
        <f t="shared" si="83"/>
        <v>9.911999999999999</v>
      </c>
      <c r="M95" s="1">
        <v>3.4</v>
      </c>
      <c r="N95" s="1">
        <f t="shared" ref="N95" si="109">M95*2.36</f>
        <v>8.0239999999999991</v>
      </c>
      <c r="O95" s="1"/>
      <c r="P95" s="1"/>
      <c r="Q95" s="1"/>
      <c r="R95" s="1"/>
      <c r="S95" s="1"/>
      <c r="T95" s="1"/>
      <c r="U95" s="1">
        <v>13.93</v>
      </c>
      <c r="V95" s="1">
        <f t="shared" si="89"/>
        <v>18.6662</v>
      </c>
      <c r="W95" s="1">
        <v>9.75</v>
      </c>
      <c r="X95" s="1">
        <f t="shared" si="90"/>
        <v>13.065000000000001</v>
      </c>
      <c r="Y95" s="1">
        <v>9.75</v>
      </c>
      <c r="Z95" s="1">
        <f t="shared" si="105"/>
        <v>13.065000000000001</v>
      </c>
      <c r="AA95" s="1"/>
      <c r="AB95" s="1"/>
      <c r="AC95" s="1"/>
      <c r="AD95" s="1"/>
      <c r="AE95" s="1"/>
      <c r="AF95" s="1"/>
      <c r="AG95" s="1">
        <v>3.16</v>
      </c>
      <c r="AH95" s="1">
        <f t="shared" si="100"/>
        <v>8.6900000000000013</v>
      </c>
      <c r="AI95" s="1"/>
      <c r="AJ95" s="1"/>
      <c r="AK95" s="9"/>
      <c r="AL95" s="9"/>
      <c r="AM95" s="9"/>
      <c r="AN95" s="9"/>
      <c r="AO95" s="1">
        <v>13.27</v>
      </c>
      <c r="AP95" s="1">
        <f t="shared" ref="AP95" si="110">AO95*0.6</f>
        <v>7.9619999999999997</v>
      </c>
      <c r="AR95" s="1">
        <f t="shared" si="86"/>
        <v>0.9</v>
      </c>
      <c r="AS95" s="1">
        <f t="shared" si="87"/>
        <v>0.1</v>
      </c>
      <c r="AT95" s="1">
        <f t="shared" si="88"/>
        <v>1</v>
      </c>
    </row>
    <row r="96" spans="2:46" x14ac:dyDescent="0.25">
      <c r="B96" t="s">
        <v>90</v>
      </c>
      <c r="C96" t="s">
        <v>91</v>
      </c>
      <c r="D96" s="1">
        <f t="shared" ref="D96:D107" si="111">E96+G96+I96+K96+M96+O96+Q96+S96+U96+W96+Y96+AA96+AC96+AE96+AG96+AI96+AK96+AM96</f>
        <v>78.819999999999993</v>
      </c>
      <c r="E96" s="9">
        <v>33.72</v>
      </c>
      <c r="F96" s="9">
        <f t="shared" ref="F96:F106" si="112">E96*1.34</f>
        <v>45.184800000000003</v>
      </c>
      <c r="G96" s="1"/>
      <c r="H96" s="1"/>
      <c r="I96" s="1"/>
      <c r="J96" s="1"/>
      <c r="K96" s="1">
        <v>3.55</v>
      </c>
      <c r="L96" s="1">
        <f t="shared" ref="L96:L107" si="113">K96*2.36</f>
        <v>8.3779999999999983</v>
      </c>
      <c r="M96" s="1">
        <v>3.25</v>
      </c>
      <c r="N96" s="1">
        <f>M96*2.36</f>
        <v>7.67</v>
      </c>
      <c r="O96" s="1"/>
      <c r="P96" s="1"/>
      <c r="Q96" s="1"/>
      <c r="R96" s="1"/>
      <c r="S96" s="1"/>
      <c r="T96" s="1"/>
      <c r="U96" s="1">
        <v>12.61</v>
      </c>
      <c r="V96" s="1">
        <f t="shared" si="89"/>
        <v>16.897400000000001</v>
      </c>
      <c r="W96" s="1">
        <v>10.41</v>
      </c>
      <c r="X96" s="1">
        <f t="shared" si="90"/>
        <v>13.949400000000001</v>
      </c>
      <c r="Y96" s="1">
        <v>6.97</v>
      </c>
      <c r="Z96" s="1">
        <f t="shared" si="105"/>
        <v>9.3398000000000003</v>
      </c>
      <c r="AA96" s="1"/>
      <c r="AB96" s="1"/>
      <c r="AC96" s="1"/>
      <c r="AD96" s="1"/>
      <c r="AE96" s="1">
        <v>1.45</v>
      </c>
      <c r="AF96" s="1">
        <f t="shared" ref="AF96" si="114">AE96*2.75</f>
        <v>3.9874999999999998</v>
      </c>
      <c r="AG96" s="1">
        <v>4.0599999999999996</v>
      </c>
      <c r="AH96" s="1">
        <f t="shared" si="100"/>
        <v>11.164999999999999</v>
      </c>
      <c r="AI96" s="1">
        <v>2.8</v>
      </c>
      <c r="AJ96" s="1">
        <f>AI96*2.36</f>
        <v>6.6079999999999997</v>
      </c>
      <c r="AK96" s="9"/>
      <c r="AL96" s="9"/>
      <c r="AM96" s="9"/>
      <c r="AN96" s="9"/>
      <c r="AO96" s="1">
        <v>6.28</v>
      </c>
      <c r="AP96" s="1">
        <f t="shared" ref="AP96" si="115">AO96*0.6</f>
        <v>3.7679999999999998</v>
      </c>
      <c r="AR96" s="1">
        <f t="shared" ref="AR96:AR106" si="116">ROUND((E96+G96+U96+W96+Y96+AA96+AC96+AE96+AG96+AI96+AK96+AM96)/D96,2)</f>
        <v>0.91</v>
      </c>
      <c r="AS96" s="1">
        <f t="shared" ref="AS96:AS106" si="117">ROUND((I96+K96+M96+O96+Q96+S96)/D96,2)</f>
        <v>0.09</v>
      </c>
      <c r="AT96" s="1">
        <f t="shared" ref="AT96:AT106" si="118">AR96+AS96</f>
        <v>1</v>
      </c>
    </row>
    <row r="97" spans="2:46" x14ac:dyDescent="0.25">
      <c r="B97" t="s">
        <v>119</v>
      </c>
      <c r="C97" t="s">
        <v>120</v>
      </c>
      <c r="D97" s="1">
        <f t="shared" si="111"/>
        <v>79.140000000000015</v>
      </c>
      <c r="E97" s="9">
        <v>29.44</v>
      </c>
      <c r="F97" s="9">
        <f t="shared" si="112"/>
        <v>39.449600000000004</v>
      </c>
      <c r="G97" s="1"/>
      <c r="H97" s="1"/>
      <c r="I97" s="1"/>
      <c r="J97" s="1"/>
      <c r="K97" s="1">
        <v>4.13</v>
      </c>
      <c r="L97" s="1">
        <f t="shared" si="113"/>
        <v>9.7467999999999986</v>
      </c>
      <c r="M97" s="1">
        <v>3.92</v>
      </c>
      <c r="N97" s="1">
        <f>M97*2.36</f>
        <v>9.251199999999999</v>
      </c>
      <c r="O97" s="1"/>
      <c r="P97" s="1"/>
      <c r="Q97" s="1"/>
      <c r="R97" s="1"/>
      <c r="S97" s="1"/>
      <c r="T97" s="1"/>
      <c r="U97" s="1">
        <v>16.3</v>
      </c>
      <c r="V97" s="1">
        <f t="shared" si="89"/>
        <v>21.842000000000002</v>
      </c>
      <c r="W97" s="1">
        <v>10.67</v>
      </c>
      <c r="X97" s="1">
        <f t="shared" si="90"/>
        <v>14.297800000000001</v>
      </c>
      <c r="Y97" s="1">
        <v>10.59</v>
      </c>
      <c r="Z97" s="1">
        <f t="shared" si="105"/>
        <v>14.1906</v>
      </c>
      <c r="AA97" s="1"/>
      <c r="AB97" s="1"/>
      <c r="AC97" s="1"/>
      <c r="AD97" s="1"/>
      <c r="AE97" s="1"/>
      <c r="AF97" s="1"/>
      <c r="AG97" s="1">
        <v>4.09</v>
      </c>
      <c r="AH97" s="1">
        <f t="shared" si="100"/>
        <v>11.247499999999999</v>
      </c>
      <c r="AI97" s="1"/>
      <c r="AJ97" s="1"/>
      <c r="AK97" s="9"/>
      <c r="AL97" s="9"/>
      <c r="AM97" s="9"/>
      <c r="AN97" s="9"/>
      <c r="AO97" s="1">
        <f>107.77+16.94</f>
        <v>124.71</v>
      </c>
      <c r="AP97" s="1">
        <f>AO97*0.6</f>
        <v>74.825999999999993</v>
      </c>
      <c r="AR97" s="1">
        <f t="shared" si="116"/>
        <v>0.9</v>
      </c>
      <c r="AS97" s="1">
        <f t="shared" si="117"/>
        <v>0.1</v>
      </c>
      <c r="AT97" s="1">
        <f t="shared" si="118"/>
        <v>1</v>
      </c>
    </row>
    <row r="98" spans="2:46" x14ac:dyDescent="0.25">
      <c r="B98" t="s">
        <v>90</v>
      </c>
      <c r="C98" t="s">
        <v>91</v>
      </c>
      <c r="D98" s="1">
        <f t="shared" si="111"/>
        <v>79.999999999999986</v>
      </c>
      <c r="E98" s="9">
        <v>33.85</v>
      </c>
      <c r="F98" s="9">
        <f t="shared" si="112"/>
        <v>45.359000000000002</v>
      </c>
      <c r="G98" s="1"/>
      <c r="H98" s="1"/>
      <c r="I98" s="1"/>
      <c r="J98" s="1"/>
      <c r="K98" s="1">
        <v>3.55</v>
      </c>
      <c r="L98" s="1">
        <f t="shared" si="113"/>
        <v>8.3779999999999983</v>
      </c>
      <c r="M98" s="1">
        <v>3.37</v>
      </c>
      <c r="N98" s="1">
        <f>M98*2.36</f>
        <v>7.9531999999999998</v>
      </c>
      <c r="O98" s="1"/>
      <c r="P98" s="1"/>
      <c r="Q98" s="1"/>
      <c r="R98" s="1"/>
      <c r="S98" s="1"/>
      <c r="T98" s="1"/>
      <c r="U98" s="1">
        <v>13.36</v>
      </c>
      <c r="V98" s="1">
        <f t="shared" ref="V98:V108" si="119">U98*1.34</f>
        <v>17.9024</v>
      </c>
      <c r="W98" s="1">
        <v>10.85</v>
      </c>
      <c r="X98" s="1">
        <f t="shared" ref="X98:X108" si="120">W98*1.34</f>
        <v>14.539</v>
      </c>
      <c r="Y98" s="1">
        <v>6.97</v>
      </c>
      <c r="Z98" s="1">
        <f t="shared" si="105"/>
        <v>9.3398000000000003</v>
      </c>
      <c r="AA98" s="1"/>
      <c r="AB98" s="1"/>
      <c r="AC98" s="1"/>
      <c r="AD98" s="1"/>
      <c r="AE98" s="1">
        <v>1.45</v>
      </c>
      <c r="AF98" s="1">
        <f t="shared" ref="AF98" si="121">AE98*2.75</f>
        <v>3.9874999999999998</v>
      </c>
      <c r="AG98" s="1">
        <v>4.08</v>
      </c>
      <c r="AH98" s="1">
        <f t="shared" si="100"/>
        <v>11.22</v>
      </c>
      <c r="AI98" s="1">
        <v>2.52</v>
      </c>
      <c r="AJ98" s="1">
        <f>AI98*2.36</f>
        <v>5.9471999999999996</v>
      </c>
      <c r="AK98" s="9"/>
      <c r="AL98" s="9"/>
      <c r="AM98" s="9"/>
      <c r="AN98" s="9"/>
      <c r="AO98" s="1">
        <v>5.99</v>
      </c>
      <c r="AP98" s="1">
        <f t="shared" ref="AP98" si="122">AO98*0.6</f>
        <v>3.5939999999999999</v>
      </c>
      <c r="AR98" s="1">
        <f t="shared" si="116"/>
        <v>0.91</v>
      </c>
      <c r="AS98" s="1">
        <f t="shared" si="117"/>
        <v>0.09</v>
      </c>
      <c r="AT98" s="1">
        <f t="shared" si="118"/>
        <v>1</v>
      </c>
    </row>
    <row r="99" spans="2:46" x14ac:dyDescent="0.25">
      <c r="B99" t="s">
        <v>42</v>
      </c>
      <c r="C99" t="s">
        <v>49</v>
      </c>
      <c r="D99" s="1">
        <f t="shared" si="111"/>
        <v>81.2</v>
      </c>
      <c r="E99" s="9">
        <v>30.87</v>
      </c>
      <c r="F99" s="9">
        <f t="shared" si="112"/>
        <v>41.365800000000007</v>
      </c>
      <c r="G99" s="1"/>
      <c r="H99" s="1"/>
      <c r="I99" s="1"/>
      <c r="J99" s="1"/>
      <c r="K99" s="1">
        <v>4.7</v>
      </c>
      <c r="L99" s="1">
        <f t="shared" si="113"/>
        <v>11.092000000000001</v>
      </c>
      <c r="M99" s="1"/>
      <c r="N99" s="1"/>
      <c r="O99" s="1"/>
      <c r="P99" s="1"/>
      <c r="Q99" s="1"/>
      <c r="R99" s="1"/>
      <c r="S99" s="1"/>
      <c r="T99" s="1"/>
      <c r="U99" s="1">
        <v>14.11</v>
      </c>
      <c r="V99" s="1">
        <f t="shared" si="119"/>
        <v>18.907399999999999</v>
      </c>
      <c r="W99" s="1">
        <v>10.06</v>
      </c>
      <c r="X99" s="1">
        <f t="shared" si="120"/>
        <v>13.480400000000001</v>
      </c>
      <c r="Y99" s="1">
        <v>10</v>
      </c>
      <c r="Z99" s="1">
        <f t="shared" si="105"/>
        <v>13.4</v>
      </c>
      <c r="AA99" s="1"/>
      <c r="AB99" s="1"/>
      <c r="AC99" s="1"/>
      <c r="AD99" s="1"/>
      <c r="AE99" s="1">
        <v>7.22</v>
      </c>
      <c r="AF99" s="1">
        <f t="shared" ref="AF99" si="123">AE99*2.75</f>
        <v>19.855</v>
      </c>
      <c r="AG99" s="1">
        <v>2.46</v>
      </c>
      <c r="AH99" s="1">
        <f t="shared" si="100"/>
        <v>6.7649999999999997</v>
      </c>
      <c r="AI99" s="1">
        <v>1.78</v>
      </c>
      <c r="AJ99" s="1">
        <f>AI99*2.36</f>
        <v>4.2008000000000001</v>
      </c>
      <c r="AK99" s="9"/>
      <c r="AL99" s="9"/>
      <c r="AM99" s="9"/>
      <c r="AN99" s="9"/>
      <c r="AO99" s="1">
        <f>44.78+8.84</f>
        <v>53.620000000000005</v>
      </c>
      <c r="AP99" s="1">
        <f t="shared" ref="AP99:AP100" si="124">AO99*0.6</f>
        <v>32.172000000000004</v>
      </c>
      <c r="AR99" s="1">
        <f t="shared" si="116"/>
        <v>0.94</v>
      </c>
      <c r="AS99" s="1">
        <f t="shared" si="117"/>
        <v>0.06</v>
      </c>
      <c r="AT99" s="1">
        <f t="shared" si="118"/>
        <v>1</v>
      </c>
    </row>
    <row r="100" spans="2:46" x14ac:dyDescent="0.25">
      <c r="B100" t="s">
        <v>97</v>
      </c>
      <c r="C100" t="s">
        <v>98</v>
      </c>
      <c r="D100" s="1">
        <f t="shared" si="111"/>
        <v>81.650000000000006</v>
      </c>
      <c r="E100" s="9">
        <v>26.91</v>
      </c>
      <c r="F100" s="9">
        <f t="shared" si="112"/>
        <v>36.059400000000004</v>
      </c>
      <c r="G100" s="1"/>
      <c r="H100" s="1"/>
      <c r="I100" s="1"/>
      <c r="J100" s="1"/>
      <c r="K100" s="1">
        <v>3.91</v>
      </c>
      <c r="L100" s="1">
        <f t="shared" si="113"/>
        <v>9.2276000000000007</v>
      </c>
      <c r="M100" s="1">
        <v>3.91</v>
      </c>
      <c r="N100" s="1">
        <f t="shared" ref="N100:N101" si="125">M100*2.36</f>
        <v>9.2276000000000007</v>
      </c>
      <c r="O100" s="1"/>
      <c r="P100" s="1"/>
      <c r="Q100" s="1"/>
      <c r="R100" s="1"/>
      <c r="S100" s="1"/>
      <c r="T100" s="1"/>
      <c r="U100" s="1">
        <v>14.47</v>
      </c>
      <c r="V100" s="1">
        <f t="shared" si="119"/>
        <v>19.389800000000001</v>
      </c>
      <c r="W100" s="1">
        <v>12.35</v>
      </c>
      <c r="X100" s="1">
        <f t="shared" si="120"/>
        <v>16.548999999999999</v>
      </c>
      <c r="Y100" s="1">
        <v>7.88</v>
      </c>
      <c r="Z100" s="1">
        <f t="shared" si="105"/>
        <v>10.559200000000001</v>
      </c>
      <c r="AA100" s="1"/>
      <c r="AB100" s="1"/>
      <c r="AC100" s="1"/>
      <c r="AD100" s="1"/>
      <c r="AE100" s="1">
        <v>6.34</v>
      </c>
      <c r="AF100" s="1">
        <f t="shared" ref="AF100" si="126">AE100*2.75</f>
        <v>17.434999999999999</v>
      </c>
      <c r="AG100" s="1">
        <v>3.52</v>
      </c>
      <c r="AH100" s="1">
        <f t="shared" si="100"/>
        <v>9.68</v>
      </c>
      <c r="AI100" s="1">
        <v>2.36</v>
      </c>
      <c r="AJ100" s="1">
        <f>AI100*2.36</f>
        <v>5.5695999999999994</v>
      </c>
      <c r="AK100" s="9"/>
      <c r="AL100" s="9"/>
      <c r="AM100" s="9"/>
      <c r="AN100" s="9"/>
      <c r="AO100" s="1">
        <v>36.15</v>
      </c>
      <c r="AP100" s="1">
        <f t="shared" si="124"/>
        <v>21.689999999999998</v>
      </c>
      <c r="AR100" s="1">
        <f t="shared" si="116"/>
        <v>0.9</v>
      </c>
      <c r="AS100" s="1">
        <f t="shared" si="117"/>
        <v>0.1</v>
      </c>
      <c r="AT100" s="1">
        <f t="shared" si="118"/>
        <v>1</v>
      </c>
    </row>
    <row r="101" spans="2:46" x14ac:dyDescent="0.25">
      <c r="B101" t="s">
        <v>90</v>
      </c>
      <c r="C101" t="s">
        <v>92</v>
      </c>
      <c r="D101" s="1">
        <f t="shared" si="111"/>
        <v>82.07</v>
      </c>
      <c r="E101" s="9">
        <v>34.96</v>
      </c>
      <c r="F101" s="9">
        <f t="shared" si="112"/>
        <v>46.846400000000003</v>
      </c>
      <c r="G101" s="1"/>
      <c r="H101" s="1"/>
      <c r="I101" s="1"/>
      <c r="J101" s="1"/>
      <c r="K101" s="1">
        <v>3.97</v>
      </c>
      <c r="L101" s="1">
        <f t="shared" si="113"/>
        <v>9.3691999999999993</v>
      </c>
      <c r="M101" s="1">
        <v>3.88</v>
      </c>
      <c r="N101" s="1">
        <f t="shared" si="125"/>
        <v>9.1567999999999987</v>
      </c>
      <c r="O101" s="1"/>
      <c r="P101" s="1"/>
      <c r="Q101" s="1"/>
      <c r="R101" s="1"/>
      <c r="S101" s="1"/>
      <c r="T101" s="1"/>
      <c r="U101" s="1">
        <v>13.93</v>
      </c>
      <c r="V101" s="1">
        <f t="shared" si="119"/>
        <v>18.6662</v>
      </c>
      <c r="W101" s="1">
        <v>13.73</v>
      </c>
      <c r="X101" s="1">
        <f t="shared" si="120"/>
        <v>18.398200000000003</v>
      </c>
      <c r="Y101" s="1">
        <v>11.6</v>
      </c>
      <c r="Z101" s="1">
        <f t="shared" si="105"/>
        <v>15.544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9"/>
      <c r="AL101" s="9"/>
      <c r="AM101" s="9"/>
      <c r="AN101" s="9"/>
      <c r="AO101" s="1"/>
      <c r="AP101" s="1"/>
      <c r="AR101" s="1">
        <f t="shared" si="116"/>
        <v>0.9</v>
      </c>
      <c r="AS101" s="1">
        <f t="shared" si="117"/>
        <v>0.1</v>
      </c>
      <c r="AT101" s="1">
        <f t="shared" si="118"/>
        <v>1</v>
      </c>
    </row>
    <row r="102" spans="2:46" x14ac:dyDescent="0.25">
      <c r="B102" t="s">
        <v>42</v>
      </c>
      <c r="C102" t="s">
        <v>49</v>
      </c>
      <c r="D102" s="1">
        <f t="shared" si="111"/>
        <v>82.4</v>
      </c>
      <c r="E102" s="9">
        <v>29.79</v>
      </c>
      <c r="F102" s="9">
        <f t="shared" si="112"/>
        <v>39.918599999999998</v>
      </c>
      <c r="G102" s="1"/>
      <c r="H102" s="1"/>
      <c r="I102" s="1"/>
      <c r="J102" s="1"/>
      <c r="K102" s="1">
        <v>3.77</v>
      </c>
      <c r="L102" s="1">
        <f t="shared" si="113"/>
        <v>8.8971999999999998</v>
      </c>
      <c r="M102" s="1"/>
      <c r="N102" s="1"/>
      <c r="O102" s="1"/>
      <c r="P102" s="1"/>
      <c r="Q102" s="1"/>
      <c r="R102" s="1"/>
      <c r="S102" s="1"/>
      <c r="T102" s="1"/>
      <c r="U102" s="1">
        <v>13.97</v>
      </c>
      <c r="V102" s="1">
        <f t="shared" si="119"/>
        <v>18.719800000000003</v>
      </c>
      <c r="W102" s="1">
        <v>10.09</v>
      </c>
      <c r="X102" s="1">
        <f t="shared" si="120"/>
        <v>13.5206</v>
      </c>
      <c r="Y102" s="1">
        <v>9.98</v>
      </c>
      <c r="Z102" s="1">
        <f t="shared" si="105"/>
        <v>13.373200000000001</v>
      </c>
      <c r="AA102" s="1"/>
      <c r="AB102" s="1"/>
      <c r="AC102" s="1"/>
      <c r="AD102" s="1"/>
      <c r="AE102" s="1">
        <v>5.2</v>
      </c>
      <c r="AF102" s="1">
        <f t="shared" ref="AF102:AF103" si="127">AE102*2.75</f>
        <v>14.3</v>
      </c>
      <c r="AG102" s="1">
        <v>3.5</v>
      </c>
      <c r="AH102" s="1">
        <f t="shared" ref="AH102" si="128">AG102*2.75</f>
        <v>9.625</v>
      </c>
      <c r="AI102" s="1">
        <v>6.1</v>
      </c>
      <c r="AJ102" s="1">
        <f>AI102*2.36</f>
        <v>14.395999999999999</v>
      </c>
      <c r="AK102" s="9"/>
      <c r="AL102" s="9"/>
      <c r="AM102" s="9"/>
      <c r="AN102" s="9"/>
      <c r="AO102" s="1">
        <v>9.32</v>
      </c>
      <c r="AP102" s="1">
        <f t="shared" ref="AP102" si="129">AO102*0.6</f>
        <v>5.5919999999999996</v>
      </c>
      <c r="AR102" s="1">
        <f t="shared" si="116"/>
        <v>0.95</v>
      </c>
      <c r="AS102" s="1">
        <f t="shared" si="117"/>
        <v>0.05</v>
      </c>
      <c r="AT102" s="1">
        <f t="shared" si="118"/>
        <v>1</v>
      </c>
    </row>
    <row r="103" spans="2:46" x14ac:dyDescent="0.25">
      <c r="B103" t="s">
        <v>90</v>
      </c>
      <c r="C103" t="s">
        <v>92</v>
      </c>
      <c r="D103" s="1">
        <f t="shared" si="111"/>
        <v>83.39</v>
      </c>
      <c r="E103" s="9">
        <v>36.119999999999997</v>
      </c>
      <c r="F103" s="9">
        <f t="shared" si="112"/>
        <v>48.400799999999997</v>
      </c>
      <c r="G103" s="1"/>
      <c r="H103" s="1"/>
      <c r="I103" s="1"/>
      <c r="J103" s="1"/>
      <c r="K103" s="1">
        <v>3.59</v>
      </c>
      <c r="L103" s="1">
        <f t="shared" si="113"/>
        <v>8.4723999999999986</v>
      </c>
      <c r="M103" s="1">
        <v>3.39</v>
      </c>
      <c r="N103" s="1">
        <f t="shared" ref="N103" si="130">M103*2.36</f>
        <v>8.0003999999999991</v>
      </c>
      <c r="O103" s="1"/>
      <c r="P103" s="1"/>
      <c r="Q103" s="1"/>
      <c r="R103" s="1"/>
      <c r="S103" s="1"/>
      <c r="T103" s="1"/>
      <c r="U103" s="1">
        <v>12.17</v>
      </c>
      <c r="V103" s="1">
        <f t="shared" si="119"/>
        <v>16.3078</v>
      </c>
      <c r="W103" s="1">
        <v>13.2</v>
      </c>
      <c r="X103" s="1">
        <f t="shared" si="120"/>
        <v>17.687999999999999</v>
      </c>
      <c r="Y103" s="1">
        <v>8.9700000000000006</v>
      </c>
      <c r="Z103" s="1">
        <f t="shared" si="105"/>
        <v>12.019800000000002</v>
      </c>
      <c r="AA103" s="1"/>
      <c r="AB103" s="1"/>
      <c r="AC103" s="1"/>
      <c r="AD103" s="1"/>
      <c r="AE103" s="1">
        <v>3.84</v>
      </c>
      <c r="AF103" s="1">
        <f t="shared" si="127"/>
        <v>10.559999999999999</v>
      </c>
      <c r="AG103" s="1"/>
      <c r="AH103" s="1"/>
      <c r="AI103" s="1">
        <v>2.11</v>
      </c>
      <c r="AJ103" s="1">
        <f>AI103*2.36</f>
        <v>4.9795999999999996</v>
      </c>
      <c r="AK103" s="9"/>
      <c r="AL103" s="9"/>
      <c r="AM103" s="9"/>
      <c r="AN103" s="9"/>
      <c r="AO103" s="1">
        <v>8.61</v>
      </c>
      <c r="AP103" s="1">
        <f t="shared" ref="AP103" si="131">AO103*0.6</f>
        <v>5.1659999999999995</v>
      </c>
      <c r="AR103" s="1">
        <f t="shared" si="116"/>
        <v>0.92</v>
      </c>
      <c r="AS103" s="1">
        <f t="shared" si="117"/>
        <v>0.08</v>
      </c>
      <c r="AT103" s="1">
        <f t="shared" si="118"/>
        <v>1</v>
      </c>
    </row>
    <row r="104" spans="2:46" x14ac:dyDescent="0.25">
      <c r="B104" t="s">
        <v>40</v>
      </c>
      <c r="C104" t="s">
        <v>50</v>
      </c>
      <c r="D104" s="1">
        <f t="shared" si="111"/>
        <v>84.539999999999992</v>
      </c>
      <c r="E104" s="9">
        <v>30.45</v>
      </c>
      <c r="F104" s="9">
        <f t="shared" si="112"/>
        <v>40.803000000000004</v>
      </c>
      <c r="G104" s="1"/>
      <c r="H104" s="1"/>
      <c r="I104" s="1"/>
      <c r="J104" s="1"/>
      <c r="K104" s="1">
        <v>4.3099999999999996</v>
      </c>
      <c r="L104" s="1">
        <f t="shared" si="113"/>
        <v>10.171599999999998</v>
      </c>
      <c r="M104" s="1"/>
      <c r="N104" s="1"/>
      <c r="O104" s="1"/>
      <c r="P104" s="1"/>
      <c r="Q104" s="1"/>
      <c r="R104" s="1"/>
      <c r="S104" s="1"/>
      <c r="T104" s="1"/>
      <c r="U104" s="1">
        <v>13.26</v>
      </c>
      <c r="V104" s="1">
        <f t="shared" si="119"/>
        <v>17.7684</v>
      </c>
      <c r="W104" s="1">
        <v>10.97</v>
      </c>
      <c r="X104" s="1">
        <f t="shared" si="120"/>
        <v>14.699800000000002</v>
      </c>
      <c r="Y104" s="1">
        <v>9.9700000000000006</v>
      </c>
      <c r="Z104" s="1">
        <f t="shared" si="105"/>
        <v>13.359800000000002</v>
      </c>
      <c r="AA104" s="1">
        <v>8.01</v>
      </c>
      <c r="AB104" s="1">
        <f t="shared" ref="AB104" si="132">AA104*1.34</f>
        <v>10.7334</v>
      </c>
      <c r="AC104" s="1"/>
      <c r="AD104" s="1"/>
      <c r="AE104" s="1">
        <v>3.88</v>
      </c>
      <c r="AF104" s="1">
        <f t="shared" ref="AF104" si="133">AE104*2.75</f>
        <v>10.67</v>
      </c>
      <c r="AG104" s="1">
        <v>3.69</v>
      </c>
      <c r="AH104" s="1">
        <f t="shared" ref="AH104" si="134">AG104*2.75</f>
        <v>10.147499999999999</v>
      </c>
      <c r="AI104" s="1"/>
      <c r="AJ104" s="1"/>
      <c r="AK104" s="9"/>
      <c r="AL104" s="9"/>
      <c r="AM104" s="9"/>
      <c r="AN104" s="9"/>
      <c r="AO104" s="1"/>
      <c r="AP104" s="1"/>
      <c r="AR104" s="1">
        <f t="shared" si="116"/>
        <v>0.95</v>
      </c>
      <c r="AS104" s="1">
        <f t="shared" si="117"/>
        <v>0.05</v>
      </c>
      <c r="AT104" s="1">
        <f t="shared" si="118"/>
        <v>1</v>
      </c>
    </row>
    <row r="105" spans="2:46" x14ac:dyDescent="0.25">
      <c r="D105" s="1">
        <f t="shared" si="111"/>
        <v>88.87</v>
      </c>
      <c r="E105" s="9">
        <v>29.02</v>
      </c>
      <c r="F105" s="9">
        <f t="shared" si="112"/>
        <v>38.886800000000001</v>
      </c>
      <c r="G105" s="1"/>
      <c r="H105" s="1"/>
      <c r="I105" s="1"/>
      <c r="J105" s="1"/>
      <c r="K105" s="1">
        <v>4.97</v>
      </c>
      <c r="L105" s="1">
        <f t="shared" si="113"/>
        <v>11.729199999999999</v>
      </c>
      <c r="M105" s="1">
        <v>3.79</v>
      </c>
      <c r="N105" s="1">
        <f t="shared" ref="N105:N117" si="135">M105*2.36</f>
        <v>8.9443999999999999</v>
      </c>
      <c r="Q105" s="1"/>
      <c r="R105" s="1"/>
      <c r="S105" s="1"/>
      <c r="T105" s="1"/>
      <c r="U105" s="1">
        <v>17.63</v>
      </c>
      <c r="V105" s="1">
        <f t="shared" si="119"/>
        <v>23.624199999999998</v>
      </c>
      <c r="W105" s="1">
        <v>13.12</v>
      </c>
      <c r="X105" s="1">
        <f t="shared" si="120"/>
        <v>17.5808</v>
      </c>
      <c r="Y105" s="1">
        <v>11.36</v>
      </c>
      <c r="Z105" s="1">
        <f t="shared" ref="Z105:Z108" si="136">Y105*1.34</f>
        <v>15.2224</v>
      </c>
      <c r="AA105" s="1"/>
      <c r="AB105" s="1"/>
      <c r="AC105" s="1"/>
      <c r="AD105" s="1"/>
      <c r="AE105" s="1"/>
      <c r="AF105" s="1"/>
      <c r="AG105" s="1">
        <v>5.2</v>
      </c>
      <c r="AH105" s="1">
        <f t="shared" ref="AH105" si="137">AG105*2.75</f>
        <v>14.3</v>
      </c>
      <c r="AI105" s="1">
        <v>3.78</v>
      </c>
      <c r="AJ105" s="1">
        <f>AI105*2.36</f>
        <v>8.9207999999999998</v>
      </c>
      <c r="AK105" s="9"/>
      <c r="AL105" s="9"/>
      <c r="AM105" s="9"/>
      <c r="AN105" s="9"/>
      <c r="AO105" s="1"/>
      <c r="AP105" s="1"/>
      <c r="AR105" s="1">
        <f t="shared" si="116"/>
        <v>0.9</v>
      </c>
      <c r="AS105" s="1">
        <f t="shared" si="117"/>
        <v>0.1</v>
      </c>
      <c r="AT105" s="1">
        <f t="shared" si="118"/>
        <v>1</v>
      </c>
    </row>
    <row r="106" spans="2:46" x14ac:dyDescent="0.25">
      <c r="B106" t="s">
        <v>90</v>
      </c>
      <c r="C106" t="s">
        <v>92</v>
      </c>
      <c r="D106" s="1">
        <f t="shared" si="111"/>
        <v>88.95</v>
      </c>
      <c r="E106" s="9">
        <v>39.92</v>
      </c>
      <c r="F106" s="9">
        <f t="shared" si="112"/>
        <v>53.492800000000003</v>
      </c>
      <c r="G106" s="1"/>
      <c r="H106" s="1"/>
      <c r="I106" s="1"/>
      <c r="J106" s="1"/>
      <c r="K106" s="1">
        <v>4.0599999999999996</v>
      </c>
      <c r="L106" s="1">
        <f t="shared" si="113"/>
        <v>9.5815999999999981</v>
      </c>
      <c r="M106" s="1">
        <v>3.93</v>
      </c>
      <c r="N106" s="1">
        <f t="shared" si="135"/>
        <v>9.274799999999999</v>
      </c>
      <c r="O106" s="1"/>
      <c r="P106" s="1"/>
      <c r="Q106" s="1"/>
      <c r="R106" s="1"/>
      <c r="S106" s="1"/>
      <c r="T106" s="1"/>
      <c r="U106" s="1">
        <v>14.08</v>
      </c>
      <c r="V106" s="1">
        <f t="shared" si="119"/>
        <v>18.8672</v>
      </c>
      <c r="W106" s="1">
        <v>14.02</v>
      </c>
      <c r="X106" s="1">
        <f t="shared" si="120"/>
        <v>18.786799999999999</v>
      </c>
      <c r="Y106" s="1">
        <v>12.94</v>
      </c>
      <c r="Z106" s="1">
        <f t="shared" si="136"/>
        <v>17.339600000000001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9"/>
      <c r="AL106" s="9"/>
      <c r="AM106" s="9"/>
      <c r="AN106" s="9"/>
      <c r="AO106" s="1">
        <v>6.46</v>
      </c>
      <c r="AP106" s="1">
        <f>AO106*0.6</f>
        <v>3.8759999999999999</v>
      </c>
      <c r="AR106" s="1">
        <f t="shared" si="116"/>
        <v>0.91</v>
      </c>
      <c r="AS106" s="1">
        <f t="shared" si="117"/>
        <v>0.09</v>
      </c>
      <c r="AT106" s="1">
        <f t="shared" si="118"/>
        <v>1</v>
      </c>
    </row>
    <row r="107" spans="2:46" x14ac:dyDescent="0.25">
      <c r="B107" t="s">
        <v>119</v>
      </c>
      <c r="C107" t="s">
        <v>120</v>
      </c>
      <c r="D107" s="1">
        <f t="shared" si="111"/>
        <v>89.6</v>
      </c>
      <c r="E107" s="9">
        <v>40.08</v>
      </c>
      <c r="F107" s="9">
        <f t="shared" ref="F107:F119" si="138">E107*1.34</f>
        <v>53.7072</v>
      </c>
      <c r="G107" s="1"/>
      <c r="H107" s="1"/>
      <c r="I107" s="1"/>
      <c r="J107" s="1"/>
      <c r="K107" s="1">
        <v>4.17</v>
      </c>
      <c r="L107" s="1">
        <f t="shared" si="113"/>
        <v>9.8411999999999988</v>
      </c>
      <c r="M107" s="1">
        <v>3.98</v>
      </c>
      <c r="N107" s="1">
        <f t="shared" si="135"/>
        <v>9.3927999999999994</v>
      </c>
      <c r="O107" s="1"/>
      <c r="P107" s="1"/>
      <c r="Q107" s="1"/>
      <c r="R107" s="1"/>
      <c r="S107" s="1"/>
      <c r="T107" s="1"/>
      <c r="U107" s="1">
        <v>14.2</v>
      </c>
      <c r="V107" s="1">
        <f t="shared" si="119"/>
        <v>19.027999999999999</v>
      </c>
      <c r="W107" s="1">
        <v>10.94</v>
      </c>
      <c r="X107" s="1">
        <f t="shared" si="120"/>
        <v>14.659600000000001</v>
      </c>
      <c r="Y107" s="1">
        <v>10.37</v>
      </c>
      <c r="Z107" s="1">
        <f t="shared" si="136"/>
        <v>13.895799999999999</v>
      </c>
      <c r="AA107" s="1"/>
      <c r="AB107" s="1"/>
      <c r="AC107" s="1"/>
      <c r="AD107" s="1"/>
      <c r="AE107" s="1"/>
      <c r="AF107" s="1"/>
      <c r="AG107" s="1">
        <v>3.27</v>
      </c>
      <c r="AH107" s="1">
        <f t="shared" ref="AH107" si="139">AG107*2.75</f>
        <v>8.9924999999999997</v>
      </c>
      <c r="AI107" s="1">
        <v>2.59</v>
      </c>
      <c r="AJ107" s="1">
        <f>AI107*2.36</f>
        <v>6.1123999999999992</v>
      </c>
      <c r="AK107" s="9"/>
      <c r="AL107" s="9"/>
      <c r="AM107" s="9"/>
      <c r="AN107" s="9"/>
      <c r="AO107" s="1">
        <v>41.29</v>
      </c>
      <c r="AP107" s="1">
        <f t="shared" ref="AP107" si="140">AO107*0.6</f>
        <v>24.773999999999997</v>
      </c>
      <c r="AR107" s="1">
        <f t="shared" ref="AR107:AR119" si="141">ROUND((E107+G107+U107+W107+Y107+AA107+AC107+AE107+AG107+AI107+AK107+AM107)/D107,2)</f>
        <v>0.91</v>
      </c>
      <c r="AS107" s="1">
        <f t="shared" ref="AS107:AS119" si="142">ROUND((I107+K107+M107+O107+Q107+S107)/D107,2)</f>
        <v>0.09</v>
      </c>
      <c r="AT107" s="1">
        <f t="shared" ref="AT107:AT119" si="143">AR107+AS107</f>
        <v>1</v>
      </c>
    </row>
    <row r="108" spans="2:46" x14ac:dyDescent="0.25">
      <c r="B108" t="s">
        <v>40</v>
      </c>
      <c r="C108" t="s">
        <v>50</v>
      </c>
      <c r="D108" s="1">
        <f t="shared" ref="D108:D120" si="144">E108+G108+I108+K108+M108+O108+Q108+S108+U108+W108+Y108+AA108+AC108+AE108+AG108+AI108+AK108+AM108</f>
        <v>90.050000000000011</v>
      </c>
      <c r="E108" s="9">
        <v>29.59</v>
      </c>
      <c r="F108" s="9">
        <f t="shared" si="138"/>
        <v>39.650600000000004</v>
      </c>
      <c r="G108" s="1"/>
      <c r="H108" s="1"/>
      <c r="I108" s="1"/>
      <c r="J108" s="1"/>
      <c r="K108" s="1">
        <v>3.49</v>
      </c>
      <c r="L108" s="1">
        <f t="shared" ref="L108:L120" si="145">K108*2.36</f>
        <v>8.2363999999999997</v>
      </c>
      <c r="M108" s="1">
        <v>3.01</v>
      </c>
      <c r="N108" s="1">
        <f t="shared" si="135"/>
        <v>7.1035999999999992</v>
      </c>
      <c r="O108" s="1"/>
      <c r="P108" s="1"/>
      <c r="Q108" s="1"/>
      <c r="R108" s="1"/>
      <c r="S108" s="1">
        <v>2.46</v>
      </c>
      <c r="T108" s="1">
        <f>S108*2.36</f>
        <v>5.8055999999999992</v>
      </c>
      <c r="U108" s="1">
        <v>13.71</v>
      </c>
      <c r="V108" s="1">
        <f t="shared" si="119"/>
        <v>18.371400000000001</v>
      </c>
      <c r="W108" s="1">
        <v>11.35</v>
      </c>
      <c r="X108" s="1">
        <f t="shared" si="120"/>
        <v>15.209</v>
      </c>
      <c r="Y108" s="1">
        <v>9.09</v>
      </c>
      <c r="Z108" s="1">
        <f t="shared" si="136"/>
        <v>12.1806</v>
      </c>
      <c r="AA108" s="1">
        <v>9.0299999999999994</v>
      </c>
      <c r="AB108" s="1">
        <f t="shared" ref="AB108" si="146">AA108*1.34</f>
        <v>12.100199999999999</v>
      </c>
      <c r="AC108" s="1"/>
      <c r="AD108" s="1"/>
      <c r="AE108" s="1">
        <v>1.33</v>
      </c>
      <c r="AF108" s="1">
        <f t="shared" ref="AF108" si="147">AE108*2.75</f>
        <v>3.6575000000000002</v>
      </c>
      <c r="AG108" s="1">
        <v>4.09</v>
      </c>
      <c r="AH108" s="1">
        <f t="shared" ref="AF108:AH115" si="148">AG108*2.75</f>
        <v>11.247499999999999</v>
      </c>
      <c r="AI108" s="1">
        <v>2.9</v>
      </c>
      <c r="AJ108" s="1">
        <f>AI108*2.36</f>
        <v>6.8439999999999994</v>
      </c>
      <c r="AK108" s="9"/>
      <c r="AL108" s="9"/>
      <c r="AM108" s="9"/>
      <c r="AN108" s="9"/>
      <c r="AO108" s="1"/>
      <c r="AP108" s="1"/>
      <c r="AR108" s="1">
        <f t="shared" si="141"/>
        <v>0.9</v>
      </c>
      <c r="AS108" s="1">
        <f t="shared" si="142"/>
        <v>0.1</v>
      </c>
      <c r="AT108" s="1">
        <f t="shared" si="143"/>
        <v>1</v>
      </c>
    </row>
    <row r="109" spans="2:46" x14ac:dyDescent="0.25">
      <c r="B109" t="s">
        <v>110</v>
      </c>
      <c r="C109" t="s">
        <v>111</v>
      </c>
      <c r="D109" s="1">
        <f t="shared" si="144"/>
        <v>92.899999999999991</v>
      </c>
      <c r="E109" s="9">
        <v>42.5</v>
      </c>
      <c r="F109" s="9">
        <f t="shared" si="138"/>
        <v>56.95</v>
      </c>
      <c r="G109" s="1"/>
      <c r="H109" s="1"/>
      <c r="I109" s="1"/>
      <c r="J109" s="1"/>
      <c r="K109" s="1">
        <v>5.58</v>
      </c>
      <c r="L109" s="1">
        <f t="shared" si="145"/>
        <v>13.168799999999999</v>
      </c>
      <c r="M109" s="1">
        <v>5.17</v>
      </c>
      <c r="N109" s="1">
        <f t="shared" si="135"/>
        <v>12.2012</v>
      </c>
      <c r="O109" s="1"/>
      <c r="P109" s="1"/>
      <c r="Q109" s="1"/>
      <c r="R109" s="1"/>
      <c r="S109" s="1"/>
      <c r="T109" s="1"/>
      <c r="U109" s="1">
        <v>16.32</v>
      </c>
      <c r="V109" s="1">
        <f t="shared" ref="V109:V122" si="149">U109*1.34</f>
        <v>21.8688</v>
      </c>
      <c r="W109" s="1">
        <v>11.09</v>
      </c>
      <c r="X109" s="1">
        <f t="shared" ref="X109:X122" si="150">W109*1.34</f>
        <v>14.8606</v>
      </c>
      <c r="Y109" s="1"/>
      <c r="Z109" s="1"/>
      <c r="AA109" s="1"/>
      <c r="AB109" s="1"/>
      <c r="AC109" s="1"/>
      <c r="AD109" s="1"/>
      <c r="AE109" s="1">
        <v>6.94</v>
      </c>
      <c r="AF109" s="1">
        <f t="shared" si="148"/>
        <v>19.085000000000001</v>
      </c>
      <c r="AG109" s="1">
        <v>2.16</v>
      </c>
      <c r="AH109" s="1">
        <f t="shared" si="148"/>
        <v>5.94</v>
      </c>
      <c r="AI109" s="1">
        <v>3.14</v>
      </c>
      <c r="AJ109" s="1">
        <f t="shared" ref="AJ109" si="151">AI109*2.36</f>
        <v>7.4104000000000001</v>
      </c>
      <c r="AK109" s="9"/>
      <c r="AL109" s="9"/>
      <c r="AM109" s="9"/>
      <c r="AN109" s="9"/>
      <c r="AO109" s="1">
        <v>88.05</v>
      </c>
      <c r="AP109" s="1">
        <f t="shared" ref="AP109:AP111" si="152">AO109*0.6</f>
        <v>52.83</v>
      </c>
      <c r="AR109" s="1">
        <f t="shared" si="141"/>
        <v>0.88</v>
      </c>
      <c r="AS109" s="1">
        <f t="shared" si="142"/>
        <v>0.12</v>
      </c>
      <c r="AT109" s="1">
        <f t="shared" si="143"/>
        <v>1</v>
      </c>
    </row>
    <row r="110" spans="2:46" x14ac:dyDescent="0.25">
      <c r="B110" t="s">
        <v>103</v>
      </c>
      <c r="C110" t="s">
        <v>104</v>
      </c>
      <c r="D110" s="1">
        <f t="shared" si="144"/>
        <v>93.190000000000012</v>
      </c>
      <c r="E110" s="9">
        <v>34.36</v>
      </c>
      <c r="F110" s="9">
        <f t="shared" si="138"/>
        <v>46.042400000000001</v>
      </c>
      <c r="G110" s="1"/>
      <c r="H110" s="1"/>
      <c r="I110" s="1"/>
      <c r="J110" s="1"/>
      <c r="K110" s="1">
        <v>4.13</v>
      </c>
      <c r="L110" s="1">
        <f t="shared" si="145"/>
        <v>9.7467999999999986</v>
      </c>
      <c r="M110" s="1">
        <v>3.62</v>
      </c>
      <c r="N110" s="1">
        <f t="shared" si="135"/>
        <v>8.5432000000000006</v>
      </c>
      <c r="O110" s="1"/>
      <c r="P110" s="1"/>
      <c r="Q110" s="1"/>
      <c r="R110" s="1"/>
      <c r="S110" s="1">
        <v>2.2000000000000002</v>
      </c>
      <c r="T110" s="1">
        <f>S110*2.36</f>
        <v>5.1920000000000002</v>
      </c>
      <c r="U110" s="1">
        <v>12.99</v>
      </c>
      <c r="V110" s="1">
        <f t="shared" si="149"/>
        <v>17.406600000000001</v>
      </c>
      <c r="W110" s="1">
        <v>11.69</v>
      </c>
      <c r="X110" s="1">
        <f t="shared" si="150"/>
        <v>15.6646</v>
      </c>
      <c r="Y110" s="1">
        <v>10.76</v>
      </c>
      <c r="Z110" s="1">
        <f t="shared" ref="Z110" si="153">Y110*1.34</f>
        <v>14.4184</v>
      </c>
      <c r="AA110" s="1"/>
      <c r="AB110" s="1"/>
      <c r="AC110" s="1"/>
      <c r="AD110" s="1"/>
      <c r="AE110" s="1">
        <v>9.75</v>
      </c>
      <c r="AF110" s="1">
        <f t="shared" si="148"/>
        <v>26.8125</v>
      </c>
      <c r="AG110" s="1">
        <v>3.69</v>
      </c>
      <c r="AH110" s="1">
        <f t="shared" si="148"/>
        <v>10.147499999999999</v>
      </c>
      <c r="AI110" s="1"/>
      <c r="AJ110" s="1"/>
      <c r="AK110" s="9"/>
      <c r="AL110" s="9"/>
      <c r="AM110" s="9"/>
      <c r="AN110" s="9"/>
      <c r="AO110" s="1">
        <v>65.959999999999994</v>
      </c>
      <c r="AP110" s="1">
        <f t="shared" si="152"/>
        <v>39.575999999999993</v>
      </c>
      <c r="AR110" s="1">
        <f t="shared" si="141"/>
        <v>0.89</v>
      </c>
      <c r="AS110" s="1">
        <f t="shared" si="142"/>
        <v>0.11</v>
      </c>
      <c r="AT110" s="1">
        <f t="shared" si="143"/>
        <v>1</v>
      </c>
    </row>
    <row r="111" spans="2:46" x14ac:dyDescent="0.25">
      <c r="B111" t="s">
        <v>103</v>
      </c>
      <c r="C111" t="s">
        <v>104</v>
      </c>
      <c r="D111" s="1">
        <f t="shared" si="144"/>
        <v>93.54</v>
      </c>
      <c r="E111" s="9">
        <v>34.47</v>
      </c>
      <c r="F111" s="9">
        <f t="shared" si="138"/>
        <v>46.189799999999998</v>
      </c>
      <c r="G111" s="1"/>
      <c r="H111" s="1"/>
      <c r="I111" s="1"/>
      <c r="J111" s="1"/>
      <c r="K111" s="1">
        <v>4.1900000000000004</v>
      </c>
      <c r="L111" s="1">
        <f t="shared" si="145"/>
        <v>9.8884000000000007</v>
      </c>
      <c r="M111" s="1">
        <v>3.58</v>
      </c>
      <c r="N111" s="1">
        <f t="shared" si="135"/>
        <v>8.4488000000000003</v>
      </c>
      <c r="O111" s="1"/>
      <c r="P111" s="1"/>
      <c r="Q111" s="1"/>
      <c r="R111" s="1"/>
      <c r="S111" s="1">
        <v>2.2000000000000002</v>
      </c>
      <c r="T111" s="1">
        <f>S111*2.36</f>
        <v>5.1920000000000002</v>
      </c>
      <c r="U111" s="1">
        <v>18.71</v>
      </c>
      <c r="V111" s="1">
        <f t="shared" si="149"/>
        <v>25.071400000000004</v>
      </c>
      <c r="W111" s="1">
        <v>10.41</v>
      </c>
      <c r="X111" s="1">
        <f t="shared" si="150"/>
        <v>13.949400000000001</v>
      </c>
      <c r="Y111" s="1">
        <v>10.119999999999999</v>
      </c>
      <c r="Z111" s="1">
        <f t="shared" ref="Z111:Z122" si="154">Y111*1.34</f>
        <v>13.5608</v>
      </c>
      <c r="AA111" s="1"/>
      <c r="AB111" s="1"/>
      <c r="AC111" s="1"/>
      <c r="AD111" s="1"/>
      <c r="AE111" s="1"/>
      <c r="AF111" s="1"/>
      <c r="AG111" s="1">
        <v>9.86</v>
      </c>
      <c r="AH111" s="1">
        <f t="shared" si="148"/>
        <v>27.114999999999998</v>
      </c>
      <c r="AI111" s="1"/>
      <c r="AJ111" s="1"/>
      <c r="AK111" s="9"/>
      <c r="AL111" s="9"/>
      <c r="AM111" s="9"/>
      <c r="AN111" s="9"/>
      <c r="AO111" s="1">
        <v>21.73</v>
      </c>
      <c r="AP111" s="1">
        <f t="shared" si="152"/>
        <v>13.038</v>
      </c>
      <c r="AR111" s="1">
        <f t="shared" si="141"/>
        <v>0.89</v>
      </c>
      <c r="AS111" s="1">
        <f t="shared" si="142"/>
        <v>0.11</v>
      </c>
      <c r="AT111" s="1">
        <f t="shared" si="143"/>
        <v>1</v>
      </c>
    </row>
    <row r="112" spans="2:46" x14ac:dyDescent="0.25">
      <c r="B112" t="s">
        <v>90</v>
      </c>
      <c r="C112" t="s">
        <v>92</v>
      </c>
      <c r="D112" s="1">
        <f t="shared" si="144"/>
        <v>95.24</v>
      </c>
      <c r="E112" s="9">
        <v>39.89</v>
      </c>
      <c r="F112" s="9">
        <f t="shared" si="138"/>
        <v>53.452600000000004</v>
      </c>
      <c r="G112" s="1"/>
      <c r="H112" s="1"/>
      <c r="I112" s="1"/>
      <c r="J112" s="1"/>
      <c r="K112" s="1">
        <v>4.58</v>
      </c>
      <c r="L112" s="1">
        <f t="shared" si="145"/>
        <v>10.8088</v>
      </c>
      <c r="M112" s="1">
        <v>3.77</v>
      </c>
      <c r="N112" s="1">
        <f t="shared" si="135"/>
        <v>8.8971999999999998</v>
      </c>
      <c r="O112" s="1"/>
      <c r="P112" s="1"/>
      <c r="Q112" s="1"/>
      <c r="R112" s="1"/>
      <c r="S112" s="1"/>
      <c r="T112" s="1"/>
      <c r="U112" s="1">
        <v>13.81</v>
      </c>
      <c r="V112" s="1">
        <f t="shared" si="149"/>
        <v>18.505400000000002</v>
      </c>
      <c r="W112" s="1">
        <v>11.21</v>
      </c>
      <c r="X112" s="1">
        <f t="shared" si="150"/>
        <v>15.021400000000002</v>
      </c>
      <c r="Y112" s="1">
        <v>9.4600000000000009</v>
      </c>
      <c r="Z112" s="1">
        <f t="shared" si="154"/>
        <v>12.676400000000003</v>
      </c>
      <c r="AA112" s="1"/>
      <c r="AB112" s="1"/>
      <c r="AC112" s="1"/>
      <c r="AD112" s="1"/>
      <c r="AE112" s="1">
        <v>2.87</v>
      </c>
      <c r="AF112" s="1">
        <f t="shared" ref="AF112" si="155">AE112*2.75</f>
        <v>7.8925000000000001</v>
      </c>
      <c r="AG112" s="1">
        <v>2.61</v>
      </c>
      <c r="AH112" s="1">
        <f t="shared" si="148"/>
        <v>7.1774999999999993</v>
      </c>
      <c r="AI112" s="1">
        <v>2.88</v>
      </c>
      <c r="AJ112" s="1">
        <f>AI112*2.36</f>
        <v>6.7967999999999993</v>
      </c>
      <c r="AK112" s="9">
        <v>4.16</v>
      </c>
      <c r="AL112" s="9">
        <f t="shared" ref="AL112" si="156">AK112*2.75</f>
        <v>11.440000000000001</v>
      </c>
      <c r="AM112" s="9"/>
      <c r="AN112" s="9"/>
      <c r="AO112" s="1"/>
      <c r="AP112" s="1"/>
      <c r="AR112" s="1">
        <f t="shared" si="141"/>
        <v>0.91</v>
      </c>
      <c r="AS112" s="1">
        <f t="shared" si="142"/>
        <v>0.09</v>
      </c>
      <c r="AT112" s="1">
        <f t="shared" si="143"/>
        <v>1</v>
      </c>
    </row>
    <row r="113" spans="2:46" x14ac:dyDescent="0.25">
      <c r="B113" t="s">
        <v>93</v>
      </c>
      <c r="C113" t="s">
        <v>94</v>
      </c>
      <c r="D113" s="1">
        <f t="shared" si="144"/>
        <v>96.95</v>
      </c>
      <c r="E113" s="9">
        <v>38.51</v>
      </c>
      <c r="F113" s="9">
        <f t="shared" si="138"/>
        <v>51.603400000000001</v>
      </c>
      <c r="G113" s="1"/>
      <c r="H113" s="1"/>
      <c r="I113" s="1"/>
      <c r="J113" s="1"/>
      <c r="K113" s="1">
        <v>5.19</v>
      </c>
      <c r="L113" s="1">
        <f t="shared" si="145"/>
        <v>12.2484</v>
      </c>
      <c r="M113" s="1">
        <v>2.5099999999999998</v>
      </c>
      <c r="N113" s="1">
        <f t="shared" si="135"/>
        <v>5.9235999999999995</v>
      </c>
      <c r="O113" s="1"/>
      <c r="P113" s="1"/>
      <c r="Q113" s="1"/>
      <c r="R113" s="1"/>
      <c r="S113" s="1"/>
      <c r="T113" s="1"/>
      <c r="U113" s="1">
        <v>11.82</v>
      </c>
      <c r="V113" s="1">
        <f t="shared" si="149"/>
        <v>15.838800000000001</v>
      </c>
      <c r="W113" s="1">
        <v>10.050000000000001</v>
      </c>
      <c r="X113" s="1">
        <f t="shared" si="150"/>
        <v>13.467000000000002</v>
      </c>
      <c r="Y113" s="1">
        <v>8.58</v>
      </c>
      <c r="Z113" s="1">
        <f t="shared" si="154"/>
        <v>11.497200000000001</v>
      </c>
      <c r="AA113" s="1"/>
      <c r="AB113" s="1"/>
      <c r="AC113" s="1"/>
      <c r="AD113" s="1"/>
      <c r="AE113" s="1">
        <f>10.5+1.46</f>
        <v>11.96</v>
      </c>
      <c r="AF113" s="1">
        <f t="shared" ref="AF113" si="157">AE113*2.75</f>
        <v>32.89</v>
      </c>
      <c r="AG113" s="1">
        <v>5.25</v>
      </c>
      <c r="AH113" s="1">
        <f t="shared" si="148"/>
        <v>14.4375</v>
      </c>
      <c r="AI113" s="1"/>
      <c r="AJ113" s="1"/>
      <c r="AK113" s="9">
        <v>3.08</v>
      </c>
      <c r="AL113" s="9">
        <f t="shared" ref="AL113" si="158">AK113*2.75</f>
        <v>8.4700000000000006</v>
      </c>
      <c r="AM113" s="9"/>
      <c r="AN113" s="9"/>
      <c r="AO113" s="1"/>
      <c r="AP113" s="1"/>
      <c r="AR113" s="1">
        <f t="shared" si="141"/>
        <v>0.92</v>
      </c>
      <c r="AS113" s="1">
        <f t="shared" si="142"/>
        <v>0.08</v>
      </c>
      <c r="AT113" s="1">
        <f t="shared" si="143"/>
        <v>1</v>
      </c>
    </row>
    <row r="114" spans="2:46" x14ac:dyDescent="0.25">
      <c r="B114" t="s">
        <v>119</v>
      </c>
      <c r="C114" t="s">
        <v>120</v>
      </c>
      <c r="D114" s="1">
        <f t="shared" si="144"/>
        <v>97.29</v>
      </c>
      <c r="E114" s="9">
        <v>46.19</v>
      </c>
      <c r="F114" s="9">
        <f t="shared" si="138"/>
        <v>61.894600000000004</v>
      </c>
      <c r="G114" s="1"/>
      <c r="H114" s="1"/>
      <c r="I114" s="1"/>
      <c r="J114" s="1"/>
      <c r="K114" s="1">
        <v>4.1100000000000003</v>
      </c>
      <c r="L114" s="1">
        <f t="shared" si="145"/>
        <v>9.6996000000000002</v>
      </c>
      <c r="M114" s="1">
        <v>3.77</v>
      </c>
      <c r="N114" s="1">
        <f t="shared" si="135"/>
        <v>8.8971999999999998</v>
      </c>
      <c r="O114" s="1"/>
      <c r="P114" s="1"/>
      <c r="Q114" s="1"/>
      <c r="R114" s="1"/>
      <c r="S114" s="1"/>
      <c r="T114" s="1"/>
      <c r="U114" s="1">
        <v>14.48</v>
      </c>
      <c r="V114" s="1">
        <f t="shared" si="149"/>
        <v>19.403200000000002</v>
      </c>
      <c r="W114" s="1">
        <v>10.95</v>
      </c>
      <c r="X114" s="1">
        <f t="shared" si="150"/>
        <v>14.673</v>
      </c>
      <c r="Y114" s="1">
        <v>10.44</v>
      </c>
      <c r="Z114" s="1">
        <f t="shared" si="154"/>
        <v>13.989599999999999</v>
      </c>
      <c r="AA114" s="1"/>
      <c r="AB114" s="1"/>
      <c r="AC114" s="1"/>
      <c r="AD114" s="1"/>
      <c r="AE114" s="1">
        <v>3.51</v>
      </c>
      <c r="AF114" s="1">
        <f t="shared" si="148"/>
        <v>9.6524999999999999</v>
      </c>
      <c r="AG114" s="1">
        <v>3.84</v>
      </c>
      <c r="AH114" s="1">
        <f t="shared" si="148"/>
        <v>10.559999999999999</v>
      </c>
      <c r="AI114" s="1"/>
      <c r="AJ114" s="1"/>
      <c r="AK114" s="9"/>
      <c r="AL114" s="9"/>
      <c r="AM114" s="9"/>
      <c r="AN114" s="9"/>
      <c r="AO114" s="1">
        <f>90.83+41.29</f>
        <v>132.12</v>
      </c>
      <c r="AP114" s="1">
        <f t="shared" ref="AP114:AP115" si="159">AO114*0.6</f>
        <v>79.272000000000006</v>
      </c>
      <c r="AR114" s="1">
        <f t="shared" si="141"/>
        <v>0.92</v>
      </c>
      <c r="AS114" s="1">
        <f t="shared" si="142"/>
        <v>0.08</v>
      </c>
      <c r="AT114" s="1">
        <f t="shared" si="143"/>
        <v>1</v>
      </c>
    </row>
    <row r="115" spans="2:46" x14ac:dyDescent="0.25">
      <c r="B115" t="s">
        <v>93</v>
      </c>
      <c r="C115" t="s">
        <v>94</v>
      </c>
      <c r="D115" s="1">
        <f t="shared" si="144"/>
        <v>97.69</v>
      </c>
      <c r="E115" s="9">
        <v>40.700000000000003</v>
      </c>
      <c r="F115" s="9">
        <f t="shared" si="138"/>
        <v>54.538000000000004</v>
      </c>
      <c r="G115" s="1"/>
      <c r="H115" s="1"/>
      <c r="I115" s="1"/>
      <c r="J115" s="1"/>
      <c r="K115" s="1">
        <v>4.49</v>
      </c>
      <c r="L115" s="1">
        <f t="shared" si="145"/>
        <v>10.596399999999999</v>
      </c>
      <c r="M115" s="1">
        <v>3.87</v>
      </c>
      <c r="N115" s="1">
        <f t="shared" si="135"/>
        <v>9.1332000000000004</v>
      </c>
      <c r="O115" s="1"/>
      <c r="P115" s="1"/>
      <c r="Q115" s="1"/>
      <c r="R115" s="1"/>
      <c r="S115" s="1"/>
      <c r="T115" s="1"/>
      <c r="U115" s="1">
        <v>15.95</v>
      </c>
      <c r="V115" s="1">
        <f t="shared" si="149"/>
        <v>21.373000000000001</v>
      </c>
      <c r="W115" s="1">
        <v>12.16</v>
      </c>
      <c r="X115" s="1">
        <f t="shared" si="150"/>
        <v>16.2944</v>
      </c>
      <c r="Y115" s="1">
        <v>11.02</v>
      </c>
      <c r="Z115" s="1">
        <f t="shared" si="154"/>
        <v>14.7668</v>
      </c>
      <c r="AA115" s="1"/>
      <c r="AB115" s="1"/>
      <c r="AC115" s="1"/>
      <c r="AD115" s="1"/>
      <c r="AE115" s="1"/>
      <c r="AF115" s="1"/>
      <c r="AG115" s="1">
        <v>4.5</v>
      </c>
      <c r="AH115" s="1">
        <f t="shared" si="148"/>
        <v>12.375</v>
      </c>
      <c r="AI115" s="1">
        <v>1.59</v>
      </c>
      <c r="AJ115" s="1">
        <f t="shared" ref="AJ115" si="160">AI115*2.36</f>
        <v>3.7524000000000002</v>
      </c>
      <c r="AK115" s="9">
        <v>3.41</v>
      </c>
      <c r="AL115" s="9">
        <f t="shared" ref="AL115" si="161">AK115*2.75</f>
        <v>9.3775000000000013</v>
      </c>
      <c r="AM115" s="9"/>
      <c r="AN115" s="9"/>
      <c r="AO115" s="1">
        <v>6.59</v>
      </c>
      <c r="AP115" s="1">
        <f t="shared" si="159"/>
        <v>3.9539999999999997</v>
      </c>
      <c r="AR115" s="1">
        <f t="shared" si="141"/>
        <v>0.91</v>
      </c>
      <c r="AS115" s="1">
        <f t="shared" si="142"/>
        <v>0.09</v>
      </c>
      <c r="AT115" s="1">
        <f t="shared" si="143"/>
        <v>1</v>
      </c>
    </row>
    <row r="116" spans="2:46" x14ac:dyDescent="0.25">
      <c r="B116" t="s">
        <v>81</v>
      </c>
      <c r="C116" t="s">
        <v>82</v>
      </c>
      <c r="D116" s="1">
        <f t="shared" si="144"/>
        <v>103.8</v>
      </c>
      <c r="E116" s="9">
        <v>35.51</v>
      </c>
      <c r="F116" s="9">
        <f t="shared" si="138"/>
        <v>47.583399999999997</v>
      </c>
      <c r="G116" s="1"/>
      <c r="H116" s="1"/>
      <c r="I116" s="1"/>
      <c r="J116" s="1"/>
      <c r="K116" s="1">
        <v>3.71</v>
      </c>
      <c r="L116" s="1">
        <f t="shared" si="145"/>
        <v>8.7555999999999994</v>
      </c>
      <c r="M116" s="1">
        <v>3.27</v>
      </c>
      <c r="N116" s="1">
        <f t="shared" si="135"/>
        <v>7.7172000000000001</v>
      </c>
      <c r="O116" s="1"/>
      <c r="P116" s="1"/>
      <c r="Q116" s="1"/>
      <c r="R116" s="1"/>
      <c r="S116" s="1"/>
      <c r="T116" s="1"/>
      <c r="U116" s="1">
        <v>14.33</v>
      </c>
      <c r="V116" s="1">
        <f t="shared" si="149"/>
        <v>19.202200000000001</v>
      </c>
      <c r="W116" s="1">
        <v>13.65</v>
      </c>
      <c r="X116" s="1">
        <f t="shared" si="150"/>
        <v>18.291</v>
      </c>
      <c r="Y116" s="1">
        <v>12.14</v>
      </c>
      <c r="Z116" s="1">
        <f t="shared" si="154"/>
        <v>16.267600000000002</v>
      </c>
      <c r="AA116" s="1">
        <v>10.92</v>
      </c>
      <c r="AB116" s="1">
        <f t="shared" ref="AB116" si="162">AA116*1.34</f>
        <v>14.632800000000001</v>
      </c>
      <c r="AC116" s="1"/>
      <c r="AD116" s="1"/>
      <c r="AE116" s="1"/>
      <c r="AF116" s="1"/>
      <c r="AG116" s="1">
        <v>10.27</v>
      </c>
      <c r="AH116" s="1">
        <f t="shared" ref="AH116:AH122" si="163">AG116*2.75</f>
        <v>28.2425</v>
      </c>
      <c r="AI116" s="1"/>
      <c r="AJ116" s="1"/>
      <c r="AK116" s="9"/>
      <c r="AL116" s="9"/>
      <c r="AM116" s="9"/>
      <c r="AN116" s="9"/>
      <c r="AO116" s="1">
        <v>10.67</v>
      </c>
      <c r="AP116" s="1">
        <f t="shared" ref="AP116:AP117" si="164">AO116*0.6</f>
        <v>6.4020000000000001</v>
      </c>
      <c r="AR116" s="1">
        <f t="shared" si="141"/>
        <v>0.93</v>
      </c>
      <c r="AS116" s="1">
        <f t="shared" si="142"/>
        <v>7.0000000000000007E-2</v>
      </c>
      <c r="AT116" s="1">
        <f t="shared" si="143"/>
        <v>1</v>
      </c>
    </row>
    <row r="117" spans="2:46" x14ac:dyDescent="0.25">
      <c r="B117" t="s">
        <v>126</v>
      </c>
      <c r="C117" t="s">
        <v>127</v>
      </c>
      <c r="D117" s="1">
        <f t="shared" si="144"/>
        <v>104.08</v>
      </c>
      <c r="E117" s="9">
        <v>37.76</v>
      </c>
      <c r="F117" s="9">
        <f t="shared" si="138"/>
        <v>50.598399999999998</v>
      </c>
      <c r="G117" s="1"/>
      <c r="H117" s="1"/>
      <c r="I117" s="1"/>
      <c r="J117" s="1"/>
      <c r="K117" s="1">
        <v>9.0500000000000007</v>
      </c>
      <c r="L117" s="1">
        <f t="shared" si="145"/>
        <v>21.358000000000001</v>
      </c>
      <c r="M117" s="1">
        <v>3.99</v>
      </c>
      <c r="N117" s="1">
        <f t="shared" si="135"/>
        <v>9.4163999999999994</v>
      </c>
      <c r="O117" s="1"/>
      <c r="P117" s="1"/>
      <c r="Q117" s="1"/>
      <c r="R117" s="1"/>
      <c r="S117" s="1">
        <v>2.09</v>
      </c>
      <c r="T117" s="1">
        <f>S117*2.36</f>
        <v>4.9323999999999995</v>
      </c>
      <c r="U117" s="1">
        <v>17.45</v>
      </c>
      <c r="V117" s="1">
        <f t="shared" si="149"/>
        <v>23.382999999999999</v>
      </c>
      <c r="W117" s="1">
        <v>14.61</v>
      </c>
      <c r="X117" s="1">
        <f t="shared" si="150"/>
        <v>19.577400000000001</v>
      </c>
      <c r="Y117" s="1">
        <v>13</v>
      </c>
      <c r="Z117" s="1">
        <f t="shared" si="154"/>
        <v>17.420000000000002</v>
      </c>
      <c r="AA117" s="1"/>
      <c r="AB117" s="1"/>
      <c r="AC117" s="1"/>
      <c r="AD117" s="1"/>
      <c r="AE117" s="1"/>
      <c r="AF117" s="1"/>
      <c r="AG117" s="1">
        <v>4.0599999999999996</v>
      </c>
      <c r="AH117" s="1">
        <f t="shared" si="163"/>
        <v>11.164999999999999</v>
      </c>
      <c r="AI117" s="1">
        <v>2.0699999999999998</v>
      </c>
      <c r="AJ117" s="1">
        <f>AI117*2.36</f>
        <v>4.8851999999999993</v>
      </c>
      <c r="AK117" s="9"/>
      <c r="AL117" s="9"/>
      <c r="AM117" s="9"/>
      <c r="AN117" s="9"/>
      <c r="AO117" s="1">
        <v>88.96</v>
      </c>
      <c r="AP117" s="1">
        <f t="shared" si="164"/>
        <v>53.375999999999998</v>
      </c>
      <c r="AR117" s="1">
        <f t="shared" si="141"/>
        <v>0.85</v>
      </c>
      <c r="AS117" s="1">
        <f t="shared" si="142"/>
        <v>0.15</v>
      </c>
      <c r="AT117" s="1">
        <f t="shared" si="143"/>
        <v>1</v>
      </c>
    </row>
    <row r="118" spans="2:46" x14ac:dyDescent="0.25">
      <c r="B118" t="s">
        <v>93</v>
      </c>
      <c r="C118" t="s">
        <v>94</v>
      </c>
      <c r="D118" s="1">
        <f t="shared" si="144"/>
        <v>104.83</v>
      </c>
      <c r="E118" s="9">
        <v>44.5</v>
      </c>
      <c r="F118" s="9">
        <f t="shared" si="138"/>
        <v>59.63</v>
      </c>
      <c r="G118" s="1"/>
      <c r="H118" s="1"/>
      <c r="I118" s="1"/>
      <c r="J118" s="1"/>
      <c r="K118" s="1">
        <v>4.68</v>
      </c>
      <c r="L118" s="1">
        <f t="shared" si="145"/>
        <v>11.044799999999999</v>
      </c>
      <c r="M118" s="1">
        <v>4.3600000000000003</v>
      </c>
      <c r="N118" s="1">
        <f t="shared" ref="N118:N124" si="165">M118*2.36</f>
        <v>10.2896</v>
      </c>
      <c r="O118" s="1"/>
      <c r="P118" s="1"/>
      <c r="Q118" s="1"/>
      <c r="R118" s="1"/>
      <c r="S118" s="1"/>
      <c r="T118" s="1"/>
      <c r="U118" s="1">
        <v>12.56</v>
      </c>
      <c r="V118" s="1">
        <f t="shared" si="149"/>
        <v>16.830400000000001</v>
      </c>
      <c r="W118" s="1">
        <v>9.59</v>
      </c>
      <c r="X118" s="1">
        <f t="shared" si="150"/>
        <v>12.8506</v>
      </c>
      <c r="Y118" s="1">
        <v>9.2799999999999994</v>
      </c>
      <c r="Z118" s="1">
        <f t="shared" si="154"/>
        <v>12.4352</v>
      </c>
      <c r="AA118" s="1"/>
      <c r="AB118" s="1"/>
      <c r="AC118" s="1"/>
      <c r="AD118" s="1"/>
      <c r="AE118" s="1">
        <v>5.78</v>
      </c>
      <c r="AF118" s="1">
        <f t="shared" ref="AF118:AF119" si="166">AE118*2.75</f>
        <v>15.895000000000001</v>
      </c>
      <c r="AG118" s="1">
        <v>3.03</v>
      </c>
      <c r="AH118" s="1">
        <f t="shared" si="163"/>
        <v>8.3324999999999996</v>
      </c>
      <c r="AI118" s="1"/>
      <c r="AJ118" s="1"/>
      <c r="AK118" s="9">
        <f>4.13+2.79</f>
        <v>6.92</v>
      </c>
      <c r="AL118" s="9">
        <f t="shared" ref="AL118" si="167">AK118*2.75</f>
        <v>19.03</v>
      </c>
      <c r="AM118" s="9">
        <v>4.13</v>
      </c>
      <c r="AN118" s="9">
        <f t="shared" ref="AN118" si="168">AM118*1.34</f>
        <v>5.5342000000000002</v>
      </c>
      <c r="AO118" s="1"/>
      <c r="AP118" s="1"/>
      <c r="AR118" s="1">
        <f t="shared" si="141"/>
        <v>0.91</v>
      </c>
      <c r="AS118" s="1">
        <f t="shared" si="142"/>
        <v>0.09</v>
      </c>
      <c r="AT118" s="1">
        <f t="shared" si="143"/>
        <v>1</v>
      </c>
    </row>
    <row r="119" spans="2:46" x14ac:dyDescent="0.25">
      <c r="B119" t="s">
        <v>42</v>
      </c>
      <c r="C119" t="s">
        <v>49</v>
      </c>
      <c r="D119" s="1">
        <f t="shared" si="144"/>
        <v>104.97999999999999</v>
      </c>
      <c r="E119" s="9">
        <v>35.869999999999997</v>
      </c>
      <c r="F119" s="9">
        <f t="shared" si="138"/>
        <v>48.065800000000003</v>
      </c>
      <c r="G119" s="1"/>
      <c r="H119" s="1"/>
      <c r="I119" s="1"/>
      <c r="J119" s="1"/>
      <c r="K119" s="1">
        <v>5</v>
      </c>
      <c r="L119" s="1">
        <f t="shared" si="145"/>
        <v>11.799999999999999</v>
      </c>
      <c r="M119" s="1">
        <v>4.62</v>
      </c>
      <c r="N119" s="1">
        <f t="shared" si="165"/>
        <v>10.9032</v>
      </c>
      <c r="O119" s="1"/>
      <c r="P119" s="1"/>
      <c r="Q119" s="1"/>
      <c r="R119" s="1"/>
      <c r="S119" s="1">
        <v>2.97</v>
      </c>
      <c r="T119" s="1">
        <f>S119*2.36</f>
        <v>7.0091999999999999</v>
      </c>
      <c r="U119" s="1">
        <v>14.05</v>
      </c>
      <c r="V119" s="1">
        <f t="shared" si="149"/>
        <v>18.827000000000002</v>
      </c>
      <c r="W119" s="1">
        <v>10.02</v>
      </c>
      <c r="X119" s="1">
        <f t="shared" si="150"/>
        <v>13.4268</v>
      </c>
      <c r="Y119" s="1">
        <v>10.039999999999999</v>
      </c>
      <c r="Z119" s="1">
        <f t="shared" si="154"/>
        <v>13.4536</v>
      </c>
      <c r="AA119" s="1">
        <v>9.65</v>
      </c>
      <c r="AB119" s="1">
        <f t="shared" ref="AB119" si="169">AA119*1.34</f>
        <v>12.931000000000001</v>
      </c>
      <c r="AC119" s="1"/>
      <c r="AD119" s="1"/>
      <c r="AE119" s="1">
        <v>4.75</v>
      </c>
      <c r="AF119" s="1">
        <f t="shared" si="166"/>
        <v>13.0625</v>
      </c>
      <c r="AG119" s="1">
        <v>3.96</v>
      </c>
      <c r="AH119" s="1">
        <f t="shared" si="163"/>
        <v>10.89</v>
      </c>
      <c r="AI119" s="1">
        <v>4.05</v>
      </c>
      <c r="AJ119" s="1">
        <f>AI119*2.36</f>
        <v>9.5579999999999998</v>
      </c>
      <c r="AK119" s="9"/>
      <c r="AL119" s="9"/>
      <c r="AM119" s="9"/>
      <c r="AN119" s="9"/>
      <c r="AO119" s="1">
        <v>16.22</v>
      </c>
      <c r="AP119" s="1">
        <f>AO119*0.6</f>
        <v>9.7319999999999993</v>
      </c>
      <c r="AR119" s="1">
        <f t="shared" si="141"/>
        <v>0.88</v>
      </c>
      <c r="AS119" s="1">
        <f t="shared" si="142"/>
        <v>0.12</v>
      </c>
      <c r="AT119" s="1">
        <f t="shared" si="143"/>
        <v>1</v>
      </c>
    </row>
    <row r="120" spans="2:46" x14ac:dyDescent="0.25">
      <c r="B120" t="s">
        <v>140</v>
      </c>
      <c r="C120" t="s">
        <v>139</v>
      </c>
      <c r="D120" s="1">
        <f t="shared" si="144"/>
        <v>107.60000000000001</v>
      </c>
      <c r="E120" s="9">
        <v>36.299999999999997</v>
      </c>
      <c r="F120" s="9">
        <f t="shared" ref="F120:F124" si="170">E120*1.34</f>
        <v>48.641999999999996</v>
      </c>
      <c r="G120" s="1"/>
      <c r="H120" s="1"/>
      <c r="I120" s="1"/>
      <c r="J120" s="1"/>
      <c r="K120" s="1">
        <v>4.2</v>
      </c>
      <c r="L120" s="1">
        <f t="shared" si="145"/>
        <v>9.911999999999999</v>
      </c>
      <c r="M120" s="1">
        <v>3.3</v>
      </c>
      <c r="N120" s="1">
        <f t="shared" si="165"/>
        <v>7.7879999999999994</v>
      </c>
      <c r="O120" s="1"/>
      <c r="P120" s="1"/>
      <c r="Q120" s="1"/>
      <c r="R120" s="1"/>
      <c r="S120" s="1"/>
      <c r="T120" s="1"/>
      <c r="U120" s="1">
        <v>12.8</v>
      </c>
      <c r="V120" s="1">
        <f t="shared" si="149"/>
        <v>17.152000000000001</v>
      </c>
      <c r="W120" s="1">
        <v>10.4</v>
      </c>
      <c r="X120" s="1">
        <f t="shared" si="150"/>
        <v>13.936000000000002</v>
      </c>
      <c r="Y120" s="1">
        <v>9.9</v>
      </c>
      <c r="Z120" s="1">
        <f t="shared" si="154"/>
        <v>13.266000000000002</v>
      </c>
      <c r="AA120" s="1">
        <v>7.9</v>
      </c>
      <c r="AB120" s="1">
        <f t="shared" ref="AB120" si="171">AA120*1.34</f>
        <v>10.586</v>
      </c>
      <c r="AC120" s="1"/>
      <c r="AD120" s="1"/>
      <c r="AE120" s="1">
        <v>9.3000000000000007</v>
      </c>
      <c r="AF120" s="1">
        <f t="shared" ref="AF120:AF121" si="172">AE120*2.75</f>
        <v>25.575000000000003</v>
      </c>
      <c r="AG120" s="1">
        <v>8.5</v>
      </c>
      <c r="AH120" s="1">
        <f t="shared" si="163"/>
        <v>23.375</v>
      </c>
      <c r="AI120" s="1">
        <v>2.2999999999999998</v>
      </c>
      <c r="AJ120" s="1">
        <f>AI120*2.36</f>
        <v>5.427999999999999</v>
      </c>
      <c r="AK120" s="9">
        <v>2.7</v>
      </c>
      <c r="AL120" s="9">
        <f t="shared" ref="AL120" si="173">AK120*2.75</f>
        <v>7.4250000000000007</v>
      </c>
      <c r="AM120" s="9"/>
      <c r="AN120" s="9"/>
      <c r="AO120" s="1">
        <v>12.2</v>
      </c>
      <c r="AP120" s="1">
        <f t="shared" ref="AP120" si="174">AO120*0.6</f>
        <v>7.3199999999999994</v>
      </c>
      <c r="AR120" s="1">
        <f t="shared" ref="AR120:AR124" si="175">ROUND((E120+G120+U120+W120+Y120+AA120+AC120+AE120+AG120+AI120+AK120+AM120)/D120,2)</f>
        <v>0.93</v>
      </c>
      <c r="AS120" s="1">
        <f t="shared" ref="AS120:AS124" si="176">ROUND((I120+K120+M120+O120+Q120+S120)/D120,2)</f>
        <v>7.0000000000000007E-2</v>
      </c>
      <c r="AT120" s="1">
        <f t="shared" ref="AT120:AT124" si="177">AR120+AS120</f>
        <v>1</v>
      </c>
    </row>
    <row r="121" spans="2:46" x14ac:dyDescent="0.25">
      <c r="B121" t="s">
        <v>90</v>
      </c>
      <c r="C121" t="s">
        <v>146</v>
      </c>
      <c r="D121" s="1">
        <f t="shared" ref="D121:D124" si="178">E121+G121+I121+K121+M121+O121+Q121+S121+U121+W121+Y121+AA121+AC121+AE121+AG121+AI121+AK121+AM121</f>
        <v>108.10000000000001</v>
      </c>
      <c r="E121" s="9">
        <v>45.7</v>
      </c>
      <c r="F121" s="9">
        <f t="shared" si="170"/>
        <v>61.238000000000007</v>
      </c>
      <c r="G121" s="1"/>
      <c r="H121" s="1"/>
      <c r="I121" s="1"/>
      <c r="J121" s="1"/>
      <c r="K121" s="1">
        <v>4</v>
      </c>
      <c r="L121" s="1">
        <f t="shared" ref="L121:L124" si="179">K121*2.36</f>
        <v>9.44</v>
      </c>
      <c r="M121" s="1">
        <v>3.7</v>
      </c>
      <c r="N121" s="1">
        <f t="shared" si="165"/>
        <v>8.7319999999999993</v>
      </c>
      <c r="O121" s="1"/>
      <c r="P121" s="1"/>
      <c r="Q121" s="1"/>
      <c r="R121" s="1"/>
      <c r="S121" s="1"/>
      <c r="T121" s="1"/>
      <c r="U121" s="1">
        <v>15.1</v>
      </c>
      <c r="V121" s="1">
        <f t="shared" si="149"/>
        <v>20.234000000000002</v>
      </c>
      <c r="W121" s="1">
        <v>12.9</v>
      </c>
      <c r="X121" s="1">
        <f t="shared" si="150"/>
        <v>17.286000000000001</v>
      </c>
      <c r="Y121" s="1">
        <v>11.6</v>
      </c>
      <c r="Z121" s="1">
        <f t="shared" si="154"/>
        <v>15.544</v>
      </c>
      <c r="AA121" s="1"/>
      <c r="AB121" s="1"/>
      <c r="AC121" s="1"/>
      <c r="AD121" s="1"/>
      <c r="AE121" s="1">
        <v>3.4</v>
      </c>
      <c r="AF121" s="1">
        <f t="shared" si="172"/>
        <v>9.35</v>
      </c>
      <c r="AG121" s="1">
        <v>6.8</v>
      </c>
      <c r="AH121" s="1">
        <f t="shared" si="163"/>
        <v>18.7</v>
      </c>
      <c r="AI121" s="1">
        <v>2</v>
      </c>
      <c r="AJ121" s="1">
        <f>AI121*2.36</f>
        <v>4.72</v>
      </c>
      <c r="AK121" s="9">
        <v>2.9</v>
      </c>
      <c r="AL121" s="9">
        <f t="shared" ref="AL121:AL122" si="180">AK121*2.75</f>
        <v>7.9749999999999996</v>
      </c>
      <c r="AM121" s="9"/>
      <c r="AN121" s="9"/>
      <c r="AO121" s="1"/>
      <c r="AP121" s="1"/>
      <c r="AR121" s="1">
        <f t="shared" si="175"/>
        <v>0.93</v>
      </c>
      <c r="AS121" s="1">
        <f t="shared" si="176"/>
        <v>7.0000000000000007E-2</v>
      </c>
      <c r="AT121" s="1">
        <f t="shared" si="177"/>
        <v>1</v>
      </c>
    </row>
    <row r="122" spans="2:46" x14ac:dyDescent="0.25">
      <c r="D122" s="1">
        <f t="shared" si="178"/>
        <v>108.72999999999999</v>
      </c>
      <c r="E122" s="9">
        <v>37.729999999999997</v>
      </c>
      <c r="F122" s="9">
        <f t="shared" si="170"/>
        <v>50.558199999999999</v>
      </c>
      <c r="G122" s="1"/>
      <c r="H122" s="1"/>
      <c r="I122" s="1"/>
      <c r="J122" s="1"/>
      <c r="K122" s="1">
        <v>4.42</v>
      </c>
      <c r="L122" s="1">
        <f t="shared" si="179"/>
        <v>10.431199999999999</v>
      </c>
      <c r="M122" s="1">
        <v>3.77</v>
      </c>
      <c r="N122" s="1">
        <f t="shared" si="165"/>
        <v>8.8971999999999998</v>
      </c>
      <c r="O122" s="1"/>
      <c r="P122" s="1"/>
      <c r="Q122" s="1"/>
      <c r="R122" s="1"/>
      <c r="S122" s="1"/>
      <c r="T122" s="1"/>
      <c r="U122" s="1">
        <v>15.05</v>
      </c>
      <c r="V122" s="1">
        <f t="shared" si="149"/>
        <v>20.167000000000002</v>
      </c>
      <c r="W122" s="1">
        <v>11</v>
      </c>
      <c r="X122" s="1">
        <f t="shared" si="150"/>
        <v>14.74</v>
      </c>
      <c r="Y122" s="1">
        <v>10.44</v>
      </c>
      <c r="Z122" s="1">
        <f t="shared" si="154"/>
        <v>13.989599999999999</v>
      </c>
      <c r="AA122" s="1">
        <v>9.8800000000000008</v>
      </c>
      <c r="AB122" s="1">
        <f t="shared" ref="AB122" si="181">AA122*1.34</f>
        <v>13.239200000000002</v>
      </c>
      <c r="AC122" s="1"/>
      <c r="AD122" s="1"/>
      <c r="AE122" s="1"/>
      <c r="AF122" s="1"/>
      <c r="AG122" s="1">
        <v>6.89</v>
      </c>
      <c r="AH122" s="1">
        <f t="shared" si="163"/>
        <v>18.947499999999998</v>
      </c>
      <c r="AI122" s="1"/>
      <c r="AJ122" s="1"/>
      <c r="AK122" s="9">
        <f>4.42+3.04+2.09</f>
        <v>9.5500000000000007</v>
      </c>
      <c r="AL122" s="9">
        <f t="shared" si="180"/>
        <v>26.262500000000003</v>
      </c>
      <c r="AM122" s="9"/>
      <c r="AN122" s="9"/>
      <c r="AO122" s="1"/>
      <c r="AP122" s="1"/>
      <c r="AR122" s="1">
        <f t="shared" si="175"/>
        <v>0.92</v>
      </c>
      <c r="AS122" s="1">
        <f t="shared" si="176"/>
        <v>0.08</v>
      </c>
      <c r="AT122" s="1">
        <f t="shared" si="177"/>
        <v>1</v>
      </c>
    </row>
    <row r="123" spans="2:46" x14ac:dyDescent="0.25">
      <c r="D123" s="1">
        <f t="shared" si="178"/>
        <v>127.97</v>
      </c>
      <c r="E123" s="9">
        <v>43.58</v>
      </c>
      <c r="F123" s="9">
        <f t="shared" si="170"/>
        <v>58.397199999999998</v>
      </c>
      <c r="G123" s="1"/>
      <c r="H123" s="1"/>
      <c r="I123" s="1"/>
      <c r="J123" s="1"/>
      <c r="K123" s="1">
        <v>8.41</v>
      </c>
      <c r="L123" s="1">
        <f t="shared" si="179"/>
        <v>19.8476</v>
      </c>
      <c r="M123" s="1">
        <v>5.34</v>
      </c>
      <c r="N123" s="1">
        <f t="shared" si="165"/>
        <v>12.602399999999999</v>
      </c>
      <c r="O123" s="1"/>
      <c r="P123" s="1"/>
      <c r="Q123" s="1"/>
      <c r="R123" s="1"/>
      <c r="S123" s="1"/>
      <c r="T123" s="1"/>
      <c r="U123" s="1">
        <v>18.61</v>
      </c>
      <c r="V123" s="1">
        <f t="shared" ref="V123:V124" si="182">U123*1.34</f>
        <v>24.9374</v>
      </c>
      <c r="W123" s="1">
        <v>10.44</v>
      </c>
      <c r="X123" s="1">
        <f t="shared" ref="X123:X124" si="183">W123*1.34</f>
        <v>13.989599999999999</v>
      </c>
      <c r="Y123" s="1">
        <v>10.44</v>
      </c>
      <c r="Z123" s="1">
        <f t="shared" ref="Z123:Z124" si="184">Y123*1.34</f>
        <v>13.989599999999999</v>
      </c>
      <c r="AA123" s="1"/>
      <c r="AB123" s="1"/>
      <c r="AC123" s="1"/>
      <c r="AD123" s="1"/>
      <c r="AE123" s="1">
        <v>7</v>
      </c>
      <c r="AF123" s="1">
        <f t="shared" ref="AF123:AF124" si="185">AE123*2.75</f>
        <v>19.25</v>
      </c>
      <c r="AG123" s="1">
        <v>12.15</v>
      </c>
      <c r="AH123" s="1">
        <f t="shared" ref="AH123" si="186">AG123*2.75</f>
        <v>33.412500000000001</v>
      </c>
      <c r="AI123" s="1">
        <v>5.2</v>
      </c>
      <c r="AJ123" s="1">
        <f>AI123*2.36</f>
        <v>12.272</v>
      </c>
      <c r="AK123" s="9">
        <v>6.8</v>
      </c>
      <c r="AL123" s="9">
        <f t="shared" ref="AL123:AL124" si="187">AK123*2.75</f>
        <v>18.7</v>
      </c>
      <c r="AM123" s="9"/>
      <c r="AN123" s="9"/>
      <c r="AO123" s="1"/>
      <c r="AP123" s="1"/>
      <c r="AR123" s="1">
        <f t="shared" si="175"/>
        <v>0.89</v>
      </c>
      <c r="AS123" s="1">
        <f t="shared" si="176"/>
        <v>0.11</v>
      </c>
      <c r="AT123" s="1">
        <f t="shared" si="177"/>
        <v>1</v>
      </c>
    </row>
    <row r="124" spans="2:46" x14ac:dyDescent="0.25">
      <c r="B124" t="s">
        <v>93</v>
      </c>
      <c r="C124" t="s">
        <v>94</v>
      </c>
      <c r="D124" s="1">
        <f t="shared" si="178"/>
        <v>129.44</v>
      </c>
      <c r="E124" s="9">
        <v>45.3</v>
      </c>
      <c r="F124" s="9">
        <f t="shared" si="170"/>
        <v>60.701999999999998</v>
      </c>
      <c r="G124" s="1"/>
      <c r="H124" s="1"/>
      <c r="I124" s="1"/>
      <c r="J124" s="1"/>
      <c r="K124" s="1">
        <v>4.66</v>
      </c>
      <c r="L124" s="1">
        <f t="shared" si="179"/>
        <v>10.9976</v>
      </c>
      <c r="M124" s="1">
        <v>4.16</v>
      </c>
      <c r="N124" s="1">
        <f t="shared" si="165"/>
        <v>9.8176000000000005</v>
      </c>
      <c r="O124" s="1">
        <v>3.33</v>
      </c>
      <c r="P124" s="1">
        <f>O124*2.36</f>
        <v>7.8587999999999996</v>
      </c>
      <c r="Q124" s="1"/>
      <c r="R124" s="1"/>
      <c r="S124" s="1"/>
      <c r="T124" s="1"/>
      <c r="U124" s="1">
        <v>30.81</v>
      </c>
      <c r="V124" s="1">
        <f t="shared" si="182"/>
        <v>41.285400000000003</v>
      </c>
      <c r="W124" s="1">
        <v>11.53</v>
      </c>
      <c r="X124" s="1">
        <f t="shared" si="183"/>
        <v>15.450200000000001</v>
      </c>
      <c r="Y124" s="1">
        <v>10.28</v>
      </c>
      <c r="Z124" s="1">
        <f t="shared" si="184"/>
        <v>13.7752</v>
      </c>
      <c r="AA124" s="1">
        <v>9.3000000000000007</v>
      </c>
      <c r="AB124" s="1">
        <f t="shared" ref="AB124" si="188">AA124*1.34</f>
        <v>12.462000000000002</v>
      </c>
      <c r="AC124" s="1"/>
      <c r="AD124" s="1"/>
      <c r="AE124" s="1">
        <v>6.75</v>
      </c>
      <c r="AF124" s="1">
        <f t="shared" si="185"/>
        <v>18.5625</v>
      </c>
      <c r="AG124" s="1"/>
      <c r="AH124" s="1"/>
      <c r="AI124" s="1"/>
      <c r="AJ124" s="1"/>
      <c r="AK124" s="9">
        <v>3.32</v>
      </c>
      <c r="AL124" s="9">
        <f t="shared" si="187"/>
        <v>9.129999999999999</v>
      </c>
      <c r="AM124" s="9"/>
      <c r="AN124" s="9"/>
      <c r="AO124" s="1"/>
      <c r="AP124" s="1"/>
      <c r="AR124" s="1">
        <f t="shared" si="175"/>
        <v>0.91</v>
      </c>
      <c r="AS124" s="1">
        <f t="shared" si="176"/>
        <v>0.09</v>
      </c>
      <c r="AT124" s="1">
        <f t="shared" si="177"/>
        <v>1</v>
      </c>
    </row>
    <row r="126" spans="2:46" x14ac:dyDescent="0.25">
      <c r="AO126" s="4" t="s">
        <v>148</v>
      </c>
      <c r="AP126" s="4"/>
      <c r="AQ126" s="4"/>
      <c r="AR126" s="6">
        <f>MAX(AR5:AR124)</f>
        <v>0.96</v>
      </c>
      <c r="AS126" s="6">
        <f>MAX(AS5:AS124)</f>
        <v>0.18</v>
      </c>
    </row>
    <row r="127" spans="2:46" x14ac:dyDescent="0.25">
      <c r="B127" s="11"/>
      <c r="C127" s="12"/>
      <c r="AO127" s="4"/>
      <c r="AP127" s="4"/>
      <c r="AQ127" s="4"/>
      <c r="AR127" s="4"/>
      <c r="AS127" s="4"/>
    </row>
    <row r="128" spans="2:46" x14ac:dyDescent="0.25">
      <c r="AO128" s="4" t="s">
        <v>149</v>
      </c>
      <c r="AP128" s="4"/>
      <c r="AQ128" s="4"/>
      <c r="AR128" s="6">
        <f>MIN(AR5:AR124)</f>
        <v>0.82</v>
      </c>
      <c r="AS128" s="6">
        <f>MIN(AS5:AS124)</f>
        <v>0.04</v>
      </c>
    </row>
    <row r="129" spans="41:46" x14ac:dyDescent="0.25">
      <c r="AO129" s="4"/>
      <c r="AP129" s="4"/>
      <c r="AQ129" s="4"/>
      <c r="AR129" s="4"/>
      <c r="AS129" s="4"/>
    </row>
    <row r="130" spans="41:46" x14ac:dyDescent="0.25">
      <c r="AO130" s="4" t="s">
        <v>150</v>
      </c>
      <c r="AP130" s="4"/>
      <c r="AQ130" s="4"/>
      <c r="AR130" s="6">
        <f>AVERAGE(AR5:AR124)</f>
        <v>0.90058333333333362</v>
      </c>
      <c r="AS130" s="6">
        <f>AVERAGE(AS5:AS124)</f>
        <v>9.9583333333333302E-2</v>
      </c>
    </row>
    <row r="131" spans="41:46" x14ac:dyDescent="0.25">
      <c r="AO131" s="4"/>
      <c r="AP131" s="4"/>
      <c r="AQ131" s="4"/>
      <c r="AR131" s="4"/>
      <c r="AS131" s="4"/>
    </row>
    <row r="132" spans="41:46" x14ac:dyDescent="0.25">
      <c r="AO132" s="4" t="s">
        <v>151</v>
      </c>
      <c r="AP132" s="4"/>
      <c r="AQ132" s="4"/>
      <c r="AR132" s="4">
        <f>_xlfn.MODE.SNGL(AR5:AR124)</f>
        <v>0.9</v>
      </c>
      <c r="AS132" s="4">
        <f>_xlfn.MODE.SNGL(AS5:AS124)</f>
        <v>0.1</v>
      </c>
    </row>
    <row r="134" spans="41:46" x14ac:dyDescent="0.25">
      <c r="AO134" s="4" t="s">
        <v>152</v>
      </c>
      <c r="AP134" s="4"/>
      <c r="AQ134" s="4"/>
      <c r="AR134" s="6">
        <f>MEDIAN(AR5:AR124)</f>
        <v>0.9</v>
      </c>
      <c r="AS134" s="6">
        <f>MEDIAN(AS5:AS124)</f>
        <v>0.1</v>
      </c>
    </row>
    <row r="136" spans="41:46" x14ac:dyDescent="0.25">
      <c r="AO136" s="4" t="s">
        <v>153</v>
      </c>
      <c r="AP136" s="4"/>
      <c r="AQ136" s="4"/>
      <c r="AR136" s="4">
        <f>COUNTIF(AR5:AR124,0.8)</f>
        <v>0</v>
      </c>
      <c r="AS136" s="4">
        <f>COUNTIF(AS5:AS124,0.2)</f>
        <v>0</v>
      </c>
      <c r="AT136" s="4"/>
    </row>
    <row r="138" spans="41:46" x14ac:dyDescent="0.25">
      <c r="AO138" s="4" t="s">
        <v>154</v>
      </c>
      <c r="AP138" s="4"/>
      <c r="AQ138" s="4"/>
      <c r="AR138" s="4">
        <f>COUNTIF(AR5:AR124,0.96)</f>
        <v>1</v>
      </c>
      <c r="AS138" s="4">
        <f>COUNTIF(AS5:AS124,0.36)</f>
        <v>0</v>
      </c>
    </row>
    <row r="139" spans="41:46" x14ac:dyDescent="0.25">
      <c r="AO139" s="4"/>
      <c r="AP139" s="4"/>
      <c r="AQ139" s="4"/>
      <c r="AR139" s="4"/>
      <c r="AS139" s="4"/>
    </row>
    <row r="140" spans="41:46" x14ac:dyDescent="0.25">
      <c r="AO140" s="4" t="s">
        <v>155</v>
      </c>
      <c r="AP140" s="4"/>
      <c r="AQ140" s="4"/>
      <c r="AR140" s="4">
        <f>COUNTIF(AR5:AR124,0.64)</f>
        <v>0</v>
      </c>
      <c r="AS140" s="4">
        <f>COUNTIF(AS5:AS124,0.04)</f>
        <v>1</v>
      </c>
    </row>
    <row r="141" spans="41:46" x14ac:dyDescent="0.25">
      <c r="AO141" s="4"/>
      <c r="AP141" s="4"/>
      <c r="AQ141" s="4"/>
      <c r="AR141" s="4"/>
      <c r="AS141" s="4"/>
    </row>
  </sheetData>
  <mergeCells count="20">
    <mergeCell ref="AI2:AJ2"/>
    <mergeCell ref="AK2:AL2"/>
    <mergeCell ref="AM2:AN2"/>
    <mergeCell ref="AO2:AP2"/>
    <mergeCell ref="W2:X2"/>
    <mergeCell ref="Y2:Z2"/>
    <mergeCell ref="AA2:AB2"/>
    <mergeCell ref="AC2:AD2"/>
    <mergeCell ref="AE2:AF2"/>
    <mergeCell ref="AG2:AH2"/>
    <mergeCell ref="E1:AR1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9"/>
  <sheetViews>
    <sheetView topLeftCell="B1" zoomScaleNormal="100" workbookViewId="0">
      <pane xSplit="3" ySplit="3" topLeftCell="AB298" activePane="bottomRight" state="frozen"/>
      <selection activeCell="B1" sqref="B1"/>
      <selection pane="topRight" activeCell="E1" sqref="E1"/>
      <selection pane="bottomLeft" activeCell="B5" sqref="B5"/>
      <selection pane="bottomRight" activeCell="AM304" sqref="AM304:AQ312"/>
    </sheetView>
  </sheetViews>
  <sheetFormatPr defaultColWidth="9.28515625" defaultRowHeight="15" x14ac:dyDescent="0.25"/>
  <cols>
    <col min="1" max="1" width="10.7109375" hidden="1" customWidth="1"/>
    <col min="2" max="2" width="15.7109375" customWidth="1"/>
    <col min="3" max="3" width="31" customWidth="1"/>
    <col min="4" max="4" width="18.85546875" customWidth="1"/>
    <col min="5" max="5" width="11" bestFit="1" customWidth="1"/>
    <col min="6" max="6" width="11.28515625" bestFit="1" customWidth="1"/>
    <col min="7" max="7" width="11" bestFit="1" customWidth="1"/>
    <col min="8" max="8" width="11.28515625" bestFit="1" customWidth="1"/>
    <col min="9" max="9" width="11" bestFit="1" customWidth="1"/>
    <col min="10" max="10" width="11.28515625" bestFit="1" customWidth="1"/>
    <col min="11" max="11" width="11" bestFit="1" customWidth="1"/>
    <col min="12" max="12" width="11.28515625" bestFit="1" customWidth="1"/>
    <col min="13" max="13" width="11" bestFit="1" customWidth="1"/>
    <col min="14" max="14" width="11.28515625" bestFit="1" customWidth="1"/>
    <col min="15" max="15" width="11" bestFit="1" customWidth="1"/>
    <col min="16" max="16" width="11.28515625" bestFit="1" customWidth="1"/>
    <col min="17" max="17" width="11" bestFit="1" customWidth="1"/>
    <col min="18" max="18" width="11.28515625" bestFit="1" customWidth="1"/>
    <col min="19" max="19" width="11" bestFit="1" customWidth="1"/>
    <col min="20" max="20" width="11.28515625" bestFit="1" customWidth="1"/>
    <col min="21" max="21" width="14.28515625" customWidth="1"/>
    <col min="22" max="22" width="11.28515625" bestFit="1" customWidth="1"/>
    <col min="23" max="23" width="11" bestFit="1" customWidth="1"/>
    <col min="24" max="24" width="14.28515625" customWidth="1"/>
    <col min="25" max="25" width="11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1" bestFit="1" customWidth="1"/>
    <col min="30" max="30" width="11.28515625" bestFit="1" customWidth="1"/>
    <col min="31" max="31" width="11" bestFit="1" customWidth="1"/>
    <col min="32" max="32" width="11.28515625" bestFit="1" customWidth="1"/>
    <col min="33" max="33" width="11" bestFit="1" customWidth="1"/>
    <col min="34" max="34" width="11.28515625" bestFit="1" customWidth="1"/>
    <col min="35" max="38" width="7.140625" style="10" customWidth="1"/>
    <col min="39" max="39" width="17" bestFit="1" customWidth="1"/>
    <col min="40" max="40" width="11.28515625" bestFit="1" customWidth="1"/>
    <col min="42" max="42" width="19.85546875" customWidth="1"/>
    <col min="43" max="43" width="20.42578125" customWidth="1"/>
  </cols>
  <sheetData>
    <row r="1" spans="1:44" s="4" customFormat="1" x14ac:dyDescent="0.25"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4" s="7" customFormat="1" ht="15.75" x14ac:dyDescent="0.25">
      <c r="A2" s="7" t="s">
        <v>61</v>
      </c>
      <c r="B2" s="7" t="s">
        <v>39</v>
      </c>
      <c r="C2" s="7" t="s">
        <v>44</v>
      </c>
      <c r="D2" s="17" t="s">
        <v>176</v>
      </c>
      <c r="E2" s="19" t="s">
        <v>22</v>
      </c>
      <c r="F2" s="19"/>
      <c r="G2" s="16" t="s">
        <v>20</v>
      </c>
      <c r="H2" s="16"/>
      <c r="I2" s="16" t="s">
        <v>23</v>
      </c>
      <c r="J2" s="16"/>
      <c r="K2" s="16" t="s">
        <v>24</v>
      </c>
      <c r="L2" s="16"/>
      <c r="M2" s="16" t="s">
        <v>32</v>
      </c>
      <c r="N2" s="16"/>
      <c r="O2" s="16" t="s">
        <v>33</v>
      </c>
      <c r="P2" s="16"/>
      <c r="Q2" s="16" t="s">
        <v>19</v>
      </c>
      <c r="R2" s="16"/>
      <c r="S2" s="14" t="s">
        <v>25</v>
      </c>
      <c r="T2" s="14"/>
      <c r="U2" s="14" t="s">
        <v>26</v>
      </c>
      <c r="V2" s="14"/>
      <c r="W2" s="14" t="s">
        <v>27</v>
      </c>
      <c r="X2" s="14"/>
      <c r="Y2" s="14" t="s">
        <v>28</v>
      </c>
      <c r="Z2" s="14"/>
      <c r="AA2" s="14" t="s">
        <v>29</v>
      </c>
      <c r="AB2" s="14"/>
      <c r="AC2" s="14" t="s">
        <v>31</v>
      </c>
      <c r="AD2" s="14"/>
      <c r="AE2" s="14" t="s">
        <v>30</v>
      </c>
      <c r="AF2" s="14"/>
      <c r="AG2" s="14" t="s">
        <v>37</v>
      </c>
      <c r="AH2" s="14"/>
      <c r="AI2" s="13" t="s">
        <v>84</v>
      </c>
      <c r="AJ2" s="13"/>
      <c r="AK2" s="13" t="s">
        <v>83</v>
      </c>
      <c r="AL2" s="13"/>
      <c r="AM2" s="14" t="s">
        <v>38</v>
      </c>
      <c r="AN2" s="14"/>
      <c r="AP2" s="20" t="s">
        <v>177</v>
      </c>
      <c r="AQ2" s="20" t="s">
        <v>178</v>
      </c>
      <c r="AR2" s="7" t="s">
        <v>147</v>
      </c>
    </row>
    <row r="3" spans="1:44" s="4" customFormat="1" x14ac:dyDescent="0.25">
      <c r="D3" s="18" t="s">
        <v>175</v>
      </c>
      <c r="E3" s="18" t="s">
        <v>175</v>
      </c>
      <c r="F3" s="18" t="s">
        <v>174</v>
      </c>
      <c r="G3" s="18" t="s">
        <v>175</v>
      </c>
      <c r="H3" s="18" t="s">
        <v>174</v>
      </c>
      <c r="I3" s="18" t="s">
        <v>175</v>
      </c>
      <c r="J3" s="18" t="s">
        <v>174</v>
      </c>
      <c r="K3" s="18" t="s">
        <v>175</v>
      </c>
      <c r="L3" s="18" t="s">
        <v>174</v>
      </c>
      <c r="M3" s="18" t="s">
        <v>175</v>
      </c>
      <c r="N3" s="18" t="s">
        <v>174</v>
      </c>
      <c r="O3" s="18" t="s">
        <v>175</v>
      </c>
      <c r="P3" s="18" t="s">
        <v>174</v>
      </c>
      <c r="Q3" s="18" t="s">
        <v>175</v>
      </c>
      <c r="R3" s="18" t="s">
        <v>174</v>
      </c>
      <c r="S3" s="18" t="s">
        <v>175</v>
      </c>
      <c r="T3" s="18" t="s">
        <v>174</v>
      </c>
      <c r="U3" s="18" t="s">
        <v>175</v>
      </c>
      <c r="V3" s="18" t="s">
        <v>174</v>
      </c>
      <c r="W3" s="18" t="s">
        <v>175</v>
      </c>
      <c r="X3" s="18" t="s">
        <v>174</v>
      </c>
      <c r="Y3" s="18" t="s">
        <v>175</v>
      </c>
      <c r="Z3" s="18" t="s">
        <v>174</v>
      </c>
      <c r="AA3" s="18" t="s">
        <v>175</v>
      </c>
      <c r="AB3" s="18" t="s">
        <v>174</v>
      </c>
      <c r="AC3" s="18" t="s">
        <v>175</v>
      </c>
      <c r="AD3" s="18" t="s">
        <v>174</v>
      </c>
      <c r="AE3" s="18" t="s">
        <v>175</v>
      </c>
      <c r="AF3" s="18" t="s">
        <v>174</v>
      </c>
      <c r="AG3" s="18" t="s">
        <v>175</v>
      </c>
      <c r="AH3" s="18" t="s">
        <v>174</v>
      </c>
      <c r="AI3" s="18" t="s">
        <v>175</v>
      </c>
      <c r="AJ3" s="18" t="s">
        <v>174</v>
      </c>
      <c r="AK3" s="18" t="s">
        <v>175</v>
      </c>
      <c r="AL3" s="18" t="s">
        <v>174</v>
      </c>
      <c r="AM3" s="18" t="s">
        <v>175</v>
      </c>
      <c r="AN3" s="18" t="s">
        <v>174</v>
      </c>
      <c r="AP3" s="20"/>
      <c r="AQ3" s="20"/>
    </row>
    <row r="4" spans="1:44" x14ac:dyDescent="0.25">
      <c r="B4" t="s">
        <v>42</v>
      </c>
      <c r="C4" t="s">
        <v>130</v>
      </c>
      <c r="D4" s="1">
        <f>SUM(E4,G4,I4,K4,M4,O4,Q4,S4,U4,W4,Y4,AA4,AC4,AE4,AG4,AI4,AK4)</f>
        <v>43.1</v>
      </c>
      <c r="E4" s="1">
        <v>15.5</v>
      </c>
      <c r="F4" s="1">
        <f t="shared" ref="F4:F28" si="0">E4*1.34</f>
        <v>20.77</v>
      </c>
      <c r="G4" s="1">
        <v>7.7</v>
      </c>
      <c r="H4" s="1">
        <f>G4*1.34</f>
        <v>10.318000000000001</v>
      </c>
      <c r="I4" s="1">
        <v>4.5</v>
      </c>
      <c r="J4" s="1">
        <f t="shared" ref="J4:J26" si="1">I4*2.36</f>
        <v>10.62</v>
      </c>
      <c r="K4" s="1"/>
      <c r="L4" s="1"/>
      <c r="M4" s="1"/>
      <c r="N4" s="1"/>
      <c r="O4" s="1"/>
      <c r="P4" s="1"/>
      <c r="Q4" s="1"/>
      <c r="R4" s="1"/>
      <c r="S4" s="1">
        <v>12.5</v>
      </c>
      <c r="T4" s="1">
        <f t="shared" ref="T4" si="2">S4*1.34</f>
        <v>16.75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2.9</v>
      </c>
      <c r="AF4" s="1">
        <f t="shared" ref="AF4" si="3">AE4*2.75</f>
        <v>7.9749999999999996</v>
      </c>
      <c r="AG4" s="1"/>
      <c r="AH4" s="1"/>
      <c r="AI4" s="9"/>
      <c r="AJ4" s="9"/>
      <c r="AK4" s="9"/>
      <c r="AL4" s="9"/>
      <c r="AM4" s="1"/>
      <c r="AN4" s="1"/>
      <c r="AP4" s="1">
        <f>ROUND(SUM(AK4,AI4,AG4,AE4,AC4,AA4,Y4,W4,U4,S4,E4)/D4,2)</f>
        <v>0.72</v>
      </c>
      <c r="AQ4" s="1">
        <f>ROUND(SUM(G4,I4,K4,M4,O4,Q4)/D4,2)</f>
        <v>0.28000000000000003</v>
      </c>
      <c r="AR4" s="1">
        <f t="shared" ref="AR4:AR25" si="4">AP4+AQ4</f>
        <v>1</v>
      </c>
    </row>
    <row r="5" spans="1:44" x14ac:dyDescent="0.25">
      <c r="C5" t="s">
        <v>68</v>
      </c>
      <c r="D5" s="1">
        <f>SUM(E5,G5,I5,K5,M5,O5,Q5,S5,U5,W5,Y5,AA5,AC5,AE5,AG5,AI5,AK5)</f>
        <v>44.699999999999996</v>
      </c>
      <c r="E5" s="1">
        <v>16.2</v>
      </c>
      <c r="F5" s="1">
        <f t="shared" si="0"/>
        <v>21.708000000000002</v>
      </c>
      <c r="G5" s="1">
        <v>7.15</v>
      </c>
      <c r="H5" s="1">
        <f t="shared" ref="H5" si="5">G5*1.34</f>
        <v>9.5810000000000013</v>
      </c>
      <c r="I5" s="1">
        <v>3.7</v>
      </c>
      <c r="J5" s="1">
        <f t="shared" si="1"/>
        <v>8.7319999999999993</v>
      </c>
      <c r="K5" s="1"/>
      <c r="L5" s="1"/>
      <c r="M5" s="1"/>
      <c r="N5" s="1"/>
      <c r="O5" s="1"/>
      <c r="P5" s="1"/>
      <c r="Q5" s="1"/>
      <c r="R5" s="1"/>
      <c r="S5" s="1">
        <v>13.35</v>
      </c>
      <c r="T5" s="1">
        <f t="shared" ref="T5" si="6">S5*1.34</f>
        <v>17.888999999999999</v>
      </c>
      <c r="U5" s="1"/>
      <c r="V5" s="1"/>
      <c r="W5" s="1"/>
      <c r="X5" s="1"/>
      <c r="Y5" s="1"/>
      <c r="Z5" s="1"/>
      <c r="AA5" s="1"/>
      <c r="AB5" s="1"/>
      <c r="AC5" s="1">
        <v>4.3</v>
      </c>
      <c r="AD5" s="1">
        <f t="shared" ref="AD5" si="7">AC5*2.75</f>
        <v>11.824999999999999</v>
      </c>
      <c r="AE5" s="1"/>
      <c r="AF5" s="1"/>
      <c r="AG5" s="1"/>
      <c r="AH5" s="1"/>
      <c r="AI5" s="9"/>
      <c r="AJ5" s="9"/>
      <c r="AK5" s="9"/>
      <c r="AL5" s="9"/>
      <c r="AM5" s="1"/>
      <c r="AN5" s="1"/>
      <c r="AP5" s="1">
        <f t="shared" ref="AP5:AP9" si="8">ROUND(SUM(AK5,AI5,AG5,AE5,AC5,AA5,Y5,W5,U5,S5,E5)/D5,2)</f>
        <v>0.76</v>
      </c>
      <c r="AQ5" s="1">
        <f t="shared" ref="AQ5:AQ9" si="9">ROUND(SUM(G5,I5,K5,M5,O5,Q5)/D5,2)</f>
        <v>0.24</v>
      </c>
      <c r="AR5" s="1">
        <f t="shared" si="4"/>
        <v>1</v>
      </c>
    </row>
    <row r="6" spans="1:44" x14ac:dyDescent="0.25">
      <c r="B6" t="s">
        <v>42</v>
      </c>
      <c r="C6" t="s">
        <v>54</v>
      </c>
      <c r="D6" s="1">
        <f>SUM(E6,G6,I6,K6,M6,O6,Q6,S6,U6,W6,Y6,AA6,AC6,AE6,AG6,AI6,AK6)</f>
        <v>45.97</v>
      </c>
      <c r="E6" s="1">
        <v>18.260000000000002</v>
      </c>
      <c r="F6" s="1">
        <f t="shared" si="0"/>
        <v>24.468400000000003</v>
      </c>
      <c r="G6" s="1">
        <v>7.86</v>
      </c>
      <c r="H6" s="1">
        <f t="shared" ref="H6" si="10">G6*1.34</f>
        <v>10.532400000000001</v>
      </c>
      <c r="I6" s="1">
        <v>4.55</v>
      </c>
      <c r="J6" s="1">
        <f t="shared" si="1"/>
        <v>10.738</v>
      </c>
      <c r="K6" s="1"/>
      <c r="L6" s="1"/>
      <c r="M6" s="1"/>
      <c r="N6" s="1"/>
      <c r="O6" s="1"/>
      <c r="P6" s="1"/>
      <c r="Q6" s="1"/>
      <c r="R6" s="1"/>
      <c r="S6" s="1">
        <v>12.02</v>
      </c>
      <c r="T6" s="1">
        <f t="shared" ref="T6" si="11">S6*1.34</f>
        <v>16.1068</v>
      </c>
      <c r="U6" s="1"/>
      <c r="V6" s="1"/>
      <c r="W6" s="1"/>
      <c r="X6" s="1"/>
      <c r="Y6" s="1"/>
      <c r="Z6" s="1"/>
      <c r="AA6" s="1"/>
      <c r="AB6" s="1"/>
      <c r="AC6" s="1">
        <v>3.28</v>
      </c>
      <c r="AD6" s="1">
        <f t="shared" ref="AD6:AD7" si="12">AC6*2.75</f>
        <v>9.02</v>
      </c>
      <c r="AE6" s="1"/>
      <c r="AF6" s="1"/>
      <c r="AG6" s="1"/>
      <c r="AH6" s="1"/>
      <c r="AI6" s="9"/>
      <c r="AJ6" s="9"/>
      <c r="AK6" s="9"/>
      <c r="AL6" s="9"/>
      <c r="AM6" s="1"/>
      <c r="AN6" s="1"/>
      <c r="AP6" s="1">
        <f t="shared" si="8"/>
        <v>0.73</v>
      </c>
      <c r="AQ6" s="1">
        <f t="shared" si="9"/>
        <v>0.27</v>
      </c>
      <c r="AR6" s="1">
        <f t="shared" si="4"/>
        <v>1</v>
      </c>
    </row>
    <row r="7" spans="1:44" x14ac:dyDescent="0.25">
      <c r="B7" t="s">
        <v>42</v>
      </c>
      <c r="C7" t="s">
        <v>77</v>
      </c>
      <c r="D7" s="1">
        <f>SUM(E7,G7,I7,K7,M7,O7,Q7,S7,U7,W7,Y7,AA7,AC7,AE7,AG7,AI7,AK7)</f>
        <v>47.650000000000006</v>
      </c>
      <c r="E7" s="1">
        <v>18</v>
      </c>
      <c r="F7" s="1">
        <f t="shared" si="0"/>
        <v>24.12</v>
      </c>
      <c r="G7" s="1">
        <v>7.8</v>
      </c>
      <c r="H7" s="1">
        <f t="shared" ref="H7" si="13">G7*1.34</f>
        <v>10.452</v>
      </c>
      <c r="I7" s="1">
        <v>3.5</v>
      </c>
      <c r="J7" s="1">
        <f t="shared" si="1"/>
        <v>8.26</v>
      </c>
      <c r="K7" s="1"/>
      <c r="L7" s="1"/>
      <c r="M7" s="1"/>
      <c r="N7" s="1"/>
      <c r="O7" s="1"/>
      <c r="P7" s="1"/>
      <c r="Q7" s="1"/>
      <c r="R7" s="1"/>
      <c r="S7" s="1">
        <v>11.05</v>
      </c>
      <c r="T7" s="1">
        <f t="shared" ref="T7" si="14">S7*1.34</f>
        <v>14.807000000000002</v>
      </c>
      <c r="U7" s="1"/>
      <c r="V7" s="1"/>
      <c r="W7" s="1"/>
      <c r="X7" s="1"/>
      <c r="Y7" s="1"/>
      <c r="Z7" s="1"/>
      <c r="AA7" s="1"/>
      <c r="AB7" s="1"/>
      <c r="AC7" s="1">
        <v>3.85</v>
      </c>
      <c r="AD7" s="1">
        <f t="shared" si="12"/>
        <v>10.5875</v>
      </c>
      <c r="AE7" s="1">
        <v>3.45</v>
      </c>
      <c r="AF7" s="1">
        <f>AE7*2.75</f>
        <v>9.4875000000000007</v>
      </c>
      <c r="AG7" s="1"/>
      <c r="AH7" s="1"/>
      <c r="AI7" s="9"/>
      <c r="AJ7" s="9"/>
      <c r="AK7" s="9"/>
      <c r="AL7" s="9"/>
      <c r="AM7" s="1"/>
      <c r="AN7" s="1"/>
      <c r="AP7" s="1">
        <f t="shared" si="8"/>
        <v>0.76</v>
      </c>
      <c r="AQ7" s="1">
        <f t="shared" si="9"/>
        <v>0.24</v>
      </c>
      <c r="AR7" s="1">
        <f t="shared" si="4"/>
        <v>1</v>
      </c>
    </row>
    <row r="8" spans="1:44" x14ac:dyDescent="0.25">
      <c r="D8" s="1">
        <f>SUM(E8,G8,I8,K8,M8,O8,Q8,S8,U8,W8,Y8,AA8,AC8,AE8,AG8,AI8,AK8)</f>
        <v>49.559999999999995</v>
      </c>
      <c r="E8" s="1">
        <v>17.899999999999999</v>
      </c>
      <c r="F8" s="1">
        <f t="shared" ref="F8:H8" si="15">E8*1.34</f>
        <v>23.986000000000001</v>
      </c>
      <c r="G8" s="1">
        <v>6.4</v>
      </c>
      <c r="H8" s="1">
        <f t="shared" si="15"/>
        <v>8.5760000000000005</v>
      </c>
      <c r="I8" s="1">
        <v>3</v>
      </c>
      <c r="J8" s="1">
        <f t="shared" si="1"/>
        <v>7.08</v>
      </c>
      <c r="K8" s="1">
        <v>2.8</v>
      </c>
      <c r="L8" s="1">
        <f>K8*2.36</f>
        <v>6.6079999999999997</v>
      </c>
      <c r="M8" s="1"/>
      <c r="N8" s="1"/>
      <c r="O8" s="1"/>
      <c r="P8" s="1"/>
      <c r="Q8" s="1"/>
      <c r="R8" s="1"/>
      <c r="S8" s="1">
        <v>9.86</v>
      </c>
      <c r="T8" s="1">
        <f t="shared" ref="T8" si="16">S8*1.34</f>
        <v>13.212400000000001</v>
      </c>
      <c r="U8" s="1">
        <v>8.4</v>
      </c>
      <c r="V8" s="1">
        <f t="shared" ref="V8:V10" si="17">U8*1.34</f>
        <v>11.256000000000002</v>
      </c>
      <c r="W8" s="1"/>
      <c r="X8" s="1"/>
      <c r="Y8" s="1"/>
      <c r="Z8" s="1"/>
      <c r="AA8" s="1"/>
      <c r="AB8" s="1"/>
      <c r="AC8" s="1"/>
      <c r="AD8" s="1"/>
      <c r="AE8" s="1">
        <v>1.2</v>
      </c>
      <c r="AF8" s="1">
        <f t="shared" ref="AF8:AF9" si="18">AE8*2.75</f>
        <v>3.3</v>
      </c>
      <c r="AG8" s="1"/>
      <c r="AH8" s="1"/>
      <c r="AI8" s="9"/>
      <c r="AJ8" s="9"/>
      <c r="AK8" s="9"/>
      <c r="AL8" s="9"/>
      <c r="AM8" s="1"/>
      <c r="AN8" s="1"/>
      <c r="AP8" s="1">
        <f t="shared" si="8"/>
        <v>0.75</v>
      </c>
      <c r="AQ8" s="1">
        <f t="shared" si="9"/>
        <v>0.25</v>
      </c>
      <c r="AR8" s="1">
        <f t="shared" si="4"/>
        <v>1</v>
      </c>
    </row>
    <row r="9" spans="1:44" x14ac:dyDescent="0.25">
      <c r="B9" t="s">
        <v>42</v>
      </c>
      <c r="C9" t="s">
        <v>76</v>
      </c>
      <c r="D9" s="1">
        <f>SUM(E9,G9,I9,K9,M9,O9,Q9,S9,U9,W9,Y9,AA9,AC9,AE9,AG9,AI9,AK9)</f>
        <v>49.599999999999994</v>
      </c>
      <c r="E9" s="1">
        <v>16.05</v>
      </c>
      <c r="F9" s="1">
        <f t="shared" ref="F9:H9" si="19">E9*1.34</f>
        <v>21.507000000000001</v>
      </c>
      <c r="G9" s="1">
        <v>7.15</v>
      </c>
      <c r="H9" s="1">
        <f t="shared" si="19"/>
        <v>9.5810000000000013</v>
      </c>
      <c r="I9" s="1">
        <v>4.5999999999999996</v>
      </c>
      <c r="J9" s="1">
        <f t="shared" si="1"/>
        <v>10.855999999999998</v>
      </c>
      <c r="K9" s="1"/>
      <c r="L9" s="1"/>
      <c r="M9" s="1"/>
      <c r="N9" s="1"/>
      <c r="O9" s="1"/>
      <c r="P9" s="1"/>
      <c r="Q9" s="1"/>
      <c r="R9" s="1"/>
      <c r="S9" s="1">
        <v>10.45</v>
      </c>
      <c r="T9" s="1">
        <f t="shared" ref="T9" si="20">S9*1.34</f>
        <v>14.003</v>
      </c>
      <c r="U9" s="1">
        <v>6.3</v>
      </c>
      <c r="V9" s="1">
        <f t="shared" si="17"/>
        <v>8.4420000000000002</v>
      </c>
      <c r="W9" s="1"/>
      <c r="X9" s="1"/>
      <c r="Y9" s="1"/>
      <c r="Z9" s="1"/>
      <c r="AA9" s="1"/>
      <c r="AB9" s="1"/>
      <c r="AC9" s="1">
        <v>2.8</v>
      </c>
      <c r="AD9" s="1">
        <f t="shared" ref="AD9" si="21">AC9*2.75</f>
        <v>7.6999999999999993</v>
      </c>
      <c r="AE9" s="1">
        <v>2.25</v>
      </c>
      <c r="AF9" s="1">
        <f t="shared" si="18"/>
        <v>6.1875</v>
      </c>
      <c r="AG9" s="1"/>
      <c r="AH9" s="1"/>
      <c r="AI9" s="9"/>
      <c r="AJ9" s="9"/>
      <c r="AK9" s="9"/>
      <c r="AL9" s="9"/>
      <c r="AM9" s="1"/>
      <c r="AN9" s="1"/>
      <c r="AP9" s="1">
        <f t="shared" si="8"/>
        <v>0.76</v>
      </c>
      <c r="AQ9" s="1">
        <f t="shared" si="9"/>
        <v>0.24</v>
      </c>
      <c r="AR9" s="1">
        <f t="shared" si="4"/>
        <v>1</v>
      </c>
    </row>
    <row r="10" spans="1:44" x14ac:dyDescent="0.25">
      <c r="B10" t="s">
        <v>42</v>
      </c>
      <c r="C10" t="s">
        <v>77</v>
      </c>
      <c r="D10" s="1">
        <f>SUM(E10,G10,I10,K10,M10,O10,Q10,S10,U10,W10,Y10,AA10,AC10,AE10,AG10,AI10,AK10)</f>
        <v>51.7</v>
      </c>
      <c r="E10" s="1">
        <v>17.899999999999999</v>
      </c>
      <c r="F10" s="1">
        <f t="shared" si="0"/>
        <v>23.986000000000001</v>
      </c>
      <c r="G10" s="1">
        <v>7</v>
      </c>
      <c r="H10" s="1">
        <f t="shared" ref="H10" si="22">G10*1.34</f>
        <v>9.3800000000000008</v>
      </c>
      <c r="I10" s="1">
        <v>3.5</v>
      </c>
      <c r="J10" s="1">
        <f t="shared" si="1"/>
        <v>8.26</v>
      </c>
      <c r="K10" s="1"/>
      <c r="L10" s="1"/>
      <c r="M10" s="1"/>
      <c r="N10" s="1"/>
      <c r="O10" s="1"/>
      <c r="P10" s="1"/>
      <c r="Q10" s="1"/>
      <c r="R10" s="1"/>
      <c r="S10" s="1">
        <v>11.4</v>
      </c>
      <c r="T10" s="1">
        <f t="shared" ref="T10" si="23">S10*1.34</f>
        <v>15.276000000000002</v>
      </c>
      <c r="U10" s="1">
        <v>7.85</v>
      </c>
      <c r="V10" s="1">
        <f t="shared" si="17"/>
        <v>10.519</v>
      </c>
      <c r="W10" s="1"/>
      <c r="X10" s="1"/>
      <c r="Y10" s="1"/>
      <c r="Z10" s="1"/>
      <c r="AA10" s="1"/>
      <c r="AB10" s="1"/>
      <c r="AC10" s="1">
        <v>2.2000000000000002</v>
      </c>
      <c r="AD10" s="1">
        <f t="shared" ref="AD10" si="24">AC10*2.75</f>
        <v>6.0500000000000007</v>
      </c>
      <c r="AE10" s="1">
        <v>1.85</v>
      </c>
      <c r="AF10" s="1">
        <f t="shared" ref="AF10" si="25">AE10*2.75</f>
        <v>5.0875000000000004</v>
      </c>
      <c r="AG10" s="1"/>
      <c r="AH10" s="1"/>
      <c r="AI10" s="9"/>
      <c r="AJ10" s="9"/>
      <c r="AK10" s="9"/>
      <c r="AL10" s="9"/>
      <c r="AM10" s="1"/>
      <c r="AN10" s="1"/>
      <c r="AP10" s="1">
        <f t="shared" ref="AP10:AP73" si="26">ROUND(SUM(AK10,AI10,AG10,AE10,AC10,AA10,Y10,W10,U10,S10,E10)/D10,2)</f>
        <v>0.8</v>
      </c>
      <c r="AQ10" s="1">
        <f t="shared" ref="AQ10:AQ73" si="27">ROUND(SUM(G10,I10,K10,M10,O10,Q10)/D10,2)</f>
        <v>0.2</v>
      </c>
      <c r="AR10" s="1">
        <f t="shared" si="4"/>
        <v>1</v>
      </c>
    </row>
    <row r="11" spans="1:44" x14ac:dyDescent="0.25">
      <c r="A11" t="s">
        <v>60</v>
      </c>
      <c r="C11" t="s">
        <v>68</v>
      </c>
      <c r="D11" s="1">
        <f>SUM(E11,G11,I11,K11,M11,O11,Q11,S11,U11,W11,Y11,AA11,AC11,AE11,AG11,AI11,AK11)</f>
        <v>52.85</v>
      </c>
      <c r="E11" s="1">
        <v>18.55</v>
      </c>
      <c r="F11" s="1">
        <f t="shared" si="0"/>
        <v>24.857000000000003</v>
      </c>
      <c r="G11" s="1">
        <v>8.1</v>
      </c>
      <c r="H11" s="1">
        <f t="shared" ref="H11" si="28">G11*1.34</f>
        <v>10.854000000000001</v>
      </c>
      <c r="I11" s="1">
        <v>5.3</v>
      </c>
      <c r="J11" s="1">
        <f t="shared" si="1"/>
        <v>12.507999999999999</v>
      </c>
      <c r="K11" s="1"/>
      <c r="L11" s="1"/>
      <c r="M11" s="1"/>
      <c r="N11" s="1"/>
      <c r="O11" s="1"/>
      <c r="P11" s="1"/>
      <c r="Q11" s="1"/>
      <c r="R11" s="1"/>
      <c r="S11" s="1">
        <v>14.2</v>
      </c>
      <c r="T11" s="1">
        <f t="shared" ref="T11" si="29">S11*1.34</f>
        <v>19.027999999999999</v>
      </c>
      <c r="U11" s="1"/>
      <c r="V11" s="1"/>
      <c r="W11" s="1"/>
      <c r="X11" s="1"/>
      <c r="Y11" s="1"/>
      <c r="Z11" s="1"/>
      <c r="AA11" s="1"/>
      <c r="AB11" s="1"/>
      <c r="AC11" s="1">
        <v>6.7</v>
      </c>
      <c r="AD11" s="1">
        <f t="shared" ref="AD11:AD12" si="30">AC11*2.75</f>
        <v>18.425000000000001</v>
      </c>
      <c r="AE11" s="1"/>
      <c r="AF11" s="1"/>
      <c r="AG11" s="1"/>
      <c r="AH11" s="1"/>
      <c r="AI11" s="9"/>
      <c r="AJ11" s="9"/>
      <c r="AK11" s="9"/>
      <c r="AL11" s="9"/>
      <c r="AM11" s="1"/>
      <c r="AN11" s="1"/>
      <c r="AP11" s="1">
        <f t="shared" si="26"/>
        <v>0.75</v>
      </c>
      <c r="AQ11" s="1">
        <f t="shared" si="27"/>
        <v>0.25</v>
      </c>
      <c r="AR11" s="1">
        <f t="shared" si="4"/>
        <v>1</v>
      </c>
    </row>
    <row r="12" spans="1:44" x14ac:dyDescent="0.25">
      <c r="C12" t="s">
        <v>67</v>
      </c>
      <c r="D12" s="1">
        <f>SUM(E12,G12,I12,K12,M12,O12,Q12,S12,U12,W12,Y12,AA12,AC12,AE12,AG12,AI12,AK12)</f>
        <v>53.27</v>
      </c>
      <c r="E12" s="1">
        <v>16.77</v>
      </c>
      <c r="F12" s="1">
        <f t="shared" si="0"/>
        <v>22.471800000000002</v>
      </c>
      <c r="G12" s="1">
        <v>6.14</v>
      </c>
      <c r="H12" s="1">
        <f t="shared" ref="H12" si="31">G12*1.34</f>
        <v>8.2276000000000007</v>
      </c>
      <c r="I12" s="1">
        <v>3.67</v>
      </c>
      <c r="J12" s="1">
        <f t="shared" si="1"/>
        <v>8.6611999999999991</v>
      </c>
      <c r="K12" s="1"/>
      <c r="L12" s="1"/>
      <c r="M12" s="1"/>
      <c r="N12" s="1"/>
      <c r="O12" s="1"/>
      <c r="P12" s="1"/>
      <c r="Q12" s="1"/>
      <c r="R12" s="1"/>
      <c r="S12" s="1">
        <v>10.71</v>
      </c>
      <c r="T12" s="1">
        <f t="shared" ref="T12" si="32">S12*1.34</f>
        <v>14.351400000000002</v>
      </c>
      <c r="U12" s="1">
        <v>8.2799999999999994</v>
      </c>
      <c r="V12" s="1">
        <f t="shared" ref="V12:V15" si="33">U12*1.34</f>
        <v>11.0952</v>
      </c>
      <c r="W12" s="1"/>
      <c r="X12" s="1"/>
      <c r="Y12" s="1"/>
      <c r="Z12" s="1"/>
      <c r="AA12" s="1"/>
      <c r="AB12" s="1"/>
      <c r="AC12" s="1">
        <v>2.2400000000000002</v>
      </c>
      <c r="AD12" s="1">
        <f t="shared" si="30"/>
        <v>6.16</v>
      </c>
      <c r="AE12" s="1">
        <v>3.04</v>
      </c>
      <c r="AF12" s="1">
        <f t="shared" ref="AF12:AF13" si="34">AE12*2.75</f>
        <v>8.36</v>
      </c>
      <c r="AG12" s="1">
        <v>2.42</v>
      </c>
      <c r="AH12" s="1">
        <f>AG12*2.36</f>
        <v>5.7111999999999998</v>
      </c>
      <c r="AI12" s="9"/>
      <c r="AJ12" s="9"/>
      <c r="AK12" s="9"/>
      <c r="AL12" s="9"/>
      <c r="AM12" s="1">
        <v>3.66</v>
      </c>
      <c r="AN12" s="1">
        <f>AM12*0.6</f>
        <v>2.1960000000000002</v>
      </c>
      <c r="AP12" s="1">
        <f t="shared" si="26"/>
        <v>0.82</v>
      </c>
      <c r="AQ12" s="1">
        <f t="shared" si="27"/>
        <v>0.18</v>
      </c>
      <c r="AR12" s="1">
        <f t="shared" si="4"/>
        <v>1</v>
      </c>
    </row>
    <row r="13" spans="1:44" x14ac:dyDescent="0.25">
      <c r="B13" t="s">
        <v>42</v>
      </c>
      <c r="C13" t="s">
        <v>71</v>
      </c>
      <c r="D13" s="1">
        <f>SUM(E13,G13,I13,K13,M13,O13,Q13,S13,U13,W13,Y13,AA13,AC13,AE13,AG13,AI13,AK13)</f>
        <v>53.49</v>
      </c>
      <c r="E13" s="1">
        <v>17.190000000000001</v>
      </c>
      <c r="F13" s="1">
        <f t="shared" si="0"/>
        <v>23.034600000000005</v>
      </c>
      <c r="G13" s="1">
        <v>7.26</v>
      </c>
      <c r="H13" s="1">
        <f t="shared" ref="H13" si="35">G13*1.34</f>
        <v>9.7284000000000006</v>
      </c>
      <c r="I13" s="1">
        <v>3.5</v>
      </c>
      <c r="J13" s="1">
        <f t="shared" si="1"/>
        <v>8.26</v>
      </c>
      <c r="K13" s="1"/>
      <c r="L13" s="1"/>
      <c r="M13" s="1"/>
      <c r="N13" s="1"/>
      <c r="O13" s="1"/>
      <c r="P13" s="1"/>
      <c r="Q13" s="1"/>
      <c r="R13" s="1"/>
      <c r="S13" s="1">
        <v>10.45</v>
      </c>
      <c r="T13" s="1">
        <f t="shared" ref="T13" si="36">S13*1.34</f>
        <v>14.003</v>
      </c>
      <c r="U13" s="1">
        <v>9.82</v>
      </c>
      <c r="V13" s="1">
        <f t="shared" si="33"/>
        <v>13.158800000000001</v>
      </c>
      <c r="W13" s="1"/>
      <c r="X13" s="1"/>
      <c r="Y13" s="1"/>
      <c r="Z13" s="1"/>
      <c r="AA13" s="1"/>
      <c r="AB13" s="1"/>
      <c r="AC13" s="1">
        <v>2.84</v>
      </c>
      <c r="AD13" s="1">
        <f t="shared" ref="AD13:AD14" si="37">AC13*2.75</f>
        <v>7.81</v>
      </c>
      <c r="AE13" s="1">
        <v>2.4300000000000002</v>
      </c>
      <c r="AF13" s="1">
        <f t="shared" si="34"/>
        <v>6.6825000000000001</v>
      </c>
      <c r="AG13" s="1"/>
      <c r="AH13" s="1"/>
      <c r="AI13" s="9"/>
      <c r="AJ13" s="9"/>
      <c r="AK13" s="9"/>
      <c r="AL13" s="9"/>
      <c r="AM13" s="1"/>
      <c r="AN13" s="1"/>
      <c r="AP13" s="1">
        <f t="shared" si="26"/>
        <v>0.8</v>
      </c>
      <c r="AQ13" s="1">
        <f t="shared" si="27"/>
        <v>0.2</v>
      </c>
      <c r="AR13" s="1">
        <f t="shared" si="4"/>
        <v>1</v>
      </c>
    </row>
    <row r="14" spans="1:44" x14ac:dyDescent="0.25">
      <c r="B14" t="s">
        <v>42</v>
      </c>
      <c r="C14" t="s">
        <v>54</v>
      </c>
      <c r="D14" s="1">
        <f>SUM(E14,G14,I14,K14,M14,O14,Q14,S14,U14,W14,Y14,AA14,AC14,AE14,AG14,AI14,AK14)</f>
        <v>53.83</v>
      </c>
      <c r="E14" s="1">
        <v>17.38</v>
      </c>
      <c r="F14" s="1">
        <f t="shared" si="0"/>
        <v>23.289200000000001</v>
      </c>
      <c r="G14" s="1">
        <v>7</v>
      </c>
      <c r="H14" s="1">
        <f t="shared" ref="H14" si="38">G14*1.34</f>
        <v>9.3800000000000008</v>
      </c>
      <c r="I14" s="1">
        <v>4.07</v>
      </c>
      <c r="J14" s="1">
        <f t="shared" si="1"/>
        <v>9.6052</v>
      </c>
      <c r="K14" s="1"/>
      <c r="L14" s="1"/>
      <c r="M14" s="1"/>
      <c r="N14" s="1"/>
      <c r="O14" s="1"/>
      <c r="P14" s="1"/>
      <c r="Q14" s="1"/>
      <c r="R14" s="1"/>
      <c r="S14" s="1">
        <v>12.04</v>
      </c>
      <c r="T14" s="1">
        <f t="shared" ref="T14" si="39">S14*1.34</f>
        <v>16.133600000000001</v>
      </c>
      <c r="U14" s="1">
        <v>8</v>
      </c>
      <c r="V14" s="1">
        <f t="shared" si="33"/>
        <v>10.72</v>
      </c>
      <c r="W14" s="1"/>
      <c r="X14" s="1"/>
      <c r="Y14" s="1"/>
      <c r="Z14" s="1"/>
      <c r="AA14" s="1"/>
      <c r="AB14" s="1"/>
      <c r="AC14" s="1">
        <v>3</v>
      </c>
      <c r="AD14" s="1">
        <f t="shared" si="37"/>
        <v>8.25</v>
      </c>
      <c r="AE14" s="1">
        <v>2.34</v>
      </c>
      <c r="AF14" s="1">
        <f t="shared" ref="AF14:AF15" si="40">AE14*2.75</f>
        <v>6.4349999999999996</v>
      </c>
      <c r="AG14" s="1"/>
      <c r="AH14" s="1"/>
      <c r="AI14" s="9"/>
      <c r="AJ14" s="9"/>
      <c r="AK14" s="9"/>
      <c r="AL14" s="9"/>
      <c r="AM14" s="1"/>
      <c r="AN14" s="1"/>
      <c r="AP14" s="1">
        <f t="shared" si="26"/>
        <v>0.79</v>
      </c>
      <c r="AQ14" s="1">
        <f t="shared" si="27"/>
        <v>0.21</v>
      </c>
      <c r="AR14" s="1">
        <f t="shared" si="4"/>
        <v>1</v>
      </c>
    </row>
    <row r="15" spans="1:44" x14ac:dyDescent="0.25">
      <c r="B15" t="s">
        <v>42</v>
      </c>
      <c r="C15" t="s">
        <v>70</v>
      </c>
      <c r="D15" s="1">
        <f>SUM(E15,G15,I15,K15,M15,O15,Q15,S15,U15,W15,Y15,AA15,AC15,AE15,AG15,AI15,AK15)</f>
        <v>54.050000000000004</v>
      </c>
      <c r="E15" s="1">
        <v>18.21</v>
      </c>
      <c r="F15" s="1">
        <f t="shared" si="0"/>
        <v>24.401400000000002</v>
      </c>
      <c r="G15" s="1">
        <v>7.05</v>
      </c>
      <c r="H15" s="1">
        <f t="shared" ref="H15" si="41">G15*1.34</f>
        <v>9.447000000000001</v>
      </c>
      <c r="I15" s="1">
        <v>3.84</v>
      </c>
      <c r="J15" s="1">
        <f t="shared" si="1"/>
        <v>9.0623999999999985</v>
      </c>
      <c r="K15" s="1"/>
      <c r="L15" s="1"/>
      <c r="M15" s="1"/>
      <c r="N15" s="1"/>
      <c r="O15" s="1"/>
      <c r="P15" s="1"/>
      <c r="Q15" s="1"/>
      <c r="R15" s="1"/>
      <c r="S15" s="1">
        <v>12.06</v>
      </c>
      <c r="T15" s="1">
        <f t="shared" ref="T15" si="42">S15*1.34</f>
        <v>16.160400000000003</v>
      </c>
      <c r="U15" s="1">
        <v>11.06</v>
      </c>
      <c r="V15" s="1">
        <f t="shared" si="33"/>
        <v>14.820400000000001</v>
      </c>
      <c r="W15" s="1"/>
      <c r="X15" s="1"/>
      <c r="Y15" s="1"/>
      <c r="Z15" s="1"/>
      <c r="AA15" s="1"/>
      <c r="AB15" s="1"/>
      <c r="AC15" s="1"/>
      <c r="AD15" s="1"/>
      <c r="AE15" s="1">
        <v>1.83</v>
      </c>
      <c r="AF15" s="1">
        <f t="shared" si="40"/>
        <v>5.0325000000000006</v>
      </c>
      <c r="AG15" s="1"/>
      <c r="AH15" s="1"/>
      <c r="AI15" s="9"/>
      <c r="AJ15" s="9"/>
      <c r="AK15" s="9"/>
      <c r="AL15" s="9"/>
      <c r="AM15" s="1"/>
      <c r="AN15" s="1"/>
      <c r="AP15" s="1">
        <f t="shared" si="26"/>
        <v>0.8</v>
      </c>
      <c r="AQ15" s="1">
        <f t="shared" si="27"/>
        <v>0.2</v>
      </c>
      <c r="AR15" s="1">
        <f t="shared" si="4"/>
        <v>1</v>
      </c>
    </row>
    <row r="16" spans="1:44" x14ac:dyDescent="0.25">
      <c r="C16" t="s">
        <v>68</v>
      </c>
      <c r="D16" s="1">
        <f>SUM(E16,G16,I16,K16,M16,O16,Q16,S16,U16,W16,Y16,AA16,AC16,AE16,AG16,AI16,AK16)</f>
        <v>54.899999999999991</v>
      </c>
      <c r="E16" s="1">
        <v>16.25</v>
      </c>
      <c r="F16" s="1">
        <f t="shared" si="0"/>
        <v>21.775000000000002</v>
      </c>
      <c r="G16" s="1">
        <v>7.15</v>
      </c>
      <c r="H16" s="1">
        <f t="shared" ref="H16" si="43">G16*1.34</f>
        <v>9.5810000000000013</v>
      </c>
      <c r="I16" s="1">
        <v>4</v>
      </c>
      <c r="J16" s="1">
        <f t="shared" si="1"/>
        <v>9.44</v>
      </c>
      <c r="K16" s="1"/>
      <c r="L16" s="1"/>
      <c r="M16" s="1"/>
      <c r="N16" s="1"/>
      <c r="O16" s="1"/>
      <c r="P16" s="1"/>
      <c r="Q16" s="1"/>
      <c r="R16" s="1"/>
      <c r="S16" s="1">
        <v>13.4</v>
      </c>
      <c r="T16" s="1">
        <f t="shared" ref="T16" si="44">S16*1.34</f>
        <v>17.956000000000003</v>
      </c>
      <c r="U16" s="1">
        <v>9.8000000000000007</v>
      </c>
      <c r="V16" s="1">
        <f t="shared" ref="V16:V28" si="45">U16*1.34</f>
        <v>13.132000000000001</v>
      </c>
      <c r="W16" s="1"/>
      <c r="X16" s="1"/>
      <c r="Y16" s="1"/>
      <c r="Z16" s="1"/>
      <c r="AA16" s="1"/>
      <c r="AB16" s="1"/>
      <c r="AC16" s="1">
        <v>4.3</v>
      </c>
      <c r="AD16" s="1">
        <f t="shared" ref="AD16:AD17" si="46">AC16*2.75</f>
        <v>11.824999999999999</v>
      </c>
      <c r="AE16" s="1"/>
      <c r="AF16" s="1"/>
      <c r="AG16" s="1"/>
      <c r="AH16" s="1"/>
      <c r="AI16" s="9"/>
      <c r="AJ16" s="9"/>
      <c r="AK16" s="9"/>
      <c r="AL16" s="9"/>
      <c r="AM16" s="1"/>
      <c r="AN16" s="1"/>
      <c r="AP16" s="1">
        <f t="shared" si="26"/>
        <v>0.8</v>
      </c>
      <c r="AQ16" s="1">
        <f t="shared" si="27"/>
        <v>0.2</v>
      </c>
      <c r="AR16" s="1">
        <f t="shared" si="4"/>
        <v>1</v>
      </c>
    </row>
    <row r="17" spans="2:44" x14ac:dyDescent="0.25">
      <c r="B17" t="s">
        <v>42</v>
      </c>
      <c r="C17" t="s">
        <v>77</v>
      </c>
      <c r="D17" s="1">
        <f>SUM(E17,G17,I17,K17,M17,O17,Q17,S17,U17,W17,Y17,AA17,AC17,AE17,AG17,AI17,AK17)</f>
        <v>55.050000000000004</v>
      </c>
      <c r="E17" s="1">
        <v>18.399999999999999</v>
      </c>
      <c r="F17" s="1">
        <f t="shared" si="0"/>
        <v>24.655999999999999</v>
      </c>
      <c r="G17" s="1">
        <v>7</v>
      </c>
      <c r="H17" s="1">
        <f t="shared" ref="H17" si="47">G17*1.34</f>
        <v>9.3800000000000008</v>
      </c>
      <c r="I17" s="1">
        <v>3.45</v>
      </c>
      <c r="J17" s="1">
        <f t="shared" si="1"/>
        <v>8.1419999999999995</v>
      </c>
      <c r="K17" s="1"/>
      <c r="L17" s="1"/>
      <c r="M17" s="1"/>
      <c r="N17" s="1"/>
      <c r="O17" s="1"/>
      <c r="P17" s="1"/>
      <c r="Q17" s="1"/>
      <c r="R17" s="1"/>
      <c r="S17" s="1">
        <v>10.4</v>
      </c>
      <c r="T17" s="1">
        <f t="shared" ref="T17" si="48">S17*1.34</f>
        <v>13.936000000000002</v>
      </c>
      <c r="U17" s="1">
        <v>8.1999999999999993</v>
      </c>
      <c r="V17" s="1">
        <f t="shared" si="45"/>
        <v>10.988</v>
      </c>
      <c r="W17" s="1"/>
      <c r="X17" s="1"/>
      <c r="Y17" s="1"/>
      <c r="Z17" s="1"/>
      <c r="AA17" s="1"/>
      <c r="AB17" s="1"/>
      <c r="AC17" s="1">
        <v>2.25</v>
      </c>
      <c r="AD17" s="1">
        <f t="shared" si="46"/>
        <v>6.1875</v>
      </c>
      <c r="AE17" s="1">
        <v>5.35</v>
      </c>
      <c r="AF17" s="1">
        <f>AE17*2.75</f>
        <v>14.712499999999999</v>
      </c>
      <c r="AG17" s="1"/>
      <c r="AH17" s="1"/>
      <c r="AI17" s="9"/>
      <c r="AJ17" s="9"/>
      <c r="AK17" s="9"/>
      <c r="AL17" s="9"/>
      <c r="AM17" s="1"/>
      <c r="AN17" s="1"/>
      <c r="AP17" s="1">
        <f t="shared" si="26"/>
        <v>0.81</v>
      </c>
      <c r="AQ17" s="1">
        <f t="shared" si="27"/>
        <v>0.19</v>
      </c>
      <c r="AR17" s="1">
        <f t="shared" si="4"/>
        <v>1</v>
      </c>
    </row>
    <row r="18" spans="2:44" x14ac:dyDescent="0.25">
      <c r="C18" t="s">
        <v>55</v>
      </c>
      <c r="D18" s="1">
        <f>SUM(E18,G18,I18,K18,M18,O18,Q18,S18,U18,W18,Y18,AA18,AC18,AE18,AG18,AI18,AK18)</f>
        <v>55.39</v>
      </c>
      <c r="E18" s="1">
        <v>16.71</v>
      </c>
      <c r="F18" s="1">
        <f t="shared" si="0"/>
        <v>22.391400000000001</v>
      </c>
      <c r="G18" s="1">
        <v>8.01</v>
      </c>
      <c r="H18" s="1">
        <f t="shared" ref="H18" si="49">G18*1.34</f>
        <v>10.7334</v>
      </c>
      <c r="I18" s="1">
        <v>4.4800000000000004</v>
      </c>
      <c r="J18" s="1">
        <f t="shared" si="1"/>
        <v>10.572800000000001</v>
      </c>
      <c r="K18" s="1"/>
      <c r="L18" s="1"/>
      <c r="M18" s="1"/>
      <c r="N18" s="1"/>
      <c r="O18" s="1"/>
      <c r="P18" s="1"/>
      <c r="Q18" s="1"/>
      <c r="R18" s="1"/>
      <c r="S18" s="1">
        <v>12.08</v>
      </c>
      <c r="T18" s="1">
        <f t="shared" ref="T18" si="50">S18*1.34</f>
        <v>16.187200000000001</v>
      </c>
      <c r="U18" s="1">
        <v>8.7200000000000006</v>
      </c>
      <c r="V18" s="1">
        <f t="shared" si="45"/>
        <v>11.684800000000001</v>
      </c>
      <c r="W18" s="1"/>
      <c r="X18" s="1"/>
      <c r="Y18" s="1"/>
      <c r="Z18" s="1"/>
      <c r="AA18" s="1"/>
      <c r="AB18" s="1"/>
      <c r="AC18" s="1">
        <v>1.1200000000000001</v>
      </c>
      <c r="AD18" s="1">
        <f t="shared" ref="AD18" si="51">AC18*2.75</f>
        <v>3.08</v>
      </c>
      <c r="AE18" s="1">
        <v>4.2699999999999996</v>
      </c>
      <c r="AF18" s="1">
        <f>AE18*2.75</f>
        <v>11.7425</v>
      </c>
      <c r="AG18" s="1"/>
      <c r="AH18" s="1"/>
      <c r="AI18" s="9"/>
      <c r="AJ18" s="9"/>
      <c r="AK18" s="9"/>
      <c r="AL18" s="9"/>
      <c r="AM18" s="1"/>
      <c r="AN18" s="1"/>
      <c r="AP18" s="1">
        <f t="shared" si="26"/>
        <v>0.77</v>
      </c>
      <c r="AQ18" s="1">
        <f t="shared" si="27"/>
        <v>0.23</v>
      </c>
      <c r="AR18" s="1">
        <f t="shared" si="4"/>
        <v>1</v>
      </c>
    </row>
    <row r="19" spans="2:44" x14ac:dyDescent="0.25">
      <c r="C19" t="s">
        <v>55</v>
      </c>
      <c r="D19" s="1">
        <f>SUM(E19,G19,I19,K19,M19,O19,Q19,S19,U19,W19,Y19,AA19,AC19,AE19,AG19,AI19,AK19)</f>
        <v>56.24</v>
      </c>
      <c r="E19" s="1">
        <v>17.329999999999998</v>
      </c>
      <c r="F19" s="1">
        <f t="shared" si="0"/>
        <v>23.222200000000001</v>
      </c>
      <c r="G19" s="1">
        <v>7</v>
      </c>
      <c r="H19" s="1">
        <f t="shared" ref="H19" si="52">G19*1.34</f>
        <v>9.3800000000000008</v>
      </c>
      <c r="I19" s="1">
        <v>4.66</v>
      </c>
      <c r="J19" s="1">
        <f t="shared" si="1"/>
        <v>10.9976</v>
      </c>
      <c r="K19" s="1"/>
      <c r="L19" s="1"/>
      <c r="M19" s="1"/>
      <c r="N19" s="1"/>
      <c r="O19" s="1"/>
      <c r="P19" s="1"/>
      <c r="Q19" s="1"/>
      <c r="R19" s="1"/>
      <c r="S19" s="1">
        <v>12.01</v>
      </c>
      <c r="T19" s="1">
        <f t="shared" ref="T19" si="53">S19*1.34</f>
        <v>16.093399999999999</v>
      </c>
      <c r="U19" s="1">
        <v>8.6</v>
      </c>
      <c r="V19" s="1">
        <f t="shared" si="45"/>
        <v>11.524000000000001</v>
      </c>
      <c r="W19" s="1"/>
      <c r="X19" s="1"/>
      <c r="Y19" s="1"/>
      <c r="Z19" s="1"/>
      <c r="AA19" s="1"/>
      <c r="AB19" s="1"/>
      <c r="AC19" s="1">
        <v>0.93</v>
      </c>
      <c r="AD19" s="1">
        <f t="shared" ref="AD19:AD23" si="54">AC19*2.75</f>
        <v>2.5575000000000001</v>
      </c>
      <c r="AE19" s="1">
        <v>5.71</v>
      </c>
      <c r="AF19" s="1">
        <f t="shared" ref="AF19:AF29" si="55">AE19*2.75</f>
        <v>15.702500000000001</v>
      </c>
      <c r="AG19" s="1"/>
      <c r="AH19" s="1"/>
      <c r="AI19" s="9"/>
      <c r="AJ19" s="9"/>
      <c r="AK19" s="9"/>
      <c r="AL19" s="9"/>
      <c r="AM19" s="1"/>
      <c r="AN19" s="1"/>
      <c r="AP19" s="1">
        <f t="shared" si="26"/>
        <v>0.79</v>
      </c>
      <c r="AQ19" s="1">
        <f t="shared" si="27"/>
        <v>0.21</v>
      </c>
      <c r="AR19" s="1">
        <f t="shared" si="4"/>
        <v>1</v>
      </c>
    </row>
    <row r="20" spans="2:44" x14ac:dyDescent="0.25">
      <c r="B20" t="s">
        <v>42</v>
      </c>
      <c r="C20" t="s">
        <v>59</v>
      </c>
      <c r="D20" s="1">
        <f>SUM(E20,G20,I20,K20,M20,O20,Q20,S20,U20,W20,Y20,AA20,AC20,AE20,AG20,AI20,AK20)</f>
        <v>56.27000000000001</v>
      </c>
      <c r="E20" s="1">
        <v>16.32</v>
      </c>
      <c r="F20" s="1">
        <f t="shared" si="0"/>
        <v>21.8688</v>
      </c>
      <c r="G20" s="1">
        <v>7.19</v>
      </c>
      <c r="H20" s="1">
        <f t="shared" ref="H20" si="56">G20*1.34</f>
        <v>9.6346000000000007</v>
      </c>
      <c r="I20" s="1">
        <v>3.83</v>
      </c>
      <c r="J20" s="1">
        <f t="shared" si="1"/>
        <v>9.0388000000000002</v>
      </c>
      <c r="K20" s="1"/>
      <c r="L20" s="1"/>
      <c r="M20" s="1"/>
      <c r="N20" s="1"/>
      <c r="O20" s="1"/>
      <c r="P20" s="1"/>
      <c r="Q20" s="1"/>
      <c r="R20" s="1"/>
      <c r="S20" s="1">
        <v>10.07</v>
      </c>
      <c r="T20" s="1">
        <f t="shared" ref="T20" si="57">S20*1.34</f>
        <v>13.493800000000002</v>
      </c>
      <c r="U20" s="1">
        <v>8.2100000000000009</v>
      </c>
      <c r="V20" s="1">
        <f t="shared" si="45"/>
        <v>11.001400000000002</v>
      </c>
      <c r="W20" s="1"/>
      <c r="X20" s="1"/>
      <c r="Y20" s="1"/>
      <c r="Z20" s="1"/>
      <c r="AA20" s="1"/>
      <c r="AB20" s="1"/>
      <c r="AC20" s="1">
        <v>4.3499999999999996</v>
      </c>
      <c r="AD20" s="1">
        <f t="shared" si="54"/>
        <v>11.962499999999999</v>
      </c>
      <c r="AE20" s="1">
        <v>4.41</v>
      </c>
      <c r="AF20" s="1">
        <f t="shared" si="55"/>
        <v>12.127500000000001</v>
      </c>
      <c r="AG20" s="1">
        <v>1.89</v>
      </c>
      <c r="AH20" s="1">
        <f>AG20*2.36</f>
        <v>4.4603999999999999</v>
      </c>
      <c r="AI20" s="9"/>
      <c r="AJ20" s="9"/>
      <c r="AK20" s="9"/>
      <c r="AL20" s="9"/>
      <c r="AM20" s="1"/>
      <c r="AN20" s="1"/>
      <c r="AP20" s="1">
        <f t="shared" si="26"/>
        <v>0.8</v>
      </c>
      <c r="AQ20" s="1">
        <f t="shared" si="27"/>
        <v>0.2</v>
      </c>
      <c r="AR20" s="1">
        <f t="shared" si="4"/>
        <v>1</v>
      </c>
    </row>
    <row r="21" spans="2:44" x14ac:dyDescent="0.25">
      <c r="B21" t="s">
        <v>42</v>
      </c>
      <c r="C21" t="s">
        <v>71</v>
      </c>
      <c r="D21" s="1">
        <f>SUM(E21,G21,I21,K21,M21,O21,Q21,S21,U21,W21,Y21,AA21,AC21,AE21,AG21,AI21,AK21)</f>
        <v>56.910000000000004</v>
      </c>
      <c r="E21" s="1">
        <v>17.149999999999999</v>
      </c>
      <c r="F21" s="1">
        <f t="shared" si="0"/>
        <v>22.980999999999998</v>
      </c>
      <c r="G21" s="1">
        <v>8.6</v>
      </c>
      <c r="H21" s="1">
        <f t="shared" ref="H21" si="58">G21*1.34</f>
        <v>11.524000000000001</v>
      </c>
      <c r="I21" s="1">
        <v>3.51</v>
      </c>
      <c r="J21" s="1">
        <f t="shared" si="1"/>
        <v>8.2835999999999999</v>
      </c>
      <c r="K21" s="1"/>
      <c r="L21" s="1"/>
      <c r="M21" s="1"/>
      <c r="N21" s="1"/>
      <c r="O21" s="1"/>
      <c r="P21" s="1"/>
      <c r="Q21" s="1"/>
      <c r="R21" s="1"/>
      <c r="S21" s="1">
        <v>11.75</v>
      </c>
      <c r="T21" s="1">
        <f t="shared" ref="T21" si="59">S21*1.34</f>
        <v>15.745000000000001</v>
      </c>
      <c r="U21" s="1">
        <v>9.9600000000000009</v>
      </c>
      <c r="V21" s="1">
        <f t="shared" si="45"/>
        <v>13.346400000000003</v>
      </c>
      <c r="W21" s="1"/>
      <c r="X21" s="1"/>
      <c r="Y21" s="1"/>
      <c r="Z21" s="1"/>
      <c r="AA21" s="1"/>
      <c r="AB21" s="1"/>
      <c r="AC21" s="1">
        <v>3.42</v>
      </c>
      <c r="AD21" s="1">
        <f t="shared" si="54"/>
        <v>9.4049999999999994</v>
      </c>
      <c r="AE21" s="1">
        <v>2.52</v>
      </c>
      <c r="AF21" s="1">
        <f t="shared" si="55"/>
        <v>6.93</v>
      </c>
      <c r="AG21" s="1"/>
      <c r="AH21" s="1"/>
      <c r="AI21" s="9"/>
      <c r="AJ21" s="9"/>
      <c r="AK21" s="9"/>
      <c r="AL21" s="9"/>
      <c r="AM21" s="1"/>
      <c r="AN21" s="1"/>
      <c r="AP21" s="1">
        <f t="shared" si="26"/>
        <v>0.79</v>
      </c>
      <c r="AQ21" s="1">
        <f t="shared" si="27"/>
        <v>0.21</v>
      </c>
      <c r="AR21" s="1">
        <f t="shared" si="4"/>
        <v>1</v>
      </c>
    </row>
    <row r="22" spans="2:44" x14ac:dyDescent="0.25">
      <c r="B22" t="s">
        <v>42</v>
      </c>
      <c r="C22" t="s">
        <v>77</v>
      </c>
      <c r="D22" s="1">
        <f>SUM(E22,G22,I22,K22,M22,O22,Q22,S22,U22,W22,Y22,AA22,AC22,AE22,AG22,AI22,AK22)</f>
        <v>57.099999999999994</v>
      </c>
      <c r="E22" s="1">
        <v>16</v>
      </c>
      <c r="F22" s="1">
        <f t="shared" si="0"/>
        <v>21.44</v>
      </c>
      <c r="G22" s="1">
        <v>7</v>
      </c>
      <c r="H22" s="1">
        <f t="shared" ref="H22" si="60">G22*1.34</f>
        <v>9.3800000000000008</v>
      </c>
      <c r="I22" s="1">
        <v>4.2</v>
      </c>
      <c r="J22" s="1">
        <f t="shared" si="1"/>
        <v>9.911999999999999</v>
      </c>
      <c r="K22" s="1"/>
      <c r="L22" s="1"/>
      <c r="M22" s="1"/>
      <c r="N22" s="1"/>
      <c r="O22" s="1"/>
      <c r="P22" s="1"/>
      <c r="Q22" s="1"/>
      <c r="R22" s="1"/>
      <c r="S22" s="1">
        <v>11.1</v>
      </c>
      <c r="T22" s="1">
        <f t="shared" ref="T22" si="61">S22*1.34</f>
        <v>14.874000000000001</v>
      </c>
      <c r="U22" s="1">
        <v>8.6999999999999993</v>
      </c>
      <c r="V22" s="1">
        <f t="shared" si="45"/>
        <v>11.657999999999999</v>
      </c>
      <c r="W22" s="1"/>
      <c r="X22" s="1"/>
      <c r="Y22" s="1"/>
      <c r="Z22" s="1"/>
      <c r="AA22" s="1"/>
      <c r="AB22" s="1"/>
      <c r="AC22" s="1">
        <v>2.8</v>
      </c>
      <c r="AD22" s="1">
        <f t="shared" si="54"/>
        <v>7.6999999999999993</v>
      </c>
      <c r="AE22" s="1">
        <v>5.3</v>
      </c>
      <c r="AF22" s="1">
        <f t="shared" si="55"/>
        <v>14.574999999999999</v>
      </c>
      <c r="AG22" s="1">
        <v>2</v>
      </c>
      <c r="AH22" s="1">
        <f>AG22*2.36</f>
        <v>4.72</v>
      </c>
      <c r="AI22" s="9"/>
      <c r="AJ22" s="9"/>
      <c r="AK22" s="9"/>
      <c r="AL22" s="9"/>
      <c r="AM22" s="1"/>
      <c r="AN22" s="1"/>
      <c r="AP22" s="1">
        <f t="shared" si="26"/>
        <v>0.8</v>
      </c>
      <c r="AQ22" s="1">
        <f t="shared" si="27"/>
        <v>0.2</v>
      </c>
      <c r="AR22" s="1">
        <f t="shared" si="4"/>
        <v>1</v>
      </c>
    </row>
    <row r="23" spans="2:44" x14ac:dyDescent="0.25">
      <c r="B23" t="s">
        <v>42</v>
      </c>
      <c r="C23" t="s">
        <v>78</v>
      </c>
      <c r="D23" s="1">
        <f>SUM(E23,G23,I23,K23,M23,O23,Q23,S23,U23,W23,Y23,AA23,AC23,AE23,AG23,AI23,AK23)</f>
        <v>57.16</v>
      </c>
      <c r="E23" s="1">
        <v>16.68</v>
      </c>
      <c r="F23" s="1">
        <f t="shared" si="0"/>
        <v>22.351200000000002</v>
      </c>
      <c r="G23" s="1">
        <v>7.61</v>
      </c>
      <c r="H23" s="1">
        <f t="shared" ref="H23" si="62">G23*1.34</f>
        <v>10.197400000000002</v>
      </c>
      <c r="I23" s="1">
        <v>4.59</v>
      </c>
      <c r="J23" s="1">
        <f t="shared" si="1"/>
        <v>10.8324</v>
      </c>
      <c r="K23" s="1"/>
      <c r="L23" s="1"/>
      <c r="M23" s="1"/>
      <c r="N23" s="1"/>
      <c r="O23" s="1"/>
      <c r="P23" s="1"/>
      <c r="Q23" s="1"/>
      <c r="R23" s="1"/>
      <c r="S23" s="1">
        <v>13</v>
      </c>
      <c r="T23" s="1">
        <f t="shared" ref="T23" si="63">S23*1.34</f>
        <v>17.420000000000002</v>
      </c>
      <c r="U23" s="1">
        <v>8.1</v>
      </c>
      <c r="V23" s="1">
        <f t="shared" si="45"/>
        <v>10.854000000000001</v>
      </c>
      <c r="W23" s="1"/>
      <c r="X23" s="1"/>
      <c r="Y23" s="1"/>
      <c r="Z23" s="1"/>
      <c r="AA23" s="1"/>
      <c r="AB23" s="1"/>
      <c r="AC23" s="1">
        <v>3.15</v>
      </c>
      <c r="AD23" s="1">
        <f t="shared" si="54"/>
        <v>8.6624999999999996</v>
      </c>
      <c r="AE23" s="1">
        <v>4.03</v>
      </c>
      <c r="AF23" s="1">
        <f t="shared" si="55"/>
        <v>11.082500000000001</v>
      </c>
      <c r="AG23" s="1"/>
      <c r="AH23" s="1"/>
      <c r="AI23" s="9"/>
      <c r="AJ23" s="9"/>
      <c r="AK23" s="9"/>
      <c r="AL23" s="9"/>
      <c r="AM23" s="1"/>
      <c r="AN23" s="1"/>
      <c r="AP23" s="1">
        <f t="shared" si="26"/>
        <v>0.79</v>
      </c>
      <c r="AQ23" s="1">
        <f t="shared" si="27"/>
        <v>0.21</v>
      </c>
      <c r="AR23" s="1">
        <f t="shared" si="4"/>
        <v>1</v>
      </c>
    </row>
    <row r="24" spans="2:44" x14ac:dyDescent="0.25">
      <c r="B24" t="s">
        <v>42</v>
      </c>
      <c r="C24" t="s">
        <v>59</v>
      </c>
      <c r="D24" s="1">
        <f>SUM(E24,G24,I24,K24,M24,O24,Q24,S24,U24,W24,Y24,AA24,AC24,AE24,AG24,AI24,AK24)</f>
        <v>57.24</v>
      </c>
      <c r="E24" s="1">
        <v>17.239999999999998</v>
      </c>
      <c r="F24" s="1">
        <f t="shared" si="0"/>
        <v>23.101599999999998</v>
      </c>
      <c r="G24" s="1">
        <v>7.19</v>
      </c>
      <c r="H24" s="1">
        <f t="shared" ref="H24" si="64">G24*1.34</f>
        <v>9.6346000000000007</v>
      </c>
      <c r="I24" s="1">
        <v>3.83</v>
      </c>
      <c r="J24" s="1">
        <f t="shared" si="1"/>
        <v>9.0388000000000002</v>
      </c>
      <c r="K24" s="1"/>
      <c r="L24" s="1"/>
      <c r="M24" s="1"/>
      <c r="N24" s="1"/>
      <c r="O24" s="1"/>
      <c r="P24" s="1"/>
      <c r="Q24" s="1"/>
      <c r="R24" s="1"/>
      <c r="S24" s="1">
        <v>10.07</v>
      </c>
      <c r="T24" s="1">
        <f t="shared" ref="T24" si="65">S24*1.34</f>
        <v>13.493800000000002</v>
      </c>
      <c r="U24" s="1">
        <v>8.2100000000000009</v>
      </c>
      <c r="V24" s="1">
        <f t="shared" si="45"/>
        <v>11.001400000000002</v>
      </c>
      <c r="W24" s="1"/>
      <c r="X24" s="1"/>
      <c r="Y24" s="1"/>
      <c r="Z24" s="1"/>
      <c r="AA24" s="1"/>
      <c r="AB24" s="1"/>
      <c r="AC24" s="1">
        <v>4.3499999999999996</v>
      </c>
      <c r="AD24" s="1">
        <f t="shared" ref="AD24:AD25" si="66">AC24*2.75</f>
        <v>11.962499999999999</v>
      </c>
      <c r="AE24" s="1">
        <v>4.46</v>
      </c>
      <c r="AF24" s="1">
        <f t="shared" si="55"/>
        <v>12.265000000000001</v>
      </c>
      <c r="AG24" s="1">
        <v>1.89</v>
      </c>
      <c r="AH24" s="1">
        <f>AG24*2.36</f>
        <v>4.4603999999999999</v>
      </c>
      <c r="AI24" s="9"/>
      <c r="AJ24" s="9"/>
      <c r="AK24" s="9"/>
      <c r="AL24" s="9"/>
      <c r="AM24" s="1">
        <v>3</v>
      </c>
      <c r="AN24" s="1">
        <f>AM24*0.6</f>
        <v>1.7999999999999998</v>
      </c>
      <c r="AP24" s="1">
        <f t="shared" si="26"/>
        <v>0.81</v>
      </c>
      <c r="AQ24" s="1">
        <f t="shared" si="27"/>
        <v>0.19</v>
      </c>
      <c r="AR24" s="1">
        <f t="shared" si="4"/>
        <v>1</v>
      </c>
    </row>
    <row r="25" spans="2:44" x14ac:dyDescent="0.25">
      <c r="B25" t="s">
        <v>42</v>
      </c>
      <c r="C25" t="s">
        <v>77</v>
      </c>
      <c r="D25" s="1">
        <f>SUM(E25,G25,I25,K25,M25,O25,Q25,S25,U25,W25,Y25,AA25,AC25,AE25,AG25,AI25,AK25)</f>
        <v>57.25</v>
      </c>
      <c r="E25" s="1">
        <v>16.2</v>
      </c>
      <c r="F25" s="1">
        <f t="shared" si="0"/>
        <v>21.708000000000002</v>
      </c>
      <c r="G25" s="1">
        <v>7.05</v>
      </c>
      <c r="H25" s="1">
        <f t="shared" ref="H25" si="67">G25*1.34</f>
        <v>9.447000000000001</v>
      </c>
      <c r="I25" s="1">
        <v>3.4</v>
      </c>
      <c r="J25" s="1">
        <f t="shared" si="1"/>
        <v>8.0239999999999991</v>
      </c>
      <c r="K25" s="1"/>
      <c r="L25" s="1"/>
      <c r="M25" s="1"/>
      <c r="N25" s="1"/>
      <c r="O25" s="1"/>
      <c r="P25" s="1"/>
      <c r="Q25" s="1"/>
      <c r="R25" s="1"/>
      <c r="S25" s="1">
        <v>12.8</v>
      </c>
      <c r="T25" s="1">
        <f t="shared" ref="T25" si="68">S25*1.34</f>
        <v>17.152000000000001</v>
      </c>
      <c r="U25" s="1">
        <v>9.4499999999999993</v>
      </c>
      <c r="V25" s="1">
        <f t="shared" si="45"/>
        <v>12.663</v>
      </c>
      <c r="W25" s="1"/>
      <c r="X25" s="1"/>
      <c r="Y25" s="1"/>
      <c r="Z25" s="1"/>
      <c r="AA25" s="1"/>
      <c r="AB25" s="1"/>
      <c r="AC25" s="1">
        <v>3.55</v>
      </c>
      <c r="AD25" s="1">
        <f t="shared" si="66"/>
        <v>9.7624999999999993</v>
      </c>
      <c r="AE25" s="1">
        <v>4.8</v>
      </c>
      <c r="AF25" s="1">
        <f t="shared" si="55"/>
        <v>13.2</v>
      </c>
      <c r="AG25" s="1"/>
      <c r="AH25" s="1"/>
      <c r="AI25" s="9"/>
      <c r="AJ25" s="9"/>
      <c r="AK25" s="9"/>
      <c r="AL25" s="9"/>
      <c r="AM25" s="1"/>
      <c r="AN25" s="1"/>
      <c r="AP25" s="1">
        <f t="shared" si="26"/>
        <v>0.82</v>
      </c>
      <c r="AQ25" s="1">
        <f t="shared" si="27"/>
        <v>0.18</v>
      </c>
      <c r="AR25" s="1">
        <f t="shared" si="4"/>
        <v>1</v>
      </c>
    </row>
    <row r="26" spans="2:44" x14ac:dyDescent="0.25">
      <c r="C26" t="s">
        <v>55</v>
      </c>
      <c r="D26" s="1">
        <f>SUM(E26,G26,I26,K26,M26,O26,Q26,S26,U26,W26,Y26,AA26,AC26,AE26,AG26,AI26,AK26)</f>
        <v>57.309999999999995</v>
      </c>
      <c r="E26" s="1">
        <v>18.329999999999998</v>
      </c>
      <c r="F26" s="1">
        <f t="shared" si="0"/>
        <v>24.562200000000001</v>
      </c>
      <c r="G26" s="1">
        <v>8.23</v>
      </c>
      <c r="H26" s="1">
        <f t="shared" ref="H26" si="69">G26*1.34</f>
        <v>11.028200000000002</v>
      </c>
      <c r="I26" s="1">
        <v>3.36</v>
      </c>
      <c r="J26" s="1">
        <f t="shared" si="1"/>
        <v>7.9295999999999989</v>
      </c>
      <c r="K26" s="1">
        <v>2.37</v>
      </c>
      <c r="L26" s="1">
        <f t="shared" ref="L26" si="70">K26*2.36</f>
        <v>5.5932000000000004</v>
      </c>
      <c r="M26" s="1"/>
      <c r="N26" s="1"/>
      <c r="O26" s="1"/>
      <c r="P26" s="1"/>
      <c r="Q26" s="1"/>
      <c r="R26" s="1"/>
      <c r="S26" s="1">
        <v>12.93</v>
      </c>
      <c r="T26" s="1">
        <f t="shared" ref="T26" si="71">S26*1.34</f>
        <v>17.3262</v>
      </c>
      <c r="U26" s="1">
        <v>8.76</v>
      </c>
      <c r="V26" s="1">
        <f t="shared" si="45"/>
        <v>11.7384</v>
      </c>
      <c r="W26" s="1"/>
      <c r="X26" s="1"/>
      <c r="Y26" s="1"/>
      <c r="Z26" s="1"/>
      <c r="AA26" s="1"/>
      <c r="AB26" s="1"/>
      <c r="AC26" s="1">
        <v>1.1000000000000001</v>
      </c>
      <c r="AD26" s="1">
        <f t="shared" ref="AD26" si="72">AC26*2.75</f>
        <v>3.0250000000000004</v>
      </c>
      <c r="AE26" s="1">
        <v>2.23</v>
      </c>
      <c r="AF26" s="1">
        <f t="shared" si="55"/>
        <v>6.1325000000000003</v>
      </c>
      <c r="AG26" s="1"/>
      <c r="AH26" s="1"/>
      <c r="AI26" s="9"/>
      <c r="AJ26" s="9"/>
      <c r="AK26" s="9"/>
      <c r="AL26" s="9"/>
      <c r="AM26" s="1"/>
      <c r="AN26" s="1"/>
      <c r="AP26" s="1">
        <f t="shared" si="26"/>
        <v>0.76</v>
      </c>
      <c r="AQ26" s="1">
        <f t="shared" si="27"/>
        <v>0.24</v>
      </c>
      <c r="AR26" s="1">
        <f t="shared" ref="AR26:AR65" si="73">AP26+AQ26</f>
        <v>1</v>
      </c>
    </row>
    <row r="27" spans="2:44" x14ac:dyDescent="0.25">
      <c r="B27" t="s">
        <v>42</v>
      </c>
      <c r="C27" t="s">
        <v>59</v>
      </c>
      <c r="D27" s="1">
        <f>SUM(E27,G27,I27,K27,M27,O27,Q27,S27,U27,W27,Y27,AA27,AC27,AE27,AG27,AI27,AK27)</f>
        <v>57.44</v>
      </c>
      <c r="E27" s="1">
        <v>16.329999999999998</v>
      </c>
      <c r="F27" s="1">
        <f t="shared" si="0"/>
        <v>21.882199999999997</v>
      </c>
      <c r="G27" s="1">
        <v>7.19</v>
      </c>
      <c r="H27" s="1">
        <f t="shared" ref="H27" si="74">G27*1.34</f>
        <v>9.6346000000000007</v>
      </c>
      <c r="I27" s="1">
        <v>3.44</v>
      </c>
      <c r="J27" s="1">
        <f t="shared" ref="J27:J66" si="75">I27*2.36</f>
        <v>8.1183999999999994</v>
      </c>
      <c r="K27" s="1"/>
      <c r="L27" s="1"/>
      <c r="M27" s="1"/>
      <c r="N27" s="1"/>
      <c r="O27" s="1"/>
      <c r="P27" s="1"/>
      <c r="Q27" s="1"/>
      <c r="R27" s="1"/>
      <c r="S27" s="1">
        <v>10.54</v>
      </c>
      <c r="T27" s="1">
        <f t="shared" ref="T27" si="76">S27*1.34</f>
        <v>14.1236</v>
      </c>
      <c r="U27" s="1">
        <v>9.5</v>
      </c>
      <c r="V27" s="1">
        <f t="shared" si="45"/>
        <v>12.73</v>
      </c>
      <c r="W27" s="1"/>
      <c r="X27" s="1"/>
      <c r="Y27" s="1"/>
      <c r="Z27" s="1"/>
      <c r="AA27" s="1"/>
      <c r="AB27" s="1"/>
      <c r="AC27" s="1">
        <v>4.8</v>
      </c>
      <c r="AD27" s="1">
        <f t="shared" ref="AD27" si="77">AC27*2.75</f>
        <v>13.2</v>
      </c>
      <c r="AE27" s="1">
        <v>3.75</v>
      </c>
      <c r="AF27" s="1">
        <f t="shared" si="55"/>
        <v>10.3125</v>
      </c>
      <c r="AG27" s="1">
        <v>1.89</v>
      </c>
      <c r="AH27" s="1">
        <f>AG27*2.36</f>
        <v>4.4603999999999999</v>
      </c>
      <c r="AI27" s="9"/>
      <c r="AJ27" s="9"/>
      <c r="AK27" s="9"/>
      <c r="AL27" s="9"/>
      <c r="AM27" s="1">
        <v>4.26</v>
      </c>
      <c r="AN27" s="1">
        <f t="shared" ref="AN27" si="78">AM27*0.6</f>
        <v>2.5559999999999996</v>
      </c>
      <c r="AP27" s="1">
        <f t="shared" si="26"/>
        <v>0.81</v>
      </c>
      <c r="AQ27" s="1">
        <f t="shared" si="27"/>
        <v>0.19</v>
      </c>
      <c r="AR27" s="1">
        <f t="shared" si="73"/>
        <v>1</v>
      </c>
    </row>
    <row r="28" spans="2:44" x14ac:dyDescent="0.25">
      <c r="B28" t="s">
        <v>42</v>
      </c>
      <c r="C28" t="s">
        <v>54</v>
      </c>
      <c r="D28" s="1">
        <f>SUM(E28,G28,I28,K28,M28,O28,Q28,S28,U28,W28,Y28,AA28,AC28,AE28,AG28,AI28,AK28)</f>
        <v>57.970000000000006</v>
      </c>
      <c r="E28" s="1">
        <v>17.62</v>
      </c>
      <c r="F28" s="1">
        <f t="shared" si="0"/>
        <v>23.610800000000001</v>
      </c>
      <c r="G28" s="1">
        <v>7.87</v>
      </c>
      <c r="H28" s="1">
        <f t="shared" ref="H28" si="79">G28*1.34</f>
        <v>10.545800000000002</v>
      </c>
      <c r="I28" s="1">
        <v>3.54</v>
      </c>
      <c r="J28" s="1">
        <f t="shared" si="75"/>
        <v>8.3544</v>
      </c>
      <c r="K28" s="1"/>
      <c r="L28" s="1"/>
      <c r="M28" s="1"/>
      <c r="N28" s="1"/>
      <c r="O28" s="1"/>
      <c r="P28" s="1"/>
      <c r="Q28" s="1"/>
      <c r="R28" s="1"/>
      <c r="S28" s="1">
        <v>12.63</v>
      </c>
      <c r="T28" s="1">
        <f t="shared" ref="T28" si="80">S28*1.34</f>
        <v>16.924200000000003</v>
      </c>
      <c r="U28" s="1">
        <v>9.36</v>
      </c>
      <c r="V28" s="1">
        <f t="shared" si="45"/>
        <v>12.542400000000001</v>
      </c>
      <c r="W28" s="1"/>
      <c r="X28" s="1"/>
      <c r="Y28" s="1"/>
      <c r="Z28" s="1"/>
      <c r="AA28" s="1"/>
      <c r="AB28" s="1"/>
      <c r="AC28" s="1"/>
      <c r="AD28" s="1"/>
      <c r="AE28" s="1">
        <v>2.5</v>
      </c>
      <c r="AF28" s="1">
        <f t="shared" si="55"/>
        <v>6.875</v>
      </c>
      <c r="AG28" s="1">
        <v>4.45</v>
      </c>
      <c r="AH28" s="1">
        <f>AG28*2.36</f>
        <v>10.502000000000001</v>
      </c>
      <c r="AI28" s="9"/>
      <c r="AJ28" s="9"/>
      <c r="AK28" s="9"/>
      <c r="AL28" s="9"/>
      <c r="AM28" s="1"/>
      <c r="AN28" s="1"/>
      <c r="AP28" s="1">
        <f t="shared" si="26"/>
        <v>0.8</v>
      </c>
      <c r="AQ28" s="1">
        <f t="shared" si="27"/>
        <v>0.2</v>
      </c>
      <c r="AR28" s="1">
        <f t="shared" si="73"/>
        <v>1</v>
      </c>
    </row>
    <row r="29" spans="2:44" x14ac:dyDescent="0.25">
      <c r="B29" t="s">
        <v>42</v>
      </c>
      <c r="C29" t="s">
        <v>78</v>
      </c>
      <c r="D29" s="1">
        <f>SUM(E29,G29,I29,K29,M29,O29,Q29,S29,U29,W29,Y29,AA29,AC29,AE29,AG29,AI29,AK29)</f>
        <v>58.349999999999994</v>
      </c>
      <c r="E29" s="1">
        <v>18.399999999999999</v>
      </c>
      <c r="F29" s="1">
        <f t="shared" ref="F29:H29" si="81">E29*1.34</f>
        <v>24.655999999999999</v>
      </c>
      <c r="G29" s="1">
        <v>7.95</v>
      </c>
      <c r="H29" s="1">
        <f t="shared" si="81"/>
        <v>10.653</v>
      </c>
      <c r="I29" s="1">
        <v>3.98</v>
      </c>
      <c r="J29" s="1">
        <f t="shared" si="75"/>
        <v>9.3927999999999994</v>
      </c>
      <c r="K29" s="1"/>
      <c r="L29" s="1"/>
      <c r="M29" s="1"/>
      <c r="N29" s="1"/>
      <c r="O29" s="1"/>
      <c r="P29" s="1"/>
      <c r="Q29" s="1"/>
      <c r="R29" s="1"/>
      <c r="S29" s="1">
        <v>14.54</v>
      </c>
      <c r="T29" s="1">
        <f t="shared" ref="T29" si="82">S29*1.34</f>
        <v>19.483599999999999</v>
      </c>
      <c r="U29" s="1">
        <v>8.93</v>
      </c>
      <c r="V29" s="1">
        <f t="shared" ref="V29:X70" si="83">U29*1.34</f>
        <v>11.966200000000001</v>
      </c>
      <c r="W29" s="1"/>
      <c r="X29" s="1"/>
      <c r="Y29" s="1"/>
      <c r="Z29" s="1"/>
      <c r="AA29" s="1"/>
      <c r="AB29" s="1"/>
      <c r="AC29" s="1">
        <v>2.2999999999999998</v>
      </c>
      <c r="AD29" s="1">
        <f t="shared" ref="AD29:AD31" si="84">AC29*2.75</f>
        <v>6.3249999999999993</v>
      </c>
      <c r="AE29" s="1">
        <v>2.25</v>
      </c>
      <c r="AF29" s="1">
        <f t="shared" si="55"/>
        <v>6.1875</v>
      </c>
      <c r="AG29" s="1"/>
      <c r="AH29" s="1"/>
      <c r="AI29" s="9"/>
      <c r="AJ29" s="9"/>
      <c r="AK29" s="9"/>
      <c r="AL29" s="9"/>
      <c r="AM29" s="1"/>
      <c r="AN29" s="1"/>
      <c r="AP29" s="1">
        <f t="shared" si="26"/>
        <v>0.8</v>
      </c>
      <c r="AQ29" s="1">
        <f t="shared" si="27"/>
        <v>0.2</v>
      </c>
      <c r="AR29" s="1">
        <f t="shared" si="73"/>
        <v>1</v>
      </c>
    </row>
    <row r="30" spans="2:44" x14ac:dyDescent="0.25">
      <c r="B30" t="s">
        <v>42</v>
      </c>
      <c r="C30" t="s">
        <v>78</v>
      </c>
      <c r="D30" s="1">
        <f>SUM(E30,G30,I30,K30,M30,O30,Q30,S30,U30,W30,Y30,AA30,AC30,AE30,AG30,AI30,AK30)</f>
        <v>58.46</v>
      </c>
      <c r="E30" s="1">
        <v>23.11</v>
      </c>
      <c r="F30" s="1">
        <f t="shared" ref="F30:H31" si="85">E30*1.34</f>
        <v>30.967400000000001</v>
      </c>
      <c r="G30" s="1">
        <v>7.42</v>
      </c>
      <c r="H30" s="1">
        <f t="shared" si="85"/>
        <v>9.9428000000000001</v>
      </c>
      <c r="I30" s="1">
        <v>3.97</v>
      </c>
      <c r="J30" s="1">
        <f t="shared" si="75"/>
        <v>9.3691999999999993</v>
      </c>
      <c r="K30" s="1"/>
      <c r="L30" s="1"/>
      <c r="M30" s="1"/>
      <c r="N30" s="1"/>
      <c r="O30" s="1"/>
      <c r="P30" s="1"/>
      <c r="Q30" s="1"/>
      <c r="R30" s="1"/>
      <c r="S30" s="1">
        <v>10.54</v>
      </c>
      <c r="T30" s="1">
        <f t="shared" ref="T30" si="86">S30*1.34</f>
        <v>14.1236</v>
      </c>
      <c r="U30" s="1">
        <v>8.92</v>
      </c>
      <c r="V30" s="1">
        <f t="shared" si="83"/>
        <v>11.9528</v>
      </c>
      <c r="W30" s="1"/>
      <c r="X30" s="1"/>
      <c r="Y30" s="1"/>
      <c r="Z30" s="1"/>
      <c r="AA30" s="1"/>
      <c r="AB30" s="1"/>
      <c r="AC30" s="1">
        <v>2.2599999999999998</v>
      </c>
      <c r="AD30" s="1">
        <f t="shared" si="84"/>
        <v>6.2149999999999999</v>
      </c>
      <c r="AE30" s="1">
        <v>2.2400000000000002</v>
      </c>
      <c r="AF30" s="1">
        <f t="shared" ref="AF30:AF32" si="87">AE30*2.75</f>
        <v>6.16</v>
      </c>
      <c r="AG30" s="1"/>
      <c r="AH30" s="1"/>
      <c r="AI30" s="9"/>
      <c r="AJ30" s="9"/>
      <c r="AK30" s="9"/>
      <c r="AL30" s="9"/>
      <c r="AM30" s="1"/>
      <c r="AN30" s="1"/>
      <c r="AP30" s="1">
        <f t="shared" si="26"/>
        <v>0.81</v>
      </c>
      <c r="AQ30" s="1">
        <f t="shared" si="27"/>
        <v>0.19</v>
      </c>
      <c r="AR30" s="1">
        <f t="shared" si="73"/>
        <v>1</v>
      </c>
    </row>
    <row r="31" spans="2:44" x14ac:dyDescent="0.25">
      <c r="B31" t="s">
        <v>42</v>
      </c>
      <c r="C31" t="s">
        <v>56</v>
      </c>
      <c r="D31" s="1">
        <f>SUM(E31,G31,I31,K31,M31,O31,Q31,S31,U31,W31,Y31,AA31,AC31,AE31,AG31,AI31,AK31)</f>
        <v>58.500000000000007</v>
      </c>
      <c r="E31" s="1">
        <v>16.899999999999999</v>
      </c>
      <c r="F31" s="1">
        <f t="shared" si="85"/>
        <v>22.646000000000001</v>
      </c>
      <c r="G31" s="1">
        <v>8.25</v>
      </c>
      <c r="H31" s="1">
        <f t="shared" si="85"/>
        <v>11.055000000000001</v>
      </c>
      <c r="I31" s="1">
        <v>4.5</v>
      </c>
      <c r="J31" s="1">
        <f t="shared" si="75"/>
        <v>10.62</v>
      </c>
      <c r="K31" s="1"/>
      <c r="L31" s="1"/>
      <c r="M31" s="1"/>
      <c r="N31" s="1"/>
      <c r="O31" s="1"/>
      <c r="P31" s="1"/>
      <c r="Q31" s="1"/>
      <c r="R31" s="1"/>
      <c r="S31" s="1">
        <v>12.05</v>
      </c>
      <c r="T31" s="1">
        <f t="shared" ref="T31" si="88">S31*1.34</f>
        <v>16.147000000000002</v>
      </c>
      <c r="U31" s="1">
        <v>9.35</v>
      </c>
      <c r="V31" s="1">
        <f t="shared" si="83"/>
        <v>12.529</v>
      </c>
      <c r="W31" s="1"/>
      <c r="X31" s="1"/>
      <c r="Y31" s="1"/>
      <c r="Z31" s="1"/>
      <c r="AA31" s="1"/>
      <c r="AB31" s="1"/>
      <c r="AC31" s="1">
        <v>2.5</v>
      </c>
      <c r="AD31" s="1">
        <f t="shared" si="84"/>
        <v>6.875</v>
      </c>
      <c r="AE31" s="1">
        <v>4.95</v>
      </c>
      <c r="AF31" s="1">
        <f t="shared" si="87"/>
        <v>13.612500000000001</v>
      </c>
      <c r="AG31" s="1"/>
      <c r="AH31" s="1"/>
      <c r="AI31" s="9"/>
      <c r="AJ31" s="9"/>
      <c r="AK31" s="9"/>
      <c r="AL31" s="9"/>
      <c r="AM31" s="1"/>
      <c r="AN31" s="1"/>
      <c r="AP31" s="1">
        <f t="shared" si="26"/>
        <v>0.78</v>
      </c>
      <c r="AQ31" s="1">
        <f t="shared" si="27"/>
        <v>0.22</v>
      </c>
      <c r="AR31" s="1">
        <f t="shared" si="73"/>
        <v>1</v>
      </c>
    </row>
    <row r="32" spans="2:44" x14ac:dyDescent="0.25">
      <c r="B32" t="s">
        <v>42</v>
      </c>
      <c r="C32" t="s">
        <v>69</v>
      </c>
      <c r="D32" s="1">
        <f>SUM(E32,G32,I32,K32,M32,O32,Q32,S32,U32,W32,Y32,AA32,AC32,AE32,AG32,AI32,AK32)</f>
        <v>59.18</v>
      </c>
      <c r="E32" s="1">
        <v>16.3</v>
      </c>
      <c r="F32" s="1">
        <f t="shared" ref="F32:H39" si="89">E32*1.34</f>
        <v>21.842000000000002</v>
      </c>
      <c r="G32" s="1">
        <v>13.38</v>
      </c>
      <c r="H32" s="1">
        <f t="shared" si="89"/>
        <v>17.929200000000002</v>
      </c>
      <c r="I32" s="1">
        <v>3.82</v>
      </c>
      <c r="J32" s="1">
        <f t="shared" si="75"/>
        <v>9.0151999999999983</v>
      </c>
      <c r="K32" s="1"/>
      <c r="L32" s="1"/>
      <c r="M32" s="1"/>
      <c r="N32" s="1"/>
      <c r="O32" s="1"/>
      <c r="P32" s="1"/>
      <c r="Q32" s="1"/>
      <c r="R32" s="1"/>
      <c r="S32" s="1">
        <v>10.33</v>
      </c>
      <c r="T32" s="1">
        <f t="shared" ref="T32" si="90">S32*1.34</f>
        <v>13.8422</v>
      </c>
      <c r="U32" s="1">
        <v>8.6999999999999993</v>
      </c>
      <c r="V32" s="1">
        <f t="shared" si="83"/>
        <v>11.657999999999999</v>
      </c>
      <c r="W32" s="1"/>
      <c r="X32" s="1"/>
      <c r="Y32" s="1"/>
      <c r="Z32" s="1"/>
      <c r="AA32" s="1"/>
      <c r="AB32" s="1"/>
      <c r="AC32" s="1">
        <v>3.17</v>
      </c>
      <c r="AD32" s="1">
        <f t="shared" ref="AD32:AD39" si="91">AC32*2.75</f>
        <v>8.7174999999999994</v>
      </c>
      <c r="AE32" s="1">
        <v>3.48</v>
      </c>
      <c r="AF32" s="1">
        <f t="shared" si="87"/>
        <v>9.57</v>
      </c>
      <c r="AG32" s="1"/>
      <c r="AH32" s="1"/>
      <c r="AI32" s="9"/>
      <c r="AJ32" s="9"/>
      <c r="AK32" s="9"/>
      <c r="AL32" s="9"/>
      <c r="AM32" s="1"/>
      <c r="AN32" s="1"/>
      <c r="AP32" s="1">
        <f t="shared" si="26"/>
        <v>0.71</v>
      </c>
      <c r="AQ32" s="1">
        <f t="shared" si="27"/>
        <v>0.28999999999999998</v>
      </c>
      <c r="AR32" s="1">
        <f t="shared" si="73"/>
        <v>1</v>
      </c>
    </row>
    <row r="33" spans="1:44" x14ac:dyDescent="0.25">
      <c r="A33" t="s">
        <v>60</v>
      </c>
      <c r="C33" t="s">
        <v>68</v>
      </c>
      <c r="D33" s="1">
        <f>SUM(E33,G33,I33,K33,M33,O33,Q33,S33,U33,W33,Y33,AA33,AC33,AE33,AG33,AI33,AK33)</f>
        <v>59.25</v>
      </c>
      <c r="E33" s="1">
        <v>19.399999999999999</v>
      </c>
      <c r="F33" s="1">
        <f t="shared" si="89"/>
        <v>25.995999999999999</v>
      </c>
      <c r="G33" s="1">
        <v>7.4</v>
      </c>
      <c r="H33" s="1">
        <f t="shared" si="89"/>
        <v>9.9160000000000004</v>
      </c>
      <c r="I33" s="1">
        <v>5</v>
      </c>
      <c r="J33" s="1">
        <f t="shared" si="75"/>
        <v>11.799999999999999</v>
      </c>
      <c r="K33" s="1"/>
      <c r="L33" s="1"/>
      <c r="M33" s="1"/>
      <c r="N33" s="1"/>
      <c r="O33" s="1"/>
      <c r="P33" s="1"/>
      <c r="Q33" s="1"/>
      <c r="R33" s="1"/>
      <c r="S33" s="1">
        <v>12.7</v>
      </c>
      <c r="T33" s="1">
        <f t="shared" ref="T33" si="92">S33*1.34</f>
        <v>17.018000000000001</v>
      </c>
      <c r="U33" s="1">
        <v>8.8000000000000007</v>
      </c>
      <c r="V33" s="1">
        <f t="shared" si="83"/>
        <v>11.792000000000002</v>
      </c>
      <c r="W33" s="1"/>
      <c r="X33" s="1"/>
      <c r="Y33" s="1"/>
      <c r="Z33" s="1"/>
      <c r="AA33" s="1"/>
      <c r="AB33" s="1"/>
      <c r="AC33" s="1">
        <v>5.95</v>
      </c>
      <c r="AD33" s="1">
        <f t="shared" si="91"/>
        <v>16.362500000000001</v>
      </c>
      <c r="AE33" s="1"/>
      <c r="AF33" s="1"/>
      <c r="AG33" s="1"/>
      <c r="AH33" s="1"/>
      <c r="AI33" s="9"/>
      <c r="AJ33" s="9"/>
      <c r="AK33" s="9"/>
      <c r="AL33" s="9"/>
      <c r="AM33" s="1"/>
      <c r="AN33" s="1"/>
      <c r="AP33" s="1">
        <f t="shared" si="26"/>
        <v>0.79</v>
      </c>
      <c r="AQ33" s="1">
        <f t="shared" si="27"/>
        <v>0.21</v>
      </c>
      <c r="AR33" s="1">
        <f t="shared" si="73"/>
        <v>1</v>
      </c>
    </row>
    <row r="34" spans="1:44" x14ac:dyDescent="0.25">
      <c r="B34" t="s">
        <v>42</v>
      </c>
      <c r="C34" t="s">
        <v>69</v>
      </c>
      <c r="D34" s="1">
        <f>SUM(E34,G34,I34,K34,M34,O34,Q34,S34,U34,W34,Y34,AA34,AC34,AE34,AG34,AI34,AK34)</f>
        <v>59.3</v>
      </c>
      <c r="E34" s="1">
        <v>17.7</v>
      </c>
      <c r="F34" s="1">
        <f t="shared" si="89"/>
        <v>23.718</v>
      </c>
      <c r="G34" s="1">
        <v>10.39</v>
      </c>
      <c r="H34" s="1">
        <f t="shared" si="89"/>
        <v>13.922600000000001</v>
      </c>
      <c r="I34" s="1">
        <v>3.82</v>
      </c>
      <c r="J34" s="1">
        <f t="shared" si="75"/>
        <v>9.0151999999999983</v>
      </c>
      <c r="K34" s="1"/>
      <c r="L34" s="1"/>
      <c r="M34" s="1"/>
      <c r="N34" s="1"/>
      <c r="O34" s="1"/>
      <c r="P34" s="1"/>
      <c r="Q34" s="1"/>
      <c r="R34" s="1"/>
      <c r="S34" s="1">
        <v>10.33</v>
      </c>
      <c r="T34" s="1">
        <f t="shared" ref="T34" si="93">S34*1.34</f>
        <v>13.8422</v>
      </c>
      <c r="U34" s="1">
        <v>8.6999999999999993</v>
      </c>
      <c r="V34" s="1">
        <f t="shared" si="83"/>
        <v>11.657999999999999</v>
      </c>
      <c r="W34" s="1"/>
      <c r="X34" s="1"/>
      <c r="Y34" s="1"/>
      <c r="Z34" s="1"/>
      <c r="AA34" s="1"/>
      <c r="AB34" s="1"/>
      <c r="AC34" s="1">
        <v>4.88</v>
      </c>
      <c r="AD34" s="1">
        <f t="shared" si="91"/>
        <v>13.42</v>
      </c>
      <c r="AE34" s="1">
        <v>3.48</v>
      </c>
      <c r="AF34" s="1">
        <f t="shared" ref="AF34:AF39" si="94">AE34*2.75</f>
        <v>9.57</v>
      </c>
      <c r="AG34" s="1"/>
      <c r="AH34" s="1"/>
      <c r="AI34" s="9"/>
      <c r="AJ34" s="9"/>
      <c r="AK34" s="9"/>
      <c r="AL34" s="9"/>
      <c r="AM34" s="1"/>
      <c r="AN34" s="1"/>
      <c r="AP34" s="1">
        <f t="shared" si="26"/>
        <v>0.76</v>
      </c>
      <c r="AQ34" s="1">
        <f t="shared" si="27"/>
        <v>0.24</v>
      </c>
      <c r="AR34" s="1">
        <f t="shared" si="73"/>
        <v>1</v>
      </c>
    </row>
    <row r="35" spans="1:44" x14ac:dyDescent="0.25">
      <c r="B35" t="s">
        <v>42</v>
      </c>
      <c r="C35" t="s">
        <v>59</v>
      </c>
      <c r="D35" s="1">
        <f>SUM(E35,G35,I35,K35,M35,O35,Q35,S35,U35,W35,Y35,AA35,AC35,AE35,AG35,AI35,AK35)</f>
        <v>59.41</v>
      </c>
      <c r="E35" s="1">
        <v>18.78</v>
      </c>
      <c r="F35" s="1">
        <f t="shared" si="89"/>
        <v>25.165200000000002</v>
      </c>
      <c r="G35" s="1">
        <v>6.27</v>
      </c>
      <c r="H35" s="1">
        <f t="shared" si="89"/>
        <v>8.4017999999999997</v>
      </c>
      <c r="I35" s="1">
        <v>3.88</v>
      </c>
      <c r="J35" s="1">
        <f t="shared" si="75"/>
        <v>9.1567999999999987</v>
      </c>
      <c r="K35" s="1"/>
      <c r="L35" s="1"/>
      <c r="M35" s="1"/>
      <c r="N35" s="1"/>
      <c r="O35" s="1"/>
      <c r="P35" s="1"/>
      <c r="Q35" s="1"/>
      <c r="R35" s="1"/>
      <c r="S35" s="1">
        <v>10.67</v>
      </c>
      <c r="T35" s="1">
        <f t="shared" ref="T35" si="95">S35*1.34</f>
        <v>14.297800000000001</v>
      </c>
      <c r="U35" s="1">
        <v>10.07</v>
      </c>
      <c r="V35" s="1">
        <f t="shared" si="83"/>
        <v>13.493800000000002</v>
      </c>
      <c r="W35" s="1"/>
      <c r="X35" s="1"/>
      <c r="Y35" s="1"/>
      <c r="Z35" s="1"/>
      <c r="AA35" s="1"/>
      <c r="AB35" s="1"/>
      <c r="AC35" s="1">
        <v>3.82</v>
      </c>
      <c r="AD35" s="1">
        <f t="shared" si="91"/>
        <v>10.504999999999999</v>
      </c>
      <c r="AE35" s="1">
        <v>3.73</v>
      </c>
      <c r="AF35" s="1">
        <f t="shared" si="94"/>
        <v>10.2575</v>
      </c>
      <c r="AG35" s="1">
        <v>2.19</v>
      </c>
      <c r="AH35" s="1">
        <f>AG35*2.36</f>
        <v>5.1683999999999992</v>
      </c>
      <c r="AI35" s="9"/>
      <c r="AJ35" s="9"/>
      <c r="AK35" s="9"/>
      <c r="AL35" s="9"/>
      <c r="AM35" s="1"/>
      <c r="AN35" s="1"/>
      <c r="AP35" s="1">
        <f t="shared" si="26"/>
        <v>0.83</v>
      </c>
      <c r="AQ35" s="1">
        <f t="shared" si="27"/>
        <v>0.17</v>
      </c>
      <c r="AR35" s="1">
        <f t="shared" si="73"/>
        <v>1</v>
      </c>
    </row>
    <row r="36" spans="1:44" x14ac:dyDescent="0.25">
      <c r="B36" t="s">
        <v>42</v>
      </c>
      <c r="C36" t="s">
        <v>77</v>
      </c>
      <c r="D36" s="1">
        <f>SUM(E36,G36,I36,K36,M36,O36,Q36,S36,U36,W36,Y36,AA36,AC36,AE36,AG36,AI36,AK36)</f>
        <v>59.45</v>
      </c>
      <c r="E36" s="1">
        <v>16.55</v>
      </c>
      <c r="F36" s="1">
        <f t="shared" si="89"/>
        <v>22.177000000000003</v>
      </c>
      <c r="G36" s="1">
        <v>7.35</v>
      </c>
      <c r="H36" s="1">
        <f t="shared" si="89"/>
        <v>9.8490000000000002</v>
      </c>
      <c r="I36" s="1">
        <v>4.55</v>
      </c>
      <c r="J36" s="1">
        <f t="shared" si="75"/>
        <v>10.738</v>
      </c>
      <c r="K36" s="1"/>
      <c r="L36" s="1"/>
      <c r="M36" s="1"/>
      <c r="N36" s="1"/>
      <c r="O36" s="1"/>
      <c r="P36" s="1"/>
      <c r="Q36" s="1"/>
      <c r="R36" s="1"/>
      <c r="S36" s="1">
        <v>11.7</v>
      </c>
      <c r="T36" s="1">
        <f t="shared" ref="T36" si="96">S36*1.34</f>
        <v>15.678000000000001</v>
      </c>
      <c r="U36" s="1">
        <v>9.1</v>
      </c>
      <c r="V36" s="1">
        <f t="shared" si="83"/>
        <v>12.194000000000001</v>
      </c>
      <c r="W36" s="1"/>
      <c r="X36" s="1"/>
      <c r="Y36" s="1"/>
      <c r="Z36" s="1"/>
      <c r="AA36" s="1"/>
      <c r="AB36" s="1"/>
      <c r="AC36" s="1">
        <v>4.75</v>
      </c>
      <c r="AD36" s="1">
        <f t="shared" si="91"/>
        <v>13.0625</v>
      </c>
      <c r="AE36" s="1">
        <v>5.45</v>
      </c>
      <c r="AF36" s="1">
        <f t="shared" si="94"/>
        <v>14.987500000000001</v>
      </c>
      <c r="AG36" s="1"/>
      <c r="AH36" s="1"/>
      <c r="AI36" s="9"/>
      <c r="AJ36" s="9"/>
      <c r="AK36" s="9"/>
      <c r="AL36" s="9"/>
      <c r="AM36" s="1"/>
      <c r="AN36" s="1"/>
      <c r="AP36" s="1">
        <f t="shared" si="26"/>
        <v>0.8</v>
      </c>
      <c r="AQ36" s="1">
        <f t="shared" si="27"/>
        <v>0.2</v>
      </c>
      <c r="AR36" s="1">
        <f t="shared" si="73"/>
        <v>1</v>
      </c>
    </row>
    <row r="37" spans="1:44" x14ac:dyDescent="0.25">
      <c r="B37" t="s">
        <v>42</v>
      </c>
      <c r="C37" t="s">
        <v>77</v>
      </c>
      <c r="D37" s="1">
        <f>SUM(E37,G37,I37,K37,M37,O37,Q37,S37,U37,W37,Y37,AA37,AC37,AE37,AG37,AI37,AK37)</f>
        <v>59.599999999999994</v>
      </c>
      <c r="E37" s="1">
        <v>18.149999999999999</v>
      </c>
      <c r="F37" s="1">
        <f t="shared" si="89"/>
        <v>24.320999999999998</v>
      </c>
      <c r="G37" s="1">
        <v>7.1</v>
      </c>
      <c r="H37" s="1">
        <f t="shared" si="89"/>
        <v>9.5139999999999993</v>
      </c>
      <c r="I37" s="1">
        <v>3.95</v>
      </c>
      <c r="J37" s="1">
        <f t="shared" si="75"/>
        <v>9.3219999999999992</v>
      </c>
      <c r="K37" s="1"/>
      <c r="L37" s="1"/>
      <c r="M37" s="1"/>
      <c r="N37" s="1"/>
      <c r="O37" s="1"/>
      <c r="P37" s="1"/>
      <c r="Q37" s="1"/>
      <c r="R37" s="1"/>
      <c r="S37" s="1">
        <v>12.2</v>
      </c>
      <c r="T37" s="1">
        <f t="shared" ref="T37" si="97">S37*1.34</f>
        <v>16.347999999999999</v>
      </c>
      <c r="U37" s="1">
        <v>9.4</v>
      </c>
      <c r="V37" s="1">
        <f t="shared" si="83"/>
        <v>12.596000000000002</v>
      </c>
      <c r="W37" s="1"/>
      <c r="X37" s="1"/>
      <c r="Y37" s="1"/>
      <c r="Z37" s="1"/>
      <c r="AA37" s="1"/>
      <c r="AB37" s="1"/>
      <c r="AC37" s="1">
        <v>3.8</v>
      </c>
      <c r="AD37" s="1">
        <f t="shared" si="91"/>
        <v>10.45</v>
      </c>
      <c r="AE37" s="1">
        <v>5</v>
      </c>
      <c r="AF37" s="1">
        <f t="shared" si="94"/>
        <v>13.75</v>
      </c>
      <c r="AG37" s="1"/>
      <c r="AH37" s="1"/>
      <c r="AI37" s="9"/>
      <c r="AJ37" s="9"/>
      <c r="AK37" s="9"/>
      <c r="AL37" s="9"/>
      <c r="AM37" s="1"/>
      <c r="AN37" s="1"/>
      <c r="AP37" s="1">
        <f t="shared" si="26"/>
        <v>0.81</v>
      </c>
      <c r="AQ37" s="1">
        <f t="shared" si="27"/>
        <v>0.19</v>
      </c>
      <c r="AR37" s="1">
        <f t="shared" si="73"/>
        <v>1</v>
      </c>
    </row>
    <row r="38" spans="1:44" x14ac:dyDescent="0.25">
      <c r="B38" t="s">
        <v>42</v>
      </c>
      <c r="C38" t="s">
        <v>77</v>
      </c>
      <c r="D38" s="1">
        <f>SUM(E38,G38,I38,K38,M38,O38,Q38,S38,U38,W38,Y38,AA38,AC38,AE38,AG38,AI38,AK38)</f>
        <v>59.85</v>
      </c>
      <c r="E38" s="1">
        <v>18.2</v>
      </c>
      <c r="F38" s="1">
        <f t="shared" si="89"/>
        <v>24.388000000000002</v>
      </c>
      <c r="G38" s="1">
        <v>7.15</v>
      </c>
      <c r="H38" s="1">
        <f t="shared" si="89"/>
        <v>9.5810000000000013</v>
      </c>
      <c r="I38" s="1">
        <v>5.15</v>
      </c>
      <c r="J38" s="1">
        <f t="shared" si="75"/>
        <v>12.154</v>
      </c>
      <c r="K38" s="1"/>
      <c r="L38" s="1"/>
      <c r="M38" s="1"/>
      <c r="N38" s="1"/>
      <c r="O38" s="1"/>
      <c r="P38" s="1"/>
      <c r="Q38" s="1"/>
      <c r="R38" s="1"/>
      <c r="S38" s="1">
        <v>12.7</v>
      </c>
      <c r="T38" s="1">
        <f t="shared" ref="T38" si="98">S38*1.34</f>
        <v>17.018000000000001</v>
      </c>
      <c r="U38" s="1">
        <v>10.15</v>
      </c>
      <c r="V38" s="1">
        <f t="shared" si="83"/>
        <v>13.601000000000001</v>
      </c>
      <c r="W38" s="1"/>
      <c r="X38" s="1"/>
      <c r="Y38" s="1"/>
      <c r="Z38" s="1"/>
      <c r="AA38" s="1"/>
      <c r="AB38" s="1"/>
      <c r="AC38" s="1">
        <v>3.1</v>
      </c>
      <c r="AD38" s="1">
        <f t="shared" si="91"/>
        <v>8.5250000000000004</v>
      </c>
      <c r="AE38" s="1">
        <v>3.4</v>
      </c>
      <c r="AF38" s="1">
        <f t="shared" si="94"/>
        <v>9.35</v>
      </c>
      <c r="AG38" s="1"/>
      <c r="AH38" s="1"/>
      <c r="AI38" s="9"/>
      <c r="AJ38" s="9"/>
      <c r="AK38" s="9"/>
      <c r="AL38" s="9"/>
      <c r="AM38" s="1"/>
      <c r="AN38" s="1"/>
      <c r="AP38" s="1">
        <f t="shared" si="26"/>
        <v>0.79</v>
      </c>
      <c r="AQ38" s="1">
        <f t="shared" si="27"/>
        <v>0.21</v>
      </c>
      <c r="AR38" s="1">
        <f t="shared" si="73"/>
        <v>1</v>
      </c>
    </row>
    <row r="39" spans="1:44" x14ac:dyDescent="0.25">
      <c r="B39" t="s">
        <v>42</v>
      </c>
      <c r="C39" t="s">
        <v>77</v>
      </c>
      <c r="D39" s="1">
        <f>SUM(E39,G39,I39,K39,M39,O39,Q39,S39,U39,W39,Y39,AA39,AC39,AE39,AG39,AI39,AK39)</f>
        <v>59.85</v>
      </c>
      <c r="E39" s="1">
        <v>18.7</v>
      </c>
      <c r="F39" s="1">
        <f t="shared" si="89"/>
        <v>25.058</v>
      </c>
      <c r="G39" s="1">
        <v>7</v>
      </c>
      <c r="H39" s="1">
        <f t="shared" si="89"/>
        <v>9.3800000000000008</v>
      </c>
      <c r="I39" s="1">
        <v>3.5</v>
      </c>
      <c r="J39" s="1">
        <f t="shared" si="75"/>
        <v>8.26</v>
      </c>
      <c r="K39" s="1"/>
      <c r="L39" s="1"/>
      <c r="M39" s="1"/>
      <c r="N39" s="1"/>
      <c r="O39" s="1"/>
      <c r="P39" s="1"/>
      <c r="Q39" s="1"/>
      <c r="R39" s="1"/>
      <c r="S39" s="1">
        <v>14.4</v>
      </c>
      <c r="T39" s="1">
        <f t="shared" ref="T39" si="99">S39*1.34</f>
        <v>19.296000000000003</v>
      </c>
      <c r="U39" s="1">
        <v>9.1</v>
      </c>
      <c r="V39" s="1">
        <f t="shared" si="83"/>
        <v>12.194000000000001</v>
      </c>
      <c r="W39" s="1"/>
      <c r="X39" s="1"/>
      <c r="Y39" s="1"/>
      <c r="Z39" s="1"/>
      <c r="AA39" s="1"/>
      <c r="AB39" s="1"/>
      <c r="AC39" s="1">
        <v>3.75</v>
      </c>
      <c r="AD39" s="1">
        <f t="shared" si="91"/>
        <v>10.3125</v>
      </c>
      <c r="AE39" s="1">
        <v>3.4</v>
      </c>
      <c r="AF39" s="1">
        <f t="shared" si="94"/>
        <v>9.35</v>
      </c>
      <c r="AG39" s="1"/>
      <c r="AH39" s="1"/>
      <c r="AI39" s="9"/>
      <c r="AJ39" s="9"/>
      <c r="AK39" s="9"/>
      <c r="AL39" s="9"/>
      <c r="AM39" s="1"/>
      <c r="AN39" s="1"/>
      <c r="AP39" s="1">
        <f t="shared" si="26"/>
        <v>0.82</v>
      </c>
      <c r="AQ39" s="1">
        <f t="shared" si="27"/>
        <v>0.18</v>
      </c>
      <c r="AR39" s="1">
        <f t="shared" si="73"/>
        <v>1</v>
      </c>
    </row>
    <row r="40" spans="1:44" x14ac:dyDescent="0.25">
      <c r="A40" t="s">
        <v>60</v>
      </c>
      <c r="B40" t="s">
        <v>140</v>
      </c>
      <c r="C40" t="s">
        <v>141</v>
      </c>
      <c r="D40" s="1">
        <f>SUM(E40,G40,I40,K40,M40,O40,Q40,S40,U40,W40,Y40,AA40,AC40,AE40,AG40,AI40,AK40)</f>
        <v>60</v>
      </c>
      <c r="E40" s="1">
        <v>18.350000000000001</v>
      </c>
      <c r="F40" s="1">
        <f t="shared" ref="F40:H40" si="100">E40*1.34</f>
        <v>24.589000000000002</v>
      </c>
      <c r="G40" s="1">
        <v>8.4499999999999993</v>
      </c>
      <c r="H40" s="1">
        <f t="shared" si="100"/>
        <v>11.323</v>
      </c>
      <c r="I40" s="1">
        <v>5.35</v>
      </c>
      <c r="J40" s="1">
        <f t="shared" si="75"/>
        <v>12.625999999999998</v>
      </c>
      <c r="K40" s="1"/>
      <c r="L40" s="1"/>
      <c r="M40" s="1"/>
      <c r="N40" s="1"/>
      <c r="O40" s="1"/>
      <c r="P40" s="1"/>
      <c r="Q40" s="1"/>
      <c r="R40" s="1"/>
      <c r="S40" s="1">
        <v>12.6</v>
      </c>
      <c r="T40" s="1">
        <f t="shared" ref="T40" si="101">S40*1.34</f>
        <v>16.884</v>
      </c>
      <c r="U40" s="1">
        <v>9.25</v>
      </c>
      <c r="V40" s="1">
        <f t="shared" si="83"/>
        <v>12.395000000000001</v>
      </c>
      <c r="W40" s="1"/>
      <c r="X40" s="1"/>
      <c r="Y40" s="1"/>
      <c r="Z40" s="1"/>
      <c r="AA40" s="1"/>
      <c r="AB40" s="1"/>
      <c r="AC40" s="1">
        <v>6</v>
      </c>
      <c r="AD40" s="1">
        <f t="shared" ref="AD40" si="102">AC40*2.75</f>
        <v>16.5</v>
      </c>
      <c r="AE40" s="1"/>
      <c r="AF40" s="1"/>
      <c r="AG40" s="1"/>
      <c r="AH40" s="1"/>
      <c r="AI40" s="9"/>
      <c r="AJ40" s="9"/>
      <c r="AK40" s="9"/>
      <c r="AL40" s="9"/>
      <c r="AM40" s="1"/>
      <c r="AN40" s="1"/>
      <c r="AP40" s="1">
        <f t="shared" si="26"/>
        <v>0.77</v>
      </c>
      <c r="AQ40" s="1">
        <f t="shared" si="27"/>
        <v>0.23</v>
      </c>
      <c r="AR40" s="1">
        <f t="shared" si="73"/>
        <v>1</v>
      </c>
    </row>
    <row r="41" spans="1:44" x14ac:dyDescent="0.25">
      <c r="A41" t="s">
        <v>60</v>
      </c>
      <c r="B41" t="s">
        <v>42</v>
      </c>
      <c r="C41" t="s">
        <v>59</v>
      </c>
      <c r="D41" s="1">
        <f>SUM(E41,G41,I41,K41,M41,O41,Q41,S41,U41,W41,Y41,AA41,AC41,AE41,AG41,AI41,AK41)</f>
        <v>60.34</v>
      </c>
      <c r="E41" s="1">
        <v>17.64</v>
      </c>
      <c r="F41" s="1">
        <f t="shared" ref="F41:H41" si="103">E41*1.34</f>
        <v>23.637600000000003</v>
      </c>
      <c r="G41" s="1">
        <v>6.97</v>
      </c>
      <c r="H41" s="1">
        <f t="shared" si="103"/>
        <v>9.3398000000000003</v>
      </c>
      <c r="I41" s="1">
        <v>3.89</v>
      </c>
      <c r="J41" s="1">
        <f t="shared" si="75"/>
        <v>9.1804000000000006</v>
      </c>
      <c r="K41" s="1"/>
      <c r="L41" s="1"/>
      <c r="M41" s="1"/>
      <c r="N41" s="1"/>
      <c r="O41" s="1"/>
      <c r="P41" s="1"/>
      <c r="Q41" s="1"/>
      <c r="R41" s="1"/>
      <c r="S41" s="1">
        <v>10.41</v>
      </c>
      <c r="T41" s="1">
        <f t="shared" ref="T41" si="104">S41*1.34</f>
        <v>13.949400000000001</v>
      </c>
      <c r="U41" s="1">
        <v>8.98</v>
      </c>
      <c r="V41" s="1">
        <f t="shared" si="83"/>
        <v>12.033200000000001</v>
      </c>
      <c r="W41" s="1"/>
      <c r="X41" s="1"/>
      <c r="Y41" s="1"/>
      <c r="Z41" s="1"/>
      <c r="AA41" s="1"/>
      <c r="AB41" s="1"/>
      <c r="AC41" s="1">
        <v>5.1100000000000003</v>
      </c>
      <c r="AD41" s="1">
        <f t="shared" ref="AD41" si="105">AC41*2.75</f>
        <v>14.0525</v>
      </c>
      <c r="AE41" s="1">
        <v>5.45</v>
      </c>
      <c r="AF41" s="1">
        <f t="shared" ref="AF41:AF42" si="106">AE41*2.75</f>
        <v>14.987500000000001</v>
      </c>
      <c r="AG41" s="1">
        <v>1.89</v>
      </c>
      <c r="AH41" s="1">
        <f>AG41*2.36</f>
        <v>4.4603999999999999</v>
      </c>
      <c r="AI41" s="9"/>
      <c r="AJ41" s="9"/>
      <c r="AK41" s="9"/>
      <c r="AL41" s="9"/>
      <c r="AM41" s="1">
        <v>4.26</v>
      </c>
      <c r="AN41" s="1">
        <f t="shared" ref="AN41" si="107">AM41*0.6</f>
        <v>2.5559999999999996</v>
      </c>
      <c r="AP41" s="1">
        <f t="shared" si="26"/>
        <v>0.82</v>
      </c>
      <c r="AQ41" s="1">
        <f t="shared" si="27"/>
        <v>0.18</v>
      </c>
      <c r="AR41" s="1">
        <f t="shared" si="73"/>
        <v>1</v>
      </c>
    </row>
    <row r="42" spans="1:44" x14ac:dyDescent="0.25">
      <c r="B42" t="s">
        <v>42</v>
      </c>
      <c r="C42" t="s">
        <v>71</v>
      </c>
      <c r="D42" s="1">
        <f>SUM(E42,G42,I42,K42,M42,O42,Q42,S42,U42,W42,Y42,AA42,AC42,AE42,AG42,AI42,AK42)</f>
        <v>60.9</v>
      </c>
      <c r="E42" s="1">
        <v>17.25</v>
      </c>
      <c r="F42" s="1">
        <f t="shared" ref="F42:H42" si="108">E42*1.34</f>
        <v>23.115000000000002</v>
      </c>
      <c r="G42" s="1">
        <v>9.5500000000000007</v>
      </c>
      <c r="H42" s="1">
        <f t="shared" si="108"/>
        <v>12.797000000000002</v>
      </c>
      <c r="I42" s="1">
        <v>3.56</v>
      </c>
      <c r="J42" s="1">
        <f t="shared" si="75"/>
        <v>8.4016000000000002</v>
      </c>
      <c r="K42" s="1"/>
      <c r="L42" s="1"/>
      <c r="M42" s="1"/>
      <c r="N42" s="1"/>
      <c r="O42" s="1"/>
      <c r="P42" s="1"/>
      <c r="Q42" s="1"/>
      <c r="R42" s="1"/>
      <c r="S42" s="1">
        <v>15.34</v>
      </c>
      <c r="T42" s="1">
        <f t="shared" ref="T42" si="109">S42*1.34</f>
        <v>20.555600000000002</v>
      </c>
      <c r="U42" s="1">
        <v>9.16</v>
      </c>
      <c r="V42" s="1">
        <f t="shared" si="83"/>
        <v>12.274400000000002</v>
      </c>
      <c r="W42" s="1"/>
      <c r="X42" s="1"/>
      <c r="Y42" s="1"/>
      <c r="Z42" s="1"/>
      <c r="AA42" s="1"/>
      <c r="AB42" s="1"/>
      <c r="AC42" s="1">
        <v>3.43</v>
      </c>
      <c r="AD42" s="1">
        <f t="shared" ref="AD42" si="110">AC42*2.75</f>
        <v>9.432500000000001</v>
      </c>
      <c r="AE42" s="1">
        <v>2.61</v>
      </c>
      <c r="AF42" s="1">
        <f t="shared" si="106"/>
        <v>7.1774999999999993</v>
      </c>
      <c r="AG42" s="1"/>
      <c r="AH42" s="1"/>
      <c r="AI42" s="9"/>
      <c r="AJ42" s="9"/>
      <c r="AK42" s="9"/>
      <c r="AL42" s="9"/>
      <c r="AM42" s="1"/>
      <c r="AN42" s="1"/>
      <c r="AP42" s="1">
        <f t="shared" si="26"/>
        <v>0.78</v>
      </c>
      <c r="AQ42" s="1">
        <f t="shared" si="27"/>
        <v>0.22</v>
      </c>
      <c r="AR42" s="1">
        <f t="shared" si="73"/>
        <v>1</v>
      </c>
    </row>
    <row r="43" spans="1:44" x14ac:dyDescent="0.25">
      <c r="B43" t="s">
        <v>117</v>
      </c>
      <c r="C43" t="s">
        <v>118</v>
      </c>
      <c r="D43" s="1">
        <f>SUM(E43,G43,I43,K43,M43,O43,Q43,S43,U43,W43,Y43,AA43,AC43,AE43,AG43,AI43,AK43)</f>
        <v>61.49</v>
      </c>
      <c r="E43" s="1">
        <v>22.87</v>
      </c>
      <c r="F43" s="1">
        <f t="shared" ref="F43:H43" si="111">E43*1.34</f>
        <v>30.645800000000005</v>
      </c>
      <c r="G43" s="1">
        <v>8.1999999999999993</v>
      </c>
      <c r="H43" s="1">
        <f t="shared" si="111"/>
        <v>10.988</v>
      </c>
      <c r="I43" s="1">
        <v>3.58</v>
      </c>
      <c r="J43" s="1">
        <f t="shared" si="75"/>
        <v>8.4488000000000003</v>
      </c>
      <c r="K43" s="1">
        <v>3.32</v>
      </c>
      <c r="L43" s="1">
        <f t="shared" ref="L43:L44" si="112">K43*2.36</f>
        <v>7.8351999999999995</v>
      </c>
      <c r="M43" s="1"/>
      <c r="N43" s="1"/>
      <c r="O43" s="1"/>
      <c r="P43" s="1"/>
      <c r="Q43" s="1"/>
      <c r="R43" s="1"/>
      <c r="S43" s="1">
        <v>10.81</v>
      </c>
      <c r="T43" s="1">
        <f t="shared" ref="T43" si="113">S43*1.34</f>
        <v>14.485400000000002</v>
      </c>
      <c r="U43" s="1">
        <v>8.9</v>
      </c>
      <c r="V43" s="1">
        <f t="shared" si="83"/>
        <v>11.926000000000002</v>
      </c>
      <c r="W43" s="1"/>
      <c r="X43" s="1"/>
      <c r="Y43" s="1"/>
      <c r="Z43" s="1"/>
      <c r="AA43" s="1"/>
      <c r="AB43" s="1"/>
      <c r="AC43" s="1">
        <v>3.81</v>
      </c>
      <c r="AD43" s="1">
        <f t="shared" ref="AD43:AD45" si="114">AC43*2.75</f>
        <v>10.477500000000001</v>
      </c>
      <c r="AE43" s="1"/>
      <c r="AF43" s="1"/>
      <c r="AG43" s="1"/>
      <c r="AH43" s="1"/>
      <c r="AI43" s="9"/>
      <c r="AJ43" s="9"/>
      <c r="AK43" s="9"/>
      <c r="AL43" s="9"/>
      <c r="AM43" s="1"/>
      <c r="AN43" s="1"/>
      <c r="AP43" s="1">
        <f t="shared" si="26"/>
        <v>0.75</v>
      </c>
      <c r="AQ43" s="1">
        <f t="shared" si="27"/>
        <v>0.25</v>
      </c>
      <c r="AR43" s="1">
        <f t="shared" si="73"/>
        <v>1</v>
      </c>
    </row>
    <row r="44" spans="1:44" x14ac:dyDescent="0.25">
      <c r="B44" t="s">
        <v>106</v>
      </c>
      <c r="C44" t="s">
        <v>112</v>
      </c>
      <c r="D44" s="1">
        <f>SUM(E44,G44,I44,K44,M44,O44,Q44,S44,U44,W44,Y44,AA44,AC44,AE44,AG44,AI44,AK44)</f>
        <v>61.79</v>
      </c>
      <c r="E44" s="1">
        <v>20.34</v>
      </c>
      <c r="F44" s="1">
        <f t="shared" ref="F44:H45" si="115">E44*1.34</f>
        <v>27.255600000000001</v>
      </c>
      <c r="G44" s="1">
        <v>8.27</v>
      </c>
      <c r="H44" s="1">
        <f t="shared" si="115"/>
        <v>11.081799999999999</v>
      </c>
      <c r="I44" s="1">
        <v>3.6</v>
      </c>
      <c r="J44" s="1">
        <f t="shared" si="75"/>
        <v>8.4960000000000004</v>
      </c>
      <c r="K44" s="1">
        <v>3.12</v>
      </c>
      <c r="L44" s="1">
        <f t="shared" si="112"/>
        <v>7.3632</v>
      </c>
      <c r="M44" s="1"/>
      <c r="N44" s="1"/>
      <c r="O44" s="1"/>
      <c r="P44" s="1"/>
      <c r="Q44" s="1"/>
      <c r="R44" s="1"/>
      <c r="S44" s="1">
        <v>10.33</v>
      </c>
      <c r="T44" s="1">
        <f t="shared" ref="T44" si="116">S44*1.34</f>
        <v>13.8422</v>
      </c>
      <c r="U44" s="1">
        <v>8.93</v>
      </c>
      <c r="V44" s="1">
        <f t="shared" si="83"/>
        <v>11.966200000000001</v>
      </c>
      <c r="W44" s="1"/>
      <c r="X44" s="1"/>
      <c r="Y44" s="1"/>
      <c r="Z44" s="1"/>
      <c r="AA44" s="1"/>
      <c r="AB44" s="1"/>
      <c r="AC44" s="1">
        <v>4.7</v>
      </c>
      <c r="AD44" s="1">
        <f t="shared" si="114"/>
        <v>12.925000000000001</v>
      </c>
      <c r="AE44" s="1">
        <v>2.5</v>
      </c>
      <c r="AF44" s="1">
        <f t="shared" ref="AF44:AF47" si="117">AE44*2.75</f>
        <v>6.875</v>
      </c>
      <c r="AG44" s="1"/>
      <c r="AH44" s="1"/>
      <c r="AI44" s="9"/>
      <c r="AJ44" s="9"/>
      <c r="AK44" s="9"/>
      <c r="AL44" s="9"/>
      <c r="AM44" s="1">
        <v>9.2899999999999991</v>
      </c>
      <c r="AN44" s="1">
        <f t="shared" ref="AN44:AN45" si="118">AM44*0.6</f>
        <v>5.573999999999999</v>
      </c>
      <c r="AP44" s="1">
        <f t="shared" si="26"/>
        <v>0.76</v>
      </c>
      <c r="AQ44" s="1">
        <f t="shared" si="27"/>
        <v>0.24</v>
      </c>
      <c r="AR44" s="1">
        <f t="shared" si="73"/>
        <v>1</v>
      </c>
    </row>
    <row r="45" spans="1:44" x14ac:dyDescent="0.25">
      <c r="B45" t="s">
        <v>42</v>
      </c>
      <c r="C45" t="s">
        <v>59</v>
      </c>
      <c r="D45" s="1">
        <f>SUM(E45,G45,I45,K45,M45,O45,Q45,S45,U45,W45,Y45,AA45,AC45,AE45,AG45,AI45,AK45)</f>
        <v>61.889999999999993</v>
      </c>
      <c r="E45" s="1">
        <v>18.78</v>
      </c>
      <c r="F45" s="1">
        <f t="shared" si="115"/>
        <v>25.165200000000002</v>
      </c>
      <c r="G45" s="1">
        <v>8.35</v>
      </c>
      <c r="H45" s="1">
        <f t="shared" si="115"/>
        <v>11.189</v>
      </c>
      <c r="I45" s="1">
        <v>3.88</v>
      </c>
      <c r="J45" s="1">
        <f t="shared" si="75"/>
        <v>9.1567999999999987</v>
      </c>
      <c r="K45" s="1"/>
      <c r="L45" s="1"/>
      <c r="M45" s="1"/>
      <c r="N45" s="1"/>
      <c r="O45" s="1"/>
      <c r="P45" s="1"/>
      <c r="Q45" s="1"/>
      <c r="R45" s="1"/>
      <c r="S45" s="1">
        <v>10.67</v>
      </c>
      <c r="T45" s="1">
        <f t="shared" ref="T45" si="119">S45*1.34</f>
        <v>14.297800000000001</v>
      </c>
      <c r="U45" s="1">
        <v>10.07</v>
      </c>
      <c r="V45" s="1">
        <f t="shared" si="83"/>
        <v>13.493800000000002</v>
      </c>
      <c r="W45" s="1"/>
      <c r="X45" s="1"/>
      <c r="Y45" s="1"/>
      <c r="Z45" s="1"/>
      <c r="AA45" s="1"/>
      <c r="AB45" s="1"/>
      <c r="AC45" s="1">
        <v>4.5199999999999996</v>
      </c>
      <c r="AD45" s="1">
        <f t="shared" si="114"/>
        <v>12.43</v>
      </c>
      <c r="AE45" s="1">
        <v>3.73</v>
      </c>
      <c r="AF45" s="1">
        <f t="shared" si="117"/>
        <v>10.2575</v>
      </c>
      <c r="AG45" s="1">
        <v>1.89</v>
      </c>
      <c r="AH45" s="1">
        <f>AG45*2.36</f>
        <v>4.4603999999999999</v>
      </c>
      <c r="AI45" s="9"/>
      <c r="AJ45" s="9"/>
      <c r="AK45" s="9"/>
      <c r="AL45" s="9"/>
      <c r="AM45" s="1">
        <v>2.2999999999999998</v>
      </c>
      <c r="AN45" s="1">
        <f t="shared" si="118"/>
        <v>1.38</v>
      </c>
      <c r="AP45" s="1">
        <f t="shared" si="26"/>
        <v>0.8</v>
      </c>
      <c r="AQ45" s="1">
        <f t="shared" si="27"/>
        <v>0.2</v>
      </c>
      <c r="AR45" s="1">
        <f t="shared" si="73"/>
        <v>1</v>
      </c>
    </row>
    <row r="46" spans="1:44" x14ac:dyDescent="0.25">
      <c r="B46" t="s">
        <v>42</v>
      </c>
      <c r="C46" t="s">
        <v>59</v>
      </c>
      <c r="D46" s="1">
        <f>SUM(E46,G46,I46,K46,M46,O46,Q46,S46,U46,W46,Y46,AA46,AC46,AE46,AG46,AI46,AK46)</f>
        <v>63.320000000000007</v>
      </c>
      <c r="E46" s="1">
        <v>18.21</v>
      </c>
      <c r="F46" s="1">
        <f t="shared" ref="F46:H47" si="120">E46*1.34</f>
        <v>24.401400000000002</v>
      </c>
      <c r="G46" s="1">
        <v>6.98</v>
      </c>
      <c r="H46" s="1">
        <f t="shared" si="120"/>
        <v>9.3532000000000011</v>
      </c>
      <c r="I46" s="1">
        <v>4.4400000000000004</v>
      </c>
      <c r="J46" s="1">
        <f t="shared" si="75"/>
        <v>10.478400000000001</v>
      </c>
      <c r="K46" s="1"/>
      <c r="L46" s="1"/>
      <c r="M46" s="1"/>
      <c r="N46" s="1"/>
      <c r="O46" s="1"/>
      <c r="P46" s="1"/>
      <c r="Q46" s="1"/>
      <c r="R46" s="1"/>
      <c r="S46" s="1">
        <v>12.17</v>
      </c>
      <c r="T46" s="1">
        <f t="shared" ref="T46" si="121">S46*1.34</f>
        <v>16.3078</v>
      </c>
      <c r="U46" s="1">
        <v>10.89</v>
      </c>
      <c r="V46" s="1">
        <f t="shared" si="83"/>
        <v>14.592600000000001</v>
      </c>
      <c r="W46" s="1"/>
      <c r="X46" s="1"/>
      <c r="Y46" s="1"/>
      <c r="Z46" s="1"/>
      <c r="AA46" s="1"/>
      <c r="AB46" s="1"/>
      <c r="AC46" s="1">
        <v>6.38</v>
      </c>
      <c r="AD46" s="1">
        <f t="shared" ref="AD46:AD47" si="122">AC46*2.75</f>
        <v>17.544999999999998</v>
      </c>
      <c r="AE46" s="1">
        <v>2</v>
      </c>
      <c r="AF46" s="1">
        <f t="shared" si="117"/>
        <v>5.5</v>
      </c>
      <c r="AG46" s="1">
        <v>2.25</v>
      </c>
      <c r="AH46" s="1">
        <f>AG46*2.36</f>
        <v>5.31</v>
      </c>
      <c r="AI46" s="9"/>
      <c r="AJ46" s="9"/>
      <c r="AK46" s="9"/>
      <c r="AL46" s="9"/>
      <c r="AM46" s="1">
        <v>2.3199999999999998</v>
      </c>
      <c r="AN46" s="1">
        <f>AM46*0.6</f>
        <v>1.3919999999999999</v>
      </c>
      <c r="AP46" s="1">
        <f t="shared" si="26"/>
        <v>0.82</v>
      </c>
      <c r="AQ46" s="1">
        <f t="shared" si="27"/>
        <v>0.18</v>
      </c>
      <c r="AR46" s="1">
        <f t="shared" si="73"/>
        <v>1</v>
      </c>
    </row>
    <row r="47" spans="1:44" x14ac:dyDescent="0.25">
      <c r="B47" t="s">
        <v>42</v>
      </c>
      <c r="C47" t="s">
        <v>71</v>
      </c>
      <c r="D47" s="1">
        <f>SUM(E47,G47,I47,K47,M47,O47,Q47,S47,U47,W47,Y47,AA47,AC47,AE47,AG47,AI47,AK47)</f>
        <v>63.38</v>
      </c>
      <c r="E47" s="1">
        <v>18.62</v>
      </c>
      <c r="F47" s="1">
        <f t="shared" si="120"/>
        <v>24.950800000000005</v>
      </c>
      <c r="G47" s="1">
        <v>7.88</v>
      </c>
      <c r="H47" s="1">
        <f t="shared" si="120"/>
        <v>10.559200000000001</v>
      </c>
      <c r="I47" s="1">
        <v>3.6</v>
      </c>
      <c r="J47" s="1">
        <f t="shared" si="75"/>
        <v>8.4960000000000004</v>
      </c>
      <c r="K47" s="1"/>
      <c r="L47" s="1"/>
      <c r="M47" s="1"/>
      <c r="N47" s="1"/>
      <c r="O47" s="1"/>
      <c r="P47" s="1"/>
      <c r="Q47" s="1">
        <v>2.1800000000000002</v>
      </c>
      <c r="R47" s="1">
        <f>Q47*2.36</f>
        <v>5.1448</v>
      </c>
      <c r="S47" s="1">
        <v>10.11</v>
      </c>
      <c r="T47" s="1">
        <f t="shared" ref="T47" si="123">S47*1.34</f>
        <v>13.5474</v>
      </c>
      <c r="U47" s="1">
        <v>7.38</v>
      </c>
      <c r="V47" s="1">
        <f t="shared" si="83"/>
        <v>9.8892000000000007</v>
      </c>
      <c r="W47" s="1">
        <v>7.36</v>
      </c>
      <c r="X47" s="1">
        <f t="shared" si="83"/>
        <v>9.8624000000000009</v>
      </c>
      <c r="Y47" s="1"/>
      <c r="Z47" s="1"/>
      <c r="AA47" s="1"/>
      <c r="AB47" s="1"/>
      <c r="AC47" s="1">
        <v>2.56</v>
      </c>
      <c r="AD47" s="1">
        <f t="shared" si="122"/>
        <v>7.04</v>
      </c>
      <c r="AE47" s="1">
        <v>3.69</v>
      </c>
      <c r="AF47" s="1">
        <f t="shared" si="117"/>
        <v>10.147499999999999</v>
      </c>
      <c r="AG47" s="1"/>
      <c r="AH47" s="1"/>
      <c r="AI47" s="9"/>
      <c r="AJ47" s="9"/>
      <c r="AK47" s="9"/>
      <c r="AL47" s="9"/>
      <c r="AM47" s="1"/>
      <c r="AN47" s="1"/>
      <c r="AP47" s="1">
        <f t="shared" si="26"/>
        <v>0.78</v>
      </c>
      <c r="AQ47" s="1">
        <f t="shared" si="27"/>
        <v>0.22</v>
      </c>
      <c r="AR47" s="1">
        <f t="shared" si="73"/>
        <v>1</v>
      </c>
    </row>
    <row r="48" spans="1:44" x14ac:dyDescent="0.25">
      <c r="B48" t="s">
        <v>42</v>
      </c>
      <c r="C48" t="s">
        <v>71</v>
      </c>
      <c r="D48" s="1">
        <f>SUM(E48,G48,I48,K48,M48,O48,Q48,S48,U48,W48,Y48,AA48,AC48,AE48,AG48,AI48,AK48)</f>
        <v>64.190000000000012</v>
      </c>
      <c r="E48" s="1">
        <v>18.62</v>
      </c>
      <c r="F48" s="1">
        <f t="shared" ref="F48:H51" si="124">E48*1.34</f>
        <v>24.950800000000005</v>
      </c>
      <c r="G48" s="1">
        <v>8.23</v>
      </c>
      <c r="H48" s="1">
        <f t="shared" si="124"/>
        <v>11.028200000000002</v>
      </c>
      <c r="I48" s="1">
        <v>3.75</v>
      </c>
      <c r="J48" s="1">
        <f t="shared" si="75"/>
        <v>8.85</v>
      </c>
      <c r="K48" s="1"/>
      <c r="L48" s="1"/>
      <c r="M48" s="1"/>
      <c r="N48" s="1"/>
      <c r="O48" s="1"/>
      <c r="P48" s="1"/>
      <c r="Q48" s="1">
        <v>2.4</v>
      </c>
      <c r="R48" s="1">
        <f>Q48*2.36</f>
        <v>5.6639999999999997</v>
      </c>
      <c r="S48" s="1">
        <v>10.199999999999999</v>
      </c>
      <c r="T48" s="1">
        <f t="shared" ref="T48" si="125">S48*1.34</f>
        <v>13.667999999999999</v>
      </c>
      <c r="U48" s="1">
        <v>7.38</v>
      </c>
      <c r="V48" s="1">
        <f t="shared" si="83"/>
        <v>9.8892000000000007</v>
      </c>
      <c r="W48" s="1">
        <v>7.36</v>
      </c>
      <c r="X48" s="1">
        <f t="shared" si="83"/>
        <v>9.8624000000000009</v>
      </c>
      <c r="Y48" s="1"/>
      <c r="Z48" s="1"/>
      <c r="AA48" s="1"/>
      <c r="AB48" s="1"/>
      <c r="AC48" s="1">
        <v>2.56</v>
      </c>
      <c r="AD48" s="1">
        <f t="shared" ref="AD48:AD52" si="126">AC48*2.75</f>
        <v>7.04</v>
      </c>
      <c r="AE48" s="1">
        <v>3.69</v>
      </c>
      <c r="AF48" s="1">
        <f t="shared" ref="AF48:AF67" si="127">AE48*2.75</f>
        <v>10.147499999999999</v>
      </c>
      <c r="AG48" s="1"/>
      <c r="AH48" s="1"/>
      <c r="AI48" s="9"/>
      <c r="AJ48" s="9"/>
      <c r="AK48" s="9"/>
      <c r="AL48" s="9"/>
      <c r="AM48" s="1"/>
      <c r="AN48" s="1"/>
      <c r="AP48" s="1">
        <f t="shared" si="26"/>
        <v>0.78</v>
      </c>
      <c r="AQ48" s="1">
        <f t="shared" si="27"/>
        <v>0.22</v>
      </c>
      <c r="AR48" s="1">
        <f t="shared" si="73"/>
        <v>1</v>
      </c>
    </row>
    <row r="49" spans="1:44" x14ac:dyDescent="0.25">
      <c r="B49" t="s">
        <v>119</v>
      </c>
      <c r="C49" t="s">
        <v>120</v>
      </c>
      <c r="D49" s="1">
        <f>SUM(E49,G49,I49,K49,M49,O49,Q49,S49,U49,W49,Y49,AA49,AC49,AE49,AG49,AI49,AK49)</f>
        <v>64.400000000000006</v>
      </c>
      <c r="E49" s="1">
        <v>21.8</v>
      </c>
      <c r="F49" s="1">
        <f t="shared" si="124"/>
        <v>29.212000000000003</v>
      </c>
      <c r="G49" s="1">
        <v>9.3699999999999992</v>
      </c>
      <c r="H49" s="1">
        <f t="shared" si="124"/>
        <v>12.5558</v>
      </c>
      <c r="I49" s="1">
        <v>4.34</v>
      </c>
      <c r="J49" s="1">
        <f t="shared" si="75"/>
        <v>10.2424</v>
      </c>
      <c r="K49" s="1">
        <v>3.73</v>
      </c>
      <c r="L49" s="1">
        <f>K49*2.36</f>
        <v>8.8027999999999995</v>
      </c>
      <c r="M49" s="1"/>
      <c r="N49" s="1"/>
      <c r="O49" s="1"/>
      <c r="P49" s="1"/>
      <c r="Q49" s="1"/>
      <c r="R49" s="1"/>
      <c r="S49" s="1">
        <v>11.67</v>
      </c>
      <c r="T49" s="1">
        <f t="shared" ref="T49" si="128">S49*1.34</f>
        <v>15.6378</v>
      </c>
      <c r="U49" s="1">
        <v>8.2799999999999994</v>
      </c>
      <c r="V49" s="1">
        <f t="shared" si="83"/>
        <v>11.0952</v>
      </c>
      <c r="W49" s="1"/>
      <c r="X49" s="1"/>
      <c r="Y49" s="1"/>
      <c r="Z49" s="1"/>
      <c r="AA49" s="1"/>
      <c r="AB49" s="1"/>
      <c r="AC49" s="1">
        <v>2.8</v>
      </c>
      <c r="AD49" s="1">
        <f t="shared" si="126"/>
        <v>7.6999999999999993</v>
      </c>
      <c r="AE49" s="1">
        <v>2.41</v>
      </c>
      <c r="AF49" s="1">
        <f t="shared" si="127"/>
        <v>6.6275000000000004</v>
      </c>
      <c r="AG49" s="1"/>
      <c r="AH49" s="1"/>
      <c r="AI49" s="9"/>
      <c r="AJ49" s="9"/>
      <c r="AK49" s="9"/>
      <c r="AL49" s="9"/>
      <c r="AM49" s="1">
        <v>10.58</v>
      </c>
      <c r="AN49" s="1">
        <f t="shared" ref="AN49:AN50" si="129">AM49*0.6</f>
        <v>6.3479999999999999</v>
      </c>
      <c r="AP49" s="1">
        <f t="shared" si="26"/>
        <v>0.73</v>
      </c>
      <c r="AQ49" s="1">
        <f t="shared" si="27"/>
        <v>0.27</v>
      </c>
      <c r="AR49" s="1">
        <f t="shared" si="73"/>
        <v>1</v>
      </c>
    </row>
    <row r="50" spans="1:44" x14ac:dyDescent="0.25">
      <c r="B50" t="s">
        <v>43</v>
      </c>
      <c r="C50" t="s">
        <v>48</v>
      </c>
      <c r="D50" s="1">
        <f>SUM(E50,G50,I50,K50,M50,O50,Q50,S50,U50,W50,Y50,AA50,AC50,AE50,AG50,AI50,AK50)</f>
        <v>64.41</v>
      </c>
      <c r="E50" s="1">
        <v>17.78</v>
      </c>
      <c r="F50" s="1">
        <f t="shared" si="124"/>
        <v>23.825200000000002</v>
      </c>
      <c r="G50" s="1">
        <v>6.92</v>
      </c>
      <c r="H50" s="1">
        <f t="shared" si="124"/>
        <v>9.2728000000000002</v>
      </c>
      <c r="I50" s="1">
        <v>4.9000000000000004</v>
      </c>
      <c r="J50" s="1">
        <f t="shared" si="75"/>
        <v>11.564</v>
      </c>
      <c r="K50" s="1">
        <v>2.99</v>
      </c>
      <c r="L50" s="1">
        <f>K50*2.36</f>
        <v>7.0564</v>
      </c>
      <c r="M50" s="1"/>
      <c r="N50" s="1"/>
      <c r="O50" s="1"/>
      <c r="P50" s="1"/>
      <c r="Q50" s="1"/>
      <c r="R50" s="1"/>
      <c r="S50" s="1">
        <v>12.66</v>
      </c>
      <c r="T50" s="1">
        <f t="shared" ref="T50" si="130">S50*1.34</f>
        <v>16.964400000000001</v>
      </c>
      <c r="U50" s="1">
        <v>9.9700000000000006</v>
      </c>
      <c r="V50" s="1">
        <f t="shared" si="83"/>
        <v>13.359800000000002</v>
      </c>
      <c r="W50" s="1"/>
      <c r="X50" s="1"/>
      <c r="Y50" s="1"/>
      <c r="Z50" s="1"/>
      <c r="AA50" s="1"/>
      <c r="AB50" s="1"/>
      <c r="AC50" s="1">
        <v>3.35</v>
      </c>
      <c r="AD50" s="1">
        <f t="shared" si="126"/>
        <v>9.2125000000000004</v>
      </c>
      <c r="AE50" s="1">
        <v>3.85</v>
      </c>
      <c r="AF50" s="1">
        <f t="shared" si="127"/>
        <v>10.5875</v>
      </c>
      <c r="AG50" s="1">
        <v>1.99</v>
      </c>
      <c r="AH50" s="1">
        <f>AG50*2.36</f>
        <v>4.6963999999999997</v>
      </c>
      <c r="AI50" s="9"/>
      <c r="AJ50" s="9"/>
      <c r="AK50" s="9"/>
      <c r="AL50" s="9"/>
      <c r="AM50" s="1">
        <v>5.65</v>
      </c>
      <c r="AN50" s="1">
        <f t="shared" si="129"/>
        <v>3.39</v>
      </c>
      <c r="AP50" s="1">
        <f t="shared" si="26"/>
        <v>0.77</v>
      </c>
      <c r="AQ50" s="1">
        <f t="shared" si="27"/>
        <v>0.23</v>
      </c>
      <c r="AR50" s="1">
        <f t="shared" si="73"/>
        <v>1</v>
      </c>
    </row>
    <row r="51" spans="1:44" x14ac:dyDescent="0.25">
      <c r="B51" t="s">
        <v>42</v>
      </c>
      <c r="C51" t="s">
        <v>76</v>
      </c>
      <c r="D51" s="1">
        <f>SUM(E51,G51,I51,K51,M51,O51,Q51,S51,U51,W51,Y51,AA51,AC51,AE51,AG51,AI51,AK51)</f>
        <v>64.850000000000009</v>
      </c>
      <c r="E51" s="1">
        <v>22.5</v>
      </c>
      <c r="F51" s="1">
        <f t="shared" si="124"/>
        <v>30.150000000000002</v>
      </c>
      <c r="G51" s="1">
        <v>8.9499999999999993</v>
      </c>
      <c r="H51" s="1">
        <f t="shared" si="124"/>
        <v>11.993</v>
      </c>
      <c r="I51" s="1">
        <v>5.8</v>
      </c>
      <c r="J51" s="1">
        <f t="shared" si="75"/>
        <v>13.687999999999999</v>
      </c>
      <c r="K51" s="1"/>
      <c r="L51" s="1"/>
      <c r="M51" s="1"/>
      <c r="N51" s="1"/>
      <c r="O51" s="1"/>
      <c r="P51" s="1"/>
      <c r="Q51" s="1"/>
      <c r="R51" s="1"/>
      <c r="S51" s="1">
        <v>11.95</v>
      </c>
      <c r="T51" s="1">
        <f t="shared" ref="T51" si="131">S51*1.34</f>
        <v>16.013000000000002</v>
      </c>
      <c r="U51" s="1">
        <v>8.9499999999999993</v>
      </c>
      <c r="V51" s="1">
        <f t="shared" si="83"/>
        <v>11.993</v>
      </c>
      <c r="W51" s="1"/>
      <c r="X51" s="1"/>
      <c r="Y51" s="1"/>
      <c r="Z51" s="1"/>
      <c r="AA51" s="1"/>
      <c r="AB51" s="1"/>
      <c r="AC51" s="1">
        <v>2.6</v>
      </c>
      <c r="AD51" s="1">
        <f t="shared" si="126"/>
        <v>7.15</v>
      </c>
      <c r="AE51" s="1">
        <v>4.0999999999999996</v>
      </c>
      <c r="AF51" s="1">
        <f t="shared" si="127"/>
        <v>11.274999999999999</v>
      </c>
      <c r="AG51" s="1"/>
      <c r="AH51" s="1"/>
      <c r="AI51" s="9"/>
      <c r="AJ51" s="9"/>
      <c r="AK51" s="9"/>
      <c r="AL51" s="9"/>
      <c r="AM51" s="1"/>
      <c r="AN51" s="1"/>
      <c r="AP51" s="1">
        <f t="shared" si="26"/>
        <v>0.77</v>
      </c>
      <c r="AQ51" s="1">
        <f t="shared" si="27"/>
        <v>0.23</v>
      </c>
      <c r="AR51" s="1">
        <f t="shared" si="73"/>
        <v>1</v>
      </c>
    </row>
    <row r="52" spans="1:44" x14ac:dyDescent="0.25">
      <c r="B52" t="s">
        <v>42</v>
      </c>
      <c r="C52" t="s">
        <v>71</v>
      </c>
      <c r="D52" s="1">
        <f>SUM(E52,G52,I52,K52,M52,O52,Q52,S52,U52,W52,Y52,AA52,AC52,AE52,AG52,AI52,AK52)</f>
        <v>65.27</v>
      </c>
      <c r="E52" s="1">
        <v>19.2</v>
      </c>
      <c r="F52" s="1">
        <f t="shared" ref="F52:H52" si="132">E52*1.34</f>
        <v>25.728000000000002</v>
      </c>
      <c r="G52" s="1">
        <v>8.42</v>
      </c>
      <c r="H52" s="1">
        <f t="shared" si="132"/>
        <v>11.2828</v>
      </c>
      <c r="I52" s="1">
        <v>3.67</v>
      </c>
      <c r="J52" s="1">
        <f t="shared" si="75"/>
        <v>8.6611999999999991</v>
      </c>
      <c r="K52" s="1"/>
      <c r="L52" s="1"/>
      <c r="M52" s="1"/>
      <c r="N52" s="1"/>
      <c r="O52" s="1"/>
      <c r="P52" s="1"/>
      <c r="Q52" s="1">
        <v>2.1800000000000002</v>
      </c>
      <c r="R52" s="1">
        <f>Q52*2.36</f>
        <v>5.1448</v>
      </c>
      <c r="S52" s="1">
        <v>10.28</v>
      </c>
      <c r="T52" s="1">
        <f t="shared" ref="T52" si="133">S52*1.34</f>
        <v>13.7752</v>
      </c>
      <c r="U52" s="1">
        <v>7.41</v>
      </c>
      <c r="V52" s="1">
        <f t="shared" si="83"/>
        <v>9.9294000000000011</v>
      </c>
      <c r="W52" s="1">
        <v>7.39</v>
      </c>
      <c r="X52" s="1">
        <f t="shared" si="83"/>
        <v>9.9025999999999996</v>
      </c>
      <c r="Y52" s="1"/>
      <c r="Z52" s="1"/>
      <c r="AA52" s="1"/>
      <c r="AB52" s="1"/>
      <c r="AC52" s="1">
        <v>3</v>
      </c>
      <c r="AD52" s="1">
        <f t="shared" si="126"/>
        <v>8.25</v>
      </c>
      <c r="AE52" s="1">
        <v>3.72</v>
      </c>
      <c r="AF52" s="1">
        <f t="shared" si="127"/>
        <v>10.23</v>
      </c>
      <c r="AG52" s="1"/>
      <c r="AH52" s="1"/>
      <c r="AI52" s="9"/>
      <c r="AJ52" s="9"/>
      <c r="AK52" s="9"/>
      <c r="AL52" s="9"/>
      <c r="AM52" s="1"/>
      <c r="AN52" s="1"/>
      <c r="AP52" s="1">
        <f t="shared" si="26"/>
        <v>0.78</v>
      </c>
      <c r="AQ52" s="1">
        <f t="shared" si="27"/>
        <v>0.22</v>
      </c>
      <c r="AR52" s="1">
        <f t="shared" si="73"/>
        <v>1</v>
      </c>
    </row>
    <row r="53" spans="1:44" x14ac:dyDescent="0.25">
      <c r="B53" t="s">
        <v>41</v>
      </c>
      <c r="C53" t="s">
        <v>47</v>
      </c>
      <c r="D53" s="1">
        <f>SUM(E53,G53,I53,K53,M53,O53,Q53,S53,U53,W53,Y53,AA53,AC53,AE53,AG53,AI53,AK53)</f>
        <v>66</v>
      </c>
      <c r="E53" s="1">
        <v>19.5</v>
      </c>
      <c r="F53" s="1">
        <f t="shared" ref="F53:H66" si="134">E53*1.34</f>
        <v>26.130000000000003</v>
      </c>
      <c r="G53" s="1">
        <v>6.1</v>
      </c>
      <c r="H53" s="1">
        <f t="shared" si="134"/>
        <v>8.1739999999999995</v>
      </c>
      <c r="I53" s="1">
        <v>4.2</v>
      </c>
      <c r="J53" s="1">
        <f t="shared" si="75"/>
        <v>9.911999999999999</v>
      </c>
      <c r="K53" s="1">
        <v>4.2</v>
      </c>
      <c r="L53" s="1">
        <f t="shared" ref="L53:L54" si="135">K53*2.36</f>
        <v>9.911999999999999</v>
      </c>
      <c r="M53" s="1"/>
      <c r="N53" s="1"/>
      <c r="O53" s="1"/>
      <c r="P53" s="1"/>
      <c r="Q53" s="1"/>
      <c r="R53" s="1"/>
      <c r="S53" s="1">
        <v>13.4</v>
      </c>
      <c r="T53" s="1">
        <f t="shared" ref="T53" si="136">S53*1.34</f>
        <v>17.956000000000003</v>
      </c>
      <c r="U53" s="1">
        <v>11.1</v>
      </c>
      <c r="V53" s="1">
        <f t="shared" si="83"/>
        <v>14.874000000000001</v>
      </c>
      <c r="W53" s="1"/>
      <c r="X53" s="1"/>
      <c r="Y53" s="1"/>
      <c r="Z53" s="1"/>
      <c r="AA53" s="1"/>
      <c r="AB53" s="1"/>
      <c r="AC53" s="1">
        <v>5.2</v>
      </c>
      <c r="AD53" s="1">
        <f t="shared" ref="AD53:AD76" si="137">AC53*2.75</f>
        <v>14.3</v>
      </c>
      <c r="AE53" s="1">
        <v>2.2999999999999998</v>
      </c>
      <c r="AF53" s="1">
        <f t="shared" si="127"/>
        <v>6.3249999999999993</v>
      </c>
      <c r="AG53" s="1"/>
      <c r="AH53" s="1"/>
      <c r="AI53" s="9"/>
      <c r="AJ53" s="9"/>
      <c r="AK53" s="9"/>
      <c r="AL53" s="9"/>
      <c r="AM53" s="1">
        <f>8.2+1.4</f>
        <v>9.6</v>
      </c>
      <c r="AN53" s="1">
        <f t="shared" ref="AN53:AN55" si="138">AM53*0.6</f>
        <v>5.76</v>
      </c>
      <c r="AP53" s="1">
        <f t="shared" si="26"/>
        <v>0.78</v>
      </c>
      <c r="AQ53" s="1">
        <f t="shared" si="27"/>
        <v>0.22</v>
      </c>
      <c r="AR53" s="1">
        <f t="shared" si="73"/>
        <v>1</v>
      </c>
    </row>
    <row r="54" spans="1:44" x14ac:dyDescent="0.25">
      <c r="B54" t="s">
        <v>40</v>
      </c>
      <c r="C54" t="s">
        <v>45</v>
      </c>
      <c r="D54" s="1">
        <f>SUM(E54,G54,I54,K54,M54,O54,Q54,S54,U54,W54,Y54,AA54,AC54,AE54,AG54,AI54,AK54)</f>
        <v>66.099999999999994</v>
      </c>
      <c r="E54" s="1">
        <v>21.6</v>
      </c>
      <c r="F54" s="1">
        <f t="shared" si="134"/>
        <v>28.944000000000003</v>
      </c>
      <c r="G54" s="1">
        <v>8.8000000000000007</v>
      </c>
      <c r="H54" s="1">
        <f t="shared" si="134"/>
        <v>11.792000000000002</v>
      </c>
      <c r="I54" s="1">
        <v>3.7</v>
      </c>
      <c r="J54" s="1">
        <f t="shared" si="75"/>
        <v>8.7319999999999993</v>
      </c>
      <c r="K54" s="1">
        <v>3.3</v>
      </c>
      <c r="L54" s="1">
        <f t="shared" si="135"/>
        <v>7.7879999999999994</v>
      </c>
      <c r="M54" s="1"/>
      <c r="N54" s="1"/>
      <c r="O54" s="1"/>
      <c r="P54" s="1"/>
      <c r="Q54" s="1"/>
      <c r="R54" s="1"/>
      <c r="S54" s="1">
        <v>12.9</v>
      </c>
      <c r="T54" s="1">
        <f t="shared" ref="T54" si="139">S54*1.34</f>
        <v>17.286000000000001</v>
      </c>
      <c r="U54" s="1">
        <v>9.3000000000000007</v>
      </c>
      <c r="V54" s="1">
        <f t="shared" si="83"/>
        <v>12.462000000000002</v>
      </c>
      <c r="W54" s="1"/>
      <c r="X54" s="1"/>
      <c r="Y54" s="1"/>
      <c r="Z54" s="1"/>
      <c r="AA54" s="1"/>
      <c r="AB54" s="1"/>
      <c r="AC54" s="1">
        <v>4.0999999999999996</v>
      </c>
      <c r="AD54" s="1">
        <f t="shared" si="137"/>
        <v>11.274999999999999</v>
      </c>
      <c r="AE54" s="1">
        <v>2.4</v>
      </c>
      <c r="AF54" s="1">
        <f t="shared" si="127"/>
        <v>6.6</v>
      </c>
      <c r="AG54" s="1"/>
      <c r="AH54" s="1"/>
      <c r="AI54" s="9"/>
      <c r="AJ54" s="9"/>
      <c r="AK54" s="9"/>
      <c r="AL54" s="9"/>
      <c r="AM54" s="1">
        <f>6.3+5.8</f>
        <v>12.1</v>
      </c>
      <c r="AN54" s="1">
        <f t="shared" si="138"/>
        <v>7.26</v>
      </c>
      <c r="AP54" s="1">
        <f t="shared" si="26"/>
        <v>0.76</v>
      </c>
      <c r="AQ54" s="1">
        <f t="shared" si="27"/>
        <v>0.24</v>
      </c>
      <c r="AR54" s="1">
        <f t="shared" si="73"/>
        <v>1</v>
      </c>
    </row>
    <row r="55" spans="1:44" x14ac:dyDescent="0.25">
      <c r="A55" t="s">
        <v>60</v>
      </c>
      <c r="B55" t="s">
        <v>42</v>
      </c>
      <c r="C55" t="s">
        <v>59</v>
      </c>
      <c r="D55" s="1">
        <f>SUM(E55,G55,I55,K55,M55,O55,Q55,S55,U55,W55,Y55,AA55,AC55,AE55,AG55,AI55,AK55)</f>
        <v>66.27</v>
      </c>
      <c r="E55" s="1">
        <v>17.5</v>
      </c>
      <c r="F55" s="1">
        <f t="shared" si="134"/>
        <v>23.450000000000003</v>
      </c>
      <c r="G55" s="1">
        <v>7.81</v>
      </c>
      <c r="H55" s="1">
        <f t="shared" si="134"/>
        <v>10.465400000000001</v>
      </c>
      <c r="I55" s="1">
        <v>5.62</v>
      </c>
      <c r="J55" s="1">
        <f t="shared" si="75"/>
        <v>13.263199999999999</v>
      </c>
      <c r="K55" s="1"/>
      <c r="L55" s="1"/>
      <c r="M55" s="1"/>
      <c r="N55" s="1"/>
      <c r="O55" s="1"/>
      <c r="P55" s="1"/>
      <c r="Q55" s="1"/>
      <c r="R55" s="1"/>
      <c r="S55" s="1">
        <v>12.23</v>
      </c>
      <c r="T55" s="1">
        <f t="shared" ref="T55" si="140">S55*1.34</f>
        <v>16.388200000000001</v>
      </c>
      <c r="U55" s="1">
        <v>9.11</v>
      </c>
      <c r="V55" s="1">
        <f t="shared" si="83"/>
        <v>12.2074</v>
      </c>
      <c r="W55" s="1"/>
      <c r="X55" s="1"/>
      <c r="Y55" s="1"/>
      <c r="Z55" s="1"/>
      <c r="AA55" s="1"/>
      <c r="AB55" s="1"/>
      <c r="AC55" s="1">
        <v>6.35</v>
      </c>
      <c r="AD55" s="1">
        <f t="shared" si="137"/>
        <v>17.462499999999999</v>
      </c>
      <c r="AE55" s="1">
        <v>5.76</v>
      </c>
      <c r="AF55" s="1">
        <f t="shared" si="127"/>
        <v>15.84</v>
      </c>
      <c r="AG55" s="1">
        <v>1.89</v>
      </c>
      <c r="AH55" s="1">
        <f>AG55*2.36</f>
        <v>4.4603999999999999</v>
      </c>
      <c r="AI55" s="9"/>
      <c r="AJ55" s="9"/>
      <c r="AK55" s="9"/>
      <c r="AL55" s="9"/>
      <c r="AM55" s="1">
        <v>5.16</v>
      </c>
      <c r="AN55" s="1">
        <f t="shared" si="138"/>
        <v>3.0960000000000001</v>
      </c>
      <c r="AP55" s="1">
        <f t="shared" si="26"/>
        <v>0.8</v>
      </c>
      <c r="AQ55" s="1">
        <f t="shared" si="27"/>
        <v>0.2</v>
      </c>
      <c r="AR55" s="1">
        <f t="shared" si="73"/>
        <v>1</v>
      </c>
    </row>
    <row r="56" spans="1:44" x14ac:dyDescent="0.25">
      <c r="B56" t="s">
        <v>42</v>
      </c>
      <c r="C56" t="s">
        <v>71</v>
      </c>
      <c r="D56" s="1">
        <f>SUM(E56,G56,I56,K56,M56,O56,Q56,S56,U56,W56,Y56,AA56,AC56,AE56,AG56,AI56,AK56)</f>
        <v>66.55</v>
      </c>
      <c r="E56" s="1">
        <v>18.809999999999999</v>
      </c>
      <c r="F56" s="1">
        <f t="shared" si="134"/>
        <v>25.205400000000001</v>
      </c>
      <c r="G56" s="1">
        <v>10.02</v>
      </c>
      <c r="H56" s="1">
        <f t="shared" si="134"/>
        <v>13.4268</v>
      </c>
      <c r="I56" s="1">
        <v>3.6</v>
      </c>
      <c r="J56" s="1">
        <f t="shared" si="75"/>
        <v>8.4960000000000004</v>
      </c>
      <c r="K56" s="1"/>
      <c r="L56" s="1"/>
      <c r="M56" s="1"/>
      <c r="N56" s="1"/>
      <c r="O56" s="1"/>
      <c r="P56" s="1"/>
      <c r="Q56" s="1">
        <v>2.1800000000000002</v>
      </c>
      <c r="R56" s="1">
        <f>Q56*2.36</f>
        <v>5.1448</v>
      </c>
      <c r="S56" s="1">
        <v>10.11</v>
      </c>
      <c r="T56" s="1">
        <f t="shared" ref="T56" si="141">S56*1.34</f>
        <v>13.5474</v>
      </c>
      <c r="U56" s="1">
        <v>7.38</v>
      </c>
      <c r="V56" s="1">
        <f t="shared" si="83"/>
        <v>9.8892000000000007</v>
      </c>
      <c r="W56" s="1">
        <v>7.34</v>
      </c>
      <c r="X56" s="1">
        <f t="shared" ref="X56" si="142">W56*1.34</f>
        <v>9.8356000000000012</v>
      </c>
      <c r="Y56" s="1"/>
      <c r="Z56" s="1"/>
      <c r="AA56" s="1"/>
      <c r="AB56" s="1"/>
      <c r="AC56" s="1">
        <v>3.42</v>
      </c>
      <c r="AD56" s="1">
        <f t="shared" si="137"/>
        <v>9.4049999999999994</v>
      </c>
      <c r="AE56" s="1">
        <v>3.69</v>
      </c>
      <c r="AF56" s="1">
        <f t="shared" si="127"/>
        <v>10.147499999999999</v>
      </c>
      <c r="AG56" s="1"/>
      <c r="AH56" s="1"/>
      <c r="AI56" s="9"/>
      <c r="AJ56" s="9"/>
      <c r="AK56" s="9"/>
      <c r="AL56" s="9"/>
      <c r="AM56" s="1"/>
      <c r="AN56" s="1"/>
      <c r="AP56" s="1">
        <f t="shared" si="26"/>
        <v>0.76</v>
      </c>
      <c r="AQ56" s="1">
        <f t="shared" si="27"/>
        <v>0.24</v>
      </c>
      <c r="AR56" s="1">
        <f t="shared" si="73"/>
        <v>1</v>
      </c>
    </row>
    <row r="57" spans="1:44" x14ac:dyDescent="0.25">
      <c r="B57" t="s">
        <v>42</v>
      </c>
      <c r="C57" t="s">
        <v>78</v>
      </c>
      <c r="D57" s="1">
        <f>SUM(E57,G57,I57,K57,M57,O57,Q57,S57,U57,W57,Y57,AA57,AC57,AE57,AG57,AI57,AK57)</f>
        <v>66.61999999999999</v>
      </c>
      <c r="E57" s="1">
        <v>18.38</v>
      </c>
      <c r="F57" s="1">
        <f t="shared" si="134"/>
        <v>24.629200000000001</v>
      </c>
      <c r="G57" s="1">
        <v>7.42</v>
      </c>
      <c r="H57" s="1">
        <f t="shared" si="134"/>
        <v>9.9428000000000001</v>
      </c>
      <c r="I57" s="1">
        <v>3.52</v>
      </c>
      <c r="J57" s="1">
        <f t="shared" si="75"/>
        <v>8.3071999999999999</v>
      </c>
      <c r="K57" s="1">
        <v>2.65</v>
      </c>
      <c r="L57" s="1">
        <f t="shared" ref="L57:L59" si="143">K57*2.36</f>
        <v>6.2539999999999996</v>
      </c>
      <c r="M57" s="1"/>
      <c r="N57" s="1"/>
      <c r="O57" s="1"/>
      <c r="P57" s="1"/>
      <c r="Q57" s="1"/>
      <c r="R57" s="1"/>
      <c r="S57" s="1">
        <v>11.59</v>
      </c>
      <c r="T57" s="1">
        <f t="shared" ref="T57" si="144">S57*1.34</f>
        <v>15.530600000000002</v>
      </c>
      <c r="U57" s="1">
        <v>9.1</v>
      </c>
      <c r="V57" s="1">
        <f t="shared" si="83"/>
        <v>12.194000000000001</v>
      </c>
      <c r="W57" s="1">
        <v>8.0399999999999991</v>
      </c>
      <c r="X57" s="1">
        <f t="shared" ref="X57" si="145">W57*1.34</f>
        <v>10.7736</v>
      </c>
      <c r="Y57" s="1"/>
      <c r="Z57" s="1"/>
      <c r="AA57" s="1"/>
      <c r="AB57" s="1"/>
      <c r="AC57" s="1">
        <v>2.2599999999999998</v>
      </c>
      <c r="AD57" s="1">
        <f t="shared" si="137"/>
        <v>6.2149999999999999</v>
      </c>
      <c r="AE57" s="1">
        <v>3.66</v>
      </c>
      <c r="AF57" s="1">
        <f t="shared" si="127"/>
        <v>10.065000000000001</v>
      </c>
      <c r="AG57" s="1"/>
      <c r="AH57" s="1"/>
      <c r="AI57" s="9"/>
      <c r="AJ57" s="9"/>
      <c r="AK57" s="9"/>
      <c r="AL57" s="9"/>
      <c r="AM57" s="1"/>
      <c r="AN57" s="1"/>
      <c r="AP57" s="1">
        <f t="shared" si="26"/>
        <v>0.8</v>
      </c>
      <c r="AQ57" s="1">
        <f t="shared" si="27"/>
        <v>0.2</v>
      </c>
      <c r="AR57" s="1">
        <f t="shared" si="73"/>
        <v>1</v>
      </c>
    </row>
    <row r="58" spans="1:44" x14ac:dyDescent="0.25">
      <c r="B58" t="s">
        <v>42</v>
      </c>
      <c r="C58" t="s">
        <v>78</v>
      </c>
      <c r="D58" s="1">
        <f>SUM(E58,G58,I58,K58,M58,O58,Q58,S58,U58,W58,Y58,AA58,AC58,AE58,AG58,AI58,AK58)</f>
        <v>66.63000000000001</v>
      </c>
      <c r="E58" s="1">
        <v>18.600000000000001</v>
      </c>
      <c r="F58" s="1">
        <f t="shared" si="134"/>
        <v>24.924000000000003</v>
      </c>
      <c r="G58" s="1">
        <v>7.42</v>
      </c>
      <c r="H58" s="1">
        <f t="shared" si="134"/>
        <v>9.9428000000000001</v>
      </c>
      <c r="I58" s="1">
        <v>3.58</v>
      </c>
      <c r="J58" s="1">
        <f t="shared" si="75"/>
        <v>8.4488000000000003</v>
      </c>
      <c r="K58" s="1">
        <v>2.4500000000000002</v>
      </c>
      <c r="L58" s="1">
        <f t="shared" si="143"/>
        <v>5.782</v>
      </c>
      <c r="M58" s="1"/>
      <c r="N58" s="1"/>
      <c r="O58" s="1"/>
      <c r="P58" s="1"/>
      <c r="Q58" s="1"/>
      <c r="R58" s="1"/>
      <c r="S58" s="1">
        <v>11.61</v>
      </c>
      <c r="T58" s="1">
        <f t="shared" ref="T58" si="146">S58*1.34</f>
        <v>15.557399999999999</v>
      </c>
      <c r="U58" s="1">
        <v>8.9</v>
      </c>
      <c r="V58" s="1">
        <f t="shared" si="83"/>
        <v>11.926000000000002</v>
      </c>
      <c r="W58" s="1">
        <v>8.34</v>
      </c>
      <c r="X58" s="1">
        <f t="shared" ref="X58" si="147">W58*1.34</f>
        <v>11.175600000000001</v>
      </c>
      <c r="Y58" s="1"/>
      <c r="Z58" s="1"/>
      <c r="AA58" s="1"/>
      <c r="AB58" s="1"/>
      <c r="AC58" s="1">
        <v>2.2599999999999998</v>
      </c>
      <c r="AD58" s="1">
        <f t="shared" si="137"/>
        <v>6.2149999999999999</v>
      </c>
      <c r="AE58" s="1">
        <v>3.47</v>
      </c>
      <c r="AF58" s="1">
        <f t="shared" si="127"/>
        <v>9.5425000000000004</v>
      </c>
      <c r="AG58" s="1"/>
      <c r="AH58" s="1"/>
      <c r="AI58" s="9"/>
      <c r="AJ58" s="9"/>
      <c r="AK58" s="9"/>
      <c r="AL58" s="9"/>
      <c r="AM58" s="1"/>
      <c r="AN58" s="1"/>
      <c r="AP58" s="1">
        <f t="shared" si="26"/>
        <v>0.8</v>
      </c>
      <c r="AQ58" s="1">
        <f t="shared" si="27"/>
        <v>0.2</v>
      </c>
      <c r="AR58" s="1">
        <f t="shared" si="73"/>
        <v>1</v>
      </c>
    </row>
    <row r="59" spans="1:44" x14ac:dyDescent="0.25">
      <c r="B59" t="s">
        <v>119</v>
      </c>
      <c r="C59" t="s">
        <v>120</v>
      </c>
      <c r="D59" s="1">
        <f>SUM(E59,G59,I59,K59,M59,O59,Q59,S59,U59,W59,Y59,AA59,AC59,AE59,AG59,AI59,AK59)</f>
        <v>66.650000000000006</v>
      </c>
      <c r="E59" s="1">
        <v>22.01</v>
      </c>
      <c r="F59" s="1">
        <f t="shared" si="134"/>
        <v>29.493400000000005</v>
      </c>
      <c r="G59" s="1">
        <v>9.3699999999999992</v>
      </c>
      <c r="H59" s="1">
        <f t="shared" si="134"/>
        <v>12.5558</v>
      </c>
      <c r="I59" s="1">
        <v>4.42</v>
      </c>
      <c r="J59" s="1">
        <f t="shared" si="75"/>
        <v>10.431199999999999</v>
      </c>
      <c r="K59" s="1">
        <v>3.87</v>
      </c>
      <c r="L59" s="1">
        <f t="shared" si="143"/>
        <v>9.1332000000000004</v>
      </c>
      <c r="M59" s="1"/>
      <c r="N59" s="1"/>
      <c r="O59" s="1"/>
      <c r="P59" s="1"/>
      <c r="Q59" s="1"/>
      <c r="R59" s="1"/>
      <c r="S59" s="1">
        <v>11.65</v>
      </c>
      <c r="T59" s="1">
        <f t="shared" ref="T59" si="148">S59*1.34</f>
        <v>15.611000000000001</v>
      </c>
      <c r="U59" s="1">
        <v>9.8699999999999992</v>
      </c>
      <c r="V59" s="1">
        <f t="shared" si="83"/>
        <v>13.2258</v>
      </c>
      <c r="W59" s="1"/>
      <c r="X59" s="1"/>
      <c r="Y59" s="1"/>
      <c r="Z59" s="1"/>
      <c r="AA59" s="1"/>
      <c r="AB59" s="1"/>
      <c r="AC59" s="1">
        <v>3.03</v>
      </c>
      <c r="AD59" s="1">
        <f t="shared" si="137"/>
        <v>8.3324999999999996</v>
      </c>
      <c r="AE59" s="1">
        <v>2.4300000000000002</v>
      </c>
      <c r="AF59" s="1">
        <f t="shared" si="127"/>
        <v>6.6825000000000001</v>
      </c>
      <c r="AG59" s="1"/>
      <c r="AH59" s="1"/>
      <c r="AI59" s="9"/>
      <c r="AJ59" s="9"/>
      <c r="AK59" s="9"/>
      <c r="AL59" s="9"/>
      <c r="AM59" s="1">
        <v>10.4</v>
      </c>
      <c r="AN59" s="1">
        <f>AM59*0.6</f>
        <v>6.24</v>
      </c>
      <c r="AP59" s="1">
        <f t="shared" si="26"/>
        <v>0.74</v>
      </c>
      <c r="AQ59" s="1">
        <f t="shared" si="27"/>
        <v>0.26</v>
      </c>
      <c r="AR59" s="1">
        <f t="shared" si="73"/>
        <v>1</v>
      </c>
    </row>
    <row r="60" spans="1:44" x14ac:dyDescent="0.25">
      <c r="C60" t="s">
        <v>65</v>
      </c>
      <c r="D60" s="1">
        <f>SUM(E60,G60,I60,K60,M60,O60,Q60,S60,U60,W60,Y60,AA60,AC60,AE60,AG60,AI60,AK60)</f>
        <v>66.73</v>
      </c>
      <c r="E60" s="1">
        <v>18.87</v>
      </c>
      <c r="F60" s="1">
        <f t="shared" si="134"/>
        <v>25.285800000000002</v>
      </c>
      <c r="G60" s="1">
        <v>12.17</v>
      </c>
      <c r="H60" s="1">
        <f t="shared" si="134"/>
        <v>16.3078</v>
      </c>
      <c r="I60" s="1">
        <v>4.63</v>
      </c>
      <c r="J60" s="1">
        <f t="shared" si="75"/>
        <v>10.926799999999998</v>
      </c>
      <c r="K60" s="1"/>
      <c r="L60" s="1"/>
      <c r="M60" s="1"/>
      <c r="N60" s="1"/>
      <c r="O60" s="1"/>
      <c r="P60" s="1"/>
      <c r="Q60" s="1"/>
      <c r="R60" s="1"/>
      <c r="S60" s="1">
        <v>12.54</v>
      </c>
      <c r="T60" s="1">
        <f t="shared" ref="T60" si="149">S60*1.34</f>
        <v>16.803599999999999</v>
      </c>
      <c r="U60" s="1">
        <v>9.1300000000000008</v>
      </c>
      <c r="V60" s="1">
        <f t="shared" si="83"/>
        <v>12.234200000000001</v>
      </c>
      <c r="W60" s="1"/>
      <c r="X60" s="1"/>
      <c r="Y60" s="1"/>
      <c r="Z60" s="1"/>
      <c r="AA60" s="1"/>
      <c r="AB60" s="1"/>
      <c r="AC60" s="1">
        <v>6.61</v>
      </c>
      <c r="AD60" s="1">
        <f t="shared" si="137"/>
        <v>18.177500000000002</v>
      </c>
      <c r="AE60" s="1">
        <v>2.78</v>
      </c>
      <c r="AF60" s="1">
        <f t="shared" si="127"/>
        <v>7.6449999999999996</v>
      </c>
      <c r="AG60" s="1"/>
      <c r="AH60" s="1"/>
      <c r="AI60" s="9"/>
      <c r="AJ60" s="9"/>
      <c r="AK60" s="9"/>
      <c r="AL60" s="9"/>
      <c r="AM60" s="1"/>
      <c r="AN60" s="1"/>
      <c r="AP60" s="1">
        <f t="shared" si="26"/>
        <v>0.75</v>
      </c>
      <c r="AQ60" s="1">
        <f t="shared" si="27"/>
        <v>0.25</v>
      </c>
      <c r="AR60" s="1">
        <f t="shared" si="73"/>
        <v>1</v>
      </c>
    </row>
    <row r="61" spans="1:44" x14ac:dyDescent="0.25">
      <c r="C61" t="s">
        <v>65</v>
      </c>
      <c r="D61" s="1">
        <f>SUM(E61,G61,I61,K61,M61,O61,Q61,S61,U61,W61,Y61,AA61,AC61,AE61,AG61,AI61,AK61)</f>
        <v>66.739999999999995</v>
      </c>
      <c r="E61" s="1">
        <v>18.79</v>
      </c>
      <c r="F61" s="1">
        <f t="shared" si="134"/>
        <v>25.178599999999999</v>
      </c>
      <c r="G61" s="1">
        <v>8.93</v>
      </c>
      <c r="H61" s="1">
        <f t="shared" si="134"/>
        <v>11.966200000000001</v>
      </c>
      <c r="I61" s="1">
        <v>4.5199999999999996</v>
      </c>
      <c r="J61" s="1">
        <f t="shared" si="75"/>
        <v>10.667199999999998</v>
      </c>
      <c r="K61" s="1">
        <v>3.77</v>
      </c>
      <c r="L61" s="1">
        <f t="shared" ref="L61:L67" si="150">K61*2.36</f>
        <v>8.8971999999999998</v>
      </c>
      <c r="M61" s="1"/>
      <c r="N61" s="1"/>
      <c r="O61" s="1"/>
      <c r="P61" s="1"/>
      <c r="Q61" s="1"/>
      <c r="R61" s="1"/>
      <c r="S61" s="1">
        <v>14.28</v>
      </c>
      <c r="T61" s="1">
        <f t="shared" ref="T61" si="151">S61*1.34</f>
        <v>19.135200000000001</v>
      </c>
      <c r="U61" s="1">
        <v>9.4700000000000006</v>
      </c>
      <c r="V61" s="1">
        <f t="shared" si="83"/>
        <v>12.689800000000002</v>
      </c>
      <c r="W61" s="1"/>
      <c r="X61" s="1"/>
      <c r="Y61" s="1"/>
      <c r="Z61" s="1"/>
      <c r="AA61" s="1"/>
      <c r="AB61" s="1"/>
      <c r="AC61" s="1">
        <v>2.69</v>
      </c>
      <c r="AD61" s="1">
        <f t="shared" si="137"/>
        <v>7.3975</v>
      </c>
      <c r="AE61" s="1">
        <v>2.2999999999999998</v>
      </c>
      <c r="AF61" s="1">
        <f t="shared" si="127"/>
        <v>6.3249999999999993</v>
      </c>
      <c r="AG61" s="1">
        <v>1.99</v>
      </c>
      <c r="AH61" s="1">
        <f>AG61*2.36</f>
        <v>4.6963999999999997</v>
      </c>
      <c r="AI61" s="9"/>
      <c r="AJ61" s="9"/>
      <c r="AK61" s="9"/>
      <c r="AL61" s="9"/>
      <c r="AM61" s="1">
        <v>2.87</v>
      </c>
      <c r="AN61" s="1">
        <f>AM61*0.6</f>
        <v>1.722</v>
      </c>
      <c r="AP61" s="1">
        <f t="shared" si="26"/>
        <v>0.74</v>
      </c>
      <c r="AQ61" s="1">
        <f t="shared" si="27"/>
        <v>0.26</v>
      </c>
      <c r="AR61" s="1">
        <f t="shared" si="73"/>
        <v>1</v>
      </c>
    </row>
    <row r="62" spans="1:44" x14ac:dyDescent="0.25">
      <c r="C62" t="s">
        <v>55</v>
      </c>
      <c r="D62" s="1">
        <f>SUM(E62,G62,I62,K62,M62,O62,Q62,S62,U62,W62,Y62,AA62,AC62,AE62,AG62,AI62,AK62)</f>
        <v>66.75</v>
      </c>
      <c r="E62" s="1">
        <v>18.149999999999999</v>
      </c>
      <c r="F62" s="1">
        <f t="shared" si="134"/>
        <v>24.320999999999998</v>
      </c>
      <c r="G62" s="1">
        <v>7.26</v>
      </c>
      <c r="H62" s="1">
        <f t="shared" si="134"/>
        <v>9.7284000000000006</v>
      </c>
      <c r="I62" s="1">
        <v>3.36</v>
      </c>
      <c r="J62" s="1">
        <f t="shared" si="75"/>
        <v>7.9295999999999989</v>
      </c>
      <c r="K62" s="1">
        <v>2.37</v>
      </c>
      <c r="L62" s="1">
        <f t="shared" si="150"/>
        <v>5.5932000000000004</v>
      </c>
      <c r="M62" s="1"/>
      <c r="N62" s="1"/>
      <c r="O62" s="1"/>
      <c r="P62" s="1"/>
      <c r="Q62" s="1"/>
      <c r="R62" s="1"/>
      <c r="S62" s="1">
        <v>12.12</v>
      </c>
      <c r="T62" s="1">
        <f t="shared" ref="T62" si="152">S62*1.34</f>
        <v>16.2408</v>
      </c>
      <c r="U62" s="1">
        <v>8.09</v>
      </c>
      <c r="V62" s="1">
        <f t="shared" si="83"/>
        <v>10.8406</v>
      </c>
      <c r="W62" s="1">
        <v>8</v>
      </c>
      <c r="X62" s="1">
        <f t="shared" ref="X62" si="153">W62*1.34</f>
        <v>10.72</v>
      </c>
      <c r="Y62" s="1"/>
      <c r="Z62" s="1"/>
      <c r="AA62" s="1"/>
      <c r="AB62" s="1"/>
      <c r="AC62" s="1">
        <v>1.1499999999999999</v>
      </c>
      <c r="AD62" s="1">
        <f t="shared" si="137"/>
        <v>3.1624999999999996</v>
      </c>
      <c r="AE62" s="1">
        <v>6.25</v>
      </c>
      <c r="AF62" s="1">
        <f t="shared" si="127"/>
        <v>17.1875</v>
      </c>
      <c r="AG62" s="1"/>
      <c r="AH62" s="1"/>
      <c r="AI62" s="9"/>
      <c r="AJ62" s="9"/>
      <c r="AK62" s="9"/>
      <c r="AL62" s="9"/>
      <c r="AM62" s="1"/>
      <c r="AN62" s="1"/>
      <c r="AP62" s="1">
        <f t="shared" si="26"/>
        <v>0.81</v>
      </c>
      <c r="AQ62" s="1">
        <f t="shared" si="27"/>
        <v>0.19</v>
      </c>
      <c r="AR62" s="1">
        <f t="shared" si="73"/>
        <v>1</v>
      </c>
    </row>
    <row r="63" spans="1:44" x14ac:dyDescent="0.25">
      <c r="B63" t="s">
        <v>42</v>
      </c>
      <c r="C63" t="s">
        <v>78</v>
      </c>
      <c r="D63" s="1">
        <f>SUM(E63,G63,I63,K63,M63,O63,Q63,S63,U63,W63,Y63,AA63,AC63,AE63,AG63,AI63,AK63)</f>
        <v>66.759999999999991</v>
      </c>
      <c r="E63" s="1">
        <v>18.420000000000002</v>
      </c>
      <c r="F63" s="1">
        <f t="shared" si="134"/>
        <v>24.682800000000004</v>
      </c>
      <c r="G63" s="1">
        <v>7.42</v>
      </c>
      <c r="H63" s="1">
        <f t="shared" si="134"/>
        <v>9.9428000000000001</v>
      </c>
      <c r="I63" s="1">
        <v>3.52</v>
      </c>
      <c r="J63" s="1">
        <f t="shared" si="75"/>
        <v>8.3071999999999999</v>
      </c>
      <c r="K63" s="1">
        <v>2.65</v>
      </c>
      <c r="L63" s="1">
        <f t="shared" si="150"/>
        <v>6.2539999999999996</v>
      </c>
      <c r="M63" s="1"/>
      <c r="N63" s="1"/>
      <c r="O63" s="1"/>
      <c r="P63" s="1"/>
      <c r="Q63" s="1"/>
      <c r="R63" s="1"/>
      <c r="S63" s="1">
        <v>10.41</v>
      </c>
      <c r="T63" s="1">
        <f t="shared" ref="T63" si="154">S63*1.34</f>
        <v>13.949400000000001</v>
      </c>
      <c r="U63" s="1">
        <v>9.86</v>
      </c>
      <c r="V63" s="1">
        <f t="shared" si="83"/>
        <v>13.212400000000001</v>
      </c>
      <c r="W63" s="1">
        <v>8.9</v>
      </c>
      <c r="X63" s="1">
        <f t="shared" ref="X63" si="155">W63*1.34</f>
        <v>11.926000000000002</v>
      </c>
      <c r="Y63" s="1"/>
      <c r="Z63" s="1"/>
      <c r="AA63" s="1"/>
      <c r="AB63" s="1"/>
      <c r="AC63" s="1">
        <v>2.2599999999999998</v>
      </c>
      <c r="AD63" s="1">
        <f t="shared" si="137"/>
        <v>6.2149999999999999</v>
      </c>
      <c r="AE63" s="1">
        <v>3.32</v>
      </c>
      <c r="AF63" s="1">
        <f t="shared" si="127"/>
        <v>9.129999999999999</v>
      </c>
      <c r="AG63" s="1"/>
      <c r="AH63" s="1"/>
      <c r="AI63" s="9"/>
      <c r="AJ63" s="9"/>
      <c r="AK63" s="9"/>
      <c r="AL63" s="9"/>
      <c r="AM63" s="1"/>
      <c r="AN63" s="1"/>
      <c r="AP63" s="1">
        <f t="shared" si="26"/>
        <v>0.8</v>
      </c>
      <c r="AQ63" s="1">
        <f t="shared" si="27"/>
        <v>0.2</v>
      </c>
      <c r="AR63" s="1">
        <f t="shared" si="73"/>
        <v>1</v>
      </c>
    </row>
    <row r="64" spans="1:44" x14ac:dyDescent="0.25">
      <c r="B64" t="s">
        <v>42</v>
      </c>
      <c r="C64" t="s">
        <v>57</v>
      </c>
      <c r="D64" s="1">
        <f>SUM(E64,G64,I64,K64,M64,O64,Q64,S64,U64,W64,Y64,AA64,AC64,AE64,AG64,AI64,AK64)</f>
        <v>66.78</v>
      </c>
      <c r="E64" s="1">
        <v>18.02</v>
      </c>
      <c r="F64" s="1">
        <f t="shared" si="134"/>
        <v>24.146800000000002</v>
      </c>
      <c r="G64" s="1">
        <v>7.02</v>
      </c>
      <c r="H64" s="1">
        <f t="shared" si="134"/>
        <v>9.4068000000000005</v>
      </c>
      <c r="I64" s="1">
        <v>2.86</v>
      </c>
      <c r="J64" s="1">
        <f t="shared" si="75"/>
        <v>6.7495999999999992</v>
      </c>
      <c r="K64" s="1">
        <v>2.85</v>
      </c>
      <c r="L64" s="1">
        <f t="shared" si="150"/>
        <v>6.726</v>
      </c>
      <c r="M64" s="1"/>
      <c r="N64" s="1"/>
      <c r="O64" s="1"/>
      <c r="P64" s="1"/>
      <c r="Q64" s="1"/>
      <c r="R64" s="1"/>
      <c r="S64" s="1">
        <v>12.31</v>
      </c>
      <c r="T64" s="1">
        <f t="shared" ref="T64" si="156">S64*1.34</f>
        <v>16.4954</v>
      </c>
      <c r="U64" s="1">
        <v>8.82</v>
      </c>
      <c r="V64" s="1">
        <f t="shared" si="83"/>
        <v>11.818800000000001</v>
      </c>
      <c r="W64" s="1">
        <v>8.1999999999999993</v>
      </c>
      <c r="X64" s="1">
        <f t="shared" ref="X64" si="157">W64*1.34</f>
        <v>10.988</v>
      </c>
      <c r="Y64" s="1"/>
      <c r="Z64" s="1"/>
      <c r="AA64" s="1"/>
      <c r="AB64" s="1"/>
      <c r="AC64" s="1">
        <v>3.22</v>
      </c>
      <c r="AD64" s="1">
        <f t="shared" si="137"/>
        <v>8.8550000000000004</v>
      </c>
      <c r="AE64" s="1">
        <v>3.48</v>
      </c>
      <c r="AF64" s="1">
        <f t="shared" si="127"/>
        <v>9.57</v>
      </c>
      <c r="AG64" s="1"/>
      <c r="AH64" s="1"/>
      <c r="AI64" s="9"/>
      <c r="AJ64" s="9"/>
      <c r="AK64" s="9"/>
      <c r="AL64" s="9"/>
      <c r="AM64" s="1">
        <v>13.11</v>
      </c>
      <c r="AN64" s="1">
        <f t="shared" ref="AN64:AN66" si="158">AM64*0.6</f>
        <v>7.8659999999999997</v>
      </c>
      <c r="AP64" s="1">
        <f t="shared" si="26"/>
        <v>0.81</v>
      </c>
      <c r="AQ64" s="1">
        <f t="shared" si="27"/>
        <v>0.19</v>
      </c>
      <c r="AR64" s="1">
        <f t="shared" si="73"/>
        <v>1</v>
      </c>
    </row>
    <row r="65" spans="2:44" x14ac:dyDescent="0.25">
      <c r="B65" t="s">
        <v>40</v>
      </c>
      <c r="C65" t="s">
        <v>45</v>
      </c>
      <c r="D65" s="1">
        <f>SUM(E65,G65,I65,K65,M65,O65,Q65,S65,U65,W65,Y65,AA65,AC65,AE65,AG65,AI65,AK65)</f>
        <v>67</v>
      </c>
      <c r="E65" s="1">
        <v>22.4</v>
      </c>
      <c r="F65" s="1">
        <f t="shared" si="134"/>
        <v>30.015999999999998</v>
      </c>
      <c r="G65" s="1">
        <v>8.8000000000000007</v>
      </c>
      <c r="H65" s="1">
        <f t="shared" si="134"/>
        <v>11.792000000000002</v>
      </c>
      <c r="I65" s="1">
        <v>3.5</v>
      </c>
      <c r="J65" s="1">
        <f t="shared" si="75"/>
        <v>8.26</v>
      </c>
      <c r="K65" s="1">
        <v>3.5</v>
      </c>
      <c r="L65" s="1">
        <f t="shared" si="150"/>
        <v>8.26</v>
      </c>
      <c r="M65" s="1"/>
      <c r="N65" s="1"/>
      <c r="O65" s="1"/>
      <c r="P65" s="1"/>
      <c r="Q65" s="1"/>
      <c r="R65" s="1"/>
      <c r="S65" s="1">
        <v>13.8</v>
      </c>
      <c r="T65" s="1">
        <f t="shared" ref="T65" si="159">S65*1.34</f>
        <v>18.492000000000001</v>
      </c>
      <c r="U65" s="1">
        <v>9.6</v>
      </c>
      <c r="V65" s="1">
        <f t="shared" si="83"/>
        <v>12.864000000000001</v>
      </c>
      <c r="W65" s="1"/>
      <c r="X65" s="1"/>
      <c r="Y65" s="1"/>
      <c r="Z65" s="1"/>
      <c r="AA65" s="1"/>
      <c r="AB65" s="1"/>
      <c r="AC65" s="1">
        <v>3.6</v>
      </c>
      <c r="AD65" s="1">
        <f t="shared" si="137"/>
        <v>9.9</v>
      </c>
      <c r="AE65" s="1">
        <v>1.8</v>
      </c>
      <c r="AF65" s="1">
        <f t="shared" si="127"/>
        <v>4.95</v>
      </c>
      <c r="AG65" s="1"/>
      <c r="AH65" s="1"/>
      <c r="AI65" s="9"/>
      <c r="AJ65" s="9"/>
      <c r="AK65" s="9"/>
      <c r="AL65" s="9"/>
      <c r="AM65" s="1">
        <f>6.3+5.8</f>
        <v>12.1</v>
      </c>
      <c r="AN65" s="1">
        <f t="shared" si="158"/>
        <v>7.26</v>
      </c>
      <c r="AP65" s="1">
        <f t="shared" si="26"/>
        <v>0.76</v>
      </c>
      <c r="AQ65" s="1">
        <f t="shared" si="27"/>
        <v>0.24</v>
      </c>
      <c r="AR65" s="1">
        <f t="shared" si="73"/>
        <v>1</v>
      </c>
    </row>
    <row r="66" spans="2:44" x14ac:dyDescent="0.25">
      <c r="B66" t="s">
        <v>41</v>
      </c>
      <c r="C66" t="s">
        <v>47</v>
      </c>
      <c r="D66" s="1">
        <f>SUM(E66,G66,I66,K66,M66,O66,Q66,S66,U66,W66,Y66,AA66,AC66,AE66,AG66,AI66,AK66)</f>
        <v>67</v>
      </c>
      <c r="E66" s="1">
        <v>20.3</v>
      </c>
      <c r="F66" s="1">
        <f t="shared" si="134"/>
        <v>27.202000000000002</v>
      </c>
      <c r="G66" s="1">
        <v>6.1</v>
      </c>
      <c r="H66" s="1">
        <f t="shared" si="134"/>
        <v>8.1739999999999995</v>
      </c>
      <c r="I66" s="1">
        <v>4.4000000000000004</v>
      </c>
      <c r="J66" s="1">
        <f t="shared" si="75"/>
        <v>10.384</v>
      </c>
      <c r="K66" s="1">
        <v>4.2</v>
      </c>
      <c r="L66" s="1">
        <f t="shared" si="150"/>
        <v>9.911999999999999</v>
      </c>
      <c r="M66" s="1"/>
      <c r="N66" s="1"/>
      <c r="O66" s="1"/>
      <c r="P66" s="1"/>
      <c r="Q66" s="1"/>
      <c r="R66" s="1"/>
      <c r="S66" s="1">
        <v>13.4</v>
      </c>
      <c r="T66" s="1">
        <f t="shared" ref="T66" si="160">S66*1.34</f>
        <v>17.956000000000003</v>
      </c>
      <c r="U66" s="1">
        <v>11.1</v>
      </c>
      <c r="V66" s="1">
        <f t="shared" si="83"/>
        <v>14.874000000000001</v>
      </c>
      <c r="W66" s="1"/>
      <c r="X66" s="1"/>
      <c r="Y66" s="1"/>
      <c r="Z66" s="1"/>
      <c r="AA66" s="1"/>
      <c r="AB66" s="1"/>
      <c r="AC66" s="1">
        <v>5.2</v>
      </c>
      <c r="AD66" s="1">
        <f t="shared" si="137"/>
        <v>14.3</v>
      </c>
      <c r="AE66" s="1">
        <v>2.2999999999999998</v>
      </c>
      <c r="AF66" s="1">
        <f t="shared" si="127"/>
        <v>6.3249999999999993</v>
      </c>
      <c r="AG66" s="1"/>
      <c r="AH66" s="1"/>
      <c r="AI66" s="9"/>
      <c r="AJ66" s="9"/>
      <c r="AK66" s="9"/>
      <c r="AL66" s="9"/>
      <c r="AM66" s="1">
        <f>8.3+1.4</f>
        <v>9.7000000000000011</v>
      </c>
      <c r="AN66" s="1">
        <f t="shared" si="158"/>
        <v>5.82</v>
      </c>
      <c r="AP66" s="1">
        <f t="shared" si="26"/>
        <v>0.78</v>
      </c>
      <c r="AQ66" s="1">
        <f t="shared" si="27"/>
        <v>0.22</v>
      </c>
      <c r="AR66" s="1">
        <f t="shared" ref="AR66:AR121" si="161">AP66+AQ66</f>
        <v>1</v>
      </c>
    </row>
    <row r="67" spans="2:44" x14ac:dyDescent="0.25">
      <c r="B67" t="s">
        <v>42</v>
      </c>
      <c r="C67" t="s">
        <v>77</v>
      </c>
      <c r="D67" s="1">
        <f>SUM(E67,G67,I67,K67,M67,O67,Q67,S67,U67,W67,Y67,AA67,AC67,AE67,AG67,AI67,AK67)</f>
        <v>67.200000000000017</v>
      </c>
      <c r="E67" s="1">
        <v>18.55</v>
      </c>
      <c r="F67" s="1">
        <f t="shared" ref="F67:H67" si="162">E67*1.34</f>
        <v>24.857000000000003</v>
      </c>
      <c r="G67" s="1">
        <v>7.05</v>
      </c>
      <c r="H67" s="1">
        <f t="shared" si="162"/>
        <v>9.447000000000001</v>
      </c>
      <c r="I67" s="1">
        <v>3.8</v>
      </c>
      <c r="J67" s="1">
        <f t="shared" ref="J67:J122" si="163">I67*2.36</f>
        <v>8.968</v>
      </c>
      <c r="K67" s="1">
        <v>3.15</v>
      </c>
      <c r="L67" s="1">
        <f t="shared" si="150"/>
        <v>7.4339999999999993</v>
      </c>
      <c r="M67" s="1"/>
      <c r="N67" s="1"/>
      <c r="O67" s="1"/>
      <c r="P67" s="1"/>
      <c r="Q67" s="1"/>
      <c r="R67" s="1"/>
      <c r="S67" s="1">
        <v>10.65</v>
      </c>
      <c r="T67" s="1">
        <f t="shared" ref="T67" si="164">S67*1.34</f>
        <v>14.271000000000001</v>
      </c>
      <c r="U67" s="1">
        <v>7.7</v>
      </c>
      <c r="V67" s="1">
        <f t="shared" si="83"/>
        <v>10.318000000000001</v>
      </c>
      <c r="W67" s="1">
        <v>7.7</v>
      </c>
      <c r="X67" s="1">
        <f t="shared" si="83"/>
        <v>10.318000000000001</v>
      </c>
      <c r="Y67" s="1"/>
      <c r="Z67" s="1"/>
      <c r="AA67" s="1"/>
      <c r="AB67" s="1"/>
      <c r="AC67" s="1">
        <v>4.3499999999999996</v>
      </c>
      <c r="AD67" s="1">
        <f t="shared" si="137"/>
        <v>11.962499999999999</v>
      </c>
      <c r="AE67" s="1">
        <v>4.25</v>
      </c>
      <c r="AF67" s="1">
        <f t="shared" si="127"/>
        <v>11.6875</v>
      </c>
      <c r="AG67" s="1"/>
      <c r="AH67" s="1"/>
      <c r="AI67" s="9"/>
      <c r="AJ67" s="9"/>
      <c r="AK67" s="9"/>
      <c r="AL67" s="9"/>
      <c r="AM67" s="1"/>
      <c r="AN67" s="1"/>
      <c r="AP67" s="1">
        <f t="shared" si="26"/>
        <v>0.79</v>
      </c>
      <c r="AQ67" s="1">
        <f t="shared" si="27"/>
        <v>0.21</v>
      </c>
      <c r="AR67" s="1">
        <f t="shared" si="161"/>
        <v>1</v>
      </c>
    </row>
    <row r="68" spans="2:44" x14ac:dyDescent="0.25">
      <c r="B68" t="s">
        <v>42</v>
      </c>
      <c r="C68" t="s">
        <v>54</v>
      </c>
      <c r="D68" s="1">
        <f>SUM(E68,G68,I68,K68,M68,O68,Q68,S68,U68,W68,Y68,AA68,AC68,AE68,AG68,AI68,AK68)</f>
        <v>67.259999999999991</v>
      </c>
      <c r="E68" s="1">
        <v>18.760000000000002</v>
      </c>
      <c r="F68" s="1">
        <f t="shared" ref="F68:H69" si="165">E68*1.34</f>
        <v>25.138400000000004</v>
      </c>
      <c r="G68" s="1">
        <v>7.34</v>
      </c>
      <c r="H68" s="1">
        <f t="shared" si="165"/>
        <v>9.8356000000000012</v>
      </c>
      <c r="I68" s="1">
        <v>3.65</v>
      </c>
      <c r="J68" s="1">
        <f t="shared" si="163"/>
        <v>8.613999999999999</v>
      </c>
      <c r="K68" s="1"/>
      <c r="L68" s="1"/>
      <c r="M68" s="1"/>
      <c r="N68" s="1"/>
      <c r="O68" s="1"/>
      <c r="P68" s="1"/>
      <c r="Q68" s="1"/>
      <c r="R68" s="1"/>
      <c r="S68" s="1">
        <v>13.19</v>
      </c>
      <c r="T68" s="1">
        <f t="shared" ref="T68" si="166">S68*1.34</f>
        <v>17.674600000000002</v>
      </c>
      <c r="U68" s="1">
        <v>10.36</v>
      </c>
      <c r="V68" s="1">
        <f t="shared" ref="V68:V125" si="167">U68*1.34</f>
        <v>13.882400000000001</v>
      </c>
      <c r="W68" s="1">
        <v>8.4700000000000006</v>
      </c>
      <c r="X68" s="1">
        <f t="shared" si="83"/>
        <v>11.349800000000002</v>
      </c>
      <c r="Y68" s="1"/>
      <c r="Z68" s="1"/>
      <c r="AA68" s="1"/>
      <c r="AB68" s="1"/>
      <c r="AC68" s="1">
        <v>2.2799999999999998</v>
      </c>
      <c r="AD68" s="1">
        <f t="shared" si="137"/>
        <v>6.27</v>
      </c>
      <c r="AE68" s="1">
        <v>3.21</v>
      </c>
      <c r="AF68" s="1">
        <f t="shared" ref="AF68:AF76" si="168">AE68*2.75</f>
        <v>8.8275000000000006</v>
      </c>
      <c r="AG68" s="1"/>
      <c r="AH68" s="1"/>
      <c r="AI68" s="9"/>
      <c r="AJ68" s="9"/>
      <c r="AK68" s="9"/>
      <c r="AL68" s="9"/>
      <c r="AM68" s="1"/>
      <c r="AN68" s="1"/>
      <c r="AP68" s="1">
        <f t="shared" si="26"/>
        <v>0.84</v>
      </c>
      <c r="AQ68" s="1">
        <f t="shared" si="27"/>
        <v>0.16</v>
      </c>
      <c r="AR68" s="1">
        <f t="shared" si="161"/>
        <v>1</v>
      </c>
    </row>
    <row r="69" spans="2:44" x14ac:dyDescent="0.25">
      <c r="D69" s="1">
        <f>SUM(E69,G69,I69,K69,M69,O69,Q69,S69,U69,W69,Y69,AA69,AC69,AE69,AG69,AI69,AK69)</f>
        <v>67.3</v>
      </c>
      <c r="E69" s="1">
        <v>19.41</v>
      </c>
      <c r="F69" s="1">
        <f t="shared" si="165"/>
        <v>26.009400000000003</v>
      </c>
      <c r="G69" s="1">
        <v>7.52</v>
      </c>
      <c r="H69" s="1">
        <f t="shared" si="165"/>
        <v>10.0768</v>
      </c>
      <c r="I69" s="1">
        <v>4.6900000000000004</v>
      </c>
      <c r="J69" s="1">
        <f t="shared" si="163"/>
        <v>11.0684</v>
      </c>
      <c r="K69" s="1"/>
      <c r="L69" s="1"/>
      <c r="M69" s="1"/>
      <c r="N69" s="1"/>
      <c r="O69" s="1"/>
      <c r="P69" s="1"/>
      <c r="Q69" s="1"/>
      <c r="R69" s="1"/>
      <c r="S69" s="1">
        <v>10.98</v>
      </c>
      <c r="T69" s="1">
        <f t="shared" ref="T69" si="169">S69*1.34</f>
        <v>14.713200000000002</v>
      </c>
      <c r="U69" s="1">
        <v>10.050000000000001</v>
      </c>
      <c r="V69" s="1">
        <f t="shared" si="167"/>
        <v>13.467000000000002</v>
      </c>
      <c r="W69" s="1">
        <v>8.84</v>
      </c>
      <c r="X69" s="1">
        <f t="shared" si="83"/>
        <v>11.845600000000001</v>
      </c>
      <c r="Y69" s="1"/>
      <c r="Z69" s="1"/>
      <c r="AA69" s="1"/>
      <c r="AB69" s="1"/>
      <c r="AC69" s="1">
        <v>2.85</v>
      </c>
      <c r="AD69" s="1">
        <f t="shared" si="137"/>
        <v>7.8375000000000004</v>
      </c>
      <c r="AE69" s="1">
        <v>2.96</v>
      </c>
      <c r="AF69" s="1">
        <f t="shared" si="168"/>
        <v>8.14</v>
      </c>
      <c r="AG69" s="1"/>
      <c r="AH69" s="1"/>
      <c r="AI69" s="9"/>
      <c r="AJ69" s="9"/>
      <c r="AK69" s="9"/>
      <c r="AL69" s="9"/>
      <c r="AM69" s="1"/>
      <c r="AN69" s="1"/>
      <c r="AP69" s="1">
        <f t="shared" si="26"/>
        <v>0.82</v>
      </c>
      <c r="AQ69" s="1">
        <f t="shared" si="27"/>
        <v>0.18</v>
      </c>
      <c r="AR69" s="1">
        <f t="shared" si="161"/>
        <v>1</v>
      </c>
    </row>
    <row r="70" spans="2:44" x14ac:dyDescent="0.25">
      <c r="B70" t="s">
        <v>42</v>
      </c>
      <c r="C70" t="s">
        <v>69</v>
      </c>
      <c r="D70" s="1">
        <f>SUM(E70,G70,I70,K70,M70,O70,Q70,S70,U70,W70,Y70,AA70,AC70,AE70,AG70,AI70,AK70)</f>
        <v>67.5</v>
      </c>
      <c r="E70" s="1">
        <v>18.32</v>
      </c>
      <c r="F70" s="1">
        <f t="shared" ref="F70:H75" si="170">E70*1.34</f>
        <v>24.548800000000004</v>
      </c>
      <c r="G70" s="1">
        <v>7.96</v>
      </c>
      <c r="H70" s="1">
        <f t="shared" si="170"/>
        <v>10.666400000000001</v>
      </c>
      <c r="I70" s="1">
        <v>3.52</v>
      </c>
      <c r="J70" s="1">
        <f t="shared" si="163"/>
        <v>8.3071999999999999</v>
      </c>
      <c r="K70" s="1">
        <v>3.89</v>
      </c>
      <c r="L70" s="1">
        <f t="shared" ref="L70" si="171">K70*2.36</f>
        <v>9.1804000000000006</v>
      </c>
      <c r="M70" s="1"/>
      <c r="N70" s="1"/>
      <c r="O70" s="1"/>
      <c r="P70" s="1"/>
      <c r="Q70" s="1"/>
      <c r="R70" s="1"/>
      <c r="S70" s="1">
        <v>11.24</v>
      </c>
      <c r="T70" s="1">
        <f t="shared" ref="T70" si="172">S70*1.34</f>
        <v>15.0616</v>
      </c>
      <c r="U70" s="1">
        <v>7.28</v>
      </c>
      <c r="V70" s="1">
        <f t="shared" si="167"/>
        <v>9.7552000000000003</v>
      </c>
      <c r="W70" s="1">
        <v>6.96</v>
      </c>
      <c r="X70" s="1">
        <f t="shared" si="83"/>
        <v>9.3264000000000014</v>
      </c>
      <c r="Y70" s="1"/>
      <c r="Z70" s="1"/>
      <c r="AA70" s="1"/>
      <c r="AB70" s="1"/>
      <c r="AC70" s="1">
        <v>3.19</v>
      </c>
      <c r="AD70" s="1">
        <f t="shared" si="137"/>
        <v>8.7724999999999991</v>
      </c>
      <c r="AE70" s="1">
        <v>5.14</v>
      </c>
      <c r="AF70" s="1">
        <f t="shared" si="168"/>
        <v>14.135</v>
      </c>
      <c r="AG70" s="1"/>
      <c r="AH70" s="1"/>
      <c r="AI70" s="9"/>
      <c r="AJ70" s="9"/>
      <c r="AK70" s="9"/>
      <c r="AL70" s="9"/>
      <c r="AM70" s="1">
        <v>2.1</v>
      </c>
      <c r="AN70" s="1">
        <f>AM70*0.6</f>
        <v>1.26</v>
      </c>
      <c r="AP70" s="1">
        <f t="shared" si="26"/>
        <v>0.77</v>
      </c>
      <c r="AQ70" s="1">
        <f t="shared" si="27"/>
        <v>0.23</v>
      </c>
      <c r="AR70" s="1">
        <f t="shared" si="161"/>
        <v>1</v>
      </c>
    </row>
    <row r="71" spans="2:44" x14ac:dyDescent="0.25">
      <c r="B71" t="s">
        <v>42</v>
      </c>
      <c r="C71" t="s">
        <v>54</v>
      </c>
      <c r="D71" s="1">
        <f>SUM(E71,G71,I71,K71,M71,O71,Q71,S71,U71,W71,Y71,AA71,AC71,AE71,AG71,AI71,AK71)</f>
        <v>67.569999999999993</v>
      </c>
      <c r="E71" s="1">
        <v>18.600000000000001</v>
      </c>
      <c r="F71" s="1">
        <f t="shared" si="170"/>
        <v>24.924000000000003</v>
      </c>
      <c r="G71" s="1">
        <v>10.59</v>
      </c>
      <c r="H71" s="1">
        <f t="shared" si="170"/>
        <v>14.1906</v>
      </c>
      <c r="I71" s="1">
        <v>4.9000000000000004</v>
      </c>
      <c r="J71" s="1">
        <f t="shared" si="163"/>
        <v>11.564</v>
      </c>
      <c r="K71" s="1"/>
      <c r="L71" s="1"/>
      <c r="M71" s="1"/>
      <c r="N71" s="1"/>
      <c r="O71" s="1"/>
      <c r="P71" s="1"/>
      <c r="Q71" s="1"/>
      <c r="R71" s="1"/>
      <c r="S71" s="1">
        <v>12.51</v>
      </c>
      <c r="T71" s="1">
        <f t="shared" ref="T71" si="173">S71*1.34</f>
        <v>16.763400000000001</v>
      </c>
      <c r="U71" s="1">
        <v>11.75</v>
      </c>
      <c r="V71" s="1">
        <f t="shared" si="167"/>
        <v>15.745000000000001</v>
      </c>
      <c r="W71" s="1"/>
      <c r="X71" s="1"/>
      <c r="Y71" s="1"/>
      <c r="Z71" s="1"/>
      <c r="AA71" s="1"/>
      <c r="AB71" s="1"/>
      <c r="AC71" s="1">
        <v>4.76</v>
      </c>
      <c r="AD71" s="1">
        <f t="shared" si="137"/>
        <v>13.09</v>
      </c>
      <c r="AE71" s="1">
        <v>4.46</v>
      </c>
      <c r="AF71" s="1">
        <f t="shared" si="168"/>
        <v>12.265000000000001</v>
      </c>
      <c r="AG71" s="1"/>
      <c r="AH71" s="1"/>
      <c r="AI71" s="9"/>
      <c r="AJ71" s="9"/>
      <c r="AK71" s="9"/>
      <c r="AL71" s="9"/>
      <c r="AM71" s="1"/>
      <c r="AN71" s="1"/>
      <c r="AP71" s="1">
        <f t="shared" si="26"/>
        <v>0.77</v>
      </c>
      <c r="AQ71" s="1">
        <f t="shared" si="27"/>
        <v>0.23</v>
      </c>
      <c r="AR71" s="1">
        <f t="shared" si="161"/>
        <v>1</v>
      </c>
    </row>
    <row r="72" spans="2:44" x14ac:dyDescent="0.25">
      <c r="B72" t="s">
        <v>41</v>
      </c>
      <c r="C72" t="s">
        <v>47</v>
      </c>
      <c r="D72" s="1">
        <f>SUM(E72,G72,I72,K72,M72,O72,Q72,S72,U72,W72,Y72,AA72,AC72,AE72,AG72,AI72,AK72)</f>
        <v>67.599999999999994</v>
      </c>
      <c r="E72" s="1">
        <v>20.8</v>
      </c>
      <c r="F72" s="1">
        <f t="shared" si="170"/>
        <v>27.872000000000003</v>
      </c>
      <c r="G72" s="1">
        <v>8.5</v>
      </c>
      <c r="H72" s="1">
        <f t="shared" si="170"/>
        <v>11.39</v>
      </c>
      <c r="I72" s="1">
        <v>4</v>
      </c>
      <c r="J72" s="1">
        <f t="shared" si="163"/>
        <v>9.44</v>
      </c>
      <c r="K72" s="1">
        <v>3.9</v>
      </c>
      <c r="L72" s="1">
        <f t="shared" ref="L72:L76" si="174">K72*2.36</f>
        <v>9.2039999999999988</v>
      </c>
      <c r="M72" s="1"/>
      <c r="N72" s="1"/>
      <c r="O72" s="1"/>
      <c r="P72" s="1"/>
      <c r="Q72" s="1"/>
      <c r="R72" s="1"/>
      <c r="S72" s="1">
        <v>12.2</v>
      </c>
      <c r="T72" s="1">
        <f t="shared" ref="T72" si="175">S72*1.34</f>
        <v>16.347999999999999</v>
      </c>
      <c r="U72" s="1">
        <v>9</v>
      </c>
      <c r="V72" s="1">
        <f t="shared" si="167"/>
        <v>12.06</v>
      </c>
      <c r="W72" s="1"/>
      <c r="X72" s="1"/>
      <c r="Y72" s="1"/>
      <c r="Z72" s="1"/>
      <c r="AA72" s="1"/>
      <c r="AB72" s="1"/>
      <c r="AC72" s="1">
        <v>3.6</v>
      </c>
      <c r="AD72" s="1">
        <f t="shared" si="137"/>
        <v>9.9</v>
      </c>
      <c r="AE72" s="1">
        <v>5.6</v>
      </c>
      <c r="AF72" s="1">
        <f t="shared" si="168"/>
        <v>15.399999999999999</v>
      </c>
      <c r="AG72" s="1"/>
      <c r="AH72" s="1"/>
      <c r="AI72" s="9"/>
      <c r="AJ72" s="9"/>
      <c r="AK72" s="9"/>
      <c r="AL72" s="9"/>
      <c r="AM72" s="1"/>
      <c r="AN72" s="1"/>
      <c r="AP72" s="1">
        <f t="shared" si="26"/>
        <v>0.76</v>
      </c>
      <c r="AQ72" s="1">
        <f t="shared" si="27"/>
        <v>0.24</v>
      </c>
      <c r="AR72" s="1">
        <f t="shared" si="161"/>
        <v>1</v>
      </c>
    </row>
    <row r="73" spans="2:44" x14ac:dyDescent="0.25">
      <c r="B73" t="s">
        <v>42</v>
      </c>
      <c r="C73" t="s">
        <v>78</v>
      </c>
      <c r="D73" s="1">
        <f>SUM(E73,G73,I73,K73,M73,O73,Q73,S73,U73,W73,Y73,AA73,AC73,AE73,AG73,AI73,AK73)</f>
        <v>67.61999999999999</v>
      </c>
      <c r="E73" s="1">
        <v>18.48</v>
      </c>
      <c r="F73" s="1">
        <f t="shared" si="170"/>
        <v>24.763200000000001</v>
      </c>
      <c r="G73" s="1">
        <v>7.49</v>
      </c>
      <c r="H73" s="1">
        <f t="shared" si="170"/>
        <v>10.036600000000002</v>
      </c>
      <c r="I73" s="1">
        <v>4.01</v>
      </c>
      <c r="J73" s="1">
        <f t="shared" si="163"/>
        <v>9.4635999999999996</v>
      </c>
      <c r="K73" s="1">
        <v>2.87</v>
      </c>
      <c r="L73" s="1">
        <f t="shared" si="174"/>
        <v>6.7732000000000001</v>
      </c>
      <c r="M73" s="1"/>
      <c r="N73" s="1"/>
      <c r="O73" s="1"/>
      <c r="P73" s="1"/>
      <c r="Q73" s="1"/>
      <c r="R73" s="1"/>
      <c r="S73" s="1">
        <v>13.1</v>
      </c>
      <c r="T73" s="1">
        <f t="shared" ref="T73" si="176">S73*1.34</f>
        <v>17.554000000000002</v>
      </c>
      <c r="U73" s="1">
        <v>8.07</v>
      </c>
      <c r="V73" s="1">
        <f t="shared" si="167"/>
        <v>10.813800000000001</v>
      </c>
      <c r="W73" s="1"/>
      <c r="X73" s="1"/>
      <c r="Y73" s="1"/>
      <c r="Z73" s="1"/>
      <c r="AA73" s="1">
        <v>8</v>
      </c>
      <c r="AB73" s="1">
        <f t="shared" ref="AB73" si="177">AA73*1.34</f>
        <v>10.72</v>
      </c>
      <c r="AC73" s="1">
        <v>2.41</v>
      </c>
      <c r="AD73" s="1">
        <f t="shared" si="137"/>
        <v>6.6275000000000004</v>
      </c>
      <c r="AE73" s="1">
        <v>3.19</v>
      </c>
      <c r="AF73" s="1">
        <f t="shared" si="168"/>
        <v>8.7724999999999991</v>
      </c>
      <c r="AG73" s="1"/>
      <c r="AH73" s="1"/>
      <c r="AI73" s="9"/>
      <c r="AJ73" s="9"/>
      <c r="AK73" s="9"/>
      <c r="AL73" s="9"/>
      <c r="AM73" s="1"/>
      <c r="AN73" s="1"/>
      <c r="AP73" s="1">
        <f t="shared" si="26"/>
        <v>0.79</v>
      </c>
      <c r="AQ73" s="1">
        <f t="shared" si="27"/>
        <v>0.21</v>
      </c>
      <c r="AR73" s="1">
        <f t="shared" si="161"/>
        <v>1</v>
      </c>
    </row>
    <row r="74" spans="2:44" x14ac:dyDescent="0.25">
      <c r="C74" t="s">
        <v>52</v>
      </c>
      <c r="D74" s="1">
        <f>SUM(E74,G74,I74,K74,M74,O74,Q74,S74,U74,W74,Y74,AA74,AC74,AE74,AG74,AI74,AK74)</f>
        <v>67.61999999999999</v>
      </c>
      <c r="E74" s="1">
        <v>20.45</v>
      </c>
      <c r="F74" s="1">
        <f t="shared" si="170"/>
        <v>27.403000000000002</v>
      </c>
      <c r="G74" s="1">
        <v>7.03</v>
      </c>
      <c r="H74" s="1">
        <f t="shared" si="170"/>
        <v>9.4202000000000012</v>
      </c>
      <c r="I74" s="1">
        <v>4.3</v>
      </c>
      <c r="J74" s="1">
        <f t="shared" si="163"/>
        <v>10.148</v>
      </c>
      <c r="K74" s="1">
        <v>4.04</v>
      </c>
      <c r="L74" s="1">
        <f t="shared" si="174"/>
        <v>9.5343999999999998</v>
      </c>
      <c r="M74" s="1"/>
      <c r="N74" s="1"/>
      <c r="O74" s="1"/>
      <c r="P74" s="1"/>
      <c r="Q74" s="1"/>
      <c r="R74" s="1"/>
      <c r="S74" s="1">
        <v>15.36</v>
      </c>
      <c r="T74" s="1">
        <f t="shared" ref="T74" si="178">S74*1.34</f>
        <v>20.5824</v>
      </c>
      <c r="U74" s="1">
        <v>10.119999999999999</v>
      </c>
      <c r="V74" s="1">
        <f t="shared" si="167"/>
        <v>13.5608</v>
      </c>
      <c r="W74" s="1"/>
      <c r="X74" s="1"/>
      <c r="Y74" s="1"/>
      <c r="Z74" s="1"/>
      <c r="AA74" s="1"/>
      <c r="AB74" s="1"/>
      <c r="AC74" s="1">
        <v>2.99</v>
      </c>
      <c r="AD74" s="1">
        <f t="shared" si="137"/>
        <v>8.2225000000000001</v>
      </c>
      <c r="AE74" s="1">
        <v>3.33</v>
      </c>
      <c r="AF74" s="1">
        <f t="shared" si="168"/>
        <v>9.1575000000000006</v>
      </c>
      <c r="AG74" s="1"/>
      <c r="AH74" s="1"/>
      <c r="AI74" s="9"/>
      <c r="AJ74" s="9"/>
      <c r="AK74" s="9"/>
      <c r="AL74" s="9"/>
      <c r="AM74" s="1">
        <f>26.93+7.85</f>
        <v>34.78</v>
      </c>
      <c r="AN74" s="1">
        <f>AM74*0.6</f>
        <v>20.867999999999999</v>
      </c>
      <c r="AP74" s="1">
        <f t="shared" ref="AP74:AP137" si="179">ROUND(SUM(AK74,AI74,AG74,AE74,AC74,AA74,Y74,W74,U74,S74,E74)/D74,2)</f>
        <v>0.77</v>
      </c>
      <c r="AQ74" s="1">
        <f t="shared" ref="AQ74:AQ137" si="180">ROUND(SUM(G74,I74,K74,M74,O74,Q74)/D74,2)</f>
        <v>0.23</v>
      </c>
      <c r="AR74" s="1">
        <f t="shared" si="161"/>
        <v>1</v>
      </c>
    </row>
    <row r="75" spans="2:44" x14ac:dyDescent="0.25">
      <c r="B75" t="s">
        <v>42</v>
      </c>
      <c r="C75" t="s">
        <v>69</v>
      </c>
      <c r="D75" s="1">
        <f>SUM(E75,G75,I75,K75,M75,O75,Q75,S75,U75,W75,Y75,AA75,AC75,AE75,AG75,AI75,AK75)</f>
        <v>67.84</v>
      </c>
      <c r="E75" s="1">
        <v>18.39</v>
      </c>
      <c r="F75" s="1">
        <f t="shared" si="170"/>
        <v>24.642600000000002</v>
      </c>
      <c r="G75" s="1">
        <v>7.96</v>
      </c>
      <c r="H75" s="1">
        <f t="shared" si="170"/>
        <v>10.666400000000001</v>
      </c>
      <c r="I75" s="1">
        <v>3.52</v>
      </c>
      <c r="J75" s="1">
        <f t="shared" si="163"/>
        <v>8.3071999999999999</v>
      </c>
      <c r="K75" s="1">
        <v>3.1</v>
      </c>
      <c r="L75" s="1">
        <f t="shared" si="174"/>
        <v>7.3159999999999998</v>
      </c>
      <c r="M75" s="1"/>
      <c r="N75" s="1"/>
      <c r="O75" s="1"/>
      <c r="P75" s="1"/>
      <c r="Q75" s="1"/>
      <c r="R75" s="1"/>
      <c r="S75" s="1">
        <v>11.76</v>
      </c>
      <c r="T75" s="1">
        <f t="shared" ref="T75" si="181">S75*1.34</f>
        <v>15.7584</v>
      </c>
      <c r="U75" s="1">
        <v>8.64</v>
      </c>
      <c r="V75" s="1">
        <f t="shared" si="167"/>
        <v>11.577600000000002</v>
      </c>
      <c r="W75" s="1">
        <v>7.2</v>
      </c>
      <c r="X75" s="1">
        <f t="shared" ref="X75" si="182">W75*1.34</f>
        <v>9.6480000000000015</v>
      </c>
      <c r="Y75" s="1"/>
      <c r="Z75" s="1"/>
      <c r="AA75" s="1"/>
      <c r="AB75" s="1"/>
      <c r="AC75" s="1">
        <v>3.22</v>
      </c>
      <c r="AD75" s="1">
        <f t="shared" si="137"/>
        <v>8.8550000000000004</v>
      </c>
      <c r="AE75" s="1">
        <v>4.05</v>
      </c>
      <c r="AF75" s="1">
        <f t="shared" si="168"/>
        <v>11.137499999999999</v>
      </c>
      <c r="AG75" s="1"/>
      <c r="AH75" s="1"/>
      <c r="AI75" s="9"/>
      <c r="AJ75" s="9"/>
      <c r="AK75" s="9"/>
      <c r="AL75" s="9"/>
      <c r="AM75" s="1">
        <v>2.1</v>
      </c>
      <c r="AN75" s="1">
        <f>AM75*0.6</f>
        <v>1.26</v>
      </c>
      <c r="AP75" s="1">
        <f t="shared" si="179"/>
        <v>0.79</v>
      </c>
      <c r="AQ75" s="1">
        <f t="shared" si="180"/>
        <v>0.21</v>
      </c>
      <c r="AR75" s="1">
        <f t="shared" si="161"/>
        <v>1</v>
      </c>
    </row>
    <row r="76" spans="2:44" x14ac:dyDescent="0.25">
      <c r="B76" t="s">
        <v>42</v>
      </c>
      <c r="C76" t="s">
        <v>54</v>
      </c>
      <c r="D76" s="1">
        <f>SUM(E76,G76,I76,K76,M76,O76,Q76,S76,U76,W76,Y76,AA76,AC76,AE76,AG76,AI76,AK76)</f>
        <v>67.91</v>
      </c>
      <c r="E76" s="1">
        <v>18.23</v>
      </c>
      <c r="F76" s="1">
        <f t="shared" ref="F76:H76" si="183">E76*1.34</f>
        <v>24.4282</v>
      </c>
      <c r="G76" s="1">
        <v>7.03</v>
      </c>
      <c r="H76" s="1">
        <f t="shared" si="183"/>
        <v>9.4202000000000012</v>
      </c>
      <c r="I76" s="1">
        <v>4.58</v>
      </c>
      <c r="J76" s="1">
        <f t="shared" si="163"/>
        <v>10.8088</v>
      </c>
      <c r="K76" s="1">
        <v>3.21</v>
      </c>
      <c r="L76" s="1">
        <f t="shared" si="174"/>
        <v>7.5755999999999997</v>
      </c>
      <c r="M76" s="1"/>
      <c r="N76" s="1"/>
      <c r="O76" s="1"/>
      <c r="P76" s="1"/>
      <c r="Q76" s="1"/>
      <c r="R76" s="1"/>
      <c r="S76" s="1">
        <v>12.01</v>
      </c>
      <c r="T76" s="1">
        <f t="shared" ref="T76" si="184">S76*1.34</f>
        <v>16.093399999999999</v>
      </c>
      <c r="U76" s="1">
        <v>8.8699999999999992</v>
      </c>
      <c r="V76" s="1">
        <f t="shared" si="167"/>
        <v>11.8858</v>
      </c>
      <c r="W76" s="1">
        <v>8.5399999999999991</v>
      </c>
      <c r="X76" s="1">
        <f t="shared" ref="X76" si="185">W76*1.34</f>
        <v>11.4436</v>
      </c>
      <c r="Y76" s="1"/>
      <c r="Z76" s="1"/>
      <c r="AA76" s="1"/>
      <c r="AB76" s="1"/>
      <c r="AC76" s="1">
        <v>2.25</v>
      </c>
      <c r="AD76" s="1">
        <f t="shared" si="137"/>
        <v>6.1875</v>
      </c>
      <c r="AE76" s="1">
        <v>3.19</v>
      </c>
      <c r="AF76" s="1">
        <f t="shared" si="168"/>
        <v>8.7724999999999991</v>
      </c>
      <c r="AG76" s="1"/>
      <c r="AH76" s="1"/>
      <c r="AI76" s="9"/>
      <c r="AJ76" s="9"/>
      <c r="AK76" s="9"/>
      <c r="AL76" s="9"/>
      <c r="AM76" s="1"/>
      <c r="AN76" s="1"/>
      <c r="AP76" s="1">
        <f t="shared" si="179"/>
        <v>0.78</v>
      </c>
      <c r="AQ76" s="1">
        <f t="shared" si="180"/>
        <v>0.22</v>
      </c>
      <c r="AR76" s="1">
        <f t="shared" si="161"/>
        <v>1</v>
      </c>
    </row>
    <row r="77" spans="2:44" x14ac:dyDescent="0.25">
      <c r="B77" t="s">
        <v>42</v>
      </c>
      <c r="C77" t="s">
        <v>71</v>
      </c>
      <c r="D77" s="1">
        <f>SUM(E77,G77,I77,K77,M77,O77,Q77,S77,U77,W77,Y77,AA77,AC77,AE77,AG77,AI77,AK77)</f>
        <v>67.949999999999989</v>
      </c>
      <c r="E77" s="1">
        <v>19.75</v>
      </c>
      <c r="F77" s="1">
        <f t="shared" ref="F77:H139" si="186">E77*1.34</f>
        <v>26.465</v>
      </c>
      <c r="G77" s="1">
        <v>10</v>
      </c>
      <c r="H77" s="1">
        <f t="shared" si="186"/>
        <v>13.4</v>
      </c>
      <c r="I77" s="1">
        <v>3.82</v>
      </c>
      <c r="J77" s="1">
        <f t="shared" si="163"/>
        <v>9.0151999999999983</v>
      </c>
      <c r="K77" s="1"/>
      <c r="L77" s="1"/>
      <c r="M77" s="1"/>
      <c r="N77" s="1"/>
      <c r="O77" s="1"/>
      <c r="P77" s="1"/>
      <c r="Q77" s="1">
        <v>2.2400000000000002</v>
      </c>
      <c r="R77" s="1">
        <f>Q77*2.36</f>
        <v>5.2864000000000004</v>
      </c>
      <c r="S77" s="1">
        <v>10.37</v>
      </c>
      <c r="T77" s="1">
        <f t="shared" ref="T77" si="187">S77*1.34</f>
        <v>13.895799999999999</v>
      </c>
      <c r="U77" s="1">
        <v>7.72</v>
      </c>
      <c r="V77" s="1">
        <f t="shared" si="167"/>
        <v>10.344800000000001</v>
      </c>
      <c r="W77" s="1">
        <v>7.69</v>
      </c>
      <c r="X77" s="1">
        <f t="shared" ref="X77:X79" si="188">W77*1.34</f>
        <v>10.304600000000001</v>
      </c>
      <c r="Y77" s="1"/>
      <c r="Z77" s="1"/>
      <c r="AA77" s="1"/>
      <c r="AB77" s="1"/>
      <c r="AC77" s="1">
        <v>2.56</v>
      </c>
      <c r="AD77" s="1">
        <f t="shared" ref="AD77:AD81" si="189">AC77*2.75</f>
        <v>7.04</v>
      </c>
      <c r="AE77" s="1">
        <v>3.8</v>
      </c>
      <c r="AF77" s="1">
        <f t="shared" ref="AF77:AF80" si="190">AE77*2.75</f>
        <v>10.45</v>
      </c>
      <c r="AG77" s="1"/>
      <c r="AH77" s="1"/>
      <c r="AI77" s="9"/>
      <c r="AJ77" s="9"/>
      <c r="AK77" s="9"/>
      <c r="AL77" s="9"/>
      <c r="AM77" s="1"/>
      <c r="AN77" s="1"/>
      <c r="AP77" s="1">
        <f t="shared" si="179"/>
        <v>0.76</v>
      </c>
      <c r="AQ77" s="1">
        <f t="shared" si="180"/>
        <v>0.24</v>
      </c>
      <c r="AR77" s="1">
        <f t="shared" si="161"/>
        <v>1</v>
      </c>
    </row>
    <row r="78" spans="2:44" x14ac:dyDescent="0.25">
      <c r="C78" t="s">
        <v>55</v>
      </c>
      <c r="D78" s="1">
        <f>SUM(E78,G78,I78,K78,M78,O78,Q78,S78,U78,W78,Y78,AA78,AC78,AE78,AG78,AI78,AK78)</f>
        <v>67.95</v>
      </c>
      <c r="E78" s="1">
        <v>18.14</v>
      </c>
      <c r="F78" s="1">
        <f t="shared" si="186"/>
        <v>24.307600000000001</v>
      </c>
      <c r="G78" s="1">
        <v>7.57</v>
      </c>
      <c r="H78" s="1">
        <f t="shared" si="186"/>
        <v>10.143800000000001</v>
      </c>
      <c r="I78" s="1">
        <v>3.57</v>
      </c>
      <c r="J78" s="1">
        <f t="shared" si="163"/>
        <v>8.4251999999999985</v>
      </c>
      <c r="K78" s="1">
        <v>2.52</v>
      </c>
      <c r="L78" s="1">
        <f t="shared" ref="L78:L81" si="191">K78*2.36</f>
        <v>5.9471999999999996</v>
      </c>
      <c r="M78" s="1"/>
      <c r="N78" s="1"/>
      <c r="O78" s="1"/>
      <c r="P78" s="1"/>
      <c r="Q78" s="1"/>
      <c r="R78" s="1"/>
      <c r="S78" s="1">
        <v>12.44</v>
      </c>
      <c r="T78" s="1">
        <f t="shared" ref="T78" si="192">S78*1.34</f>
        <v>16.669599999999999</v>
      </c>
      <c r="U78" s="1">
        <v>8.26</v>
      </c>
      <c r="V78" s="1">
        <f t="shared" si="167"/>
        <v>11.0684</v>
      </c>
      <c r="W78" s="1">
        <v>8.1199999999999992</v>
      </c>
      <c r="X78" s="1">
        <f t="shared" si="188"/>
        <v>10.880799999999999</v>
      </c>
      <c r="Y78" s="1"/>
      <c r="Z78" s="1"/>
      <c r="AA78" s="1"/>
      <c r="AB78" s="1"/>
      <c r="AC78" s="1">
        <v>1.27</v>
      </c>
      <c r="AD78" s="1">
        <f t="shared" si="189"/>
        <v>3.4925000000000002</v>
      </c>
      <c r="AE78" s="1">
        <v>6.06</v>
      </c>
      <c r="AF78" s="1">
        <f t="shared" si="190"/>
        <v>16.664999999999999</v>
      </c>
      <c r="AG78" s="1"/>
      <c r="AH78" s="1"/>
      <c r="AI78" s="9"/>
      <c r="AJ78" s="9"/>
      <c r="AK78" s="9"/>
      <c r="AL78" s="9"/>
      <c r="AM78" s="1"/>
      <c r="AN78" s="1"/>
      <c r="AP78" s="1">
        <f t="shared" si="179"/>
        <v>0.8</v>
      </c>
      <c r="AQ78" s="1">
        <f t="shared" si="180"/>
        <v>0.2</v>
      </c>
      <c r="AR78" s="1">
        <f t="shared" si="161"/>
        <v>1</v>
      </c>
    </row>
    <row r="79" spans="2:44" x14ac:dyDescent="0.25">
      <c r="B79" t="s">
        <v>42</v>
      </c>
      <c r="C79" t="s">
        <v>78</v>
      </c>
      <c r="D79" s="1">
        <f>SUM(E79,G79,I79,K79,M79,O79,Q79,S79,U79,W79,Y79,AA79,AC79,AE79,AG79,AI79,AK79)</f>
        <v>67.97999999999999</v>
      </c>
      <c r="E79" s="1">
        <v>19.399999999999999</v>
      </c>
      <c r="F79" s="1">
        <f t="shared" si="186"/>
        <v>25.995999999999999</v>
      </c>
      <c r="G79" s="1">
        <v>8.02</v>
      </c>
      <c r="H79" s="1">
        <f t="shared" si="186"/>
        <v>10.7468</v>
      </c>
      <c r="I79" s="1">
        <v>3.56</v>
      </c>
      <c r="J79" s="1">
        <f t="shared" si="163"/>
        <v>8.4016000000000002</v>
      </c>
      <c r="K79" s="1">
        <v>2.65</v>
      </c>
      <c r="L79" s="1">
        <f t="shared" si="191"/>
        <v>6.2539999999999996</v>
      </c>
      <c r="M79" s="1"/>
      <c r="N79" s="1"/>
      <c r="O79" s="1"/>
      <c r="P79" s="1"/>
      <c r="Q79" s="1"/>
      <c r="R79" s="1"/>
      <c r="S79" s="1">
        <v>11.94</v>
      </c>
      <c r="T79" s="1">
        <f t="shared" ref="T79" si="193">S79*1.34</f>
        <v>15.999600000000001</v>
      </c>
      <c r="U79" s="1">
        <v>8.94</v>
      </c>
      <c r="V79" s="1">
        <f t="shared" si="167"/>
        <v>11.9796</v>
      </c>
      <c r="W79" s="1">
        <v>8.06</v>
      </c>
      <c r="X79" s="1">
        <f t="shared" si="188"/>
        <v>10.800400000000002</v>
      </c>
      <c r="Y79" s="1"/>
      <c r="Z79" s="1"/>
      <c r="AA79" s="1"/>
      <c r="AB79" s="1"/>
      <c r="AC79" s="1">
        <v>2.2799999999999998</v>
      </c>
      <c r="AD79" s="1">
        <f t="shared" si="189"/>
        <v>6.27</v>
      </c>
      <c r="AE79" s="1">
        <v>3.13</v>
      </c>
      <c r="AF79" s="1">
        <f t="shared" si="190"/>
        <v>8.6074999999999999</v>
      </c>
      <c r="AG79" s="1"/>
      <c r="AH79" s="1"/>
      <c r="AI79" s="9"/>
      <c r="AJ79" s="9"/>
      <c r="AK79" s="9"/>
      <c r="AL79" s="9"/>
      <c r="AM79" s="1"/>
      <c r="AN79" s="1"/>
      <c r="AP79" s="1">
        <f t="shared" si="179"/>
        <v>0.79</v>
      </c>
      <c r="AQ79" s="1">
        <f t="shared" si="180"/>
        <v>0.21</v>
      </c>
      <c r="AR79" s="1">
        <f t="shared" si="161"/>
        <v>1</v>
      </c>
    </row>
    <row r="80" spans="2:44" x14ac:dyDescent="0.25">
      <c r="B80" t="s">
        <v>42</v>
      </c>
      <c r="C80" t="s">
        <v>46</v>
      </c>
      <c r="D80" s="1">
        <f>SUM(E80,G80,I80,K80,M80,O80,Q80,S80,U80,W80,Y80,AA80,AC80,AE80,AG80,AI80,AK80)</f>
        <v>68</v>
      </c>
      <c r="E80" s="1">
        <v>22.3</v>
      </c>
      <c r="F80" s="1">
        <f t="shared" si="186"/>
        <v>29.882000000000001</v>
      </c>
      <c r="G80" s="1">
        <v>7.9</v>
      </c>
      <c r="H80" s="1">
        <f t="shared" si="186"/>
        <v>10.586</v>
      </c>
      <c r="I80" s="1">
        <v>3.8</v>
      </c>
      <c r="J80" s="1">
        <f t="shared" si="163"/>
        <v>8.968</v>
      </c>
      <c r="K80" s="1">
        <v>3.2</v>
      </c>
      <c r="L80" s="1">
        <f t="shared" si="191"/>
        <v>7.5519999999999996</v>
      </c>
      <c r="M80" s="1"/>
      <c r="N80" s="1"/>
      <c r="O80" s="1"/>
      <c r="P80" s="1"/>
      <c r="Q80" s="1"/>
      <c r="R80" s="1"/>
      <c r="S80" s="1">
        <v>15.8</v>
      </c>
      <c r="T80" s="1">
        <f t="shared" ref="T80" si="194">S80*1.34</f>
        <v>21.172000000000001</v>
      </c>
      <c r="U80" s="1">
        <v>8.5</v>
      </c>
      <c r="V80" s="1">
        <f t="shared" si="167"/>
        <v>11.39</v>
      </c>
      <c r="W80" s="1"/>
      <c r="X80" s="1"/>
      <c r="Y80" s="1"/>
      <c r="Z80" s="1"/>
      <c r="AA80" s="1"/>
      <c r="AB80" s="1"/>
      <c r="AC80" s="1">
        <v>4.3</v>
      </c>
      <c r="AD80" s="1">
        <f t="shared" si="189"/>
        <v>11.824999999999999</v>
      </c>
      <c r="AE80" s="1">
        <v>2.2000000000000002</v>
      </c>
      <c r="AF80" s="1">
        <f t="shared" si="190"/>
        <v>6.0500000000000007</v>
      </c>
      <c r="AG80" s="1"/>
      <c r="AH80" s="1"/>
      <c r="AI80" s="9"/>
      <c r="AJ80" s="9"/>
      <c r="AK80" s="9"/>
      <c r="AL80" s="9"/>
      <c r="AM80" s="1">
        <f>11+4.7+10.8</f>
        <v>26.5</v>
      </c>
      <c r="AN80" s="1">
        <f t="shared" ref="AN80:AN83" si="195">AM80*0.6</f>
        <v>15.899999999999999</v>
      </c>
      <c r="AP80" s="1">
        <f t="shared" si="179"/>
        <v>0.78</v>
      </c>
      <c r="AQ80" s="1">
        <f t="shared" si="180"/>
        <v>0.22</v>
      </c>
      <c r="AR80" s="1">
        <f t="shared" si="161"/>
        <v>1</v>
      </c>
    </row>
    <row r="81" spans="2:44" x14ac:dyDescent="0.25">
      <c r="B81" t="s">
        <v>43</v>
      </c>
      <c r="C81" t="s">
        <v>48</v>
      </c>
      <c r="D81" s="1">
        <f>SUM(E81,G81,I81,K81,M81,O81,Q81,S81,U81,W81,Y81,AA81,AC81,AE81,AG81,AI81,AK81)</f>
        <v>68.009999999999991</v>
      </c>
      <c r="E81" s="1">
        <v>18.91</v>
      </c>
      <c r="F81" s="1">
        <f t="shared" si="186"/>
        <v>25.339400000000001</v>
      </c>
      <c r="G81" s="1">
        <v>8.39</v>
      </c>
      <c r="H81" s="1">
        <f t="shared" si="186"/>
        <v>11.242600000000001</v>
      </c>
      <c r="I81" s="1">
        <v>4.3099999999999996</v>
      </c>
      <c r="J81" s="1">
        <f t="shared" si="163"/>
        <v>10.171599999999998</v>
      </c>
      <c r="K81" s="1">
        <v>3.81</v>
      </c>
      <c r="L81" s="1">
        <f t="shared" si="191"/>
        <v>8.9916</v>
      </c>
      <c r="M81" s="1"/>
      <c r="N81" s="1"/>
      <c r="O81" s="1"/>
      <c r="P81" s="1"/>
      <c r="Q81" s="1"/>
      <c r="R81" s="1"/>
      <c r="S81" s="1">
        <v>14.62</v>
      </c>
      <c r="T81" s="1">
        <f t="shared" ref="T81" si="196">S81*1.34</f>
        <v>19.590800000000002</v>
      </c>
      <c r="U81" s="1">
        <v>10.65</v>
      </c>
      <c r="V81" s="1">
        <f t="shared" si="167"/>
        <v>14.271000000000001</v>
      </c>
      <c r="W81" s="1"/>
      <c r="X81" s="1"/>
      <c r="Y81" s="1"/>
      <c r="Z81" s="1"/>
      <c r="AA81" s="1"/>
      <c r="AB81" s="1"/>
      <c r="AC81" s="1">
        <v>7.32</v>
      </c>
      <c r="AD81" s="1">
        <f t="shared" si="189"/>
        <v>20.130000000000003</v>
      </c>
      <c r="AE81" s="1"/>
      <c r="AF81" s="1"/>
      <c r="AG81" s="1"/>
      <c r="AH81" s="1"/>
      <c r="AI81" s="9"/>
      <c r="AJ81" s="9"/>
      <c r="AK81" s="9"/>
      <c r="AL81" s="9"/>
      <c r="AM81" s="1">
        <v>4</v>
      </c>
      <c r="AN81" s="1">
        <f t="shared" si="195"/>
        <v>2.4</v>
      </c>
      <c r="AP81" s="1">
        <f t="shared" si="179"/>
        <v>0.76</v>
      </c>
      <c r="AQ81" s="1">
        <f t="shared" si="180"/>
        <v>0.24</v>
      </c>
      <c r="AR81" s="1">
        <f t="shared" si="161"/>
        <v>1</v>
      </c>
    </row>
    <row r="82" spans="2:44" x14ac:dyDescent="0.25">
      <c r="B82" t="s">
        <v>41</v>
      </c>
      <c r="C82" t="s">
        <v>47</v>
      </c>
      <c r="D82" s="1">
        <f>SUM(E82,G82,I82,K82,M82,O82,Q82,S82,U82,W82,Y82,AA82,AC82,AE82,AG82,AI82,AK82)</f>
        <v>68.099999999999994</v>
      </c>
      <c r="E82" s="1">
        <v>26.6</v>
      </c>
      <c r="F82" s="1">
        <f t="shared" si="186"/>
        <v>35.644000000000005</v>
      </c>
      <c r="G82" s="1">
        <v>9</v>
      </c>
      <c r="H82" s="1">
        <f t="shared" si="186"/>
        <v>12.06</v>
      </c>
      <c r="I82" s="1">
        <v>4</v>
      </c>
      <c r="J82" s="1">
        <f t="shared" si="163"/>
        <v>9.44</v>
      </c>
      <c r="K82" s="1"/>
      <c r="L82" s="1"/>
      <c r="M82" s="1"/>
      <c r="N82" s="1"/>
      <c r="O82" s="1"/>
      <c r="P82" s="1"/>
      <c r="Q82" s="1"/>
      <c r="R82" s="1"/>
      <c r="S82" s="1">
        <v>15.5</v>
      </c>
      <c r="T82" s="1">
        <f t="shared" ref="T82" si="197">S82*1.34</f>
        <v>20.77</v>
      </c>
      <c r="U82" s="1">
        <v>10.4</v>
      </c>
      <c r="V82" s="1">
        <f t="shared" si="167"/>
        <v>13.936000000000002</v>
      </c>
      <c r="W82" s="1"/>
      <c r="X82" s="1"/>
      <c r="Y82" s="1"/>
      <c r="Z82" s="1"/>
      <c r="AA82" s="1"/>
      <c r="AB82" s="1"/>
      <c r="AC82" s="1"/>
      <c r="AD82" s="1"/>
      <c r="AE82" s="1">
        <v>2.6</v>
      </c>
      <c r="AF82" s="1">
        <f t="shared" ref="AF82:AF102" si="198">AE82*2.75</f>
        <v>7.15</v>
      </c>
      <c r="AG82" s="1"/>
      <c r="AH82" s="1"/>
      <c r="AI82" s="9"/>
      <c r="AJ82" s="9"/>
      <c r="AK82" s="9"/>
      <c r="AL82" s="9"/>
      <c r="AM82" s="1">
        <f>7.4+1.4</f>
        <v>8.8000000000000007</v>
      </c>
      <c r="AN82" s="1">
        <f t="shared" si="195"/>
        <v>5.28</v>
      </c>
      <c r="AP82" s="1">
        <f t="shared" si="179"/>
        <v>0.81</v>
      </c>
      <c r="AQ82" s="1">
        <f t="shared" si="180"/>
        <v>0.19</v>
      </c>
      <c r="AR82" s="1">
        <f t="shared" si="161"/>
        <v>1</v>
      </c>
    </row>
    <row r="83" spans="2:44" x14ac:dyDescent="0.25">
      <c r="B83" t="s">
        <v>74</v>
      </c>
      <c r="C83" t="s">
        <v>75</v>
      </c>
      <c r="D83" s="1">
        <f>SUM(E83,G83,I83,K83,M83,O83,Q83,S83,U83,W83,Y83,AA83,AC83,AE83,AG83,AI83,AK83)</f>
        <v>68.099999999999994</v>
      </c>
      <c r="E83" s="1">
        <v>19.2</v>
      </c>
      <c r="F83" s="1">
        <f t="shared" si="186"/>
        <v>25.728000000000002</v>
      </c>
      <c r="G83" s="1">
        <v>9.4499999999999993</v>
      </c>
      <c r="H83" s="1">
        <f t="shared" si="186"/>
        <v>12.663</v>
      </c>
      <c r="I83" s="1">
        <v>4.4000000000000004</v>
      </c>
      <c r="J83" s="1">
        <f t="shared" si="163"/>
        <v>10.384</v>
      </c>
      <c r="K83" s="1"/>
      <c r="L83" s="1"/>
      <c r="M83" s="1"/>
      <c r="N83" s="1"/>
      <c r="O83" s="1"/>
      <c r="P83" s="1"/>
      <c r="Q83" s="1"/>
      <c r="R83" s="1"/>
      <c r="S83" s="1">
        <v>15.1</v>
      </c>
      <c r="T83" s="1">
        <f t="shared" ref="T83" si="199">S83*1.34</f>
        <v>20.234000000000002</v>
      </c>
      <c r="U83" s="1">
        <v>10.15</v>
      </c>
      <c r="V83" s="1">
        <f t="shared" si="167"/>
        <v>13.601000000000001</v>
      </c>
      <c r="W83" s="1"/>
      <c r="X83" s="1"/>
      <c r="Y83" s="1"/>
      <c r="Z83" s="1"/>
      <c r="AA83" s="1"/>
      <c r="AB83" s="1"/>
      <c r="AC83" s="1">
        <v>7.55</v>
      </c>
      <c r="AD83" s="1">
        <f t="shared" ref="AD83:AD90" si="200">AC83*2.75</f>
        <v>20.762499999999999</v>
      </c>
      <c r="AE83" s="1">
        <v>1</v>
      </c>
      <c r="AF83" s="1">
        <f t="shared" si="198"/>
        <v>2.75</v>
      </c>
      <c r="AG83" s="1">
        <v>1.25</v>
      </c>
      <c r="AH83" s="1">
        <f>AG83*2.36</f>
        <v>2.9499999999999997</v>
      </c>
      <c r="AI83" s="9"/>
      <c r="AJ83" s="9"/>
      <c r="AK83" s="9"/>
      <c r="AL83" s="9"/>
      <c r="AM83" s="1">
        <v>9.1999999999999993</v>
      </c>
      <c r="AN83" s="1">
        <f t="shared" si="195"/>
        <v>5.52</v>
      </c>
      <c r="AP83" s="1">
        <f t="shared" si="179"/>
        <v>0.8</v>
      </c>
      <c r="AQ83" s="1">
        <f t="shared" si="180"/>
        <v>0.2</v>
      </c>
      <c r="AR83" s="1">
        <f t="shared" si="161"/>
        <v>1</v>
      </c>
    </row>
    <row r="84" spans="2:44" x14ac:dyDescent="0.25">
      <c r="C84" t="s">
        <v>55</v>
      </c>
      <c r="D84" s="1">
        <f>SUM(E84,G84,I84,K84,M84,O84,Q84,S84,U84,W84,Y84,AA84,AC84,AE84,AG84,AI84,AK84)</f>
        <v>68.11</v>
      </c>
      <c r="E84" s="1">
        <v>18.53</v>
      </c>
      <c r="F84" s="1">
        <f t="shared" si="186"/>
        <v>24.830200000000001</v>
      </c>
      <c r="G84" s="1">
        <v>7.99</v>
      </c>
      <c r="H84" s="1">
        <f t="shared" si="186"/>
        <v>10.706600000000002</v>
      </c>
      <c r="I84" s="1">
        <v>3.36</v>
      </c>
      <c r="J84" s="1">
        <f t="shared" si="163"/>
        <v>7.9295999999999989</v>
      </c>
      <c r="K84" s="1">
        <v>2.37</v>
      </c>
      <c r="L84" s="1">
        <f t="shared" ref="L84:L85" si="201">K84*2.36</f>
        <v>5.5932000000000004</v>
      </c>
      <c r="M84" s="1"/>
      <c r="N84" s="1"/>
      <c r="O84" s="1"/>
      <c r="P84" s="1"/>
      <c r="Q84" s="1"/>
      <c r="R84" s="1"/>
      <c r="S84" s="1">
        <v>12.93</v>
      </c>
      <c r="T84" s="1">
        <f t="shared" ref="T84" si="202">S84*1.34</f>
        <v>17.3262</v>
      </c>
      <c r="U84" s="1">
        <v>8.7100000000000009</v>
      </c>
      <c r="V84" s="1">
        <f t="shared" si="167"/>
        <v>11.671400000000002</v>
      </c>
      <c r="W84" s="1">
        <v>8.69</v>
      </c>
      <c r="X84" s="1">
        <f t="shared" ref="X84:X86" si="203">W84*1.34</f>
        <v>11.644600000000001</v>
      </c>
      <c r="Y84" s="1"/>
      <c r="Z84" s="1"/>
      <c r="AA84" s="1"/>
      <c r="AB84" s="1"/>
      <c r="AC84" s="1">
        <v>1.1000000000000001</v>
      </c>
      <c r="AD84" s="1">
        <f t="shared" si="200"/>
        <v>3.0250000000000004</v>
      </c>
      <c r="AE84" s="1">
        <v>4.43</v>
      </c>
      <c r="AF84" s="1">
        <f t="shared" si="198"/>
        <v>12.182499999999999</v>
      </c>
      <c r="AG84" s="1"/>
      <c r="AH84" s="1"/>
      <c r="AI84" s="9"/>
      <c r="AJ84" s="9"/>
      <c r="AK84" s="9"/>
      <c r="AL84" s="9"/>
      <c r="AM84" s="1"/>
      <c r="AN84" s="1"/>
      <c r="AP84" s="1">
        <f t="shared" si="179"/>
        <v>0.8</v>
      </c>
      <c r="AQ84" s="1">
        <f t="shared" si="180"/>
        <v>0.2</v>
      </c>
      <c r="AR84" s="1">
        <f t="shared" si="161"/>
        <v>1</v>
      </c>
    </row>
    <row r="85" spans="2:44" x14ac:dyDescent="0.25">
      <c r="B85" t="s">
        <v>42</v>
      </c>
      <c r="C85" t="s">
        <v>77</v>
      </c>
      <c r="D85" s="1">
        <f>SUM(E85,G85,I85,K85,M85,O85,Q85,S85,U85,W85,Y85,AA85,AC85,AE85,AG85,AI85,AK85)</f>
        <v>68.2</v>
      </c>
      <c r="E85" s="1">
        <v>18</v>
      </c>
      <c r="F85" s="1">
        <f t="shared" si="186"/>
        <v>24.12</v>
      </c>
      <c r="G85" s="1">
        <v>7.15</v>
      </c>
      <c r="H85" s="1">
        <f t="shared" si="186"/>
        <v>9.5810000000000013</v>
      </c>
      <c r="I85" s="1">
        <v>3.5</v>
      </c>
      <c r="J85" s="1">
        <f t="shared" si="163"/>
        <v>8.26</v>
      </c>
      <c r="K85" s="1">
        <v>3.15</v>
      </c>
      <c r="L85" s="1">
        <f t="shared" si="201"/>
        <v>7.4339999999999993</v>
      </c>
      <c r="M85" s="1"/>
      <c r="N85" s="1"/>
      <c r="O85" s="1"/>
      <c r="P85" s="1"/>
      <c r="Q85" s="1"/>
      <c r="R85" s="1"/>
      <c r="S85" s="1">
        <v>12.05</v>
      </c>
      <c r="T85" s="1">
        <f t="shared" ref="T85" si="204">S85*1.34</f>
        <v>16.147000000000002</v>
      </c>
      <c r="U85" s="1">
        <v>11.3</v>
      </c>
      <c r="V85" s="1">
        <f t="shared" si="167"/>
        <v>15.142000000000001</v>
      </c>
      <c r="W85" s="1">
        <v>7.2</v>
      </c>
      <c r="X85" s="1">
        <f t="shared" si="203"/>
        <v>9.6480000000000015</v>
      </c>
      <c r="Y85" s="1"/>
      <c r="Z85" s="1"/>
      <c r="AA85" s="1"/>
      <c r="AB85" s="1"/>
      <c r="AC85" s="1">
        <v>2.2000000000000002</v>
      </c>
      <c r="AD85" s="1">
        <f t="shared" si="200"/>
        <v>6.0500000000000007</v>
      </c>
      <c r="AE85" s="1">
        <v>3.65</v>
      </c>
      <c r="AF85" s="1">
        <f t="shared" si="198"/>
        <v>10.0375</v>
      </c>
      <c r="AG85" s="1"/>
      <c r="AH85" s="1"/>
      <c r="AI85" s="9"/>
      <c r="AJ85" s="9"/>
      <c r="AK85" s="9"/>
      <c r="AL85" s="9"/>
      <c r="AM85" s="1"/>
      <c r="AN85" s="1"/>
      <c r="AP85" s="1">
        <f t="shared" si="179"/>
        <v>0.8</v>
      </c>
      <c r="AQ85" s="1">
        <f t="shared" si="180"/>
        <v>0.2</v>
      </c>
      <c r="AR85" s="1">
        <f t="shared" si="161"/>
        <v>1</v>
      </c>
    </row>
    <row r="86" spans="2:44" x14ac:dyDescent="0.25">
      <c r="C86" t="s">
        <v>67</v>
      </c>
      <c r="D86" s="1">
        <f>SUM(E86,G86,I86,K86,M86,O86,Q86,S86,U86,W86,Y86,AA86,AC86,AE86,AG86,AI86,AK86)</f>
        <v>68.250000000000014</v>
      </c>
      <c r="E86" s="1">
        <v>19.940000000000001</v>
      </c>
      <c r="F86" s="1">
        <f t="shared" si="186"/>
        <v>26.719600000000003</v>
      </c>
      <c r="G86" s="1">
        <v>7.29</v>
      </c>
      <c r="H86" s="1">
        <f t="shared" si="186"/>
        <v>9.7686000000000011</v>
      </c>
      <c r="I86" s="1">
        <v>4.5</v>
      </c>
      <c r="J86" s="1">
        <f t="shared" si="163"/>
        <v>10.62</v>
      </c>
      <c r="K86" s="1"/>
      <c r="L86" s="1"/>
      <c r="M86" s="1"/>
      <c r="N86" s="1"/>
      <c r="O86" s="1"/>
      <c r="P86" s="1"/>
      <c r="Q86" s="1">
        <v>2.93</v>
      </c>
      <c r="R86" s="1">
        <f>Q86*2.36</f>
        <v>6.9147999999999996</v>
      </c>
      <c r="S86" s="1">
        <v>10.76</v>
      </c>
      <c r="T86" s="1">
        <f t="shared" ref="T86" si="205">S86*1.34</f>
        <v>14.4184</v>
      </c>
      <c r="U86" s="1">
        <v>8.68</v>
      </c>
      <c r="V86" s="1">
        <f t="shared" si="167"/>
        <v>11.6312</v>
      </c>
      <c r="W86" s="1">
        <v>8.2100000000000009</v>
      </c>
      <c r="X86" s="1">
        <f t="shared" si="203"/>
        <v>11.001400000000002</v>
      </c>
      <c r="Y86" s="1"/>
      <c r="Z86" s="1"/>
      <c r="AA86" s="1"/>
      <c r="AB86" s="1"/>
      <c r="AC86" s="1">
        <v>2.65</v>
      </c>
      <c r="AD86" s="1">
        <f t="shared" si="200"/>
        <v>7.2874999999999996</v>
      </c>
      <c r="AE86" s="1">
        <v>3.29</v>
      </c>
      <c r="AF86" s="1">
        <f t="shared" si="198"/>
        <v>9.0474999999999994</v>
      </c>
      <c r="AG86" s="1"/>
      <c r="AH86" s="1"/>
      <c r="AI86" s="9"/>
      <c r="AJ86" s="9"/>
      <c r="AK86" s="9"/>
      <c r="AL86" s="9"/>
      <c r="AM86" s="1"/>
      <c r="AN86" s="1"/>
      <c r="AP86" s="1">
        <f t="shared" si="179"/>
        <v>0.78</v>
      </c>
      <c r="AQ86" s="1">
        <f t="shared" si="180"/>
        <v>0.22</v>
      </c>
      <c r="AR86" s="1">
        <f t="shared" si="161"/>
        <v>1</v>
      </c>
    </row>
    <row r="87" spans="2:44" x14ac:dyDescent="0.25">
      <c r="B87" t="s">
        <v>40</v>
      </c>
      <c r="C87" t="s">
        <v>45</v>
      </c>
      <c r="D87" s="1">
        <f>SUM(E87,G87,I87,K87,M87,O87,Q87,S87,U87,W87,Y87,AA87,AC87,AE87,AG87,AI87,AK87)</f>
        <v>68.3</v>
      </c>
      <c r="E87" s="1">
        <v>24.5</v>
      </c>
      <c r="F87" s="1">
        <f t="shared" si="186"/>
        <v>32.830000000000005</v>
      </c>
      <c r="G87" s="1">
        <v>7.2</v>
      </c>
      <c r="H87" s="1">
        <f t="shared" si="186"/>
        <v>9.6480000000000015</v>
      </c>
      <c r="I87" s="1">
        <v>3.5</v>
      </c>
      <c r="J87" s="1">
        <f t="shared" si="163"/>
        <v>8.26</v>
      </c>
      <c r="K87" s="1">
        <v>3.3</v>
      </c>
      <c r="L87" s="1">
        <f t="shared" ref="L87:L90" si="206">K87*2.36</f>
        <v>7.7879999999999994</v>
      </c>
      <c r="M87" s="1"/>
      <c r="N87" s="1"/>
      <c r="O87" s="1"/>
      <c r="P87" s="1"/>
      <c r="Q87" s="1"/>
      <c r="R87" s="1"/>
      <c r="S87" s="1">
        <v>13.3</v>
      </c>
      <c r="T87" s="1">
        <f t="shared" ref="T87" si="207">S87*1.34</f>
        <v>17.822000000000003</v>
      </c>
      <c r="U87" s="1">
        <v>9.3000000000000007</v>
      </c>
      <c r="V87" s="1">
        <f t="shared" si="167"/>
        <v>12.462000000000002</v>
      </c>
      <c r="W87" s="1"/>
      <c r="X87" s="1"/>
      <c r="Y87" s="1"/>
      <c r="Z87" s="1"/>
      <c r="AA87" s="1"/>
      <c r="AB87" s="1"/>
      <c r="AC87" s="1">
        <v>4.4000000000000004</v>
      </c>
      <c r="AD87" s="1">
        <f t="shared" si="200"/>
        <v>12.100000000000001</v>
      </c>
      <c r="AE87" s="1">
        <v>2.8</v>
      </c>
      <c r="AF87" s="1">
        <f t="shared" si="198"/>
        <v>7.6999999999999993</v>
      </c>
      <c r="AG87" s="1"/>
      <c r="AH87" s="1"/>
      <c r="AI87" s="9"/>
      <c r="AJ87" s="9"/>
      <c r="AK87" s="9"/>
      <c r="AL87" s="9"/>
      <c r="AM87" s="1">
        <f>9.4+4.7</f>
        <v>14.100000000000001</v>
      </c>
      <c r="AN87" s="1">
        <f>AM87*0.6</f>
        <v>8.4600000000000009</v>
      </c>
      <c r="AP87" s="1">
        <f t="shared" si="179"/>
        <v>0.8</v>
      </c>
      <c r="AQ87" s="1">
        <f t="shared" si="180"/>
        <v>0.2</v>
      </c>
      <c r="AR87" s="1">
        <f t="shared" si="161"/>
        <v>1</v>
      </c>
    </row>
    <row r="88" spans="2:44" x14ac:dyDescent="0.25">
      <c r="B88" t="s">
        <v>42</v>
      </c>
      <c r="C88" t="s">
        <v>78</v>
      </c>
      <c r="D88" s="1">
        <f>SUM(E88,G88,I88,K88,M88,O88,Q88,S88,U88,W88,Y88,AA88,AC88,AE88,AG88,AI88,AK88)</f>
        <v>68.319999999999993</v>
      </c>
      <c r="E88" s="1">
        <v>19.36</v>
      </c>
      <c r="F88" s="1">
        <f t="shared" si="186"/>
        <v>25.942399999999999</v>
      </c>
      <c r="G88" s="1">
        <v>7.49</v>
      </c>
      <c r="H88" s="1">
        <f t="shared" si="186"/>
        <v>10.036600000000002</v>
      </c>
      <c r="I88" s="1">
        <v>3.6</v>
      </c>
      <c r="J88" s="1">
        <f t="shared" si="163"/>
        <v>8.4960000000000004</v>
      </c>
      <c r="K88" s="1">
        <v>2.65</v>
      </c>
      <c r="L88" s="1">
        <f t="shared" si="206"/>
        <v>6.2539999999999996</v>
      </c>
      <c r="M88" s="1"/>
      <c r="N88" s="1"/>
      <c r="O88" s="1"/>
      <c r="P88" s="1"/>
      <c r="Q88" s="1"/>
      <c r="R88" s="1"/>
      <c r="S88" s="1">
        <v>11.54</v>
      </c>
      <c r="T88" s="1">
        <f t="shared" ref="T88" si="208">S88*1.34</f>
        <v>15.4636</v>
      </c>
      <c r="U88" s="1">
        <v>9.2899999999999991</v>
      </c>
      <c r="V88" s="1">
        <f t="shared" si="167"/>
        <v>12.448599999999999</v>
      </c>
      <c r="W88" s="1">
        <v>8.5299999999999994</v>
      </c>
      <c r="X88" s="1">
        <f t="shared" ref="X88:X90" si="209">W88*1.34</f>
        <v>11.430199999999999</v>
      </c>
      <c r="Y88" s="1"/>
      <c r="Z88" s="1"/>
      <c r="AA88" s="1"/>
      <c r="AB88" s="1"/>
      <c r="AC88" s="1">
        <v>2.42</v>
      </c>
      <c r="AD88" s="1">
        <f t="shared" si="200"/>
        <v>6.6549999999999994</v>
      </c>
      <c r="AE88" s="1">
        <v>3.44</v>
      </c>
      <c r="AF88" s="1">
        <f t="shared" si="198"/>
        <v>9.4599999999999991</v>
      </c>
      <c r="AG88" s="1"/>
      <c r="AH88" s="1"/>
      <c r="AI88" s="9"/>
      <c r="AJ88" s="9"/>
      <c r="AK88" s="9"/>
      <c r="AL88" s="9"/>
      <c r="AM88" s="1"/>
      <c r="AN88" s="1"/>
      <c r="AP88" s="1">
        <f t="shared" si="179"/>
        <v>0.8</v>
      </c>
      <c r="AQ88" s="1">
        <f t="shared" si="180"/>
        <v>0.2</v>
      </c>
      <c r="AR88" s="1">
        <f t="shared" si="161"/>
        <v>1</v>
      </c>
    </row>
    <row r="89" spans="2:44" x14ac:dyDescent="0.25">
      <c r="C89" t="s">
        <v>55</v>
      </c>
      <c r="D89" s="1">
        <f>SUM(E89,G89,I89,K89,M89,O89,Q89,S89,U89,W89,Y89,AA89,AC89,AE89,AG89,AI89,AK89)</f>
        <v>68.350000000000009</v>
      </c>
      <c r="E89" s="1">
        <v>18.190000000000001</v>
      </c>
      <c r="F89" s="1">
        <f t="shared" si="186"/>
        <v>24.374600000000004</v>
      </c>
      <c r="G89" s="1">
        <v>7.26</v>
      </c>
      <c r="H89" s="1">
        <f t="shared" si="186"/>
        <v>9.7284000000000006</v>
      </c>
      <c r="I89" s="1">
        <v>3.38</v>
      </c>
      <c r="J89" s="1">
        <f t="shared" si="163"/>
        <v>7.976799999999999</v>
      </c>
      <c r="K89" s="1">
        <v>3.36</v>
      </c>
      <c r="L89" s="1">
        <f t="shared" si="206"/>
        <v>7.9295999999999989</v>
      </c>
      <c r="M89" s="1"/>
      <c r="N89" s="1"/>
      <c r="O89" s="1"/>
      <c r="P89" s="1"/>
      <c r="Q89" s="1"/>
      <c r="R89" s="1"/>
      <c r="S89" s="1">
        <v>12.6</v>
      </c>
      <c r="T89" s="1">
        <f t="shared" ref="T89" si="210">S89*1.34</f>
        <v>16.884</v>
      </c>
      <c r="U89" s="1">
        <v>8.1300000000000008</v>
      </c>
      <c r="V89" s="1">
        <f t="shared" si="167"/>
        <v>10.894200000000001</v>
      </c>
      <c r="W89" s="1">
        <v>8.01</v>
      </c>
      <c r="X89" s="1">
        <f t="shared" si="209"/>
        <v>10.7334</v>
      </c>
      <c r="Y89" s="1"/>
      <c r="Z89" s="1"/>
      <c r="AA89" s="1"/>
      <c r="AB89" s="1"/>
      <c r="AC89" s="1">
        <v>1.1499999999999999</v>
      </c>
      <c r="AD89" s="1">
        <f t="shared" si="200"/>
        <v>3.1624999999999996</v>
      </c>
      <c r="AE89" s="1">
        <v>6.27</v>
      </c>
      <c r="AF89" s="1">
        <f t="shared" si="198"/>
        <v>17.2425</v>
      </c>
      <c r="AG89" s="1"/>
      <c r="AH89" s="1"/>
      <c r="AI89" s="9"/>
      <c r="AJ89" s="9"/>
      <c r="AK89" s="9"/>
      <c r="AL89" s="9"/>
      <c r="AM89" s="1"/>
      <c r="AN89" s="1"/>
      <c r="AP89" s="1">
        <f t="shared" si="179"/>
        <v>0.8</v>
      </c>
      <c r="AQ89" s="1">
        <f t="shared" si="180"/>
        <v>0.2</v>
      </c>
      <c r="AR89" s="1">
        <f t="shared" si="161"/>
        <v>1</v>
      </c>
    </row>
    <row r="90" spans="2:44" x14ac:dyDescent="0.25">
      <c r="C90" t="s">
        <v>55</v>
      </c>
      <c r="D90" s="1">
        <f>SUM(E90,G90,I90,K90,M90,O90,Q90,S90,U90,W90,Y90,AA90,AC90,AE90,AG90,AI90,AK90)</f>
        <v>68.540000000000006</v>
      </c>
      <c r="E90" s="1">
        <v>18.489999999999998</v>
      </c>
      <c r="F90" s="1">
        <f t="shared" si="186"/>
        <v>24.776599999999998</v>
      </c>
      <c r="G90" s="1">
        <v>7.59</v>
      </c>
      <c r="H90" s="1">
        <f t="shared" si="186"/>
        <v>10.1706</v>
      </c>
      <c r="I90" s="1">
        <v>3.78</v>
      </c>
      <c r="J90" s="1">
        <f t="shared" si="163"/>
        <v>8.9207999999999998</v>
      </c>
      <c r="K90" s="1">
        <v>3.14</v>
      </c>
      <c r="L90" s="1">
        <f t="shared" si="206"/>
        <v>7.4104000000000001</v>
      </c>
      <c r="M90" s="1"/>
      <c r="N90" s="1"/>
      <c r="O90" s="1"/>
      <c r="P90" s="1"/>
      <c r="Q90" s="1"/>
      <c r="R90" s="1"/>
      <c r="S90" s="1">
        <v>12.03</v>
      </c>
      <c r="T90" s="1">
        <f t="shared" ref="T90" si="211">S90*1.34</f>
        <v>16.120200000000001</v>
      </c>
      <c r="U90" s="1">
        <v>8.25</v>
      </c>
      <c r="V90" s="1">
        <f t="shared" si="167"/>
        <v>11.055000000000001</v>
      </c>
      <c r="W90" s="1">
        <v>8.1</v>
      </c>
      <c r="X90" s="1">
        <f t="shared" si="209"/>
        <v>10.854000000000001</v>
      </c>
      <c r="Y90" s="1"/>
      <c r="Z90" s="1"/>
      <c r="AA90" s="1"/>
      <c r="AB90" s="1"/>
      <c r="AC90" s="1">
        <v>1.24</v>
      </c>
      <c r="AD90" s="1">
        <f t="shared" si="200"/>
        <v>3.41</v>
      </c>
      <c r="AE90" s="1">
        <v>5.92</v>
      </c>
      <c r="AF90" s="1">
        <f t="shared" si="198"/>
        <v>16.28</v>
      </c>
      <c r="AG90" s="1"/>
      <c r="AH90" s="1"/>
      <c r="AI90" s="9"/>
      <c r="AJ90" s="9"/>
      <c r="AK90" s="9"/>
      <c r="AL90" s="9"/>
      <c r="AM90" s="1"/>
      <c r="AN90" s="1"/>
      <c r="AP90" s="1">
        <f t="shared" si="179"/>
        <v>0.79</v>
      </c>
      <c r="AQ90" s="1">
        <f t="shared" si="180"/>
        <v>0.21</v>
      </c>
      <c r="AR90" s="1">
        <f t="shared" si="161"/>
        <v>1</v>
      </c>
    </row>
    <row r="91" spans="2:44" x14ac:dyDescent="0.25">
      <c r="B91" t="s">
        <v>41</v>
      </c>
      <c r="C91" t="s">
        <v>47</v>
      </c>
      <c r="D91" s="1">
        <f>SUM(E91,G91,I91,K91,M91,O91,Q91,S91,U91,W91,Y91,AA91,AC91,AE91,AG91,AI91,AK91)</f>
        <v>68.599999999999994</v>
      </c>
      <c r="E91" s="1">
        <v>26.6</v>
      </c>
      <c r="F91" s="1">
        <f t="shared" si="186"/>
        <v>35.644000000000005</v>
      </c>
      <c r="G91" s="1">
        <v>9.1999999999999993</v>
      </c>
      <c r="H91" s="1">
        <f t="shared" si="186"/>
        <v>12.327999999999999</v>
      </c>
      <c r="I91" s="1">
        <v>4</v>
      </c>
      <c r="J91" s="1">
        <f t="shared" si="163"/>
        <v>9.44</v>
      </c>
      <c r="K91" s="1"/>
      <c r="L91" s="1"/>
      <c r="M91" s="1"/>
      <c r="N91" s="1"/>
      <c r="O91" s="1"/>
      <c r="P91" s="1"/>
      <c r="Q91" s="1"/>
      <c r="R91" s="1"/>
      <c r="S91" s="1">
        <v>15.5</v>
      </c>
      <c r="T91" s="1">
        <f t="shared" ref="T91" si="212">S91*1.34</f>
        <v>20.77</v>
      </c>
      <c r="U91" s="1">
        <v>10.7</v>
      </c>
      <c r="V91" s="1">
        <f t="shared" si="167"/>
        <v>14.337999999999999</v>
      </c>
      <c r="W91" s="1"/>
      <c r="X91" s="1"/>
      <c r="Y91" s="1"/>
      <c r="Z91" s="1"/>
      <c r="AA91" s="1"/>
      <c r="AB91" s="1"/>
      <c r="AC91" s="1"/>
      <c r="AD91" s="1"/>
      <c r="AE91" s="1">
        <v>2.6</v>
      </c>
      <c r="AF91" s="1">
        <f t="shared" si="198"/>
        <v>7.15</v>
      </c>
      <c r="AG91" s="1"/>
      <c r="AH91" s="1"/>
      <c r="AI91" s="9"/>
      <c r="AJ91" s="9"/>
      <c r="AK91" s="9"/>
      <c r="AL91" s="9"/>
      <c r="AM91" s="1">
        <f>6.8+1.1</f>
        <v>7.9</v>
      </c>
      <c r="AN91" s="1">
        <f t="shared" ref="AN91:AN92" si="213">AM91*0.6</f>
        <v>4.74</v>
      </c>
      <c r="AP91" s="1">
        <f t="shared" si="179"/>
        <v>0.81</v>
      </c>
      <c r="AQ91" s="1">
        <f t="shared" si="180"/>
        <v>0.19</v>
      </c>
      <c r="AR91" s="1">
        <f t="shared" si="161"/>
        <v>1</v>
      </c>
    </row>
    <row r="92" spans="2:44" x14ac:dyDescent="0.25">
      <c r="C92" t="s">
        <v>67</v>
      </c>
      <c r="D92" s="1">
        <f>SUM(E92,G92,I92,K92,M92,O92,Q92,S92,U92,W92,Y92,AA92,AC92,AE92,AG92,AI92,AK92)</f>
        <v>68.62</v>
      </c>
      <c r="E92" s="1">
        <v>19.899999999999999</v>
      </c>
      <c r="F92" s="1">
        <f t="shared" si="186"/>
        <v>26.666</v>
      </c>
      <c r="G92" s="1">
        <v>6.61</v>
      </c>
      <c r="H92" s="1">
        <f t="shared" si="186"/>
        <v>8.8574000000000002</v>
      </c>
      <c r="I92" s="1">
        <v>4.46</v>
      </c>
      <c r="J92" s="1">
        <f t="shared" si="163"/>
        <v>10.525599999999999</v>
      </c>
      <c r="K92" s="1"/>
      <c r="L92" s="1"/>
      <c r="M92" s="1"/>
      <c r="N92" s="1"/>
      <c r="O92" s="1"/>
      <c r="P92" s="1"/>
      <c r="Q92" s="1">
        <v>2.93</v>
      </c>
      <c r="R92" s="1">
        <f>Q92*2.36</f>
        <v>6.9147999999999996</v>
      </c>
      <c r="S92" s="1">
        <v>10.68</v>
      </c>
      <c r="T92" s="1">
        <f t="shared" ref="T92" si="214">S92*1.34</f>
        <v>14.311200000000001</v>
      </c>
      <c r="U92" s="1">
        <v>8.69</v>
      </c>
      <c r="V92" s="1">
        <f t="shared" si="167"/>
        <v>11.644600000000001</v>
      </c>
      <c r="W92" s="1">
        <v>8.2100000000000009</v>
      </c>
      <c r="X92" s="1">
        <f t="shared" ref="X92:X93" si="215">W92*1.34</f>
        <v>11.001400000000002</v>
      </c>
      <c r="Y92" s="1"/>
      <c r="Z92" s="1"/>
      <c r="AA92" s="1"/>
      <c r="AB92" s="1"/>
      <c r="AC92" s="1">
        <v>2.65</v>
      </c>
      <c r="AD92" s="1">
        <f t="shared" ref="AD92:AD93" si="216">AC92*2.75</f>
        <v>7.2874999999999996</v>
      </c>
      <c r="AE92" s="1">
        <v>3.29</v>
      </c>
      <c r="AF92" s="1">
        <f t="shared" si="198"/>
        <v>9.0474999999999994</v>
      </c>
      <c r="AG92" s="1">
        <v>1.2</v>
      </c>
      <c r="AH92" s="1">
        <f>AG92*2.36</f>
        <v>2.8319999999999999</v>
      </c>
      <c r="AI92" s="9"/>
      <c r="AJ92" s="9"/>
      <c r="AK92" s="9"/>
      <c r="AL92" s="9"/>
      <c r="AM92" s="1">
        <v>1.88</v>
      </c>
      <c r="AN92" s="1">
        <f t="shared" si="213"/>
        <v>1.1279999999999999</v>
      </c>
      <c r="AP92" s="1">
        <f t="shared" si="179"/>
        <v>0.8</v>
      </c>
      <c r="AQ92" s="1">
        <f t="shared" si="180"/>
        <v>0.2</v>
      </c>
      <c r="AR92" s="1">
        <f t="shared" si="161"/>
        <v>1</v>
      </c>
    </row>
    <row r="93" spans="2:44" x14ac:dyDescent="0.25">
      <c r="B93" t="s">
        <v>42</v>
      </c>
      <c r="C93" t="s">
        <v>77</v>
      </c>
      <c r="D93" s="1">
        <f>SUM(E93,G93,I93,K93,M93,O93,Q93,S93,U93,W93,Y93,AA93,AC93,AE93,AG93,AI93,AK93)</f>
        <v>68.649999999999991</v>
      </c>
      <c r="E93" s="1">
        <v>18.5</v>
      </c>
      <c r="F93" s="1">
        <f t="shared" si="186"/>
        <v>24.790000000000003</v>
      </c>
      <c r="G93" s="1">
        <v>7.15</v>
      </c>
      <c r="H93" s="1">
        <f t="shared" si="186"/>
        <v>9.5810000000000013</v>
      </c>
      <c r="I93" s="1">
        <v>3.95</v>
      </c>
      <c r="J93" s="1">
        <f t="shared" si="163"/>
        <v>9.3219999999999992</v>
      </c>
      <c r="K93" s="1">
        <v>2.9</v>
      </c>
      <c r="L93" s="1">
        <f t="shared" ref="L93:L96" si="217">K93*2.36</f>
        <v>6.8439999999999994</v>
      </c>
      <c r="M93" s="1"/>
      <c r="N93" s="1"/>
      <c r="O93" s="1"/>
      <c r="P93" s="1"/>
      <c r="Q93" s="1"/>
      <c r="R93" s="1"/>
      <c r="S93" s="1">
        <v>12.45</v>
      </c>
      <c r="T93" s="1">
        <f t="shared" ref="T93" si="218">S93*1.34</f>
        <v>16.683</v>
      </c>
      <c r="U93" s="1">
        <v>8.0500000000000007</v>
      </c>
      <c r="V93" s="1">
        <f t="shared" si="167"/>
        <v>10.787000000000001</v>
      </c>
      <c r="W93" s="1">
        <v>7.3</v>
      </c>
      <c r="X93" s="1">
        <f t="shared" si="215"/>
        <v>9.782</v>
      </c>
      <c r="Y93" s="1"/>
      <c r="Z93" s="1"/>
      <c r="AA93" s="1"/>
      <c r="AB93" s="1"/>
      <c r="AC93" s="1">
        <v>4.55</v>
      </c>
      <c r="AD93" s="1">
        <f t="shared" si="216"/>
        <v>12.512499999999999</v>
      </c>
      <c r="AE93" s="1">
        <v>3.8</v>
      </c>
      <c r="AF93" s="1">
        <f t="shared" si="198"/>
        <v>10.45</v>
      </c>
      <c r="AG93" s="1"/>
      <c r="AH93" s="1"/>
      <c r="AI93" s="9"/>
      <c r="AJ93" s="9"/>
      <c r="AK93" s="9"/>
      <c r="AL93" s="9"/>
      <c r="AM93" s="1"/>
      <c r="AN93" s="1"/>
      <c r="AP93" s="1">
        <f t="shared" si="179"/>
        <v>0.8</v>
      </c>
      <c r="AQ93" s="1">
        <f t="shared" si="180"/>
        <v>0.2</v>
      </c>
      <c r="AR93" s="1">
        <f t="shared" si="161"/>
        <v>1</v>
      </c>
    </row>
    <row r="94" spans="2:44" x14ac:dyDescent="0.25">
      <c r="B94" t="s">
        <v>62</v>
      </c>
      <c r="C94" t="s">
        <v>105</v>
      </c>
      <c r="D94" s="1">
        <f>SUM(E94,G94,I94,K94,M94,O94,Q94,S94,U94,W94,Y94,AA94,AC94,AE94,AG94,AI94,AK94)</f>
        <v>68.660000000000011</v>
      </c>
      <c r="E94" s="1">
        <v>23.53</v>
      </c>
      <c r="F94" s="1">
        <f t="shared" si="186"/>
        <v>31.530200000000004</v>
      </c>
      <c r="G94" s="1">
        <v>6.5</v>
      </c>
      <c r="H94" s="1">
        <f t="shared" si="186"/>
        <v>8.7100000000000009</v>
      </c>
      <c r="I94" s="1">
        <v>5.07</v>
      </c>
      <c r="J94" s="1">
        <f t="shared" si="163"/>
        <v>11.965199999999999</v>
      </c>
      <c r="K94" s="1">
        <v>4.41</v>
      </c>
      <c r="L94" s="1">
        <f t="shared" si="217"/>
        <v>10.4076</v>
      </c>
      <c r="M94" s="1"/>
      <c r="N94" s="1"/>
      <c r="O94" s="1"/>
      <c r="P94" s="1"/>
      <c r="Q94" s="1"/>
      <c r="R94" s="1"/>
      <c r="S94" s="1">
        <v>14.13</v>
      </c>
      <c r="T94" s="1">
        <f t="shared" ref="T94" si="219">S94*1.34</f>
        <v>18.934200000000001</v>
      </c>
      <c r="U94" s="1">
        <v>11.82</v>
      </c>
      <c r="V94" s="1">
        <f t="shared" si="167"/>
        <v>15.838800000000001</v>
      </c>
      <c r="W94" s="1"/>
      <c r="X94" s="1"/>
      <c r="Y94" s="1"/>
      <c r="Z94" s="1"/>
      <c r="AA94" s="1"/>
      <c r="AB94" s="1"/>
      <c r="AC94" s="1"/>
      <c r="AD94" s="1"/>
      <c r="AE94" s="1">
        <v>3.2</v>
      </c>
      <c r="AF94" s="1">
        <f t="shared" si="198"/>
        <v>8.8000000000000007</v>
      </c>
      <c r="AG94" s="1"/>
      <c r="AH94" s="1"/>
      <c r="AI94" s="9"/>
      <c r="AJ94" s="9"/>
      <c r="AK94" s="9"/>
      <c r="AL94" s="9"/>
      <c r="AM94" s="1"/>
      <c r="AN94" s="1"/>
      <c r="AP94" s="1">
        <f t="shared" si="179"/>
        <v>0.77</v>
      </c>
      <c r="AQ94" s="1">
        <f t="shared" si="180"/>
        <v>0.23</v>
      </c>
      <c r="AR94" s="1">
        <f t="shared" si="161"/>
        <v>1</v>
      </c>
    </row>
    <row r="95" spans="2:44" x14ac:dyDescent="0.25">
      <c r="B95" t="s">
        <v>106</v>
      </c>
      <c r="C95" t="s">
        <v>107</v>
      </c>
      <c r="D95" s="1">
        <f>SUM(E95,G95,I95,K95,M95,O95,Q95,S95,U95,W95,Y95,AA95,AC95,AE95,AG95,AI95,AK95)</f>
        <v>68.75</v>
      </c>
      <c r="E95" s="1">
        <v>19.3</v>
      </c>
      <c r="F95" s="1">
        <f t="shared" si="186"/>
        <v>25.862000000000002</v>
      </c>
      <c r="G95" s="1">
        <v>8.9499999999999993</v>
      </c>
      <c r="H95" s="1">
        <f t="shared" si="186"/>
        <v>11.993</v>
      </c>
      <c r="I95" s="1">
        <v>3.65</v>
      </c>
      <c r="J95" s="1">
        <f t="shared" si="163"/>
        <v>8.613999999999999</v>
      </c>
      <c r="K95" s="1">
        <v>3.55</v>
      </c>
      <c r="L95" s="1">
        <f t="shared" si="217"/>
        <v>8.3779999999999983</v>
      </c>
      <c r="M95" s="1"/>
      <c r="N95" s="1"/>
      <c r="O95" s="1"/>
      <c r="P95" s="1"/>
      <c r="Q95" s="1"/>
      <c r="R95" s="1"/>
      <c r="S95" s="1">
        <v>12.45</v>
      </c>
      <c r="T95" s="1">
        <f t="shared" ref="T95" si="220">S95*1.34</f>
        <v>16.683</v>
      </c>
      <c r="U95" s="1">
        <v>7.5</v>
      </c>
      <c r="V95" s="1">
        <f t="shared" si="167"/>
        <v>10.050000000000001</v>
      </c>
      <c r="W95" s="1">
        <v>7.35</v>
      </c>
      <c r="X95" s="1">
        <f t="shared" ref="X95:X97" si="221">W95*1.34</f>
        <v>9.8490000000000002</v>
      </c>
      <c r="Y95" s="1"/>
      <c r="Z95" s="1"/>
      <c r="AA95" s="1"/>
      <c r="AB95" s="1"/>
      <c r="AC95" s="1">
        <v>2.8</v>
      </c>
      <c r="AD95" s="1">
        <f t="shared" ref="AD95:AD100" si="222">AC95*2.75</f>
        <v>7.6999999999999993</v>
      </c>
      <c r="AE95" s="1">
        <v>3.2</v>
      </c>
      <c r="AF95" s="1">
        <f t="shared" si="198"/>
        <v>8.8000000000000007</v>
      </c>
      <c r="AG95" s="1"/>
      <c r="AH95" s="1"/>
      <c r="AI95" s="9"/>
      <c r="AJ95" s="9"/>
      <c r="AK95" s="9"/>
      <c r="AL95" s="9"/>
      <c r="AM95" s="1">
        <v>9</v>
      </c>
      <c r="AN95" s="1">
        <f t="shared" ref="AN95:AN96" si="223">AM95*0.6</f>
        <v>5.3999999999999995</v>
      </c>
      <c r="AP95" s="1">
        <f t="shared" si="179"/>
        <v>0.77</v>
      </c>
      <c r="AQ95" s="1">
        <f t="shared" si="180"/>
        <v>0.23</v>
      </c>
      <c r="AR95" s="1">
        <f t="shared" si="161"/>
        <v>1</v>
      </c>
    </row>
    <row r="96" spans="2:44" x14ac:dyDescent="0.25">
      <c r="B96" t="s">
        <v>42</v>
      </c>
      <c r="C96" t="s">
        <v>69</v>
      </c>
      <c r="D96" s="1">
        <f>SUM(E96,G96,I96,K96,M96,O96,Q96,S96,U96,W96,Y96,AA96,AC96,AE96,AG96,AI96,AK96)</f>
        <v>68.77000000000001</v>
      </c>
      <c r="E96" s="1">
        <v>18.12</v>
      </c>
      <c r="F96" s="1">
        <f t="shared" si="186"/>
        <v>24.280800000000003</v>
      </c>
      <c r="G96" s="1">
        <v>8.52</v>
      </c>
      <c r="H96" s="1">
        <f t="shared" si="186"/>
        <v>11.4168</v>
      </c>
      <c r="I96" s="1">
        <v>3.52</v>
      </c>
      <c r="J96" s="1">
        <f t="shared" si="163"/>
        <v>8.3071999999999999</v>
      </c>
      <c r="K96" s="1">
        <v>3.18</v>
      </c>
      <c r="L96" s="1">
        <f t="shared" si="217"/>
        <v>7.5048000000000004</v>
      </c>
      <c r="M96" s="1"/>
      <c r="N96" s="1"/>
      <c r="O96" s="1"/>
      <c r="P96" s="1"/>
      <c r="Q96" s="1"/>
      <c r="R96" s="1"/>
      <c r="S96" s="1">
        <v>11.93</v>
      </c>
      <c r="T96" s="1">
        <f t="shared" ref="T96" si="224">S96*1.34</f>
        <v>15.9862</v>
      </c>
      <c r="U96" s="1">
        <v>8.89</v>
      </c>
      <c r="V96" s="1">
        <f t="shared" si="167"/>
        <v>11.912600000000001</v>
      </c>
      <c r="W96" s="1">
        <v>7.2</v>
      </c>
      <c r="X96" s="1">
        <f t="shared" si="221"/>
        <v>9.6480000000000015</v>
      </c>
      <c r="Y96" s="1"/>
      <c r="Z96" s="1"/>
      <c r="AA96" s="1"/>
      <c r="AB96" s="1"/>
      <c r="AC96" s="1">
        <v>3.38</v>
      </c>
      <c r="AD96" s="1">
        <f t="shared" si="222"/>
        <v>9.2949999999999999</v>
      </c>
      <c r="AE96" s="1">
        <v>4.03</v>
      </c>
      <c r="AF96" s="1">
        <f t="shared" si="198"/>
        <v>11.082500000000001</v>
      </c>
      <c r="AG96" s="1"/>
      <c r="AH96" s="1"/>
      <c r="AI96" s="9"/>
      <c r="AJ96" s="9"/>
      <c r="AK96" s="9"/>
      <c r="AL96" s="9"/>
      <c r="AM96" s="1">
        <v>2.06</v>
      </c>
      <c r="AN96" s="1">
        <f t="shared" si="223"/>
        <v>1.236</v>
      </c>
      <c r="AP96" s="1">
        <f t="shared" si="179"/>
        <v>0.78</v>
      </c>
      <c r="AQ96" s="1">
        <f t="shared" si="180"/>
        <v>0.22</v>
      </c>
      <c r="AR96" s="1">
        <f t="shared" si="161"/>
        <v>1</v>
      </c>
    </row>
    <row r="97" spans="2:44" x14ac:dyDescent="0.25">
      <c r="B97" t="s">
        <v>42</v>
      </c>
      <c r="C97" t="s">
        <v>69</v>
      </c>
      <c r="D97" s="1">
        <f>SUM(E97,G97,I97,K97,M97,O97,Q97,S97,U97,W97,Y97,AA97,AC97,AE97,AG97,AI97,AK97)</f>
        <v>68.84</v>
      </c>
      <c r="E97" s="1">
        <v>19.47</v>
      </c>
      <c r="F97" s="1">
        <f t="shared" si="186"/>
        <v>26.0898</v>
      </c>
      <c r="G97" s="1">
        <v>9.84</v>
      </c>
      <c r="H97" s="1">
        <f t="shared" si="186"/>
        <v>13.185600000000001</v>
      </c>
      <c r="I97" s="1">
        <v>3.2</v>
      </c>
      <c r="J97" s="1">
        <f t="shared" si="163"/>
        <v>7.5519999999999996</v>
      </c>
      <c r="K97" s="1"/>
      <c r="L97" s="1"/>
      <c r="M97" s="1"/>
      <c r="N97" s="1"/>
      <c r="O97" s="1"/>
      <c r="P97" s="1"/>
      <c r="Q97" s="1">
        <v>2.86</v>
      </c>
      <c r="R97" s="1">
        <f>Q97*2.36</f>
        <v>6.7495999999999992</v>
      </c>
      <c r="S97" s="1">
        <v>11.62</v>
      </c>
      <c r="T97" s="1">
        <f t="shared" ref="T97" si="225">S97*1.34</f>
        <v>15.5708</v>
      </c>
      <c r="U97" s="1">
        <v>7.99</v>
      </c>
      <c r="V97" s="1">
        <f t="shared" si="167"/>
        <v>10.706600000000002</v>
      </c>
      <c r="W97" s="1">
        <v>7.3</v>
      </c>
      <c r="X97" s="1">
        <f t="shared" si="221"/>
        <v>9.782</v>
      </c>
      <c r="Y97" s="1"/>
      <c r="Z97" s="1"/>
      <c r="AA97" s="1"/>
      <c r="AB97" s="1"/>
      <c r="AC97" s="1">
        <v>2.58</v>
      </c>
      <c r="AD97" s="1">
        <f t="shared" si="222"/>
        <v>7.0950000000000006</v>
      </c>
      <c r="AE97" s="1">
        <v>3.98</v>
      </c>
      <c r="AF97" s="1">
        <f t="shared" si="198"/>
        <v>10.945</v>
      </c>
      <c r="AG97" s="1"/>
      <c r="AH97" s="1"/>
      <c r="AI97" s="9"/>
      <c r="AJ97" s="9"/>
      <c r="AK97" s="9"/>
      <c r="AL97" s="9"/>
      <c r="AM97" s="1">
        <v>2.06</v>
      </c>
      <c r="AN97" s="1">
        <f>AM97*0.6</f>
        <v>1.236</v>
      </c>
      <c r="AP97" s="1">
        <f t="shared" si="179"/>
        <v>0.77</v>
      </c>
      <c r="AQ97" s="1">
        <f t="shared" si="180"/>
        <v>0.23</v>
      </c>
      <c r="AR97" s="1">
        <f t="shared" si="161"/>
        <v>1</v>
      </c>
    </row>
    <row r="98" spans="2:44" x14ac:dyDescent="0.25">
      <c r="B98" t="s">
        <v>42</v>
      </c>
      <c r="C98" t="s">
        <v>54</v>
      </c>
      <c r="D98" s="1">
        <f>SUM(E98,G98,I98,K98,M98,O98,Q98,S98,U98,W98,Y98,AA98,AC98,AE98,AG98,AI98,AK98)</f>
        <v>68.84</v>
      </c>
      <c r="E98" s="1">
        <v>19.309999999999999</v>
      </c>
      <c r="F98" s="1">
        <f t="shared" si="186"/>
        <v>25.875399999999999</v>
      </c>
      <c r="G98" s="1">
        <v>8.17</v>
      </c>
      <c r="H98" s="1">
        <f t="shared" si="186"/>
        <v>10.947800000000001</v>
      </c>
      <c r="I98" s="1">
        <v>5.19</v>
      </c>
      <c r="J98" s="1">
        <f t="shared" si="163"/>
        <v>12.2484</v>
      </c>
      <c r="K98" s="1">
        <v>3.63</v>
      </c>
      <c r="L98" s="1">
        <f t="shared" ref="L98:L100" si="226">K98*2.36</f>
        <v>8.5667999999999989</v>
      </c>
      <c r="M98" s="1"/>
      <c r="N98" s="1"/>
      <c r="O98" s="1"/>
      <c r="P98" s="1"/>
      <c r="Q98" s="1"/>
      <c r="R98" s="1"/>
      <c r="S98" s="1">
        <v>14.45</v>
      </c>
      <c r="T98" s="1">
        <f t="shared" ref="T98" si="227">S98*1.34</f>
        <v>19.363</v>
      </c>
      <c r="U98" s="1">
        <v>8.2200000000000006</v>
      </c>
      <c r="V98" s="1">
        <f t="shared" si="167"/>
        <v>11.014800000000001</v>
      </c>
      <c r="W98" s="1"/>
      <c r="X98" s="1"/>
      <c r="Y98" s="1"/>
      <c r="Z98" s="1"/>
      <c r="AA98" s="1"/>
      <c r="AB98" s="1"/>
      <c r="AC98" s="1">
        <v>4.92</v>
      </c>
      <c r="AD98" s="1">
        <f t="shared" si="222"/>
        <v>13.53</v>
      </c>
      <c r="AE98" s="1">
        <v>4.95</v>
      </c>
      <c r="AF98" s="1">
        <f t="shared" si="198"/>
        <v>13.612500000000001</v>
      </c>
      <c r="AG98" s="1"/>
      <c r="AH98" s="1"/>
      <c r="AI98" s="9"/>
      <c r="AJ98" s="9"/>
      <c r="AK98" s="9"/>
      <c r="AL98" s="9"/>
      <c r="AM98" s="1"/>
      <c r="AN98" s="1"/>
      <c r="AP98" s="1">
        <f t="shared" si="179"/>
        <v>0.75</v>
      </c>
      <c r="AQ98" s="1">
        <f t="shared" si="180"/>
        <v>0.25</v>
      </c>
      <c r="AR98" s="1">
        <f t="shared" si="161"/>
        <v>1</v>
      </c>
    </row>
    <row r="99" spans="2:44" x14ac:dyDescent="0.25">
      <c r="C99" t="s">
        <v>55</v>
      </c>
      <c r="D99" s="1">
        <f>SUM(E99,G99,I99,K99,M99,O99,Q99,S99,U99,W99,Y99,AA99,AC99,AE99,AG99,AI99,AK99)</f>
        <v>68.87</v>
      </c>
      <c r="E99" s="1">
        <v>18.03</v>
      </c>
      <c r="F99" s="1">
        <f t="shared" si="186"/>
        <v>24.160200000000003</v>
      </c>
      <c r="G99" s="1">
        <v>7.33</v>
      </c>
      <c r="H99" s="1">
        <f t="shared" si="186"/>
        <v>9.8222000000000005</v>
      </c>
      <c r="I99" s="1">
        <v>4.6900000000000004</v>
      </c>
      <c r="J99" s="1">
        <f t="shared" si="163"/>
        <v>11.0684</v>
      </c>
      <c r="K99" s="1">
        <v>2.04</v>
      </c>
      <c r="L99" s="1">
        <f t="shared" si="226"/>
        <v>4.8144</v>
      </c>
      <c r="M99" s="1"/>
      <c r="N99" s="1"/>
      <c r="O99" s="1"/>
      <c r="P99" s="1"/>
      <c r="Q99" s="1"/>
      <c r="R99" s="1"/>
      <c r="S99" s="1">
        <v>12.36</v>
      </c>
      <c r="T99" s="1">
        <f t="shared" ref="T99" si="228">S99*1.34</f>
        <v>16.5624</v>
      </c>
      <c r="U99" s="1">
        <v>8</v>
      </c>
      <c r="V99" s="1">
        <f t="shared" si="167"/>
        <v>10.72</v>
      </c>
      <c r="W99" s="1">
        <v>8</v>
      </c>
      <c r="X99" s="1">
        <f t="shared" ref="X99:X100" si="229">W99*1.34</f>
        <v>10.72</v>
      </c>
      <c r="Y99" s="1"/>
      <c r="Z99" s="1"/>
      <c r="AA99" s="1"/>
      <c r="AB99" s="1"/>
      <c r="AC99" s="1">
        <v>1.24</v>
      </c>
      <c r="AD99" s="1">
        <f t="shared" si="222"/>
        <v>3.41</v>
      </c>
      <c r="AE99" s="1">
        <v>7.18</v>
      </c>
      <c r="AF99" s="1">
        <f t="shared" si="198"/>
        <v>19.744999999999997</v>
      </c>
      <c r="AG99" s="1"/>
      <c r="AH99" s="1"/>
      <c r="AI99" s="9"/>
      <c r="AJ99" s="9"/>
      <c r="AK99" s="9"/>
      <c r="AL99" s="9"/>
      <c r="AM99" s="1"/>
      <c r="AN99" s="1"/>
      <c r="AP99" s="1">
        <f t="shared" si="179"/>
        <v>0.8</v>
      </c>
      <c r="AQ99" s="1">
        <f t="shared" si="180"/>
        <v>0.2</v>
      </c>
      <c r="AR99" s="1">
        <f t="shared" si="161"/>
        <v>1</v>
      </c>
    </row>
    <row r="100" spans="2:44" x14ac:dyDescent="0.25">
      <c r="B100" t="s">
        <v>42</v>
      </c>
      <c r="C100" t="s">
        <v>77</v>
      </c>
      <c r="D100" s="1">
        <f>SUM(E100,G100,I100,K100,M100,O100,Q100,S100,U100,W100,Y100,AA100,AC100,AE100,AG100,AI100,AK100)</f>
        <v>68.95</v>
      </c>
      <c r="E100" s="1">
        <v>18</v>
      </c>
      <c r="F100" s="1">
        <f t="shared" si="186"/>
        <v>24.12</v>
      </c>
      <c r="G100" s="1">
        <v>7</v>
      </c>
      <c r="H100" s="1">
        <f t="shared" si="186"/>
        <v>9.3800000000000008</v>
      </c>
      <c r="I100" s="1">
        <v>3.45</v>
      </c>
      <c r="J100" s="1">
        <f t="shared" si="163"/>
        <v>8.1419999999999995</v>
      </c>
      <c r="K100" s="1">
        <v>2.4</v>
      </c>
      <c r="L100" s="1">
        <f t="shared" si="226"/>
        <v>5.6639999999999997</v>
      </c>
      <c r="M100" s="1"/>
      <c r="N100" s="1"/>
      <c r="O100" s="1"/>
      <c r="P100" s="1"/>
      <c r="Q100" s="1"/>
      <c r="R100" s="1"/>
      <c r="S100" s="1">
        <v>13.15</v>
      </c>
      <c r="T100" s="1">
        <f t="shared" ref="T100" si="230">S100*1.34</f>
        <v>17.621000000000002</v>
      </c>
      <c r="U100" s="1">
        <v>9.6</v>
      </c>
      <c r="V100" s="1">
        <f t="shared" si="167"/>
        <v>12.864000000000001</v>
      </c>
      <c r="W100" s="1">
        <v>8.5500000000000007</v>
      </c>
      <c r="X100" s="1">
        <f t="shared" si="229"/>
        <v>11.457000000000003</v>
      </c>
      <c r="Y100" s="1"/>
      <c r="Z100" s="1"/>
      <c r="AA100" s="1"/>
      <c r="AB100" s="1"/>
      <c r="AC100" s="1">
        <v>2.5</v>
      </c>
      <c r="AD100" s="1">
        <f t="shared" si="222"/>
        <v>6.875</v>
      </c>
      <c r="AE100" s="1">
        <v>4.3</v>
      </c>
      <c r="AF100" s="1">
        <f t="shared" si="198"/>
        <v>11.824999999999999</v>
      </c>
      <c r="AG100" s="1"/>
      <c r="AH100" s="1"/>
      <c r="AI100" s="9"/>
      <c r="AJ100" s="9"/>
      <c r="AK100" s="9"/>
      <c r="AL100" s="9"/>
      <c r="AM100" s="1"/>
      <c r="AN100" s="1"/>
      <c r="AP100" s="1">
        <f t="shared" si="179"/>
        <v>0.81</v>
      </c>
      <c r="AQ100" s="1">
        <f t="shared" si="180"/>
        <v>0.19</v>
      </c>
      <c r="AR100" s="1">
        <f t="shared" si="161"/>
        <v>1</v>
      </c>
    </row>
    <row r="101" spans="2:44" x14ac:dyDescent="0.25">
      <c r="C101" t="s">
        <v>64</v>
      </c>
      <c r="D101" s="1">
        <f>SUM(E101,G101,I101,K101,M101,O101,Q101,S101,U101,W101,Y101,AA101,AC101,AE101,AG101,AI101,AK101)</f>
        <v>69.03</v>
      </c>
      <c r="E101" s="1">
        <v>22.18</v>
      </c>
      <c r="F101" s="1">
        <f t="shared" si="186"/>
        <v>29.7212</v>
      </c>
      <c r="G101" s="1">
        <v>7.72</v>
      </c>
      <c r="H101" s="1">
        <f t="shared" si="186"/>
        <v>10.344800000000001</v>
      </c>
      <c r="I101" s="1">
        <v>5.25</v>
      </c>
      <c r="J101" s="1">
        <f t="shared" si="163"/>
        <v>12.389999999999999</v>
      </c>
      <c r="K101" s="1"/>
      <c r="L101" s="1"/>
      <c r="M101" s="1"/>
      <c r="N101" s="1"/>
      <c r="O101" s="1"/>
      <c r="P101" s="1"/>
      <c r="Q101" s="1"/>
      <c r="R101" s="1"/>
      <c r="S101" s="1">
        <v>17.690000000000001</v>
      </c>
      <c r="T101" s="1">
        <f t="shared" ref="T101" si="231">S101*1.34</f>
        <v>23.704600000000003</v>
      </c>
      <c r="U101" s="1">
        <v>13.95</v>
      </c>
      <c r="V101" s="1">
        <f t="shared" si="167"/>
        <v>18.693000000000001</v>
      </c>
      <c r="W101" s="1"/>
      <c r="X101" s="1"/>
      <c r="Y101" s="1"/>
      <c r="Z101" s="1"/>
      <c r="AA101" s="1"/>
      <c r="AB101" s="1"/>
      <c r="AC101" s="1"/>
      <c r="AD101" s="1"/>
      <c r="AE101" s="1">
        <v>2.2400000000000002</v>
      </c>
      <c r="AF101" s="1">
        <f t="shared" si="198"/>
        <v>6.16</v>
      </c>
      <c r="AG101" s="1"/>
      <c r="AH101" s="1"/>
      <c r="AI101" s="9"/>
      <c r="AJ101" s="9"/>
      <c r="AK101" s="9"/>
      <c r="AL101" s="9"/>
      <c r="AM101" s="1">
        <f>28.71+23.89</f>
        <v>52.6</v>
      </c>
      <c r="AN101" s="1">
        <f>AM101*0.6</f>
        <v>31.56</v>
      </c>
      <c r="AP101" s="1">
        <f t="shared" si="179"/>
        <v>0.81</v>
      </c>
      <c r="AQ101" s="1">
        <f t="shared" si="180"/>
        <v>0.19</v>
      </c>
      <c r="AR101" s="1">
        <f t="shared" si="161"/>
        <v>1</v>
      </c>
    </row>
    <row r="102" spans="2:44" x14ac:dyDescent="0.25">
      <c r="C102" t="s">
        <v>55</v>
      </c>
      <c r="D102" s="1">
        <f>SUM(E102,G102,I102,K102,M102,O102,Q102,S102,U102,W102,Y102,AA102,AC102,AE102,AG102,AI102,AK102)</f>
        <v>69.050000000000011</v>
      </c>
      <c r="E102" s="1">
        <v>18.04</v>
      </c>
      <c r="F102" s="1">
        <f t="shared" si="186"/>
        <v>24.1736</v>
      </c>
      <c r="G102" s="1">
        <v>7.02</v>
      </c>
      <c r="H102" s="1">
        <f t="shared" si="186"/>
        <v>9.4068000000000005</v>
      </c>
      <c r="I102" s="1">
        <v>3.92</v>
      </c>
      <c r="J102" s="1">
        <f t="shared" si="163"/>
        <v>9.251199999999999</v>
      </c>
      <c r="K102" s="1">
        <v>2.94</v>
      </c>
      <c r="L102" s="1">
        <f>K102*2.36</f>
        <v>6.9383999999999997</v>
      </c>
      <c r="M102" s="1"/>
      <c r="N102" s="1"/>
      <c r="O102" s="1"/>
      <c r="P102" s="1"/>
      <c r="Q102" s="1"/>
      <c r="R102" s="1"/>
      <c r="S102" s="1">
        <v>12.01</v>
      </c>
      <c r="T102" s="1">
        <f t="shared" ref="T102" si="232">S102*1.34</f>
        <v>16.093399999999999</v>
      </c>
      <c r="U102" s="1">
        <v>8.3800000000000008</v>
      </c>
      <c r="V102" s="1">
        <f t="shared" si="167"/>
        <v>11.229200000000002</v>
      </c>
      <c r="W102" s="1">
        <v>8.3800000000000008</v>
      </c>
      <c r="X102" s="1">
        <f t="shared" ref="X102:X103" si="233">W102*1.34</f>
        <v>11.229200000000002</v>
      </c>
      <c r="Y102" s="1"/>
      <c r="Z102" s="1"/>
      <c r="AA102" s="1"/>
      <c r="AB102" s="1"/>
      <c r="AC102" s="1">
        <v>1.18</v>
      </c>
      <c r="AD102" s="1">
        <f t="shared" ref="AD102:AD108" si="234">AC102*2.75</f>
        <v>3.2449999999999997</v>
      </c>
      <c r="AE102" s="1">
        <v>7.18</v>
      </c>
      <c r="AF102" s="1">
        <f t="shared" si="198"/>
        <v>19.744999999999997</v>
      </c>
      <c r="AG102" s="1"/>
      <c r="AH102" s="1"/>
      <c r="AI102" s="9"/>
      <c r="AJ102" s="9"/>
      <c r="AK102" s="9"/>
      <c r="AL102" s="9"/>
      <c r="AM102" s="1"/>
      <c r="AN102" s="1"/>
      <c r="AP102" s="1">
        <f t="shared" si="179"/>
        <v>0.8</v>
      </c>
      <c r="AQ102" s="1">
        <f t="shared" si="180"/>
        <v>0.2</v>
      </c>
      <c r="AR102" s="1">
        <f t="shared" si="161"/>
        <v>1</v>
      </c>
    </row>
    <row r="103" spans="2:44" x14ac:dyDescent="0.25">
      <c r="C103" t="s">
        <v>55</v>
      </c>
      <c r="D103" s="1">
        <f>SUM(E103,G103,I103,K103,M103,O103,Q103,S103,U103,W103,Y103,AA103,AC103,AE103,AG103,AI103,AK103)</f>
        <v>69.11</v>
      </c>
      <c r="E103" s="1">
        <v>19.53</v>
      </c>
      <c r="F103" s="1">
        <f t="shared" si="186"/>
        <v>26.170200000000005</v>
      </c>
      <c r="G103" s="1">
        <v>7.48</v>
      </c>
      <c r="H103" s="1">
        <f t="shared" si="186"/>
        <v>10.023200000000001</v>
      </c>
      <c r="I103" s="1">
        <v>3.57</v>
      </c>
      <c r="J103" s="1">
        <f t="shared" si="163"/>
        <v>8.4251999999999985</v>
      </c>
      <c r="K103" s="1">
        <v>2.38</v>
      </c>
      <c r="L103" s="1">
        <f t="shared" ref="L103:L106" si="235">K103*2.36</f>
        <v>5.6167999999999996</v>
      </c>
      <c r="M103" s="1"/>
      <c r="N103" s="1"/>
      <c r="O103" s="1"/>
      <c r="P103" s="1"/>
      <c r="Q103" s="1"/>
      <c r="R103" s="1"/>
      <c r="S103" s="1">
        <v>12.4</v>
      </c>
      <c r="T103" s="1">
        <f t="shared" ref="T103" si="236">S103*1.34</f>
        <v>16.616000000000003</v>
      </c>
      <c r="U103" s="1">
        <v>8.2100000000000009</v>
      </c>
      <c r="V103" s="1">
        <f t="shared" si="167"/>
        <v>11.001400000000002</v>
      </c>
      <c r="W103" s="1">
        <v>8.17</v>
      </c>
      <c r="X103" s="1">
        <f t="shared" si="233"/>
        <v>10.947800000000001</v>
      </c>
      <c r="Y103" s="1"/>
      <c r="Z103" s="1"/>
      <c r="AA103" s="1"/>
      <c r="AB103" s="1"/>
      <c r="AC103" s="1">
        <v>1.26</v>
      </c>
      <c r="AD103" s="1">
        <f t="shared" si="234"/>
        <v>3.4649999999999999</v>
      </c>
      <c r="AE103" s="1">
        <v>6.11</v>
      </c>
      <c r="AF103" s="1">
        <f>AE103*2.75</f>
        <v>16.802500000000002</v>
      </c>
      <c r="AG103" s="1"/>
      <c r="AH103" s="1"/>
      <c r="AI103" s="9"/>
      <c r="AJ103" s="9"/>
      <c r="AK103" s="9"/>
      <c r="AL103" s="9"/>
      <c r="AM103" s="1"/>
      <c r="AN103" s="1"/>
      <c r="AP103" s="1">
        <f t="shared" si="179"/>
        <v>0.81</v>
      </c>
      <c r="AQ103" s="1">
        <f t="shared" si="180"/>
        <v>0.19</v>
      </c>
      <c r="AR103" s="1">
        <f t="shared" si="161"/>
        <v>1</v>
      </c>
    </row>
    <row r="104" spans="2:44" x14ac:dyDescent="0.25">
      <c r="B104" t="s">
        <v>97</v>
      </c>
      <c r="C104" t="s">
        <v>98</v>
      </c>
      <c r="D104" s="1">
        <f>SUM(E104,G104,I104,K104,M104,O104,Q104,S104,U104,W104,Y104,AA104,AC104,AE104,AG104,AI104,AK104)</f>
        <v>69.150000000000006</v>
      </c>
      <c r="E104" s="1">
        <v>17.27</v>
      </c>
      <c r="F104" s="1">
        <f t="shared" si="186"/>
        <v>23.1418</v>
      </c>
      <c r="G104" s="1">
        <v>9.06</v>
      </c>
      <c r="H104" s="1">
        <f t="shared" si="186"/>
        <v>12.140400000000001</v>
      </c>
      <c r="I104" s="1">
        <v>4.3099999999999996</v>
      </c>
      <c r="J104" s="1">
        <f t="shared" si="163"/>
        <v>10.171599999999998</v>
      </c>
      <c r="K104" s="1">
        <v>4.01</v>
      </c>
      <c r="L104" s="1">
        <f t="shared" si="235"/>
        <v>9.4635999999999996</v>
      </c>
      <c r="M104" s="1"/>
      <c r="N104" s="1"/>
      <c r="O104" s="1"/>
      <c r="P104" s="1"/>
      <c r="Q104" s="1"/>
      <c r="R104" s="1"/>
      <c r="S104" s="1">
        <v>16.34</v>
      </c>
      <c r="T104" s="1">
        <f t="shared" ref="T104" si="237">S104*1.34</f>
        <v>21.895600000000002</v>
      </c>
      <c r="U104" s="1">
        <v>10.82</v>
      </c>
      <c r="V104" s="1">
        <f t="shared" si="167"/>
        <v>14.498800000000001</v>
      </c>
      <c r="W104" s="1"/>
      <c r="X104" s="1"/>
      <c r="Y104" s="1"/>
      <c r="Z104" s="1"/>
      <c r="AA104" s="1"/>
      <c r="AB104" s="1"/>
      <c r="AC104" s="1">
        <v>2.97</v>
      </c>
      <c r="AD104" s="1">
        <f t="shared" si="234"/>
        <v>8.1675000000000004</v>
      </c>
      <c r="AE104" s="1">
        <v>4.37</v>
      </c>
      <c r="AF104" s="1">
        <f>AE104*2.75</f>
        <v>12.0175</v>
      </c>
      <c r="AG104" s="1"/>
      <c r="AH104" s="1"/>
      <c r="AI104" s="9"/>
      <c r="AJ104" s="9"/>
      <c r="AK104" s="9"/>
      <c r="AL104" s="9"/>
      <c r="AM104" s="1">
        <v>10.220000000000001</v>
      </c>
      <c r="AN104" s="1">
        <f>AM104*0.6</f>
        <v>6.1320000000000006</v>
      </c>
      <c r="AP104" s="1">
        <f t="shared" si="179"/>
        <v>0.75</v>
      </c>
      <c r="AQ104" s="1">
        <f t="shared" si="180"/>
        <v>0.25</v>
      </c>
      <c r="AR104" s="1">
        <f t="shared" si="161"/>
        <v>1</v>
      </c>
    </row>
    <row r="105" spans="2:44" x14ac:dyDescent="0.25">
      <c r="C105" t="s">
        <v>68</v>
      </c>
      <c r="D105" s="1">
        <f>SUM(E105,G105,I105,K105,M105,O105,Q105,S105,U105,W105,Y105,AA105,AC105,AE105,AG105,AI105,AK105)</f>
        <v>69.2</v>
      </c>
      <c r="E105" s="1">
        <v>19.100000000000001</v>
      </c>
      <c r="F105" s="1">
        <f t="shared" si="186"/>
        <v>25.594000000000005</v>
      </c>
      <c r="G105" s="1">
        <v>7</v>
      </c>
      <c r="H105" s="1">
        <f t="shared" si="186"/>
        <v>9.3800000000000008</v>
      </c>
      <c r="I105" s="1">
        <v>3.25</v>
      </c>
      <c r="J105" s="1">
        <f t="shared" si="163"/>
        <v>7.67</v>
      </c>
      <c r="K105" s="1">
        <v>3.15</v>
      </c>
      <c r="L105" s="1">
        <f t="shared" si="235"/>
        <v>7.4339999999999993</v>
      </c>
      <c r="M105" s="1"/>
      <c r="N105" s="1"/>
      <c r="O105" s="1"/>
      <c r="P105" s="1"/>
      <c r="Q105" s="1"/>
      <c r="R105" s="1"/>
      <c r="S105" s="1">
        <v>11.8</v>
      </c>
      <c r="T105" s="1">
        <f t="shared" ref="T105" si="238">S105*1.34</f>
        <v>15.812000000000001</v>
      </c>
      <c r="U105" s="1">
        <v>10.1</v>
      </c>
      <c r="V105" s="1">
        <f t="shared" si="167"/>
        <v>13.534000000000001</v>
      </c>
      <c r="W105" s="1">
        <v>8.15</v>
      </c>
      <c r="X105" s="1">
        <f t="shared" ref="X105:X110" si="239">W105*1.34</f>
        <v>10.921000000000001</v>
      </c>
      <c r="Y105" s="1"/>
      <c r="Z105" s="1"/>
      <c r="AA105" s="1"/>
      <c r="AB105" s="1"/>
      <c r="AC105" s="1">
        <v>6.65</v>
      </c>
      <c r="AD105" s="1">
        <f t="shared" si="234"/>
        <v>18.287500000000001</v>
      </c>
      <c r="AE105" s="1"/>
      <c r="AF105" s="1"/>
      <c r="AG105" s="1"/>
      <c r="AH105" s="1"/>
      <c r="AI105" s="9"/>
      <c r="AJ105" s="9"/>
      <c r="AK105" s="9"/>
      <c r="AL105" s="9"/>
      <c r="AM105" s="1">
        <v>1.6</v>
      </c>
      <c r="AN105" s="1">
        <f>AM105*0.6</f>
        <v>0.96</v>
      </c>
      <c r="AP105" s="1">
        <f t="shared" si="179"/>
        <v>0.81</v>
      </c>
      <c r="AQ105" s="1">
        <f t="shared" si="180"/>
        <v>0.19</v>
      </c>
      <c r="AR105" s="1">
        <f t="shared" si="161"/>
        <v>1</v>
      </c>
    </row>
    <row r="106" spans="2:44" x14ac:dyDescent="0.25">
      <c r="B106" t="s">
        <v>42</v>
      </c>
      <c r="C106" t="s">
        <v>77</v>
      </c>
      <c r="D106" s="1">
        <f>SUM(E106,G106,I106,K106,M106,O106,Q106,S106,U106,W106,Y106,AA106,AC106,AE106,AG106,AI106,AK106)</f>
        <v>69.300000000000011</v>
      </c>
      <c r="E106" s="1">
        <v>18.2</v>
      </c>
      <c r="F106" s="1">
        <f t="shared" si="186"/>
        <v>24.388000000000002</v>
      </c>
      <c r="G106" s="1">
        <v>7</v>
      </c>
      <c r="H106" s="1">
        <f t="shared" si="186"/>
        <v>9.3800000000000008</v>
      </c>
      <c r="I106" s="1">
        <v>4.1500000000000004</v>
      </c>
      <c r="J106" s="1">
        <f t="shared" si="163"/>
        <v>9.7940000000000005</v>
      </c>
      <c r="K106" s="1">
        <v>2.4</v>
      </c>
      <c r="L106" s="1">
        <f t="shared" si="235"/>
        <v>5.6639999999999997</v>
      </c>
      <c r="M106" s="1"/>
      <c r="N106" s="1"/>
      <c r="O106" s="1"/>
      <c r="P106" s="1"/>
      <c r="Q106" s="1"/>
      <c r="R106" s="1"/>
      <c r="S106" s="1">
        <v>11</v>
      </c>
      <c r="T106" s="1">
        <f t="shared" ref="T106" si="240">S106*1.34</f>
        <v>14.74</v>
      </c>
      <c r="U106" s="1">
        <v>9.6</v>
      </c>
      <c r="V106" s="1">
        <f t="shared" si="167"/>
        <v>12.864000000000001</v>
      </c>
      <c r="W106" s="1">
        <v>8.8000000000000007</v>
      </c>
      <c r="X106" s="1">
        <f t="shared" si="239"/>
        <v>11.792000000000002</v>
      </c>
      <c r="Y106" s="1"/>
      <c r="Z106" s="1"/>
      <c r="AA106" s="1"/>
      <c r="AB106" s="1"/>
      <c r="AC106" s="1">
        <v>2.5</v>
      </c>
      <c r="AD106" s="1">
        <f t="shared" si="234"/>
        <v>6.875</v>
      </c>
      <c r="AE106" s="1">
        <v>5.65</v>
      </c>
      <c r="AF106" s="1">
        <f t="shared" ref="AF106:AF121" si="241">AE106*2.75</f>
        <v>15.537500000000001</v>
      </c>
      <c r="AG106" s="1"/>
      <c r="AH106" s="1"/>
      <c r="AI106" s="9"/>
      <c r="AJ106" s="9"/>
      <c r="AK106" s="9"/>
      <c r="AL106" s="9"/>
      <c r="AM106" s="1"/>
      <c r="AN106" s="1"/>
      <c r="AP106" s="1">
        <f t="shared" si="179"/>
        <v>0.8</v>
      </c>
      <c r="AQ106" s="1">
        <f t="shared" si="180"/>
        <v>0.2</v>
      </c>
      <c r="AR106" s="1">
        <f t="shared" si="161"/>
        <v>1</v>
      </c>
    </row>
    <row r="107" spans="2:44" x14ac:dyDescent="0.25">
      <c r="B107" t="s">
        <v>42</v>
      </c>
      <c r="C107" t="s">
        <v>54</v>
      </c>
      <c r="D107" s="1">
        <f>SUM(E107,G107,I107,K107,M107,O107,Q107,S107,U107,W107,Y107,AA107,AC107,AE107,AG107,AI107,AK107)</f>
        <v>69.37</v>
      </c>
      <c r="E107" s="1">
        <v>20.29</v>
      </c>
      <c r="F107" s="1">
        <f t="shared" si="186"/>
        <v>27.188600000000001</v>
      </c>
      <c r="G107" s="1">
        <v>7.14</v>
      </c>
      <c r="H107" s="1">
        <f t="shared" si="186"/>
        <v>9.5676000000000005</v>
      </c>
      <c r="I107" s="1">
        <v>3.44</v>
      </c>
      <c r="J107" s="1">
        <f t="shared" si="163"/>
        <v>8.1183999999999994</v>
      </c>
      <c r="K107" s="1"/>
      <c r="L107" s="1"/>
      <c r="M107" s="1"/>
      <c r="N107" s="1"/>
      <c r="O107" s="1"/>
      <c r="P107" s="1"/>
      <c r="Q107" s="1"/>
      <c r="R107" s="1"/>
      <c r="S107" s="1">
        <v>12.35</v>
      </c>
      <c r="T107" s="1">
        <f t="shared" ref="T107" si="242">S107*1.34</f>
        <v>16.548999999999999</v>
      </c>
      <c r="U107" s="1">
        <v>10.89</v>
      </c>
      <c r="V107" s="1">
        <f t="shared" si="167"/>
        <v>14.592600000000001</v>
      </c>
      <c r="W107" s="1">
        <v>8.68</v>
      </c>
      <c r="X107" s="1">
        <f t="shared" si="239"/>
        <v>11.6312</v>
      </c>
      <c r="Y107" s="1"/>
      <c r="Z107" s="1"/>
      <c r="AA107" s="1"/>
      <c r="AB107" s="1"/>
      <c r="AC107" s="1">
        <v>2.82</v>
      </c>
      <c r="AD107" s="1">
        <f t="shared" si="234"/>
        <v>7.7549999999999999</v>
      </c>
      <c r="AE107" s="1">
        <v>3.76</v>
      </c>
      <c r="AF107" s="1">
        <f t="shared" si="241"/>
        <v>10.34</v>
      </c>
      <c r="AG107" s="1"/>
      <c r="AH107" s="1"/>
      <c r="AI107" s="9"/>
      <c r="AJ107" s="9"/>
      <c r="AK107" s="9"/>
      <c r="AL107" s="9"/>
      <c r="AM107" s="1"/>
      <c r="AN107" s="1"/>
      <c r="AP107" s="1">
        <f t="shared" si="179"/>
        <v>0.85</v>
      </c>
      <c r="AQ107" s="1">
        <f t="shared" si="180"/>
        <v>0.15</v>
      </c>
      <c r="AR107" s="1">
        <f t="shared" si="161"/>
        <v>1</v>
      </c>
    </row>
    <row r="108" spans="2:44" x14ac:dyDescent="0.25">
      <c r="B108" t="s">
        <v>42</v>
      </c>
      <c r="C108" t="s">
        <v>77</v>
      </c>
      <c r="D108" s="1">
        <f>SUM(E108,G108,I108,K108,M108,O108,Q108,S108,U108,W108,Y108,AA108,AC108,AE108,AG108,AI108,AK108)</f>
        <v>69.399999999999991</v>
      </c>
      <c r="E108" s="1">
        <v>18.45</v>
      </c>
      <c r="F108" s="1">
        <f t="shared" si="186"/>
        <v>24.722999999999999</v>
      </c>
      <c r="G108" s="1">
        <v>7</v>
      </c>
      <c r="H108" s="1">
        <f t="shared" si="186"/>
        <v>9.3800000000000008</v>
      </c>
      <c r="I108" s="1">
        <v>3.9</v>
      </c>
      <c r="J108" s="1">
        <f t="shared" si="163"/>
        <v>9.2039999999999988</v>
      </c>
      <c r="K108" s="1">
        <v>3.35</v>
      </c>
      <c r="L108" s="1">
        <f>K108*2.36</f>
        <v>7.9059999999999997</v>
      </c>
      <c r="M108" s="1"/>
      <c r="N108" s="1"/>
      <c r="O108" s="1"/>
      <c r="P108" s="1"/>
      <c r="Q108" s="1"/>
      <c r="R108" s="1"/>
      <c r="S108" s="1">
        <v>11.45</v>
      </c>
      <c r="T108" s="1">
        <f t="shared" ref="T108" si="243">S108*1.34</f>
        <v>15.343</v>
      </c>
      <c r="U108" s="1">
        <v>9.15</v>
      </c>
      <c r="V108" s="1">
        <f t="shared" si="167"/>
        <v>12.261000000000001</v>
      </c>
      <c r="W108" s="1">
        <v>7.4</v>
      </c>
      <c r="X108" s="1">
        <f t="shared" si="239"/>
        <v>9.9160000000000004</v>
      </c>
      <c r="Y108" s="1"/>
      <c r="Z108" s="1"/>
      <c r="AA108" s="1"/>
      <c r="AB108" s="1"/>
      <c r="AC108" s="1">
        <v>2.35</v>
      </c>
      <c r="AD108" s="1">
        <f t="shared" si="234"/>
        <v>6.4625000000000004</v>
      </c>
      <c r="AE108" s="1">
        <v>6.35</v>
      </c>
      <c r="AF108" s="1">
        <f t="shared" si="241"/>
        <v>17.462499999999999</v>
      </c>
      <c r="AG108" s="1"/>
      <c r="AH108" s="1"/>
      <c r="AI108" s="9"/>
      <c r="AJ108" s="9"/>
      <c r="AK108" s="9"/>
      <c r="AL108" s="9"/>
      <c r="AM108" s="1"/>
      <c r="AN108" s="1"/>
      <c r="AP108" s="1">
        <f t="shared" si="179"/>
        <v>0.79</v>
      </c>
      <c r="AQ108" s="1">
        <f t="shared" si="180"/>
        <v>0.21</v>
      </c>
      <c r="AR108" s="1">
        <f t="shared" si="161"/>
        <v>1</v>
      </c>
    </row>
    <row r="109" spans="2:44" x14ac:dyDescent="0.25">
      <c r="B109" t="s">
        <v>42</v>
      </c>
      <c r="C109" t="s">
        <v>56</v>
      </c>
      <c r="D109" s="1">
        <f>SUM(E109,G109,I109,K109,M109,O109,Q109,S109,U109,W109,Y109,AA109,AC109,AE109,AG109,AI109,AK109)</f>
        <v>69.45</v>
      </c>
      <c r="E109" s="1">
        <v>19.399999999999999</v>
      </c>
      <c r="F109" s="1">
        <f t="shared" si="186"/>
        <v>25.995999999999999</v>
      </c>
      <c r="G109" s="1">
        <v>7.1</v>
      </c>
      <c r="H109" s="1">
        <f t="shared" si="186"/>
        <v>9.5139999999999993</v>
      </c>
      <c r="I109" s="1">
        <v>3.85</v>
      </c>
      <c r="J109" s="1">
        <f t="shared" si="163"/>
        <v>9.0860000000000003</v>
      </c>
      <c r="K109" s="1"/>
      <c r="L109" s="1"/>
      <c r="M109" s="1"/>
      <c r="N109" s="1"/>
      <c r="O109" s="1"/>
      <c r="P109" s="1"/>
      <c r="Q109" s="1"/>
      <c r="R109" s="1"/>
      <c r="S109" s="1">
        <v>12.95</v>
      </c>
      <c r="T109" s="1">
        <f t="shared" ref="T109" si="244">S109*1.34</f>
        <v>17.353000000000002</v>
      </c>
      <c r="U109" s="1">
        <v>9.35</v>
      </c>
      <c r="V109" s="1">
        <f t="shared" si="167"/>
        <v>12.529</v>
      </c>
      <c r="W109" s="1">
        <v>9.35</v>
      </c>
      <c r="X109" s="1">
        <f t="shared" si="239"/>
        <v>12.529</v>
      </c>
      <c r="Y109" s="1"/>
      <c r="Z109" s="1"/>
      <c r="AA109" s="1"/>
      <c r="AB109" s="1"/>
      <c r="AC109" s="1"/>
      <c r="AD109" s="1"/>
      <c r="AE109" s="1">
        <v>4.8</v>
      </c>
      <c r="AF109" s="1">
        <f t="shared" si="241"/>
        <v>13.2</v>
      </c>
      <c r="AG109" s="1">
        <v>2.65</v>
      </c>
      <c r="AH109" s="1">
        <f>AG109*2.36</f>
        <v>6.2539999999999996</v>
      </c>
      <c r="AI109" s="9"/>
      <c r="AJ109" s="9"/>
      <c r="AK109" s="9"/>
      <c r="AL109" s="9"/>
      <c r="AM109" s="1"/>
      <c r="AN109" s="1"/>
      <c r="AP109" s="1">
        <f t="shared" si="179"/>
        <v>0.84</v>
      </c>
      <c r="AQ109" s="1">
        <f t="shared" si="180"/>
        <v>0.16</v>
      </c>
      <c r="AR109" s="1">
        <f t="shared" si="161"/>
        <v>1</v>
      </c>
    </row>
    <row r="110" spans="2:44" x14ac:dyDescent="0.25">
      <c r="C110" t="s">
        <v>67</v>
      </c>
      <c r="D110" s="1">
        <f>SUM(E110,G110,I110,K110,M110,O110,Q110,S110,U110,W110,Y110,AA110,AC110,AE110,AG110,AI110,AK110)</f>
        <v>69.489999999999995</v>
      </c>
      <c r="E110" s="1">
        <v>18.32</v>
      </c>
      <c r="F110" s="1">
        <f t="shared" si="186"/>
        <v>24.548800000000004</v>
      </c>
      <c r="G110" s="1">
        <v>7.47</v>
      </c>
      <c r="H110" s="1">
        <f t="shared" si="186"/>
        <v>10.0098</v>
      </c>
      <c r="I110" s="1">
        <v>3.59</v>
      </c>
      <c r="J110" s="1">
        <f t="shared" si="163"/>
        <v>8.4723999999999986</v>
      </c>
      <c r="K110" s="1"/>
      <c r="L110" s="1"/>
      <c r="M110" s="1"/>
      <c r="N110" s="1"/>
      <c r="O110" s="1"/>
      <c r="P110" s="1"/>
      <c r="Q110" s="1">
        <v>2.97</v>
      </c>
      <c r="R110" s="1">
        <f>Q110*2.36</f>
        <v>7.0091999999999999</v>
      </c>
      <c r="S110" s="1">
        <v>10.98</v>
      </c>
      <c r="T110" s="1">
        <f t="shared" ref="T110" si="245">S110*1.34</f>
        <v>14.713200000000002</v>
      </c>
      <c r="U110" s="1">
        <v>8.6999999999999993</v>
      </c>
      <c r="V110" s="1">
        <f t="shared" si="167"/>
        <v>11.657999999999999</v>
      </c>
      <c r="W110" s="1">
        <v>8.6199999999999992</v>
      </c>
      <c r="X110" s="1">
        <f t="shared" si="239"/>
        <v>11.550799999999999</v>
      </c>
      <c r="Y110" s="1"/>
      <c r="Z110" s="1"/>
      <c r="AA110" s="1"/>
      <c r="AB110" s="1"/>
      <c r="AC110" s="1">
        <v>3.28</v>
      </c>
      <c r="AD110" s="1">
        <f t="shared" ref="AD110:AD137" si="246">AC110*2.75</f>
        <v>9.02</v>
      </c>
      <c r="AE110" s="1">
        <v>5.56</v>
      </c>
      <c r="AF110" s="1">
        <f t="shared" si="241"/>
        <v>15.29</v>
      </c>
      <c r="AG110" s="1"/>
      <c r="AH110" s="1"/>
      <c r="AI110" s="9"/>
      <c r="AJ110" s="9"/>
      <c r="AK110" s="9"/>
      <c r="AL110" s="9"/>
      <c r="AM110" s="1"/>
      <c r="AN110" s="1"/>
      <c r="AP110" s="1">
        <f t="shared" si="179"/>
        <v>0.8</v>
      </c>
      <c r="AQ110" s="1">
        <f t="shared" si="180"/>
        <v>0.2</v>
      </c>
      <c r="AR110" s="1">
        <f t="shared" si="161"/>
        <v>1</v>
      </c>
    </row>
    <row r="111" spans="2:44" x14ac:dyDescent="0.25">
      <c r="B111" t="s">
        <v>86</v>
      </c>
      <c r="C111" t="s">
        <v>87</v>
      </c>
      <c r="D111" s="1">
        <f>SUM(E111,G111,I111,K111,M111,O111,Q111,S111,U111,W111,Y111,AA111,AC111,AE111,AG111,AI111,AK111)</f>
        <v>69.599999999999994</v>
      </c>
      <c r="E111" s="1">
        <v>18.3</v>
      </c>
      <c r="F111" s="1">
        <f t="shared" si="186"/>
        <v>24.522000000000002</v>
      </c>
      <c r="G111" s="1">
        <v>8.1</v>
      </c>
      <c r="H111" s="1">
        <f t="shared" si="186"/>
        <v>10.854000000000001</v>
      </c>
      <c r="I111" s="1">
        <v>5.2</v>
      </c>
      <c r="J111" s="1">
        <f t="shared" si="163"/>
        <v>12.272</v>
      </c>
      <c r="K111" s="1">
        <v>3.5</v>
      </c>
      <c r="L111" s="1">
        <f t="shared" ref="L111:L115" si="247">K111*2.36</f>
        <v>8.26</v>
      </c>
      <c r="M111" s="1"/>
      <c r="N111" s="1"/>
      <c r="O111" s="1"/>
      <c r="P111" s="1"/>
      <c r="Q111" s="1"/>
      <c r="R111" s="1"/>
      <c r="S111" s="1">
        <v>12.2</v>
      </c>
      <c r="T111" s="1">
        <f t="shared" ref="T111" si="248">S111*1.34</f>
        <v>16.347999999999999</v>
      </c>
      <c r="U111" s="1">
        <v>10.3</v>
      </c>
      <c r="V111" s="1">
        <f t="shared" si="167"/>
        <v>13.802000000000001</v>
      </c>
      <c r="W111" s="1"/>
      <c r="X111" s="1"/>
      <c r="Y111" s="1"/>
      <c r="Z111" s="1"/>
      <c r="AA111" s="1"/>
      <c r="AB111" s="1"/>
      <c r="AC111" s="1">
        <v>6</v>
      </c>
      <c r="AD111" s="1">
        <f t="shared" si="246"/>
        <v>16.5</v>
      </c>
      <c r="AE111" s="1">
        <v>2.8</v>
      </c>
      <c r="AF111" s="1">
        <f t="shared" si="241"/>
        <v>7.6999999999999993</v>
      </c>
      <c r="AG111" s="1">
        <v>3.2</v>
      </c>
      <c r="AH111" s="1">
        <f>AG111*2.36</f>
        <v>7.5519999999999996</v>
      </c>
      <c r="AI111" s="9"/>
      <c r="AJ111" s="9"/>
      <c r="AK111" s="9"/>
      <c r="AL111" s="9"/>
      <c r="AM111" s="1">
        <v>4.8</v>
      </c>
      <c r="AN111" s="1">
        <f>AM111*0.6</f>
        <v>2.88</v>
      </c>
      <c r="AP111" s="1">
        <f t="shared" si="179"/>
        <v>0.76</v>
      </c>
      <c r="AQ111" s="1">
        <f t="shared" si="180"/>
        <v>0.24</v>
      </c>
      <c r="AR111" s="1">
        <f t="shared" si="161"/>
        <v>1</v>
      </c>
    </row>
    <row r="112" spans="2:44" x14ac:dyDescent="0.25">
      <c r="B112" t="s">
        <v>106</v>
      </c>
      <c r="C112" t="s">
        <v>107</v>
      </c>
      <c r="D112" s="1">
        <f>SUM(E112,G112,I112,K112,M112,O112,Q112,S112,U112,W112,Y112,AA112,AC112,AE112,AG112,AI112,AK112)</f>
        <v>69.649999999999991</v>
      </c>
      <c r="E112" s="1">
        <v>17.05</v>
      </c>
      <c r="F112" s="1">
        <f t="shared" si="186"/>
        <v>22.847000000000001</v>
      </c>
      <c r="G112" s="1">
        <v>8.35</v>
      </c>
      <c r="H112" s="1">
        <f t="shared" si="186"/>
        <v>11.189</v>
      </c>
      <c r="I112" s="1">
        <v>4</v>
      </c>
      <c r="J112" s="1">
        <f t="shared" si="163"/>
        <v>9.44</v>
      </c>
      <c r="K112" s="1">
        <v>3.9</v>
      </c>
      <c r="L112" s="1">
        <f t="shared" si="247"/>
        <v>9.2039999999999988</v>
      </c>
      <c r="M112" s="1"/>
      <c r="N112" s="1"/>
      <c r="O112" s="1"/>
      <c r="P112" s="1"/>
      <c r="Q112" s="1"/>
      <c r="R112" s="1"/>
      <c r="S112" s="1">
        <v>14.1</v>
      </c>
      <c r="T112" s="1">
        <f t="shared" ref="T112" si="249">S112*1.34</f>
        <v>18.894000000000002</v>
      </c>
      <c r="U112" s="1">
        <v>7.9</v>
      </c>
      <c r="V112" s="1">
        <f t="shared" si="167"/>
        <v>10.586</v>
      </c>
      <c r="W112" s="1">
        <v>7.55</v>
      </c>
      <c r="X112" s="1">
        <f t="shared" ref="X112:X116" si="250">W112*1.34</f>
        <v>10.117000000000001</v>
      </c>
      <c r="Y112" s="1"/>
      <c r="Z112" s="1"/>
      <c r="AA112" s="1"/>
      <c r="AB112" s="1"/>
      <c r="AC112" s="1">
        <v>3.6</v>
      </c>
      <c r="AD112" s="1">
        <f t="shared" si="246"/>
        <v>9.9</v>
      </c>
      <c r="AE112" s="1">
        <v>2.4500000000000002</v>
      </c>
      <c r="AF112" s="1">
        <f t="shared" si="241"/>
        <v>6.7375000000000007</v>
      </c>
      <c r="AG112" s="1">
        <v>0.75</v>
      </c>
      <c r="AH112" s="1">
        <f>AG112*2.36</f>
        <v>1.77</v>
      </c>
      <c r="AI112" s="9"/>
      <c r="AJ112" s="9"/>
      <c r="AK112" s="9"/>
      <c r="AL112" s="9"/>
      <c r="AM112" s="1">
        <v>13</v>
      </c>
      <c r="AN112" s="1">
        <f>AM112*0.6</f>
        <v>7.8</v>
      </c>
      <c r="AP112" s="1">
        <f t="shared" si="179"/>
        <v>0.77</v>
      </c>
      <c r="AQ112" s="1">
        <f t="shared" si="180"/>
        <v>0.23</v>
      </c>
      <c r="AR112" s="1">
        <f t="shared" si="161"/>
        <v>1</v>
      </c>
    </row>
    <row r="113" spans="1:44" x14ac:dyDescent="0.25">
      <c r="A113" t="s">
        <v>60</v>
      </c>
      <c r="C113" t="s">
        <v>67</v>
      </c>
      <c r="D113" s="1">
        <f>SUM(E113,G113,I113,K113,M113,O113,Q113,S113,U113,W113,Y113,AA113,AC113,AE113,AG113,AI113,AK113)</f>
        <v>69.709999999999994</v>
      </c>
      <c r="E113" s="1">
        <v>19.489999999999998</v>
      </c>
      <c r="F113" s="1">
        <f t="shared" si="186"/>
        <v>26.116599999999998</v>
      </c>
      <c r="G113" s="1">
        <v>7.68</v>
      </c>
      <c r="H113" s="1">
        <f t="shared" si="186"/>
        <v>10.2912</v>
      </c>
      <c r="I113" s="1">
        <v>3.39</v>
      </c>
      <c r="J113" s="1">
        <f t="shared" si="163"/>
        <v>8.0003999999999991</v>
      </c>
      <c r="K113" s="1">
        <v>4.46</v>
      </c>
      <c r="L113" s="1">
        <f t="shared" si="247"/>
        <v>10.525599999999999</v>
      </c>
      <c r="M113" s="1"/>
      <c r="N113" s="1"/>
      <c r="O113" s="1"/>
      <c r="P113" s="1"/>
      <c r="Q113" s="1"/>
      <c r="R113" s="1"/>
      <c r="S113" s="1">
        <v>10.63</v>
      </c>
      <c r="T113" s="1">
        <f t="shared" ref="T113" si="251">S113*1.34</f>
        <v>14.244200000000001</v>
      </c>
      <c r="U113" s="1">
        <v>9.08</v>
      </c>
      <c r="V113" s="1">
        <f t="shared" si="167"/>
        <v>12.167200000000001</v>
      </c>
      <c r="W113" s="1">
        <v>8.02</v>
      </c>
      <c r="X113" s="1">
        <f t="shared" si="250"/>
        <v>10.7468</v>
      </c>
      <c r="Y113" s="1"/>
      <c r="Z113" s="1"/>
      <c r="AA113" s="1"/>
      <c r="AB113" s="1"/>
      <c r="AC113" s="1">
        <v>2.85</v>
      </c>
      <c r="AD113" s="1">
        <f t="shared" si="246"/>
        <v>7.8375000000000004</v>
      </c>
      <c r="AE113" s="1">
        <v>4.1100000000000003</v>
      </c>
      <c r="AF113" s="1">
        <f t="shared" si="241"/>
        <v>11.3025</v>
      </c>
      <c r="AG113" s="1"/>
      <c r="AH113" s="1"/>
      <c r="AI113" s="9"/>
      <c r="AJ113" s="9"/>
      <c r="AK113" s="9"/>
      <c r="AL113" s="9"/>
      <c r="AM113" s="1"/>
      <c r="AN113" s="1"/>
      <c r="AP113" s="1">
        <f t="shared" si="179"/>
        <v>0.78</v>
      </c>
      <c r="AQ113" s="1">
        <f t="shared" si="180"/>
        <v>0.22</v>
      </c>
      <c r="AR113" s="1">
        <f t="shared" si="161"/>
        <v>1</v>
      </c>
    </row>
    <row r="114" spans="1:44" x14ac:dyDescent="0.25">
      <c r="B114" t="s">
        <v>42</v>
      </c>
      <c r="C114" t="s">
        <v>77</v>
      </c>
      <c r="D114" s="1">
        <f>SUM(E114,G114,I114,K114,M114,O114,Q114,S114,U114,W114,Y114,AA114,AC114,AE114,AG114,AI114,AK114)</f>
        <v>69.75</v>
      </c>
      <c r="E114" s="1">
        <v>18</v>
      </c>
      <c r="F114" s="1">
        <f t="shared" si="186"/>
        <v>24.12</v>
      </c>
      <c r="G114" s="1">
        <v>7.1</v>
      </c>
      <c r="H114" s="1">
        <f t="shared" si="186"/>
        <v>9.5139999999999993</v>
      </c>
      <c r="I114" s="1">
        <v>4.1500000000000004</v>
      </c>
      <c r="J114" s="1">
        <f t="shared" si="163"/>
        <v>9.7940000000000005</v>
      </c>
      <c r="K114" s="1">
        <v>2.25</v>
      </c>
      <c r="L114" s="1">
        <f t="shared" si="247"/>
        <v>5.31</v>
      </c>
      <c r="M114" s="1"/>
      <c r="N114" s="1"/>
      <c r="O114" s="1"/>
      <c r="P114" s="1"/>
      <c r="Q114" s="1"/>
      <c r="R114" s="1"/>
      <c r="S114" s="1">
        <v>11.75</v>
      </c>
      <c r="T114" s="1">
        <f t="shared" ref="T114" si="252">S114*1.34</f>
        <v>15.745000000000001</v>
      </c>
      <c r="U114" s="1">
        <v>9.75</v>
      </c>
      <c r="V114" s="1">
        <f t="shared" si="167"/>
        <v>13.065000000000001</v>
      </c>
      <c r="W114" s="1">
        <v>9.15</v>
      </c>
      <c r="X114" s="1">
        <f t="shared" si="250"/>
        <v>12.261000000000001</v>
      </c>
      <c r="Y114" s="1"/>
      <c r="Z114" s="1"/>
      <c r="AA114" s="1"/>
      <c r="AB114" s="1"/>
      <c r="AC114" s="1">
        <v>2.75</v>
      </c>
      <c r="AD114" s="1">
        <f t="shared" si="246"/>
        <v>7.5625</v>
      </c>
      <c r="AE114" s="1">
        <v>4.8499999999999996</v>
      </c>
      <c r="AF114" s="1">
        <f t="shared" si="241"/>
        <v>13.337499999999999</v>
      </c>
      <c r="AG114" s="1"/>
      <c r="AH114" s="1"/>
      <c r="AI114" s="9"/>
      <c r="AJ114" s="9"/>
      <c r="AK114" s="9"/>
      <c r="AL114" s="9"/>
      <c r="AM114" s="1"/>
      <c r="AN114" s="1"/>
      <c r="AP114" s="1">
        <f t="shared" si="179"/>
        <v>0.81</v>
      </c>
      <c r="AQ114" s="1">
        <f t="shared" si="180"/>
        <v>0.19</v>
      </c>
      <c r="AR114" s="1">
        <f t="shared" si="161"/>
        <v>1</v>
      </c>
    </row>
    <row r="115" spans="1:44" x14ac:dyDescent="0.25">
      <c r="B115" t="s">
        <v>42</v>
      </c>
      <c r="C115" t="s">
        <v>54</v>
      </c>
      <c r="D115" s="1">
        <f>SUM(E115,G115,I115,K115,M115,O115,Q115,S115,U115,W115,Y115,AA115,AC115,AE115,AG115,AI115,AK115)</f>
        <v>69.75</v>
      </c>
      <c r="E115" s="1">
        <v>18.04</v>
      </c>
      <c r="F115" s="1">
        <f t="shared" si="186"/>
        <v>24.1736</v>
      </c>
      <c r="G115" s="1">
        <v>9.76</v>
      </c>
      <c r="H115" s="1">
        <f t="shared" si="186"/>
        <v>13.0784</v>
      </c>
      <c r="I115" s="1">
        <v>4.6100000000000003</v>
      </c>
      <c r="J115" s="1">
        <f t="shared" si="163"/>
        <v>10.8796</v>
      </c>
      <c r="K115" s="1">
        <v>3.19</v>
      </c>
      <c r="L115" s="1">
        <f t="shared" si="247"/>
        <v>7.5283999999999995</v>
      </c>
      <c r="M115" s="1"/>
      <c r="N115" s="1"/>
      <c r="O115" s="1"/>
      <c r="P115" s="1"/>
      <c r="Q115" s="1"/>
      <c r="R115" s="1"/>
      <c r="S115" s="1">
        <v>12.92</v>
      </c>
      <c r="T115" s="1">
        <f t="shared" ref="T115" si="253">S115*1.34</f>
        <v>17.312799999999999</v>
      </c>
      <c r="U115" s="1">
        <v>8.64</v>
      </c>
      <c r="V115" s="1">
        <f t="shared" si="167"/>
        <v>11.577600000000002</v>
      </c>
      <c r="W115" s="1">
        <v>8.39</v>
      </c>
      <c r="X115" s="1">
        <f t="shared" si="250"/>
        <v>11.242600000000001</v>
      </c>
      <c r="Y115" s="1"/>
      <c r="Z115" s="1"/>
      <c r="AA115" s="1"/>
      <c r="AB115" s="1"/>
      <c r="AC115" s="1">
        <v>2.11</v>
      </c>
      <c r="AD115" s="1">
        <f t="shared" si="246"/>
        <v>5.8024999999999993</v>
      </c>
      <c r="AE115" s="1">
        <v>2.09</v>
      </c>
      <c r="AF115" s="1">
        <f t="shared" si="241"/>
        <v>5.7474999999999996</v>
      </c>
      <c r="AG115" s="1"/>
      <c r="AH115" s="1"/>
      <c r="AI115" s="9"/>
      <c r="AJ115" s="9"/>
      <c r="AK115" s="9"/>
      <c r="AL115" s="9"/>
      <c r="AM115" s="1"/>
      <c r="AN115" s="1"/>
      <c r="AP115" s="1">
        <f t="shared" si="179"/>
        <v>0.75</v>
      </c>
      <c r="AQ115" s="1">
        <f t="shared" si="180"/>
        <v>0.25</v>
      </c>
      <c r="AR115" s="1">
        <f t="shared" si="161"/>
        <v>1</v>
      </c>
    </row>
    <row r="116" spans="1:44" x14ac:dyDescent="0.25">
      <c r="B116" t="s">
        <v>42</v>
      </c>
      <c r="C116" t="s">
        <v>71</v>
      </c>
      <c r="D116" s="1">
        <f>SUM(E116,G116,I116,K116,M116,O116,Q116,S116,U116,W116,Y116,AA116,AC116,AE116,AG116,AI116,AK116)</f>
        <v>69.8</v>
      </c>
      <c r="E116" s="1">
        <v>18.93</v>
      </c>
      <c r="F116" s="1">
        <f t="shared" si="186"/>
        <v>25.366200000000003</v>
      </c>
      <c r="G116" s="1">
        <v>10</v>
      </c>
      <c r="H116" s="1">
        <f t="shared" si="186"/>
        <v>13.4</v>
      </c>
      <c r="I116" s="1">
        <v>4.41</v>
      </c>
      <c r="J116" s="1">
        <f t="shared" si="163"/>
        <v>10.4076</v>
      </c>
      <c r="K116" s="1"/>
      <c r="L116" s="1"/>
      <c r="M116" s="1"/>
      <c r="N116" s="1"/>
      <c r="O116" s="1"/>
      <c r="P116" s="1"/>
      <c r="Q116" s="1">
        <v>2.4</v>
      </c>
      <c r="R116" s="1">
        <f>Q116*2.36</f>
        <v>5.6639999999999997</v>
      </c>
      <c r="S116" s="1">
        <v>10.91</v>
      </c>
      <c r="T116" s="1">
        <f t="shared" ref="T116" si="254">S116*1.34</f>
        <v>14.619400000000001</v>
      </c>
      <c r="U116" s="1">
        <v>8.5</v>
      </c>
      <c r="V116" s="1">
        <f t="shared" si="167"/>
        <v>11.39</v>
      </c>
      <c r="W116" s="1">
        <v>8.15</v>
      </c>
      <c r="X116" s="1">
        <f t="shared" si="250"/>
        <v>10.921000000000001</v>
      </c>
      <c r="Y116" s="1"/>
      <c r="Z116" s="1"/>
      <c r="AA116" s="1"/>
      <c r="AB116" s="1"/>
      <c r="AC116" s="1">
        <v>2.54</v>
      </c>
      <c r="AD116" s="1">
        <f t="shared" si="246"/>
        <v>6.9850000000000003</v>
      </c>
      <c r="AE116" s="1">
        <v>3.96</v>
      </c>
      <c r="AF116" s="1">
        <f t="shared" si="241"/>
        <v>10.89</v>
      </c>
      <c r="AG116" s="1"/>
      <c r="AH116" s="1"/>
      <c r="AI116" s="9"/>
      <c r="AJ116" s="9"/>
      <c r="AK116" s="9"/>
      <c r="AL116" s="9"/>
      <c r="AM116" s="1"/>
      <c r="AN116" s="1"/>
      <c r="AP116" s="1">
        <f t="shared" si="179"/>
        <v>0.76</v>
      </c>
      <c r="AQ116" s="1">
        <f t="shared" si="180"/>
        <v>0.24</v>
      </c>
      <c r="AR116" s="1">
        <f t="shared" si="161"/>
        <v>1</v>
      </c>
    </row>
    <row r="117" spans="1:44" x14ac:dyDescent="0.25">
      <c r="B117" t="s">
        <v>41</v>
      </c>
      <c r="C117" t="s">
        <v>47</v>
      </c>
      <c r="D117" s="1">
        <f>SUM(E117,G117,I117,K117,M117,O117,Q117,S117,U117,W117,Y117,AA117,AC117,AE117,AG117,AI117,AK117)</f>
        <v>69.8</v>
      </c>
      <c r="E117" s="1">
        <v>21.9</v>
      </c>
      <c r="F117" s="1">
        <f t="shared" si="186"/>
        <v>29.346</v>
      </c>
      <c r="G117" s="1">
        <v>8.6</v>
      </c>
      <c r="H117" s="1">
        <f t="shared" si="186"/>
        <v>11.524000000000001</v>
      </c>
      <c r="I117" s="1">
        <v>4.4000000000000004</v>
      </c>
      <c r="J117" s="1">
        <f t="shared" si="163"/>
        <v>10.384</v>
      </c>
      <c r="K117" s="1">
        <v>4</v>
      </c>
      <c r="L117" s="1">
        <f>K117*2.36</f>
        <v>9.44</v>
      </c>
      <c r="M117" s="1"/>
      <c r="N117" s="1"/>
      <c r="O117" s="1"/>
      <c r="P117" s="1"/>
      <c r="Q117" s="1"/>
      <c r="R117" s="1"/>
      <c r="S117" s="1">
        <v>13.7</v>
      </c>
      <c r="T117" s="1">
        <f t="shared" ref="T117" si="255">S117*1.34</f>
        <v>18.358000000000001</v>
      </c>
      <c r="U117" s="1">
        <v>10.1</v>
      </c>
      <c r="V117" s="1">
        <f t="shared" si="167"/>
        <v>13.534000000000001</v>
      </c>
      <c r="W117" s="1"/>
      <c r="X117" s="1"/>
      <c r="Y117" s="1"/>
      <c r="Z117" s="1"/>
      <c r="AA117" s="1"/>
      <c r="AB117" s="1"/>
      <c r="AC117" s="1">
        <v>2.2000000000000002</v>
      </c>
      <c r="AD117" s="1">
        <f t="shared" si="246"/>
        <v>6.0500000000000007</v>
      </c>
      <c r="AE117" s="1">
        <v>4.9000000000000004</v>
      </c>
      <c r="AF117" s="1">
        <f t="shared" si="241"/>
        <v>13.475000000000001</v>
      </c>
      <c r="AG117" s="1"/>
      <c r="AH117" s="1"/>
      <c r="AI117" s="9"/>
      <c r="AJ117" s="9"/>
      <c r="AK117" s="9"/>
      <c r="AL117" s="9"/>
      <c r="AM117" s="1">
        <v>10.1</v>
      </c>
      <c r="AN117" s="1">
        <f>AM117*0.6</f>
        <v>6.06</v>
      </c>
      <c r="AP117" s="1">
        <f t="shared" si="179"/>
        <v>0.76</v>
      </c>
      <c r="AQ117" s="1">
        <f t="shared" si="180"/>
        <v>0.24</v>
      </c>
      <c r="AR117" s="1">
        <f t="shared" si="161"/>
        <v>1</v>
      </c>
    </row>
    <row r="118" spans="1:44" x14ac:dyDescent="0.25">
      <c r="C118" t="s">
        <v>67</v>
      </c>
      <c r="D118" s="1">
        <f>SUM(E118,G118,I118,K118,M118,O118,Q118,S118,U118,W118,Y118,AA118,AC118,AE118,AG118,AI118,AK118)</f>
        <v>69.820000000000007</v>
      </c>
      <c r="E118" s="1">
        <v>19.899999999999999</v>
      </c>
      <c r="F118" s="1">
        <f t="shared" si="186"/>
        <v>26.666</v>
      </c>
      <c r="G118" s="1">
        <v>6.61</v>
      </c>
      <c r="H118" s="1">
        <f t="shared" si="186"/>
        <v>8.8574000000000002</v>
      </c>
      <c r="I118" s="1">
        <v>4.46</v>
      </c>
      <c r="J118" s="1">
        <f t="shared" si="163"/>
        <v>10.525599999999999</v>
      </c>
      <c r="K118" s="1"/>
      <c r="L118" s="1"/>
      <c r="M118" s="1"/>
      <c r="N118" s="1"/>
      <c r="O118" s="1"/>
      <c r="P118" s="1"/>
      <c r="Q118" s="1">
        <v>2.93</v>
      </c>
      <c r="R118" s="1">
        <f>Q118*2.36</f>
        <v>6.9147999999999996</v>
      </c>
      <c r="S118" s="1">
        <v>10.68</v>
      </c>
      <c r="T118" s="1">
        <f t="shared" ref="T118" si="256">S118*1.34</f>
        <v>14.311200000000001</v>
      </c>
      <c r="U118" s="1">
        <v>8.69</v>
      </c>
      <c r="V118" s="1">
        <f t="shared" si="167"/>
        <v>11.644600000000001</v>
      </c>
      <c r="W118" s="1">
        <v>8.2100000000000009</v>
      </c>
      <c r="X118" s="1">
        <f t="shared" ref="X118:X119" si="257">W118*1.34</f>
        <v>11.001400000000002</v>
      </c>
      <c r="Y118" s="1"/>
      <c r="Z118" s="1"/>
      <c r="AA118" s="1"/>
      <c r="AB118" s="1"/>
      <c r="AC118" s="1">
        <v>2.65</v>
      </c>
      <c r="AD118" s="1">
        <f t="shared" si="246"/>
        <v>7.2874999999999996</v>
      </c>
      <c r="AE118" s="1">
        <v>3.29</v>
      </c>
      <c r="AF118" s="1">
        <f t="shared" si="241"/>
        <v>9.0474999999999994</v>
      </c>
      <c r="AG118" s="1">
        <v>2.4</v>
      </c>
      <c r="AH118" s="1">
        <f>AG118*2.36</f>
        <v>5.6639999999999997</v>
      </c>
      <c r="AI118" s="9"/>
      <c r="AJ118" s="9"/>
      <c r="AK118" s="9"/>
      <c r="AL118" s="9"/>
      <c r="AM118" s="1">
        <v>1.88</v>
      </c>
      <c r="AN118" s="1">
        <f>AM118*0.6</f>
        <v>1.1279999999999999</v>
      </c>
      <c r="AP118" s="1">
        <f t="shared" si="179"/>
        <v>0.8</v>
      </c>
      <c r="AQ118" s="1">
        <f t="shared" si="180"/>
        <v>0.2</v>
      </c>
      <c r="AR118" s="1">
        <f t="shared" si="161"/>
        <v>1</v>
      </c>
    </row>
    <row r="119" spans="1:44" x14ac:dyDescent="0.25">
      <c r="B119" t="s">
        <v>42</v>
      </c>
      <c r="C119" t="s">
        <v>77</v>
      </c>
      <c r="D119" s="1">
        <f>SUM(E119,G119,I119,K119,M119,O119,Q119,S119,U119,W119,Y119,AA119,AC119,AE119,AG119,AI119,AK119)</f>
        <v>69.849999999999994</v>
      </c>
      <c r="E119" s="1">
        <v>18.2</v>
      </c>
      <c r="F119" s="1">
        <f t="shared" si="186"/>
        <v>24.388000000000002</v>
      </c>
      <c r="G119" s="1">
        <v>7</v>
      </c>
      <c r="H119" s="1">
        <f t="shared" si="186"/>
        <v>9.3800000000000008</v>
      </c>
      <c r="I119" s="1">
        <v>3.85</v>
      </c>
      <c r="J119" s="1">
        <f t="shared" si="163"/>
        <v>9.0860000000000003</v>
      </c>
      <c r="K119" s="1">
        <v>3.6</v>
      </c>
      <c r="L119" s="1">
        <f t="shared" ref="L119:L121" si="258">K119*2.36</f>
        <v>8.4960000000000004</v>
      </c>
      <c r="M119" s="1"/>
      <c r="N119" s="1"/>
      <c r="O119" s="1"/>
      <c r="P119" s="1"/>
      <c r="Q119" s="1"/>
      <c r="R119" s="1"/>
      <c r="S119" s="1">
        <v>10.8</v>
      </c>
      <c r="T119" s="1">
        <f t="shared" ref="T119" si="259">S119*1.34</f>
        <v>14.472000000000001</v>
      </c>
      <c r="U119" s="1">
        <v>9.4499999999999993</v>
      </c>
      <c r="V119" s="1">
        <f t="shared" si="167"/>
        <v>12.663</v>
      </c>
      <c r="W119" s="1">
        <v>9.4</v>
      </c>
      <c r="X119" s="1">
        <f t="shared" si="257"/>
        <v>12.596000000000002</v>
      </c>
      <c r="Y119" s="1"/>
      <c r="Z119" s="1"/>
      <c r="AA119" s="1"/>
      <c r="AB119" s="1"/>
      <c r="AC119" s="1">
        <v>2.2000000000000002</v>
      </c>
      <c r="AD119" s="1">
        <f t="shared" si="246"/>
        <v>6.0500000000000007</v>
      </c>
      <c r="AE119" s="1">
        <v>5.35</v>
      </c>
      <c r="AF119" s="1">
        <f t="shared" si="241"/>
        <v>14.712499999999999</v>
      </c>
      <c r="AG119" s="1"/>
      <c r="AH119" s="1"/>
      <c r="AI119" s="9"/>
      <c r="AJ119" s="9"/>
      <c r="AK119" s="9"/>
      <c r="AL119" s="9"/>
      <c r="AM119" s="1"/>
      <c r="AN119" s="1"/>
      <c r="AP119" s="1">
        <f t="shared" si="179"/>
        <v>0.79</v>
      </c>
      <c r="AQ119" s="1">
        <f t="shared" si="180"/>
        <v>0.21</v>
      </c>
      <c r="AR119" s="1">
        <f t="shared" si="161"/>
        <v>1</v>
      </c>
    </row>
    <row r="120" spans="1:44" x14ac:dyDescent="0.25">
      <c r="B120" t="s">
        <v>42</v>
      </c>
      <c r="C120" t="s">
        <v>78</v>
      </c>
      <c r="D120" s="1">
        <f>SUM(E120,G120,I120,K120,M120,O120,Q120,S120,U120,W120,Y120,AA120,AC120,AE120,AG120,AI120,AK120)</f>
        <v>69.929999999999993</v>
      </c>
      <c r="E120" s="1">
        <v>19.09</v>
      </c>
      <c r="F120" s="1">
        <f t="shared" si="186"/>
        <v>25.5806</v>
      </c>
      <c r="G120" s="1">
        <v>7.49</v>
      </c>
      <c r="H120" s="1">
        <f t="shared" si="186"/>
        <v>10.036600000000002</v>
      </c>
      <c r="I120" s="1">
        <v>3.52</v>
      </c>
      <c r="J120" s="1">
        <f t="shared" si="163"/>
        <v>8.3071999999999999</v>
      </c>
      <c r="K120" s="1">
        <v>2.65</v>
      </c>
      <c r="L120" s="1">
        <f t="shared" si="258"/>
        <v>6.2539999999999996</v>
      </c>
      <c r="M120" s="1"/>
      <c r="N120" s="1"/>
      <c r="O120" s="1"/>
      <c r="P120" s="1"/>
      <c r="Q120" s="1"/>
      <c r="R120" s="1"/>
      <c r="S120" s="1">
        <v>13.13</v>
      </c>
      <c r="T120" s="1">
        <f t="shared" ref="T120" si="260">S120*1.34</f>
        <v>17.594200000000001</v>
      </c>
      <c r="U120" s="1">
        <v>9.17</v>
      </c>
      <c r="V120" s="1">
        <f t="shared" si="167"/>
        <v>12.287800000000001</v>
      </c>
      <c r="W120" s="1">
        <v>8.93</v>
      </c>
      <c r="X120" s="1">
        <f t="shared" ref="X120" si="261">W120*1.34</f>
        <v>11.966200000000001</v>
      </c>
      <c r="Y120" s="1"/>
      <c r="Z120" s="1"/>
      <c r="AA120" s="1"/>
      <c r="AB120" s="1"/>
      <c r="AC120" s="1">
        <v>2.4900000000000002</v>
      </c>
      <c r="AD120" s="1">
        <f t="shared" si="246"/>
        <v>6.8475000000000001</v>
      </c>
      <c r="AE120" s="1">
        <v>3.46</v>
      </c>
      <c r="AF120" s="1">
        <f t="shared" si="241"/>
        <v>9.5150000000000006</v>
      </c>
      <c r="AG120" s="1"/>
      <c r="AH120" s="1"/>
      <c r="AI120" s="9"/>
      <c r="AJ120" s="9"/>
      <c r="AK120" s="9"/>
      <c r="AL120" s="9"/>
      <c r="AM120" s="1"/>
      <c r="AN120" s="1"/>
      <c r="AP120" s="1">
        <f t="shared" si="179"/>
        <v>0.8</v>
      </c>
      <c r="AQ120" s="1">
        <f t="shared" si="180"/>
        <v>0.2</v>
      </c>
      <c r="AR120" s="1">
        <f t="shared" si="161"/>
        <v>1</v>
      </c>
    </row>
    <row r="121" spans="1:44" x14ac:dyDescent="0.25">
      <c r="B121" t="s">
        <v>42</v>
      </c>
      <c r="C121" t="s">
        <v>54</v>
      </c>
      <c r="D121" s="1">
        <f>SUM(E121,G121,I121,K121,M121,O121,Q121,S121,U121,W121,Y121,AA121,AC121,AE121,AG121,AI121,AK121)</f>
        <v>69.94</v>
      </c>
      <c r="E121" s="1">
        <v>18.079999999999998</v>
      </c>
      <c r="F121" s="1">
        <f t="shared" si="186"/>
        <v>24.2272</v>
      </c>
      <c r="G121" s="1">
        <v>7.02</v>
      </c>
      <c r="H121" s="1">
        <f t="shared" si="186"/>
        <v>9.4068000000000005</v>
      </c>
      <c r="I121" s="1">
        <v>3.76</v>
      </c>
      <c r="J121" s="1">
        <f t="shared" si="163"/>
        <v>8.8735999999999997</v>
      </c>
      <c r="K121" s="1">
        <v>2.8</v>
      </c>
      <c r="L121" s="1">
        <f t="shared" si="258"/>
        <v>6.6079999999999997</v>
      </c>
      <c r="M121" s="1"/>
      <c r="N121" s="1"/>
      <c r="O121" s="1"/>
      <c r="P121" s="1"/>
      <c r="Q121" s="1"/>
      <c r="R121" s="1"/>
      <c r="S121" s="1">
        <v>13.76</v>
      </c>
      <c r="T121" s="1">
        <f t="shared" ref="T121" si="262">S121*1.34</f>
        <v>18.438400000000001</v>
      </c>
      <c r="U121" s="1">
        <v>9.59</v>
      </c>
      <c r="V121" s="1">
        <f t="shared" si="167"/>
        <v>12.8506</v>
      </c>
      <c r="W121" s="1">
        <v>8.2200000000000006</v>
      </c>
      <c r="X121" s="1">
        <f t="shared" ref="X121" si="263">W121*1.34</f>
        <v>11.014800000000001</v>
      </c>
      <c r="Y121" s="1"/>
      <c r="Z121" s="1"/>
      <c r="AA121" s="1"/>
      <c r="AB121" s="1"/>
      <c r="AC121" s="1">
        <v>3.22</v>
      </c>
      <c r="AD121" s="1">
        <f t="shared" si="246"/>
        <v>8.8550000000000004</v>
      </c>
      <c r="AE121" s="1">
        <v>3.49</v>
      </c>
      <c r="AF121" s="1">
        <f t="shared" si="241"/>
        <v>9.5975000000000001</v>
      </c>
      <c r="AG121" s="1"/>
      <c r="AH121" s="1"/>
      <c r="AI121" s="9"/>
      <c r="AJ121" s="9"/>
      <c r="AK121" s="9"/>
      <c r="AL121" s="9"/>
      <c r="AM121" s="1"/>
      <c r="AN121" s="1"/>
      <c r="AP121" s="1">
        <f t="shared" si="179"/>
        <v>0.81</v>
      </c>
      <c r="AQ121" s="1">
        <f t="shared" si="180"/>
        <v>0.19</v>
      </c>
      <c r="AR121" s="1">
        <f t="shared" si="161"/>
        <v>1</v>
      </c>
    </row>
    <row r="122" spans="1:44" x14ac:dyDescent="0.25">
      <c r="B122" t="s">
        <v>42</v>
      </c>
      <c r="C122" t="s">
        <v>70</v>
      </c>
      <c r="D122" s="1">
        <f>SUM(E122,G122,I122,K122,M122,O122,Q122,S122,U122,W122,Y122,AA122,AC122,AE122,AG122,AI122,AK122)</f>
        <v>69.94</v>
      </c>
      <c r="E122" s="1">
        <v>18.09</v>
      </c>
      <c r="F122" s="1">
        <f t="shared" si="186"/>
        <v>24.240600000000001</v>
      </c>
      <c r="G122" s="1">
        <v>7.73</v>
      </c>
      <c r="H122" s="1">
        <f t="shared" si="186"/>
        <v>10.358200000000002</v>
      </c>
      <c r="I122" s="1">
        <v>5.0999999999999996</v>
      </c>
      <c r="J122" s="1">
        <f t="shared" si="163"/>
        <v>12.035999999999998</v>
      </c>
      <c r="K122" s="1"/>
      <c r="L122" s="1"/>
      <c r="M122" s="1"/>
      <c r="N122" s="1"/>
      <c r="O122" s="1"/>
      <c r="P122" s="1"/>
      <c r="Q122" s="1">
        <v>2.92</v>
      </c>
      <c r="R122" s="1">
        <f>Q122*2.36</f>
        <v>6.8911999999999995</v>
      </c>
      <c r="S122" s="1">
        <v>12.05</v>
      </c>
      <c r="T122" s="1">
        <f t="shared" ref="T122" si="264">S122*1.34</f>
        <v>16.147000000000002</v>
      </c>
      <c r="U122" s="1">
        <v>8.3699999999999992</v>
      </c>
      <c r="V122" s="1">
        <f t="shared" si="167"/>
        <v>11.2158</v>
      </c>
      <c r="W122" s="1">
        <v>8.3699999999999992</v>
      </c>
      <c r="X122" s="1">
        <f t="shared" ref="X122" si="265">W122*1.34</f>
        <v>11.2158</v>
      </c>
      <c r="Y122" s="1"/>
      <c r="Z122" s="1"/>
      <c r="AA122" s="1"/>
      <c r="AB122" s="1"/>
      <c r="AC122" s="1">
        <v>7.31</v>
      </c>
      <c r="AD122" s="1">
        <f t="shared" si="246"/>
        <v>20.102499999999999</v>
      </c>
      <c r="AE122" s="1"/>
      <c r="AF122" s="1"/>
      <c r="AG122" s="1"/>
      <c r="AH122" s="1"/>
      <c r="AI122" s="9"/>
      <c r="AJ122" s="9"/>
      <c r="AK122" s="9"/>
      <c r="AL122" s="9"/>
      <c r="AM122" s="1"/>
      <c r="AN122" s="1"/>
      <c r="AP122" s="1">
        <f t="shared" si="179"/>
        <v>0.77</v>
      </c>
      <c r="AQ122" s="1">
        <f t="shared" si="180"/>
        <v>0.23</v>
      </c>
      <c r="AR122" s="1">
        <f t="shared" ref="AR122:AR166" si="266">AP122+AQ122</f>
        <v>1</v>
      </c>
    </row>
    <row r="123" spans="1:44" x14ac:dyDescent="0.25">
      <c r="B123" t="s">
        <v>42</v>
      </c>
      <c r="C123" t="s">
        <v>77</v>
      </c>
      <c r="D123" s="1">
        <f>SUM(E123,G123,I123,K123,M123,O123,Q123,S123,U123,W123,Y123,AA123,AC123,AE123,AG123,AI123,AK123)</f>
        <v>69.95</v>
      </c>
      <c r="E123" s="1">
        <v>18</v>
      </c>
      <c r="F123" s="1">
        <f t="shared" si="186"/>
        <v>24.12</v>
      </c>
      <c r="G123" s="1">
        <v>7.05</v>
      </c>
      <c r="H123" s="1">
        <f t="shared" si="186"/>
        <v>9.447000000000001</v>
      </c>
      <c r="I123" s="1">
        <v>3.95</v>
      </c>
      <c r="J123" s="1">
        <f t="shared" ref="J123:J167" si="267">I123*2.36</f>
        <v>9.3219999999999992</v>
      </c>
      <c r="K123" s="1">
        <v>2.2999999999999998</v>
      </c>
      <c r="L123" s="1">
        <f t="shared" ref="L123:L126" si="268">K123*2.36</f>
        <v>5.427999999999999</v>
      </c>
      <c r="M123" s="1"/>
      <c r="N123" s="1"/>
      <c r="O123" s="1"/>
      <c r="P123" s="1"/>
      <c r="Q123" s="1"/>
      <c r="R123" s="1"/>
      <c r="S123" s="1">
        <v>11.8</v>
      </c>
      <c r="T123" s="1">
        <f t="shared" ref="T123" si="269">S123*1.34</f>
        <v>15.812000000000001</v>
      </c>
      <c r="U123" s="1">
        <v>9.75</v>
      </c>
      <c r="V123" s="1">
        <f t="shared" si="167"/>
        <v>13.065000000000001</v>
      </c>
      <c r="W123" s="1">
        <v>9.1</v>
      </c>
      <c r="X123" s="1">
        <f t="shared" ref="X123" si="270">W123*1.34</f>
        <v>12.194000000000001</v>
      </c>
      <c r="Y123" s="1"/>
      <c r="Z123" s="1"/>
      <c r="AA123" s="1"/>
      <c r="AB123" s="1"/>
      <c r="AC123" s="1">
        <v>2.4</v>
      </c>
      <c r="AD123" s="1">
        <f t="shared" si="246"/>
        <v>6.6</v>
      </c>
      <c r="AE123" s="1">
        <v>5.6</v>
      </c>
      <c r="AF123" s="1">
        <f>AE123*2.75</f>
        <v>15.399999999999999</v>
      </c>
      <c r="AG123" s="1"/>
      <c r="AH123" s="1"/>
      <c r="AI123" s="9"/>
      <c r="AJ123" s="9"/>
      <c r="AK123" s="9"/>
      <c r="AL123" s="9"/>
      <c r="AM123" s="1"/>
      <c r="AN123" s="1"/>
      <c r="AP123" s="1">
        <f t="shared" si="179"/>
        <v>0.81</v>
      </c>
      <c r="AQ123" s="1">
        <f t="shared" si="180"/>
        <v>0.19</v>
      </c>
      <c r="AR123" s="1">
        <f t="shared" si="266"/>
        <v>1</v>
      </c>
    </row>
    <row r="124" spans="1:44" x14ac:dyDescent="0.25">
      <c r="C124" t="s">
        <v>55</v>
      </c>
      <c r="D124" s="1">
        <f>SUM(E124,G124,I124,K124,M124,O124,Q124,S124,U124,W124,Y124,AA124,AC124,AE124,AG124,AI124,AK124)</f>
        <v>69.989999999999995</v>
      </c>
      <c r="E124" s="1">
        <v>18.059999999999999</v>
      </c>
      <c r="F124" s="1">
        <f t="shared" si="186"/>
        <v>24.200399999999998</v>
      </c>
      <c r="G124" s="1">
        <v>7.15</v>
      </c>
      <c r="H124" s="1">
        <f t="shared" si="186"/>
        <v>9.5810000000000013</v>
      </c>
      <c r="I124" s="1">
        <v>3.92</v>
      </c>
      <c r="J124" s="1">
        <f t="shared" si="267"/>
        <v>9.251199999999999</v>
      </c>
      <c r="K124" s="1">
        <v>2.94</v>
      </c>
      <c r="L124" s="1">
        <f t="shared" si="268"/>
        <v>6.9383999999999997</v>
      </c>
      <c r="M124" s="1"/>
      <c r="N124" s="1"/>
      <c r="O124" s="1"/>
      <c r="P124" s="1"/>
      <c r="Q124" s="1"/>
      <c r="R124" s="1"/>
      <c r="S124" s="1">
        <v>12.07</v>
      </c>
      <c r="T124" s="1">
        <f t="shared" ref="T124" si="271">S124*1.34</f>
        <v>16.1738</v>
      </c>
      <c r="U124" s="1">
        <v>8.08</v>
      </c>
      <c r="V124" s="1">
        <f t="shared" si="167"/>
        <v>10.827200000000001</v>
      </c>
      <c r="W124" s="1">
        <v>8.01</v>
      </c>
      <c r="X124" s="1">
        <f t="shared" ref="X124" si="272">W124*1.34</f>
        <v>10.7334</v>
      </c>
      <c r="Y124" s="1"/>
      <c r="Z124" s="1"/>
      <c r="AA124" s="1"/>
      <c r="AB124" s="1"/>
      <c r="AC124" s="1">
        <v>1.22</v>
      </c>
      <c r="AD124" s="1">
        <f t="shared" si="246"/>
        <v>3.355</v>
      </c>
      <c r="AE124" s="1">
        <v>8.5399999999999991</v>
      </c>
      <c r="AF124" s="1">
        <f>AE124*2.75</f>
        <v>23.484999999999999</v>
      </c>
      <c r="AG124" s="1"/>
      <c r="AH124" s="1"/>
      <c r="AI124" s="9"/>
      <c r="AJ124" s="9"/>
      <c r="AK124" s="9"/>
      <c r="AL124" s="9"/>
      <c r="AM124" s="1"/>
      <c r="AN124" s="1"/>
      <c r="AP124" s="1">
        <f t="shared" si="179"/>
        <v>0.8</v>
      </c>
      <c r="AQ124" s="1">
        <f t="shared" si="180"/>
        <v>0.2</v>
      </c>
      <c r="AR124" s="1">
        <f t="shared" si="266"/>
        <v>1</v>
      </c>
    </row>
    <row r="125" spans="1:44" x14ac:dyDescent="0.25">
      <c r="C125" t="s">
        <v>55</v>
      </c>
      <c r="D125" s="1">
        <f>SUM(E125,G125,I125,K125,M125,O125,Q125,S125,U125,W125,Y125,AA125,AC125,AE125,AG125,AI125,AK125)</f>
        <v>69.990000000000009</v>
      </c>
      <c r="E125" s="1">
        <v>19.96</v>
      </c>
      <c r="F125" s="1">
        <f t="shared" si="186"/>
        <v>26.746400000000001</v>
      </c>
      <c r="G125" s="1">
        <v>7.09</v>
      </c>
      <c r="H125" s="1">
        <f t="shared" si="186"/>
        <v>9.5006000000000004</v>
      </c>
      <c r="I125" s="1">
        <v>3.92</v>
      </c>
      <c r="J125" s="1">
        <f t="shared" si="267"/>
        <v>9.251199999999999</v>
      </c>
      <c r="K125" s="1">
        <v>2.88</v>
      </c>
      <c r="L125" s="1">
        <f t="shared" si="268"/>
        <v>6.7967999999999993</v>
      </c>
      <c r="M125" s="1"/>
      <c r="N125" s="1"/>
      <c r="O125" s="1"/>
      <c r="P125" s="1"/>
      <c r="Q125" s="1"/>
      <c r="R125" s="1"/>
      <c r="S125" s="1">
        <v>12</v>
      </c>
      <c r="T125" s="1">
        <f t="shared" ref="T125" si="273">S125*1.34</f>
        <v>16.080000000000002</v>
      </c>
      <c r="U125" s="1">
        <v>8.41</v>
      </c>
      <c r="V125" s="1">
        <f t="shared" si="167"/>
        <v>11.269400000000001</v>
      </c>
      <c r="W125" s="1">
        <v>8.3800000000000008</v>
      </c>
      <c r="X125" s="1">
        <f t="shared" ref="X125" si="274">W125*1.34</f>
        <v>11.229200000000002</v>
      </c>
      <c r="Y125" s="1"/>
      <c r="Z125" s="1"/>
      <c r="AA125" s="1"/>
      <c r="AB125" s="1"/>
      <c r="AC125" s="1">
        <v>1.17</v>
      </c>
      <c r="AD125" s="1">
        <f t="shared" si="246"/>
        <v>3.2174999999999998</v>
      </c>
      <c r="AE125" s="1">
        <v>6.18</v>
      </c>
      <c r="AF125" s="1">
        <f>AE125*2.75</f>
        <v>16.994999999999997</v>
      </c>
      <c r="AG125" s="1"/>
      <c r="AH125" s="1"/>
      <c r="AI125" s="9"/>
      <c r="AJ125" s="9"/>
      <c r="AK125" s="9"/>
      <c r="AL125" s="9"/>
      <c r="AM125" s="1"/>
      <c r="AN125" s="1"/>
      <c r="AP125" s="1">
        <f t="shared" si="179"/>
        <v>0.8</v>
      </c>
      <c r="AQ125" s="1">
        <f t="shared" si="180"/>
        <v>0.2</v>
      </c>
      <c r="AR125" s="1">
        <f t="shared" si="266"/>
        <v>1</v>
      </c>
    </row>
    <row r="126" spans="1:44" x14ac:dyDescent="0.25">
      <c r="B126" t="s">
        <v>86</v>
      </c>
      <c r="C126" t="s">
        <v>87</v>
      </c>
      <c r="D126" s="1">
        <f>SUM(E126,G126,I126,K126,M126,O126,Q126,S126,U126,W126,Y126,AA126,AC126,AE126,AG126,AI126,AK126)</f>
        <v>70</v>
      </c>
      <c r="E126" s="1">
        <v>18</v>
      </c>
      <c r="F126" s="1">
        <f t="shared" si="186"/>
        <v>24.12</v>
      </c>
      <c r="G126" s="1">
        <v>7.8</v>
      </c>
      <c r="H126" s="1">
        <f t="shared" si="186"/>
        <v>10.452</v>
      </c>
      <c r="I126" s="1">
        <v>5.7</v>
      </c>
      <c r="J126" s="1">
        <f t="shared" si="267"/>
        <v>13.452</v>
      </c>
      <c r="K126" s="1">
        <v>4</v>
      </c>
      <c r="L126" s="1">
        <f t="shared" si="268"/>
        <v>9.44</v>
      </c>
      <c r="M126" s="1"/>
      <c r="N126" s="1"/>
      <c r="O126" s="1"/>
      <c r="P126" s="1"/>
      <c r="Q126" s="1"/>
      <c r="R126" s="1"/>
      <c r="S126" s="1">
        <v>13</v>
      </c>
      <c r="T126" s="1">
        <f t="shared" ref="T126" si="275">S126*1.34</f>
        <v>17.420000000000002</v>
      </c>
      <c r="U126" s="1">
        <v>8.5</v>
      </c>
      <c r="V126" s="1">
        <f t="shared" ref="V126:V170" si="276">U126*1.34</f>
        <v>11.39</v>
      </c>
      <c r="W126" s="1"/>
      <c r="X126" s="1"/>
      <c r="Y126" s="1"/>
      <c r="Z126" s="1"/>
      <c r="AA126" s="1"/>
      <c r="AB126" s="1"/>
      <c r="AC126" s="1">
        <v>4.9000000000000004</v>
      </c>
      <c r="AD126" s="1">
        <f t="shared" si="246"/>
        <v>13.475000000000001</v>
      </c>
      <c r="AE126" s="1">
        <v>4.9000000000000004</v>
      </c>
      <c r="AF126" s="1">
        <f t="shared" ref="AF126:AF129" si="277">AE126*2.75</f>
        <v>13.475000000000001</v>
      </c>
      <c r="AG126" s="1">
        <v>3.2</v>
      </c>
      <c r="AH126" s="1">
        <f>AG126*2.36</f>
        <v>7.5519999999999996</v>
      </c>
      <c r="AI126" s="9"/>
      <c r="AJ126" s="9"/>
      <c r="AK126" s="9"/>
      <c r="AL126" s="9"/>
      <c r="AM126" s="1"/>
      <c r="AN126" s="1"/>
      <c r="AP126" s="1">
        <f t="shared" si="179"/>
        <v>0.75</v>
      </c>
      <c r="AQ126" s="1">
        <f t="shared" si="180"/>
        <v>0.25</v>
      </c>
      <c r="AR126" s="1">
        <f t="shared" si="266"/>
        <v>1</v>
      </c>
    </row>
    <row r="127" spans="1:44" x14ac:dyDescent="0.25">
      <c r="C127" t="s">
        <v>67</v>
      </c>
      <c r="D127" s="1">
        <f>SUM(E127,G127,I127,K127,M127,O127,Q127,S127,U127,W127,Y127,AA127,AC127,AE127,AG127,AI127,AK127)</f>
        <v>70</v>
      </c>
      <c r="E127" s="1">
        <v>18.2</v>
      </c>
      <c r="F127" s="1">
        <f t="shared" si="186"/>
        <v>24.388000000000002</v>
      </c>
      <c r="G127" s="1">
        <v>7.1</v>
      </c>
      <c r="H127" s="1">
        <f t="shared" si="186"/>
        <v>9.5139999999999993</v>
      </c>
      <c r="I127" s="1">
        <v>4.0999999999999996</v>
      </c>
      <c r="J127" s="1">
        <f t="shared" si="267"/>
        <v>9.6759999999999984</v>
      </c>
      <c r="K127" s="1"/>
      <c r="L127" s="1"/>
      <c r="M127" s="1"/>
      <c r="N127" s="1"/>
      <c r="O127" s="1"/>
      <c r="P127" s="1"/>
      <c r="Q127" s="1">
        <v>2.7</v>
      </c>
      <c r="R127" s="1">
        <f>Q127*2.36</f>
        <v>6.3719999999999999</v>
      </c>
      <c r="S127" s="1">
        <v>10.7</v>
      </c>
      <c r="T127" s="1">
        <f t="shared" ref="T127" si="278">S127*1.34</f>
        <v>14.337999999999999</v>
      </c>
      <c r="U127" s="1">
        <v>9.5</v>
      </c>
      <c r="V127" s="1">
        <f t="shared" si="276"/>
        <v>12.73</v>
      </c>
      <c r="W127" s="1">
        <v>9.5</v>
      </c>
      <c r="X127" s="1">
        <f t="shared" ref="X127:X149" si="279">W127*1.34</f>
        <v>12.73</v>
      </c>
      <c r="Y127" s="1"/>
      <c r="Z127" s="1"/>
      <c r="AA127" s="1"/>
      <c r="AB127" s="1"/>
      <c r="AC127" s="1">
        <v>2.5499999999999998</v>
      </c>
      <c r="AD127" s="1">
        <f t="shared" si="246"/>
        <v>7.0124999999999993</v>
      </c>
      <c r="AE127" s="1">
        <v>5.65</v>
      </c>
      <c r="AF127" s="1">
        <f t="shared" si="277"/>
        <v>15.537500000000001</v>
      </c>
      <c r="AG127" s="1"/>
      <c r="AH127" s="1"/>
      <c r="AI127" s="9"/>
      <c r="AJ127" s="9"/>
      <c r="AK127" s="9"/>
      <c r="AL127" s="9"/>
      <c r="AM127" s="1"/>
      <c r="AN127" s="1"/>
      <c r="AP127" s="1">
        <f t="shared" si="179"/>
        <v>0.8</v>
      </c>
      <c r="AQ127" s="1">
        <f t="shared" si="180"/>
        <v>0.2</v>
      </c>
      <c r="AR127" s="1">
        <f t="shared" si="266"/>
        <v>1</v>
      </c>
    </row>
    <row r="128" spans="1:44" x14ac:dyDescent="0.25">
      <c r="C128" t="s">
        <v>55</v>
      </c>
      <c r="D128" s="1">
        <f>SUM(E128,G128,I128,K128,M128,O128,Q128,S128,U128,W128,Y128,AA128,AC128,AE128,AG128,AI128,AK128)</f>
        <v>70</v>
      </c>
      <c r="E128" s="1">
        <v>18.23</v>
      </c>
      <c r="F128" s="1">
        <f t="shared" si="186"/>
        <v>24.4282</v>
      </c>
      <c r="G128" s="1">
        <v>7.07</v>
      </c>
      <c r="H128" s="1">
        <f t="shared" si="186"/>
        <v>9.4738000000000007</v>
      </c>
      <c r="I128" s="1">
        <v>3.92</v>
      </c>
      <c r="J128" s="1">
        <f t="shared" si="267"/>
        <v>9.251199999999999</v>
      </c>
      <c r="K128" s="1">
        <v>3.81</v>
      </c>
      <c r="L128" s="1">
        <f t="shared" ref="L128:L133" si="280">K128*2.36</f>
        <v>8.9916</v>
      </c>
      <c r="M128" s="1"/>
      <c r="N128" s="1"/>
      <c r="O128" s="1"/>
      <c r="P128" s="1"/>
      <c r="Q128" s="1"/>
      <c r="R128" s="1"/>
      <c r="S128" s="1">
        <v>12.13</v>
      </c>
      <c r="T128" s="1">
        <f t="shared" ref="T128" si="281">S128*1.34</f>
        <v>16.254200000000001</v>
      </c>
      <c r="U128" s="1">
        <v>8.5</v>
      </c>
      <c r="V128" s="1">
        <f t="shared" si="276"/>
        <v>11.39</v>
      </c>
      <c r="W128" s="1">
        <v>8.14</v>
      </c>
      <c r="X128" s="1">
        <f t="shared" si="279"/>
        <v>10.907600000000002</v>
      </c>
      <c r="Y128" s="1"/>
      <c r="Z128" s="1"/>
      <c r="AA128" s="1"/>
      <c r="AB128" s="1"/>
      <c r="AC128" s="1">
        <v>1.1499999999999999</v>
      </c>
      <c r="AD128" s="1">
        <f t="shared" si="246"/>
        <v>3.1624999999999996</v>
      </c>
      <c r="AE128" s="1">
        <v>7.05</v>
      </c>
      <c r="AF128" s="1">
        <f t="shared" si="277"/>
        <v>19.387499999999999</v>
      </c>
      <c r="AG128" s="1"/>
      <c r="AH128" s="1"/>
      <c r="AI128" s="9"/>
      <c r="AJ128" s="9"/>
      <c r="AK128" s="9"/>
      <c r="AL128" s="9"/>
      <c r="AM128" s="1"/>
      <c r="AN128" s="1"/>
      <c r="AP128" s="1">
        <f t="shared" si="179"/>
        <v>0.79</v>
      </c>
      <c r="AQ128" s="1">
        <f t="shared" si="180"/>
        <v>0.21</v>
      </c>
      <c r="AR128" s="1">
        <f t="shared" si="266"/>
        <v>1</v>
      </c>
    </row>
    <row r="129" spans="2:44" x14ac:dyDescent="0.25">
      <c r="B129" t="s">
        <v>42</v>
      </c>
      <c r="C129" t="s">
        <v>77</v>
      </c>
      <c r="D129" s="1">
        <f>SUM(E129,G129,I129,K129,M129,O129,Q129,S129,U129,W129,Y129,AA129,AC129,AE129,AG129,AI129,AK129)</f>
        <v>70</v>
      </c>
      <c r="E129" s="1">
        <v>18.100000000000001</v>
      </c>
      <c r="F129" s="1">
        <f t="shared" si="186"/>
        <v>24.254000000000005</v>
      </c>
      <c r="G129" s="1">
        <v>7</v>
      </c>
      <c r="H129" s="1">
        <f t="shared" si="186"/>
        <v>9.3800000000000008</v>
      </c>
      <c r="I129" s="1">
        <v>3.95</v>
      </c>
      <c r="J129" s="1">
        <f t="shared" si="267"/>
        <v>9.3219999999999992</v>
      </c>
      <c r="K129" s="1">
        <v>2.35</v>
      </c>
      <c r="L129" s="1">
        <f t="shared" si="280"/>
        <v>5.5460000000000003</v>
      </c>
      <c r="M129" s="1"/>
      <c r="N129" s="1"/>
      <c r="O129" s="1"/>
      <c r="P129" s="1"/>
      <c r="Q129" s="1"/>
      <c r="R129" s="1"/>
      <c r="S129" s="1">
        <v>11.7</v>
      </c>
      <c r="T129" s="1">
        <f t="shared" ref="T129" si="282">S129*1.34</f>
        <v>15.678000000000001</v>
      </c>
      <c r="U129" s="1">
        <v>9.65</v>
      </c>
      <c r="V129" s="1">
        <f t="shared" si="276"/>
        <v>12.931000000000001</v>
      </c>
      <c r="W129" s="1">
        <v>9.1</v>
      </c>
      <c r="X129" s="1">
        <f t="shared" si="279"/>
        <v>12.194000000000001</v>
      </c>
      <c r="Y129" s="1"/>
      <c r="Z129" s="1"/>
      <c r="AA129" s="1"/>
      <c r="AB129" s="1"/>
      <c r="AC129" s="1">
        <v>2.5</v>
      </c>
      <c r="AD129" s="1">
        <f t="shared" si="246"/>
        <v>6.875</v>
      </c>
      <c r="AE129" s="1">
        <v>5.65</v>
      </c>
      <c r="AF129" s="1">
        <f t="shared" si="277"/>
        <v>15.537500000000001</v>
      </c>
      <c r="AG129" s="1"/>
      <c r="AH129" s="1"/>
      <c r="AI129" s="9"/>
      <c r="AJ129" s="9"/>
      <c r="AK129" s="9"/>
      <c r="AL129" s="9"/>
      <c r="AM129" s="1"/>
      <c r="AN129" s="1"/>
      <c r="AP129" s="1">
        <f t="shared" si="179"/>
        <v>0.81</v>
      </c>
      <c r="AQ129" s="1">
        <f t="shared" si="180"/>
        <v>0.19</v>
      </c>
      <c r="AR129" s="1">
        <f t="shared" si="266"/>
        <v>1</v>
      </c>
    </row>
    <row r="130" spans="2:44" x14ac:dyDescent="0.25">
      <c r="C130" t="s">
        <v>68</v>
      </c>
      <c r="D130" s="1">
        <f>SUM(E130,G130,I130,K130,M130,O130,Q130,S130,U130,W130,Y130,AA130,AC130,AE130,AG130,AI130,AK130)</f>
        <v>70</v>
      </c>
      <c r="E130" s="1">
        <v>18.2</v>
      </c>
      <c r="F130" s="1">
        <f t="shared" si="186"/>
        <v>24.388000000000002</v>
      </c>
      <c r="G130" s="1">
        <v>7</v>
      </c>
      <c r="H130" s="1">
        <f t="shared" si="186"/>
        <v>9.3800000000000008</v>
      </c>
      <c r="I130" s="1">
        <v>3.4</v>
      </c>
      <c r="J130" s="1">
        <f t="shared" si="267"/>
        <v>8.0239999999999991</v>
      </c>
      <c r="K130" s="1">
        <v>2</v>
      </c>
      <c r="L130" s="1">
        <f t="shared" si="280"/>
        <v>4.72</v>
      </c>
      <c r="M130" s="1"/>
      <c r="N130" s="1"/>
      <c r="O130" s="1"/>
      <c r="P130" s="1"/>
      <c r="Q130" s="1"/>
      <c r="R130" s="1"/>
      <c r="S130" s="1">
        <v>11.9</v>
      </c>
      <c r="T130" s="1">
        <f t="shared" ref="T130" si="283">S130*1.34</f>
        <v>15.946000000000002</v>
      </c>
      <c r="U130" s="1">
        <v>11.5</v>
      </c>
      <c r="V130" s="1">
        <f t="shared" si="276"/>
        <v>15.41</v>
      </c>
      <c r="W130" s="1">
        <v>8.65</v>
      </c>
      <c r="X130" s="1">
        <f t="shared" si="279"/>
        <v>11.591000000000001</v>
      </c>
      <c r="Y130" s="1"/>
      <c r="Z130" s="1"/>
      <c r="AA130" s="1"/>
      <c r="AB130" s="1"/>
      <c r="AC130" s="1">
        <v>7.35</v>
      </c>
      <c r="AD130" s="1">
        <f t="shared" si="246"/>
        <v>20.212499999999999</v>
      </c>
      <c r="AE130" s="1"/>
      <c r="AF130" s="1"/>
      <c r="AG130" s="1"/>
      <c r="AH130" s="1"/>
      <c r="AI130" s="9"/>
      <c r="AJ130" s="9"/>
      <c r="AK130" s="9"/>
      <c r="AL130" s="9"/>
      <c r="AM130" s="1"/>
      <c r="AN130" s="1"/>
      <c r="AP130" s="1">
        <f t="shared" si="179"/>
        <v>0.82</v>
      </c>
      <c r="AQ130" s="1">
        <f t="shared" si="180"/>
        <v>0.18</v>
      </c>
      <c r="AR130" s="1">
        <f t="shared" si="266"/>
        <v>1</v>
      </c>
    </row>
    <row r="131" spans="2:44" x14ac:dyDescent="0.25">
      <c r="C131" t="s">
        <v>68</v>
      </c>
      <c r="D131" s="1">
        <f>SUM(E131,G131,I131,K131,M131,O131,Q131,S131,U131,W131,Y131,AA131,AC131,AE131,AG131,AI131,AK131)</f>
        <v>70</v>
      </c>
      <c r="E131" s="1">
        <v>18</v>
      </c>
      <c r="F131" s="1">
        <f t="shared" si="186"/>
        <v>24.12</v>
      </c>
      <c r="G131" s="1">
        <v>7.2</v>
      </c>
      <c r="H131" s="1">
        <f t="shared" si="186"/>
        <v>9.6480000000000015</v>
      </c>
      <c r="I131" s="1">
        <v>3.8</v>
      </c>
      <c r="J131" s="1">
        <f t="shared" si="267"/>
        <v>8.968</v>
      </c>
      <c r="K131" s="1">
        <v>2.2999999999999998</v>
      </c>
      <c r="L131" s="1">
        <f t="shared" si="280"/>
        <v>5.427999999999999</v>
      </c>
      <c r="M131" s="1"/>
      <c r="N131" s="1"/>
      <c r="O131" s="1"/>
      <c r="P131" s="1"/>
      <c r="Q131" s="1"/>
      <c r="R131" s="1"/>
      <c r="S131" s="1">
        <v>11.35</v>
      </c>
      <c r="T131" s="1">
        <f t="shared" ref="T131" si="284">S131*1.34</f>
        <v>15.209</v>
      </c>
      <c r="U131" s="1">
        <v>10</v>
      </c>
      <c r="V131" s="1">
        <f t="shared" si="276"/>
        <v>13.4</v>
      </c>
      <c r="W131" s="1">
        <v>8.9</v>
      </c>
      <c r="X131" s="1">
        <f t="shared" si="279"/>
        <v>11.926000000000002</v>
      </c>
      <c r="Y131" s="1"/>
      <c r="Z131" s="1"/>
      <c r="AA131" s="1"/>
      <c r="AB131" s="1"/>
      <c r="AC131" s="1">
        <v>8.4499999999999993</v>
      </c>
      <c r="AD131" s="1">
        <f t="shared" si="246"/>
        <v>23.237499999999997</v>
      </c>
      <c r="AE131" s="1"/>
      <c r="AF131" s="1"/>
      <c r="AG131" s="1"/>
      <c r="AH131" s="1"/>
      <c r="AI131" s="9"/>
      <c r="AJ131" s="9"/>
      <c r="AK131" s="9"/>
      <c r="AL131" s="9"/>
      <c r="AM131" s="1"/>
      <c r="AN131" s="1"/>
      <c r="AP131" s="1">
        <f t="shared" si="179"/>
        <v>0.81</v>
      </c>
      <c r="AQ131" s="1">
        <f t="shared" si="180"/>
        <v>0.19</v>
      </c>
      <c r="AR131" s="1">
        <f t="shared" si="266"/>
        <v>1</v>
      </c>
    </row>
    <row r="132" spans="2:44" x14ac:dyDescent="0.25">
      <c r="C132" t="s">
        <v>68</v>
      </c>
      <c r="D132" s="1">
        <f>SUM(E132,G132,I132,K132,M132,O132,Q132,S132,U132,W132,Y132,AA132,AC132,AE132,AG132,AI132,AK132)</f>
        <v>70</v>
      </c>
      <c r="E132" s="1">
        <v>18.3</v>
      </c>
      <c r="F132" s="1">
        <f t="shared" si="186"/>
        <v>24.522000000000002</v>
      </c>
      <c r="G132" s="1">
        <v>7.6</v>
      </c>
      <c r="H132" s="1">
        <f t="shared" si="186"/>
        <v>10.183999999999999</v>
      </c>
      <c r="I132" s="1">
        <v>3.75</v>
      </c>
      <c r="J132" s="1">
        <f t="shared" si="267"/>
        <v>8.85</v>
      </c>
      <c r="K132" s="1">
        <v>2.6</v>
      </c>
      <c r="L132" s="1">
        <f t="shared" si="280"/>
        <v>6.1360000000000001</v>
      </c>
      <c r="M132" s="1"/>
      <c r="N132" s="1"/>
      <c r="O132" s="1"/>
      <c r="P132" s="1"/>
      <c r="Q132" s="1"/>
      <c r="R132" s="1"/>
      <c r="S132" s="1">
        <v>10.9</v>
      </c>
      <c r="T132" s="1">
        <f t="shared" ref="T132" si="285">S132*1.34</f>
        <v>14.606000000000002</v>
      </c>
      <c r="U132" s="1">
        <v>10.45</v>
      </c>
      <c r="V132" s="1">
        <f t="shared" si="276"/>
        <v>14.003</v>
      </c>
      <c r="W132" s="1">
        <v>8.65</v>
      </c>
      <c r="X132" s="1">
        <f t="shared" si="279"/>
        <v>11.591000000000001</v>
      </c>
      <c r="Y132" s="1"/>
      <c r="Z132" s="1"/>
      <c r="AA132" s="1"/>
      <c r="AB132" s="1"/>
      <c r="AC132" s="1">
        <v>2.75</v>
      </c>
      <c r="AD132" s="1">
        <f t="shared" si="246"/>
        <v>7.5625</v>
      </c>
      <c r="AE132" s="1">
        <v>5</v>
      </c>
      <c r="AF132" s="1">
        <f t="shared" ref="AF132:AF151" si="286">AE132*2.75</f>
        <v>13.75</v>
      </c>
      <c r="AG132" s="1"/>
      <c r="AH132" s="1"/>
      <c r="AI132" s="9"/>
      <c r="AJ132" s="9"/>
      <c r="AK132" s="9"/>
      <c r="AL132" s="9"/>
      <c r="AM132" s="1"/>
      <c r="AN132" s="1"/>
      <c r="AP132" s="1">
        <f t="shared" si="179"/>
        <v>0.8</v>
      </c>
      <c r="AQ132" s="1">
        <f t="shared" si="180"/>
        <v>0.2</v>
      </c>
      <c r="AR132" s="1">
        <f t="shared" si="266"/>
        <v>1</v>
      </c>
    </row>
    <row r="133" spans="2:44" x14ac:dyDescent="0.25">
      <c r="B133" t="s">
        <v>86</v>
      </c>
      <c r="C133" t="s">
        <v>87</v>
      </c>
      <c r="D133" s="1">
        <f>SUM(E133,G133,I133,K133,M133,O133,Q133,S133,U133,W133,Y133,AA133,AC133,AE133,AG133,AI133,AK133)</f>
        <v>70.900000000000006</v>
      </c>
      <c r="E133" s="1">
        <v>19.600000000000001</v>
      </c>
      <c r="F133" s="1">
        <f t="shared" si="186"/>
        <v>26.264000000000003</v>
      </c>
      <c r="G133" s="1">
        <v>8.1</v>
      </c>
      <c r="H133" s="1">
        <f t="shared" si="186"/>
        <v>10.854000000000001</v>
      </c>
      <c r="I133" s="1">
        <v>5.2</v>
      </c>
      <c r="J133" s="1">
        <f t="shared" si="267"/>
        <v>12.272</v>
      </c>
      <c r="K133" s="1">
        <v>3.5</v>
      </c>
      <c r="L133" s="1">
        <f t="shared" si="280"/>
        <v>8.26</v>
      </c>
      <c r="M133" s="1"/>
      <c r="N133" s="1"/>
      <c r="O133" s="1"/>
      <c r="P133" s="1"/>
      <c r="Q133" s="1"/>
      <c r="R133" s="1"/>
      <c r="S133" s="1">
        <v>12.2</v>
      </c>
      <c r="T133" s="1">
        <f t="shared" ref="T133" si="287">S133*1.34</f>
        <v>16.347999999999999</v>
      </c>
      <c r="U133" s="1">
        <v>10.3</v>
      </c>
      <c r="V133" s="1">
        <f t="shared" si="276"/>
        <v>13.802000000000001</v>
      </c>
      <c r="W133" s="1"/>
      <c r="X133" s="1"/>
      <c r="Y133" s="1"/>
      <c r="Z133" s="1"/>
      <c r="AA133" s="1"/>
      <c r="AB133" s="1"/>
      <c r="AC133" s="1">
        <v>6</v>
      </c>
      <c r="AD133" s="1">
        <f t="shared" si="246"/>
        <v>16.5</v>
      </c>
      <c r="AE133" s="1">
        <v>2.8</v>
      </c>
      <c r="AF133" s="1">
        <f t="shared" si="286"/>
        <v>7.6999999999999993</v>
      </c>
      <c r="AG133" s="1">
        <v>3.2</v>
      </c>
      <c r="AH133" s="1">
        <f>AG133*2.36</f>
        <v>7.5519999999999996</v>
      </c>
      <c r="AI133" s="9"/>
      <c r="AJ133" s="9"/>
      <c r="AK133" s="9"/>
      <c r="AL133" s="9"/>
      <c r="AM133" s="1">
        <v>4.8</v>
      </c>
      <c r="AN133" s="1">
        <f>AM133*0.6</f>
        <v>2.88</v>
      </c>
      <c r="AP133" s="1">
        <f t="shared" si="179"/>
        <v>0.76</v>
      </c>
      <c r="AQ133" s="1">
        <f t="shared" si="180"/>
        <v>0.24</v>
      </c>
      <c r="AR133" s="1">
        <f t="shared" si="266"/>
        <v>1</v>
      </c>
    </row>
    <row r="134" spans="2:44" x14ac:dyDescent="0.25">
      <c r="B134" t="s">
        <v>42</v>
      </c>
      <c r="C134" t="s">
        <v>54</v>
      </c>
      <c r="D134" s="1">
        <f>SUM(E134,G134,I134,K134,M134,O134,Q134,S134,U134,W134,Y134,AA134,AC134,AE134,AG134,AI134,AK134)</f>
        <v>70.900000000000006</v>
      </c>
      <c r="E134" s="1">
        <v>18.48</v>
      </c>
      <c r="F134" s="1">
        <f t="shared" si="186"/>
        <v>24.763200000000001</v>
      </c>
      <c r="G134" s="1">
        <v>10.02</v>
      </c>
      <c r="H134" s="1">
        <f t="shared" si="186"/>
        <v>13.4268</v>
      </c>
      <c r="I134" s="1">
        <v>4.42</v>
      </c>
      <c r="J134" s="1">
        <f t="shared" si="267"/>
        <v>10.431199999999999</v>
      </c>
      <c r="K134" s="1"/>
      <c r="L134" s="1"/>
      <c r="M134" s="1"/>
      <c r="N134" s="1"/>
      <c r="O134" s="1"/>
      <c r="P134" s="1"/>
      <c r="Q134" s="1"/>
      <c r="R134" s="1"/>
      <c r="S134" s="1">
        <v>13.97</v>
      </c>
      <c r="T134" s="1">
        <f t="shared" ref="T134" si="288">S134*1.34</f>
        <v>18.719800000000003</v>
      </c>
      <c r="U134" s="1">
        <v>8.4600000000000009</v>
      </c>
      <c r="V134" s="1">
        <f t="shared" si="276"/>
        <v>11.336400000000001</v>
      </c>
      <c r="W134" s="1">
        <v>8</v>
      </c>
      <c r="X134" s="1">
        <f t="shared" si="279"/>
        <v>10.72</v>
      </c>
      <c r="Y134" s="1"/>
      <c r="Z134" s="1"/>
      <c r="AA134" s="1"/>
      <c r="AB134" s="1"/>
      <c r="AC134" s="1">
        <v>3.61</v>
      </c>
      <c r="AD134" s="1">
        <f t="shared" si="246"/>
        <v>9.9275000000000002</v>
      </c>
      <c r="AE134" s="1">
        <v>3.94</v>
      </c>
      <c r="AF134" s="1">
        <f t="shared" si="286"/>
        <v>10.834999999999999</v>
      </c>
      <c r="AG134" s="1"/>
      <c r="AH134" s="1"/>
      <c r="AI134" s="9"/>
      <c r="AJ134" s="9"/>
      <c r="AK134" s="9"/>
      <c r="AL134" s="9"/>
      <c r="AM134" s="1"/>
      <c r="AN134" s="1"/>
      <c r="AP134" s="1">
        <f t="shared" si="179"/>
        <v>0.8</v>
      </c>
      <c r="AQ134" s="1">
        <f t="shared" si="180"/>
        <v>0.2</v>
      </c>
      <c r="AR134" s="1">
        <f t="shared" si="266"/>
        <v>1</v>
      </c>
    </row>
    <row r="135" spans="2:44" x14ac:dyDescent="0.25">
      <c r="B135" t="s">
        <v>42</v>
      </c>
      <c r="C135" t="s">
        <v>58</v>
      </c>
      <c r="D135" s="1">
        <f>SUM(E135,G135,I135,K135,M135,O135,Q135,S135,U135,W135,Y135,AA135,AC135,AE135,AG135,AI135,AK135)</f>
        <v>71.080000000000013</v>
      </c>
      <c r="E135" s="1">
        <v>19.62</v>
      </c>
      <c r="F135" s="1">
        <f t="shared" si="186"/>
        <v>26.290800000000004</v>
      </c>
      <c r="G135" s="1">
        <v>8.08</v>
      </c>
      <c r="H135" s="1">
        <f t="shared" si="186"/>
        <v>10.827200000000001</v>
      </c>
      <c r="I135" s="1">
        <v>3.53</v>
      </c>
      <c r="J135" s="1">
        <f t="shared" si="267"/>
        <v>8.3308</v>
      </c>
      <c r="K135" s="1"/>
      <c r="L135" s="1"/>
      <c r="M135" s="1"/>
      <c r="N135" s="1"/>
      <c r="O135" s="1"/>
      <c r="P135" s="1"/>
      <c r="Q135" s="1"/>
      <c r="R135" s="1"/>
      <c r="S135" s="1">
        <v>14.53</v>
      </c>
      <c r="T135" s="1">
        <f t="shared" ref="T135" si="289">S135*1.34</f>
        <v>19.470200000000002</v>
      </c>
      <c r="U135" s="1">
        <v>10.97</v>
      </c>
      <c r="V135" s="1">
        <f t="shared" si="276"/>
        <v>14.699800000000002</v>
      </c>
      <c r="W135" s="1">
        <v>8.82</v>
      </c>
      <c r="X135" s="1">
        <f t="shared" si="279"/>
        <v>11.818800000000001</v>
      </c>
      <c r="Y135" s="1"/>
      <c r="Z135" s="1"/>
      <c r="AA135" s="1"/>
      <c r="AB135" s="1"/>
      <c r="AC135" s="1">
        <v>2.75</v>
      </c>
      <c r="AD135" s="1">
        <f t="shared" si="246"/>
        <v>7.5625</v>
      </c>
      <c r="AE135" s="1">
        <v>2.78</v>
      </c>
      <c r="AF135" s="1">
        <f t="shared" si="286"/>
        <v>7.6449999999999996</v>
      </c>
      <c r="AG135" s="1"/>
      <c r="AH135" s="1"/>
      <c r="AI135" s="9"/>
      <c r="AJ135" s="9"/>
      <c r="AK135" s="9"/>
      <c r="AL135" s="9"/>
      <c r="AM135" s="1">
        <v>2.82</v>
      </c>
      <c r="AN135" s="1">
        <f>AM135*0.6</f>
        <v>1.6919999999999999</v>
      </c>
      <c r="AP135" s="1">
        <f t="shared" si="179"/>
        <v>0.84</v>
      </c>
      <c r="AQ135" s="1">
        <f t="shared" si="180"/>
        <v>0.16</v>
      </c>
      <c r="AR135" s="1">
        <f t="shared" si="266"/>
        <v>1</v>
      </c>
    </row>
    <row r="136" spans="2:44" x14ac:dyDescent="0.25">
      <c r="D136" s="1">
        <f>SUM(E136,G136,I136,K136,M136,O136,Q136,S136,U136,W136,Y136,AA136,AC136,AE136,AG136,AI136,AK136)</f>
        <v>71.25</v>
      </c>
      <c r="E136" s="1">
        <v>21.53</v>
      </c>
      <c r="F136" s="1">
        <f t="shared" si="186"/>
        <v>28.850200000000005</v>
      </c>
      <c r="G136" s="1">
        <v>8.11</v>
      </c>
      <c r="H136" s="1">
        <f t="shared" si="186"/>
        <v>10.8674</v>
      </c>
      <c r="I136" s="1">
        <v>4.01</v>
      </c>
      <c r="J136" s="1">
        <f t="shared" si="267"/>
        <v>9.4635999999999996</v>
      </c>
      <c r="K136" s="1"/>
      <c r="L136" s="1"/>
      <c r="M136" s="1"/>
      <c r="N136" s="1"/>
      <c r="O136" s="1"/>
      <c r="P136" s="1"/>
      <c r="Q136" s="1"/>
      <c r="R136" s="1"/>
      <c r="S136" s="1">
        <v>12.19</v>
      </c>
      <c r="T136" s="1">
        <f t="shared" ref="T136" si="290">S136*1.34</f>
        <v>16.334600000000002</v>
      </c>
      <c r="U136" s="1">
        <v>10.55</v>
      </c>
      <c r="V136" s="1">
        <f t="shared" si="276"/>
        <v>14.137000000000002</v>
      </c>
      <c r="W136" s="1">
        <v>8.99</v>
      </c>
      <c r="X136" s="1">
        <f t="shared" si="279"/>
        <v>12.046600000000002</v>
      </c>
      <c r="Y136" s="1"/>
      <c r="Z136" s="1"/>
      <c r="AA136" s="1"/>
      <c r="AB136" s="1"/>
      <c r="AC136" s="1">
        <v>2.56</v>
      </c>
      <c r="AD136" s="1">
        <f t="shared" si="246"/>
        <v>7.04</v>
      </c>
      <c r="AE136" s="1">
        <v>3.31</v>
      </c>
      <c r="AF136" s="1">
        <f t="shared" si="286"/>
        <v>9.1025000000000009</v>
      </c>
      <c r="AG136" s="1"/>
      <c r="AH136" s="1"/>
      <c r="AI136" s="9"/>
      <c r="AJ136" s="9"/>
      <c r="AK136" s="9"/>
      <c r="AL136" s="9"/>
      <c r="AM136" s="1"/>
      <c r="AN136" s="1"/>
      <c r="AP136" s="1">
        <f t="shared" si="179"/>
        <v>0.83</v>
      </c>
      <c r="AQ136" s="1">
        <f t="shared" si="180"/>
        <v>0.17</v>
      </c>
      <c r="AR136" s="1">
        <f t="shared" si="266"/>
        <v>1</v>
      </c>
    </row>
    <row r="137" spans="2:44" x14ac:dyDescent="0.25">
      <c r="B137" t="s">
        <v>86</v>
      </c>
      <c r="C137" t="s">
        <v>85</v>
      </c>
      <c r="D137" s="1">
        <f>SUM(E137,G137,I137,K137,M137,O137,Q137,S137,U137,W137,Y137,AA137,AC137,AE137,AG137,AI137,AK137)</f>
        <v>71.699999999999989</v>
      </c>
      <c r="E137" s="1">
        <v>20</v>
      </c>
      <c r="F137" s="1">
        <f t="shared" si="186"/>
        <v>26.8</v>
      </c>
      <c r="G137" s="1">
        <v>7.2</v>
      </c>
      <c r="H137" s="1">
        <f t="shared" si="186"/>
        <v>9.6480000000000015</v>
      </c>
      <c r="I137" s="1">
        <v>5.0999999999999996</v>
      </c>
      <c r="J137" s="1">
        <f t="shared" si="267"/>
        <v>12.035999999999998</v>
      </c>
      <c r="K137" s="1">
        <v>4.4000000000000004</v>
      </c>
      <c r="L137" s="1">
        <f>K137*2.36</f>
        <v>10.384</v>
      </c>
      <c r="M137" s="1"/>
      <c r="N137" s="1"/>
      <c r="O137" s="1"/>
      <c r="P137" s="1"/>
      <c r="Q137" s="1"/>
      <c r="R137" s="1"/>
      <c r="S137" s="1">
        <v>12.1</v>
      </c>
      <c r="T137" s="1">
        <f t="shared" ref="T137" si="291">S137*1.34</f>
        <v>16.214000000000002</v>
      </c>
      <c r="U137" s="1">
        <v>8.6</v>
      </c>
      <c r="V137" s="1">
        <f t="shared" si="276"/>
        <v>11.524000000000001</v>
      </c>
      <c r="W137" s="1"/>
      <c r="X137" s="1"/>
      <c r="Y137" s="1"/>
      <c r="Z137" s="1"/>
      <c r="AA137" s="1"/>
      <c r="AB137" s="1"/>
      <c r="AC137" s="1">
        <v>3.8</v>
      </c>
      <c r="AD137" s="1">
        <f t="shared" si="246"/>
        <v>10.45</v>
      </c>
      <c r="AE137" s="1">
        <f>4.3+3.2</f>
        <v>7.5</v>
      </c>
      <c r="AF137" s="1">
        <f t="shared" si="286"/>
        <v>20.625</v>
      </c>
      <c r="AG137" s="1">
        <v>3</v>
      </c>
      <c r="AH137" s="1">
        <f>AG137*2.36</f>
        <v>7.08</v>
      </c>
      <c r="AI137" s="9"/>
      <c r="AJ137" s="9"/>
      <c r="AK137" s="9"/>
      <c r="AL137" s="9"/>
      <c r="AM137" s="1"/>
      <c r="AN137" s="1"/>
      <c r="AP137" s="1">
        <f t="shared" si="179"/>
        <v>0.77</v>
      </c>
      <c r="AQ137" s="1">
        <f t="shared" si="180"/>
        <v>0.23</v>
      </c>
      <c r="AR137" s="1">
        <f t="shared" si="266"/>
        <v>1</v>
      </c>
    </row>
    <row r="138" spans="2:44" x14ac:dyDescent="0.25">
      <c r="B138" t="s">
        <v>40</v>
      </c>
      <c r="C138" t="s">
        <v>45</v>
      </c>
      <c r="D138" s="1">
        <f>SUM(E138,G138,I138,K138,M138,O138,Q138,S138,U138,W138,Y138,AA138,AC138,AE138,AG138,AI138,AK138)</f>
        <v>71.8</v>
      </c>
      <c r="E138" s="1">
        <v>20.2</v>
      </c>
      <c r="F138" s="1">
        <f t="shared" si="186"/>
        <v>27.068000000000001</v>
      </c>
      <c r="G138" s="1">
        <v>8.5</v>
      </c>
      <c r="H138" s="1">
        <f t="shared" si="186"/>
        <v>11.39</v>
      </c>
      <c r="I138" s="1">
        <v>3.8</v>
      </c>
      <c r="J138" s="1">
        <f t="shared" si="267"/>
        <v>8.968</v>
      </c>
      <c r="K138" s="1"/>
      <c r="L138" s="1"/>
      <c r="M138" s="1"/>
      <c r="N138" s="1"/>
      <c r="O138" s="1"/>
      <c r="P138" s="1"/>
      <c r="Q138" s="1"/>
      <c r="R138" s="1"/>
      <c r="S138" s="1">
        <v>12.8</v>
      </c>
      <c r="T138" s="1">
        <f t="shared" ref="T138" si="292">S138*1.34</f>
        <v>17.152000000000001</v>
      </c>
      <c r="U138" s="1">
        <v>9.4</v>
      </c>
      <c r="V138" s="1">
        <f t="shared" si="276"/>
        <v>12.596000000000002</v>
      </c>
      <c r="W138" s="1">
        <v>8.9</v>
      </c>
      <c r="X138" s="1">
        <f t="shared" si="279"/>
        <v>11.926000000000002</v>
      </c>
      <c r="Y138" s="1"/>
      <c r="Z138" s="1"/>
      <c r="AA138" s="1"/>
      <c r="AB138" s="1"/>
      <c r="AC138" s="1">
        <v>4</v>
      </c>
      <c r="AD138" s="1">
        <f t="shared" ref="AD138:AD148" si="293">AC138*2.75</f>
        <v>11</v>
      </c>
      <c r="AE138" s="1">
        <v>4.2</v>
      </c>
      <c r="AF138" s="1">
        <f t="shared" si="286"/>
        <v>11.55</v>
      </c>
      <c r="AG138" s="1"/>
      <c r="AH138" s="1"/>
      <c r="AI138" s="9"/>
      <c r="AJ138" s="9"/>
      <c r="AK138" s="9"/>
      <c r="AL138" s="9"/>
      <c r="AM138" s="1">
        <v>12.3</v>
      </c>
      <c r="AN138" s="1">
        <f>AM138*0.6</f>
        <v>7.38</v>
      </c>
      <c r="AP138" s="1">
        <f t="shared" ref="AP138:AP201" si="294">ROUND(SUM(AK138,AI138,AG138,AE138,AC138,AA138,Y138,W138,U138,S138,E138)/D138,2)</f>
        <v>0.83</v>
      </c>
      <c r="AQ138" s="1">
        <f t="shared" ref="AQ138:AQ201" si="295">ROUND(SUM(G138,I138,K138,M138,O138,Q138)/D138,2)</f>
        <v>0.17</v>
      </c>
      <c r="AR138" s="1">
        <f t="shared" si="266"/>
        <v>1</v>
      </c>
    </row>
    <row r="139" spans="2:44" x14ac:dyDescent="0.25">
      <c r="B139" t="s">
        <v>42</v>
      </c>
      <c r="C139" t="s">
        <v>54</v>
      </c>
      <c r="D139" s="1">
        <f>SUM(E139,G139,I139,K139,M139,O139,Q139,S139,U139,W139,Y139,AA139,AC139,AE139,AG139,AI139,AK139)</f>
        <v>71.91</v>
      </c>
      <c r="E139" s="1">
        <v>19.690000000000001</v>
      </c>
      <c r="F139" s="1">
        <f t="shared" si="186"/>
        <v>26.384600000000002</v>
      </c>
      <c r="G139" s="1">
        <v>11.87</v>
      </c>
      <c r="H139" s="1">
        <f t="shared" si="186"/>
        <v>15.905799999999999</v>
      </c>
      <c r="I139" s="1">
        <v>4.87</v>
      </c>
      <c r="J139" s="1">
        <f t="shared" si="267"/>
        <v>11.4932</v>
      </c>
      <c r="K139" s="1"/>
      <c r="L139" s="1"/>
      <c r="M139" s="1"/>
      <c r="N139" s="1"/>
      <c r="O139" s="1"/>
      <c r="P139" s="1"/>
      <c r="Q139" s="1"/>
      <c r="R139" s="1"/>
      <c r="S139" s="1">
        <v>12.59</v>
      </c>
      <c r="T139" s="1">
        <f t="shared" ref="T139" si="296">S139*1.34</f>
        <v>16.8706</v>
      </c>
      <c r="U139" s="1">
        <v>8.84</v>
      </c>
      <c r="V139" s="1">
        <f t="shared" si="276"/>
        <v>11.845600000000001</v>
      </c>
      <c r="W139" s="1">
        <v>8.5</v>
      </c>
      <c r="X139" s="1">
        <f t="shared" si="279"/>
        <v>11.39</v>
      </c>
      <c r="Y139" s="1"/>
      <c r="Z139" s="1"/>
      <c r="AA139" s="1"/>
      <c r="AB139" s="1"/>
      <c r="AC139" s="1">
        <v>2.78</v>
      </c>
      <c r="AD139" s="1">
        <f t="shared" si="293"/>
        <v>7.6449999999999996</v>
      </c>
      <c r="AE139" s="1">
        <v>2.77</v>
      </c>
      <c r="AF139" s="1">
        <f t="shared" si="286"/>
        <v>7.6174999999999997</v>
      </c>
      <c r="AG139" s="1"/>
      <c r="AH139" s="1"/>
      <c r="AI139" s="9"/>
      <c r="AJ139" s="9"/>
      <c r="AK139" s="9"/>
      <c r="AL139" s="9"/>
      <c r="AM139" s="1"/>
      <c r="AN139" s="1"/>
      <c r="AP139" s="1">
        <f t="shared" si="294"/>
        <v>0.77</v>
      </c>
      <c r="AQ139" s="1">
        <f t="shared" si="295"/>
        <v>0.23</v>
      </c>
      <c r="AR139" s="1">
        <f t="shared" si="266"/>
        <v>1</v>
      </c>
    </row>
    <row r="140" spans="2:44" x14ac:dyDescent="0.25">
      <c r="C140" t="s">
        <v>65</v>
      </c>
      <c r="D140" s="1">
        <f>SUM(E140,G140,I140,K140,M140,O140,Q140,S140,U140,W140,Y140,AA140,AC140,AE140,AG140,AI140,AK140)</f>
        <v>72.150000000000006</v>
      </c>
      <c r="E140" s="1">
        <v>19.2</v>
      </c>
      <c r="F140" s="1">
        <f t="shared" ref="F140:H144" si="297">E140*1.34</f>
        <v>25.728000000000002</v>
      </c>
      <c r="G140" s="1">
        <v>7.87</v>
      </c>
      <c r="H140" s="1">
        <f t="shared" si="297"/>
        <v>10.545800000000002</v>
      </c>
      <c r="I140" s="1">
        <v>4.79</v>
      </c>
      <c r="J140" s="1">
        <f t="shared" si="267"/>
        <v>11.304399999999999</v>
      </c>
      <c r="K140" s="1"/>
      <c r="L140" s="1"/>
      <c r="M140" s="1"/>
      <c r="N140" s="1"/>
      <c r="O140" s="1"/>
      <c r="P140" s="1"/>
      <c r="Q140" s="1"/>
      <c r="R140" s="1"/>
      <c r="S140" s="1">
        <v>12.7</v>
      </c>
      <c r="T140" s="1">
        <f t="shared" ref="T140" si="298">S140*1.34</f>
        <v>17.018000000000001</v>
      </c>
      <c r="U140" s="1">
        <v>9.4600000000000009</v>
      </c>
      <c r="V140" s="1">
        <f t="shared" si="276"/>
        <v>12.676400000000003</v>
      </c>
      <c r="W140" s="1">
        <v>8.92</v>
      </c>
      <c r="X140" s="1">
        <f t="shared" si="279"/>
        <v>11.9528</v>
      </c>
      <c r="Y140" s="1"/>
      <c r="Z140" s="1"/>
      <c r="AA140" s="1"/>
      <c r="AB140" s="1"/>
      <c r="AC140" s="1">
        <v>3.69</v>
      </c>
      <c r="AD140" s="1">
        <f t="shared" si="293"/>
        <v>10.147499999999999</v>
      </c>
      <c r="AE140" s="1">
        <v>5.52</v>
      </c>
      <c r="AF140" s="1">
        <f t="shared" si="286"/>
        <v>15.18</v>
      </c>
      <c r="AG140" s="1"/>
      <c r="AH140" s="1"/>
      <c r="AI140" s="9"/>
      <c r="AJ140" s="9"/>
      <c r="AK140" s="9"/>
      <c r="AL140" s="9"/>
      <c r="AM140" s="1">
        <v>23.82</v>
      </c>
      <c r="AN140" s="1">
        <f t="shared" ref="AN140:AN144" si="299">AM140*0.6</f>
        <v>14.292</v>
      </c>
      <c r="AP140" s="1">
        <f t="shared" si="294"/>
        <v>0.82</v>
      </c>
      <c r="AQ140" s="1">
        <f t="shared" si="295"/>
        <v>0.18</v>
      </c>
      <c r="AR140" s="1">
        <f t="shared" si="266"/>
        <v>1</v>
      </c>
    </row>
    <row r="141" spans="2:44" x14ac:dyDescent="0.25">
      <c r="B141" t="s">
        <v>62</v>
      </c>
      <c r="C141" t="s">
        <v>131</v>
      </c>
      <c r="D141" s="1">
        <f>SUM(E141,G141,I141,K141,M141,O141,Q141,S141,U141,W141,Y141,AA141,AC141,AE141,AG141,AI141,AK141)</f>
        <v>72.2</v>
      </c>
      <c r="E141" s="1">
        <v>22.1</v>
      </c>
      <c r="F141" s="1">
        <f t="shared" si="297"/>
        <v>29.614000000000004</v>
      </c>
      <c r="G141" s="1">
        <v>11.2</v>
      </c>
      <c r="H141" s="1">
        <f t="shared" si="297"/>
        <v>15.007999999999999</v>
      </c>
      <c r="I141" s="1">
        <v>4.0999999999999996</v>
      </c>
      <c r="J141" s="1">
        <f t="shared" si="267"/>
        <v>9.6759999999999984</v>
      </c>
      <c r="K141" s="1">
        <v>3.8</v>
      </c>
      <c r="L141" s="1">
        <f>K141*2.36</f>
        <v>8.968</v>
      </c>
      <c r="M141" s="1"/>
      <c r="N141" s="1"/>
      <c r="O141" s="1"/>
      <c r="P141" s="1"/>
      <c r="Q141" s="1"/>
      <c r="R141" s="1"/>
      <c r="S141" s="1">
        <v>14.6</v>
      </c>
      <c r="T141" s="1">
        <f t="shared" ref="T141" si="300">S141*1.34</f>
        <v>19.564</v>
      </c>
      <c r="U141" s="1">
        <v>9.6999999999999993</v>
      </c>
      <c r="V141" s="1">
        <f t="shared" si="276"/>
        <v>12.997999999999999</v>
      </c>
      <c r="W141" s="1"/>
      <c r="X141" s="1"/>
      <c r="Y141" s="1"/>
      <c r="Z141" s="1"/>
      <c r="AA141" s="1"/>
      <c r="AB141" s="1"/>
      <c r="AC141" s="1">
        <v>4.3</v>
      </c>
      <c r="AD141" s="1">
        <f t="shared" si="293"/>
        <v>11.824999999999999</v>
      </c>
      <c r="AE141" s="1">
        <v>2.4</v>
      </c>
      <c r="AF141" s="1">
        <f t="shared" si="286"/>
        <v>6.6</v>
      </c>
      <c r="AG141" s="1"/>
      <c r="AH141" s="1"/>
      <c r="AI141" s="9"/>
      <c r="AJ141" s="9"/>
      <c r="AK141" s="9"/>
      <c r="AL141" s="9"/>
      <c r="AM141" s="1">
        <f>9.9+6.8+3</f>
        <v>19.7</v>
      </c>
      <c r="AN141" s="1">
        <f t="shared" si="299"/>
        <v>11.819999999999999</v>
      </c>
      <c r="AP141" s="1">
        <f t="shared" si="294"/>
        <v>0.74</v>
      </c>
      <c r="AQ141" s="1">
        <f t="shared" si="295"/>
        <v>0.26</v>
      </c>
      <c r="AR141" s="1">
        <f t="shared" si="266"/>
        <v>1</v>
      </c>
    </row>
    <row r="142" spans="2:44" x14ac:dyDescent="0.25">
      <c r="B142" t="s">
        <v>40</v>
      </c>
      <c r="C142" t="s">
        <v>45</v>
      </c>
      <c r="D142" s="1">
        <f>SUM(E142,G142,I142,K142,M142,O142,Q142,S142,U142,W142,Y142,AA142,AC142,AE142,AG142,AI142,AK142)</f>
        <v>72.2</v>
      </c>
      <c r="E142" s="1">
        <v>19.399999999999999</v>
      </c>
      <c r="F142" s="1">
        <f t="shared" si="297"/>
        <v>25.995999999999999</v>
      </c>
      <c r="G142" s="1">
        <v>8.1</v>
      </c>
      <c r="H142" s="1">
        <f t="shared" si="297"/>
        <v>10.854000000000001</v>
      </c>
      <c r="I142" s="1">
        <v>3.6</v>
      </c>
      <c r="J142" s="1">
        <f t="shared" si="267"/>
        <v>8.4960000000000004</v>
      </c>
      <c r="K142" s="1"/>
      <c r="L142" s="1"/>
      <c r="M142" s="1"/>
      <c r="N142" s="1"/>
      <c r="O142" s="1"/>
      <c r="P142" s="1"/>
      <c r="Q142" s="1"/>
      <c r="R142" s="1"/>
      <c r="S142" s="1">
        <v>13.7</v>
      </c>
      <c r="T142" s="1">
        <f t="shared" ref="T142" si="301">S142*1.34</f>
        <v>18.358000000000001</v>
      </c>
      <c r="U142" s="1">
        <v>9.6</v>
      </c>
      <c r="V142" s="1">
        <f t="shared" si="276"/>
        <v>12.864000000000001</v>
      </c>
      <c r="W142" s="1">
        <v>9.3000000000000007</v>
      </c>
      <c r="X142" s="1">
        <f t="shared" si="279"/>
        <v>12.462000000000002</v>
      </c>
      <c r="Y142" s="1"/>
      <c r="Z142" s="1"/>
      <c r="AA142" s="1"/>
      <c r="AB142" s="1"/>
      <c r="AC142" s="1">
        <v>4.7</v>
      </c>
      <c r="AD142" s="1">
        <f t="shared" si="293"/>
        <v>12.925000000000001</v>
      </c>
      <c r="AE142" s="1">
        <v>3.8</v>
      </c>
      <c r="AF142" s="1">
        <f t="shared" si="286"/>
        <v>10.45</v>
      </c>
      <c r="AG142" s="1"/>
      <c r="AH142" s="1"/>
      <c r="AI142" s="9"/>
      <c r="AJ142" s="9"/>
      <c r="AK142" s="9"/>
      <c r="AL142" s="9"/>
      <c r="AM142" s="1">
        <v>12.1</v>
      </c>
      <c r="AN142" s="1">
        <f t="shared" si="299"/>
        <v>7.26</v>
      </c>
      <c r="AP142" s="1">
        <f t="shared" si="294"/>
        <v>0.84</v>
      </c>
      <c r="AQ142" s="1">
        <f t="shared" si="295"/>
        <v>0.16</v>
      </c>
      <c r="AR142" s="1">
        <f t="shared" si="266"/>
        <v>1</v>
      </c>
    </row>
    <row r="143" spans="2:44" x14ac:dyDescent="0.25">
      <c r="B143" t="s">
        <v>40</v>
      </c>
      <c r="C143" t="s">
        <v>45</v>
      </c>
      <c r="D143" s="1">
        <f>SUM(E143,G143,I143,K143,M143,O143,Q143,S143,U143,W143,Y143,AA143,AC143,AE143,AG143,AI143,AK143)</f>
        <v>72.2</v>
      </c>
      <c r="E143" s="1">
        <v>20.5</v>
      </c>
      <c r="F143" s="1">
        <f t="shared" si="297"/>
        <v>27.470000000000002</v>
      </c>
      <c r="G143" s="1">
        <v>8.4</v>
      </c>
      <c r="H143" s="1">
        <f t="shared" si="297"/>
        <v>11.256000000000002</v>
      </c>
      <c r="I143" s="1">
        <v>3.7</v>
      </c>
      <c r="J143" s="1">
        <f t="shared" si="267"/>
        <v>8.7319999999999993</v>
      </c>
      <c r="K143" s="1"/>
      <c r="L143" s="1"/>
      <c r="M143" s="1"/>
      <c r="N143" s="1"/>
      <c r="O143" s="1"/>
      <c r="P143" s="1"/>
      <c r="Q143" s="1"/>
      <c r="R143" s="1"/>
      <c r="S143" s="1">
        <v>12.9</v>
      </c>
      <c r="T143" s="1">
        <f t="shared" ref="T143" si="302">S143*1.34</f>
        <v>17.286000000000001</v>
      </c>
      <c r="U143" s="1">
        <v>9.3000000000000007</v>
      </c>
      <c r="V143" s="1">
        <f t="shared" si="276"/>
        <v>12.462000000000002</v>
      </c>
      <c r="W143" s="1">
        <v>8.8000000000000007</v>
      </c>
      <c r="X143" s="1">
        <f t="shared" si="279"/>
        <v>11.792000000000002</v>
      </c>
      <c r="Y143" s="1"/>
      <c r="Z143" s="1"/>
      <c r="AA143" s="1"/>
      <c r="AB143" s="1"/>
      <c r="AC143" s="1">
        <v>2.4</v>
      </c>
      <c r="AD143" s="1">
        <f t="shared" si="293"/>
        <v>6.6</v>
      </c>
      <c r="AE143" s="1">
        <v>6.2</v>
      </c>
      <c r="AF143" s="1">
        <f t="shared" si="286"/>
        <v>17.05</v>
      </c>
      <c r="AG143" s="1"/>
      <c r="AH143" s="1"/>
      <c r="AI143" s="9"/>
      <c r="AJ143" s="9"/>
      <c r="AK143" s="9"/>
      <c r="AL143" s="9"/>
      <c r="AM143" s="1">
        <v>11.9</v>
      </c>
      <c r="AN143" s="1">
        <f t="shared" si="299"/>
        <v>7.14</v>
      </c>
      <c r="AP143" s="1">
        <f t="shared" si="294"/>
        <v>0.83</v>
      </c>
      <c r="AQ143" s="1">
        <f t="shared" si="295"/>
        <v>0.17</v>
      </c>
      <c r="AR143" s="1">
        <f t="shared" si="266"/>
        <v>1</v>
      </c>
    </row>
    <row r="144" spans="2:44" x14ac:dyDescent="0.25">
      <c r="B144" t="s">
        <v>119</v>
      </c>
      <c r="C144" t="s">
        <v>120</v>
      </c>
      <c r="D144" s="1">
        <f>SUM(E144,G144,I144,K144,M144,O144,Q144,S144,U144,W144,Y144,AA144,AC144,AE144,AG144,AI144,AK144)</f>
        <v>73.27000000000001</v>
      </c>
      <c r="E144" s="1">
        <v>23.17</v>
      </c>
      <c r="F144" s="1">
        <f t="shared" si="297"/>
        <v>31.047800000000006</v>
      </c>
      <c r="G144" s="1">
        <v>10.66</v>
      </c>
      <c r="H144" s="1">
        <f t="shared" si="297"/>
        <v>14.284400000000002</v>
      </c>
      <c r="I144" s="1">
        <v>4.05</v>
      </c>
      <c r="J144" s="1">
        <f t="shared" si="267"/>
        <v>9.5579999999999998</v>
      </c>
      <c r="K144" s="1">
        <v>3.28</v>
      </c>
      <c r="L144" s="1">
        <f>K144*2.36</f>
        <v>7.7407999999999992</v>
      </c>
      <c r="M144" s="1"/>
      <c r="N144" s="1"/>
      <c r="O144" s="1"/>
      <c r="P144" s="1"/>
      <c r="Q144" s="1"/>
      <c r="R144" s="1"/>
      <c r="S144" s="1">
        <v>13.46</v>
      </c>
      <c r="T144" s="1">
        <f t="shared" ref="T144" si="303">S144*1.34</f>
        <v>18.036400000000004</v>
      </c>
      <c r="U144" s="1">
        <v>12</v>
      </c>
      <c r="V144" s="1">
        <f t="shared" si="276"/>
        <v>16.080000000000002</v>
      </c>
      <c r="W144" s="1"/>
      <c r="X144" s="1"/>
      <c r="Y144" s="1"/>
      <c r="Z144" s="1"/>
      <c r="AA144" s="1"/>
      <c r="AB144" s="1"/>
      <c r="AC144" s="1">
        <v>4.95</v>
      </c>
      <c r="AD144" s="1">
        <f t="shared" si="293"/>
        <v>13.612500000000001</v>
      </c>
      <c r="AE144" s="1">
        <v>1.7</v>
      </c>
      <c r="AF144" s="1">
        <f t="shared" si="286"/>
        <v>4.6749999999999998</v>
      </c>
      <c r="AG144" s="1"/>
      <c r="AH144" s="1"/>
      <c r="AI144" s="9"/>
      <c r="AJ144" s="9"/>
      <c r="AK144" s="9"/>
      <c r="AL144" s="9"/>
      <c r="AM144" s="1">
        <v>12.51</v>
      </c>
      <c r="AN144" s="1">
        <f t="shared" si="299"/>
        <v>7.5059999999999993</v>
      </c>
      <c r="AP144" s="1">
        <f t="shared" si="294"/>
        <v>0.75</v>
      </c>
      <c r="AQ144" s="1">
        <f t="shared" si="295"/>
        <v>0.25</v>
      </c>
      <c r="AR144" s="1">
        <f t="shared" si="266"/>
        <v>1</v>
      </c>
    </row>
    <row r="145" spans="1:44" x14ac:dyDescent="0.25">
      <c r="B145" t="s">
        <v>42</v>
      </c>
      <c r="C145" t="s">
        <v>54</v>
      </c>
      <c r="D145" s="1">
        <f>SUM(E145,G145,I145,K145,M145,O145,Q145,S145,U145,W145,Y145,AA145,AC145,AE145,AG145,AI145,AK145)</f>
        <v>73.399999999999991</v>
      </c>
      <c r="E145" s="1">
        <v>19.62</v>
      </c>
      <c r="F145" s="1">
        <f t="shared" ref="F145:H145" si="304">E145*1.34</f>
        <v>26.290800000000004</v>
      </c>
      <c r="G145" s="1">
        <v>7.95</v>
      </c>
      <c r="H145" s="1">
        <f t="shared" si="304"/>
        <v>10.653</v>
      </c>
      <c r="I145" s="1">
        <v>3.76</v>
      </c>
      <c r="J145" s="1">
        <f t="shared" si="267"/>
        <v>8.8735999999999997</v>
      </c>
      <c r="K145" s="1"/>
      <c r="L145" s="1"/>
      <c r="M145" s="1"/>
      <c r="N145" s="1"/>
      <c r="O145" s="1"/>
      <c r="P145" s="1"/>
      <c r="Q145" s="1"/>
      <c r="R145" s="1"/>
      <c r="S145" s="1">
        <v>15.97</v>
      </c>
      <c r="T145" s="1">
        <f t="shared" ref="T145" si="305">S145*1.34</f>
        <v>21.399800000000003</v>
      </c>
      <c r="U145" s="1">
        <v>10.97</v>
      </c>
      <c r="V145" s="1">
        <f t="shared" si="276"/>
        <v>14.699800000000002</v>
      </c>
      <c r="W145" s="1">
        <v>9.6</v>
      </c>
      <c r="X145" s="1">
        <f t="shared" si="279"/>
        <v>12.864000000000001</v>
      </c>
      <c r="Y145" s="1"/>
      <c r="Z145" s="1"/>
      <c r="AA145" s="1"/>
      <c r="AB145" s="1"/>
      <c r="AC145" s="1">
        <v>2.75</v>
      </c>
      <c r="AD145" s="1">
        <f t="shared" si="293"/>
        <v>7.5625</v>
      </c>
      <c r="AE145" s="1">
        <v>2.78</v>
      </c>
      <c r="AF145" s="1">
        <f t="shared" si="286"/>
        <v>7.6449999999999996</v>
      </c>
      <c r="AG145" s="1"/>
      <c r="AH145" s="1"/>
      <c r="AI145" s="9"/>
      <c r="AJ145" s="9"/>
      <c r="AK145" s="9"/>
      <c r="AL145" s="9"/>
      <c r="AM145" s="1"/>
      <c r="AN145" s="1"/>
      <c r="AP145" s="1">
        <f t="shared" si="294"/>
        <v>0.84</v>
      </c>
      <c r="AQ145" s="1">
        <f t="shared" si="295"/>
        <v>0.16</v>
      </c>
      <c r="AR145" s="1">
        <f t="shared" si="266"/>
        <v>1</v>
      </c>
    </row>
    <row r="146" spans="1:44" x14ac:dyDescent="0.25">
      <c r="B146" t="s">
        <v>41</v>
      </c>
      <c r="C146" t="s">
        <v>47</v>
      </c>
      <c r="D146" s="1">
        <f>SUM(E146,G146,I146,K146,M146,O146,Q146,S146,U146,W146,Y146,AA146,AC146,AE146,AG146,AI146,AK146)</f>
        <v>74.2</v>
      </c>
      <c r="E146" s="1">
        <v>21.9</v>
      </c>
      <c r="F146" s="1">
        <f t="shared" ref="F146:H148" si="306">E146*1.34</f>
        <v>29.346</v>
      </c>
      <c r="G146" s="1">
        <v>9.3000000000000007</v>
      </c>
      <c r="H146" s="1">
        <f t="shared" si="306"/>
        <v>12.462000000000002</v>
      </c>
      <c r="I146" s="1">
        <v>4.0999999999999996</v>
      </c>
      <c r="J146" s="1">
        <f t="shared" si="267"/>
        <v>9.6759999999999984</v>
      </c>
      <c r="K146" s="1"/>
      <c r="L146" s="1"/>
      <c r="M146" s="1"/>
      <c r="N146" s="1"/>
      <c r="O146" s="1"/>
      <c r="P146" s="1"/>
      <c r="Q146" s="1"/>
      <c r="R146" s="1"/>
      <c r="S146" s="1">
        <v>14.3</v>
      </c>
      <c r="T146" s="1">
        <f t="shared" ref="T146" si="307">S146*1.34</f>
        <v>19.162000000000003</v>
      </c>
      <c r="U146" s="1">
        <v>10</v>
      </c>
      <c r="V146" s="1">
        <f t="shared" si="276"/>
        <v>13.4</v>
      </c>
      <c r="W146" s="1">
        <v>9.9</v>
      </c>
      <c r="X146" s="1">
        <f t="shared" si="279"/>
        <v>13.266000000000002</v>
      </c>
      <c r="Y146" s="1"/>
      <c r="Z146" s="1"/>
      <c r="AA146" s="1"/>
      <c r="AB146" s="1"/>
      <c r="AC146" s="1">
        <v>2.2000000000000002</v>
      </c>
      <c r="AD146" s="1">
        <f t="shared" si="293"/>
        <v>6.0500000000000007</v>
      </c>
      <c r="AE146" s="1">
        <v>2.5</v>
      </c>
      <c r="AF146" s="1">
        <f t="shared" si="286"/>
        <v>6.875</v>
      </c>
      <c r="AG146" s="1"/>
      <c r="AH146" s="1"/>
      <c r="AI146" s="9"/>
      <c r="AJ146" s="9"/>
      <c r="AK146" s="9"/>
      <c r="AL146" s="9"/>
      <c r="AM146" s="1">
        <v>17.899999999999999</v>
      </c>
      <c r="AN146" s="1">
        <f t="shared" ref="AN146:AN148" si="308">AM146*0.6</f>
        <v>10.739999999999998</v>
      </c>
      <c r="AP146" s="1">
        <f t="shared" si="294"/>
        <v>0.82</v>
      </c>
      <c r="AQ146" s="1">
        <f t="shared" si="295"/>
        <v>0.18</v>
      </c>
      <c r="AR146" s="1">
        <f t="shared" si="266"/>
        <v>1</v>
      </c>
    </row>
    <row r="147" spans="1:44" x14ac:dyDescent="0.25">
      <c r="C147" t="s">
        <v>65</v>
      </c>
      <c r="D147" s="1">
        <f>SUM(E147,G147,I147,K147,M147,O147,Q147,S147,U147,W147,Y147,AA147,AC147,AE147,AG147,AI147,AK147)</f>
        <v>74.28</v>
      </c>
      <c r="E147" s="1">
        <v>18.48</v>
      </c>
      <c r="F147" s="1">
        <f t="shared" si="306"/>
        <v>24.763200000000001</v>
      </c>
      <c r="G147" s="1">
        <v>7.82</v>
      </c>
      <c r="H147" s="1">
        <f t="shared" si="306"/>
        <v>10.478800000000001</v>
      </c>
      <c r="I147" s="1">
        <v>4.3</v>
      </c>
      <c r="J147" s="1">
        <f t="shared" si="267"/>
        <v>10.148</v>
      </c>
      <c r="K147" s="1"/>
      <c r="L147" s="1"/>
      <c r="M147" s="1"/>
      <c r="N147" s="1"/>
      <c r="O147" s="1"/>
      <c r="P147" s="1"/>
      <c r="Q147" s="1"/>
      <c r="R147" s="1"/>
      <c r="S147" s="1">
        <v>15.73</v>
      </c>
      <c r="T147" s="1">
        <f t="shared" ref="T147" si="309">S147*1.34</f>
        <v>21.078200000000002</v>
      </c>
      <c r="U147" s="1">
        <v>9.51</v>
      </c>
      <c r="V147" s="1">
        <f t="shared" si="276"/>
        <v>12.743400000000001</v>
      </c>
      <c r="W147" s="1">
        <v>8.02</v>
      </c>
      <c r="X147" s="1">
        <f t="shared" si="279"/>
        <v>10.7468</v>
      </c>
      <c r="Y147" s="1"/>
      <c r="Z147" s="1"/>
      <c r="AA147" s="1"/>
      <c r="AB147" s="1"/>
      <c r="AC147" s="1">
        <v>2.72</v>
      </c>
      <c r="AD147" s="1">
        <f t="shared" si="293"/>
        <v>7.48</v>
      </c>
      <c r="AE147" s="1">
        <v>5.16</v>
      </c>
      <c r="AF147" s="1">
        <f t="shared" si="286"/>
        <v>14.190000000000001</v>
      </c>
      <c r="AG147" s="1">
        <v>2.54</v>
      </c>
      <c r="AH147" s="1">
        <f>AG147*2.36</f>
        <v>5.9943999999999997</v>
      </c>
      <c r="AI147" s="9"/>
      <c r="AJ147" s="9"/>
      <c r="AK147" s="9"/>
      <c r="AL147" s="9"/>
      <c r="AM147" s="1">
        <v>3.55</v>
      </c>
      <c r="AN147" s="1">
        <f t="shared" si="308"/>
        <v>2.13</v>
      </c>
      <c r="AP147" s="1">
        <f t="shared" si="294"/>
        <v>0.84</v>
      </c>
      <c r="AQ147" s="1">
        <f t="shared" si="295"/>
        <v>0.16</v>
      </c>
      <c r="AR147" s="1">
        <f t="shared" si="266"/>
        <v>1</v>
      </c>
    </row>
    <row r="148" spans="1:44" x14ac:dyDescent="0.25">
      <c r="C148" t="s">
        <v>65</v>
      </c>
      <c r="D148" s="1">
        <f>SUM(E148,G148,I148,K148,M148,O148,Q148,S148,U148,W148,Y148,AA148,AC148,AE148,AG148,AI148,AK148)</f>
        <v>74.440000000000012</v>
      </c>
      <c r="E148" s="1">
        <v>18.88</v>
      </c>
      <c r="F148" s="1">
        <f t="shared" si="306"/>
        <v>25.299199999999999</v>
      </c>
      <c r="G148" s="1">
        <v>8.0299999999999994</v>
      </c>
      <c r="H148" s="1">
        <f t="shared" si="306"/>
        <v>10.760199999999999</v>
      </c>
      <c r="I148" s="1">
        <v>3.75</v>
      </c>
      <c r="J148" s="1">
        <f t="shared" si="267"/>
        <v>8.85</v>
      </c>
      <c r="K148" s="1"/>
      <c r="L148" s="1"/>
      <c r="M148" s="1"/>
      <c r="N148" s="1"/>
      <c r="O148" s="1"/>
      <c r="P148" s="1"/>
      <c r="Q148" s="1"/>
      <c r="R148" s="1"/>
      <c r="S148" s="1">
        <v>12.34</v>
      </c>
      <c r="T148" s="1">
        <f t="shared" ref="T148" si="310">S148*1.34</f>
        <v>16.535600000000002</v>
      </c>
      <c r="U148" s="1">
        <v>12.08</v>
      </c>
      <c r="V148" s="1">
        <f t="shared" si="276"/>
        <v>16.187200000000001</v>
      </c>
      <c r="W148" s="1">
        <v>10.130000000000001</v>
      </c>
      <c r="X148" s="1">
        <f t="shared" si="279"/>
        <v>13.574200000000001</v>
      </c>
      <c r="Y148" s="1"/>
      <c r="Z148" s="1"/>
      <c r="AA148" s="1"/>
      <c r="AB148" s="1"/>
      <c r="AC148" s="1">
        <v>4.04</v>
      </c>
      <c r="AD148" s="1">
        <f t="shared" si="293"/>
        <v>11.11</v>
      </c>
      <c r="AE148" s="1">
        <v>2.54</v>
      </c>
      <c r="AF148" s="1">
        <f t="shared" si="286"/>
        <v>6.9850000000000003</v>
      </c>
      <c r="AG148" s="1">
        <v>2.65</v>
      </c>
      <c r="AH148" s="1">
        <f>AG148*2.36</f>
        <v>6.2539999999999996</v>
      </c>
      <c r="AI148" s="9"/>
      <c r="AJ148" s="9"/>
      <c r="AK148" s="9"/>
      <c r="AL148" s="9"/>
      <c r="AM148" s="1">
        <v>3.01</v>
      </c>
      <c r="AN148" s="1">
        <f t="shared" si="308"/>
        <v>1.8059999999999998</v>
      </c>
      <c r="AP148" s="1">
        <f t="shared" si="294"/>
        <v>0.84</v>
      </c>
      <c r="AQ148" s="1">
        <f t="shared" si="295"/>
        <v>0.16</v>
      </c>
      <c r="AR148" s="1">
        <f t="shared" si="266"/>
        <v>1</v>
      </c>
    </row>
    <row r="149" spans="1:44" x14ac:dyDescent="0.25">
      <c r="B149" t="s">
        <v>42</v>
      </c>
      <c r="C149" t="s">
        <v>54</v>
      </c>
      <c r="D149" s="1">
        <f>SUM(E149,G149,I149,K149,M149,O149,Q149,S149,U149,W149,Y149,AA149,AC149,AE149,AG149,AI149,AK149)</f>
        <v>74.66</v>
      </c>
      <c r="E149" s="1">
        <v>18.23</v>
      </c>
      <c r="F149" s="1">
        <f t="shared" ref="F149:H149" si="311">E149*1.34</f>
        <v>24.4282</v>
      </c>
      <c r="G149" s="1">
        <v>8.3000000000000007</v>
      </c>
      <c r="H149" s="1">
        <f t="shared" si="311"/>
        <v>11.122000000000002</v>
      </c>
      <c r="I149" s="1">
        <v>5.07</v>
      </c>
      <c r="J149" s="1">
        <f t="shared" si="267"/>
        <v>11.965199999999999</v>
      </c>
      <c r="K149" s="1"/>
      <c r="L149" s="1"/>
      <c r="M149" s="1"/>
      <c r="N149" s="1"/>
      <c r="O149" s="1"/>
      <c r="P149" s="1"/>
      <c r="Q149" s="1"/>
      <c r="R149" s="1"/>
      <c r="S149" s="1">
        <v>13.63</v>
      </c>
      <c r="T149" s="1">
        <f t="shared" ref="T149" si="312">S149*1.34</f>
        <v>18.264200000000002</v>
      </c>
      <c r="U149" s="1">
        <v>8.83</v>
      </c>
      <c r="V149" s="1">
        <f t="shared" si="276"/>
        <v>11.8322</v>
      </c>
      <c r="W149" s="1">
        <v>8.6</v>
      </c>
      <c r="X149" s="1">
        <f t="shared" si="279"/>
        <v>11.524000000000001</v>
      </c>
      <c r="Y149" s="1"/>
      <c r="Z149" s="1"/>
      <c r="AA149" s="1"/>
      <c r="AB149" s="1"/>
      <c r="AC149" s="1">
        <v>4.25</v>
      </c>
      <c r="AD149" s="1">
        <f t="shared" ref="AD149" si="313">AC149*2.75</f>
        <v>11.6875</v>
      </c>
      <c r="AE149" s="1">
        <v>7.75</v>
      </c>
      <c r="AF149" s="1">
        <f t="shared" si="286"/>
        <v>21.3125</v>
      </c>
      <c r="AG149" s="1"/>
      <c r="AH149" s="1"/>
      <c r="AI149" s="9"/>
      <c r="AJ149" s="9"/>
      <c r="AK149" s="9"/>
      <c r="AL149" s="9"/>
      <c r="AM149" s="1"/>
      <c r="AN149" s="1"/>
      <c r="AP149" s="1">
        <f t="shared" si="294"/>
        <v>0.82</v>
      </c>
      <c r="AQ149" s="1">
        <f t="shared" si="295"/>
        <v>0.18</v>
      </c>
      <c r="AR149" s="1">
        <f t="shared" si="266"/>
        <v>1</v>
      </c>
    </row>
    <row r="150" spans="1:44" x14ac:dyDescent="0.25">
      <c r="B150" t="s">
        <v>41</v>
      </c>
      <c r="C150" t="s">
        <v>47</v>
      </c>
      <c r="D150" s="1">
        <f>SUM(E150,G150,I150,K150,M150,O150,Q150,S150,U150,W150,Y150,AA150,AC150,AE150,AG150,AI150,AK150)</f>
        <v>74.8</v>
      </c>
      <c r="E150" s="1">
        <v>31.9</v>
      </c>
      <c r="F150" s="1">
        <f t="shared" ref="F150:H150" si="314">E150*1.34</f>
        <v>42.746000000000002</v>
      </c>
      <c r="G150" s="1">
        <v>8.8000000000000007</v>
      </c>
      <c r="H150" s="1">
        <f t="shared" si="314"/>
        <v>11.792000000000002</v>
      </c>
      <c r="I150" s="1">
        <v>4.8</v>
      </c>
      <c r="J150" s="1">
        <f t="shared" si="267"/>
        <v>11.327999999999999</v>
      </c>
      <c r="K150" s="1"/>
      <c r="L150" s="1"/>
      <c r="M150" s="1"/>
      <c r="N150" s="1"/>
      <c r="O150" s="1"/>
      <c r="P150" s="1"/>
      <c r="Q150" s="1"/>
      <c r="R150" s="1"/>
      <c r="S150" s="1">
        <v>13.5</v>
      </c>
      <c r="T150" s="1">
        <f t="shared" ref="T150" si="315">S150*1.34</f>
        <v>18.09</v>
      </c>
      <c r="U150" s="1">
        <v>9.6</v>
      </c>
      <c r="V150" s="1">
        <f t="shared" si="276"/>
        <v>12.864000000000001</v>
      </c>
      <c r="W150" s="1"/>
      <c r="X150" s="1"/>
      <c r="Y150" s="1"/>
      <c r="Z150" s="1"/>
      <c r="AA150" s="1"/>
      <c r="AB150" s="1"/>
      <c r="AC150" s="1">
        <v>2.4</v>
      </c>
      <c r="AD150" s="1">
        <f t="shared" ref="AD150:AD151" si="316">AC150*2.75</f>
        <v>6.6</v>
      </c>
      <c r="AE150" s="1">
        <v>3.8</v>
      </c>
      <c r="AF150" s="1">
        <f t="shared" si="286"/>
        <v>10.45</v>
      </c>
      <c r="AG150" s="1"/>
      <c r="AH150" s="1"/>
      <c r="AI150" s="9"/>
      <c r="AJ150" s="9"/>
      <c r="AK150" s="9"/>
      <c r="AL150" s="9"/>
      <c r="AM150" s="1">
        <f>17.3+16.6+8.5</f>
        <v>42.400000000000006</v>
      </c>
      <c r="AN150" s="1">
        <f t="shared" ref="AN150:AN152" si="317">AM150*0.6</f>
        <v>25.44</v>
      </c>
      <c r="AP150" s="1">
        <f t="shared" si="294"/>
        <v>0.82</v>
      </c>
      <c r="AQ150" s="1">
        <f t="shared" si="295"/>
        <v>0.18</v>
      </c>
      <c r="AR150" s="1">
        <f t="shared" si="266"/>
        <v>1</v>
      </c>
    </row>
    <row r="151" spans="1:44" x14ac:dyDescent="0.25">
      <c r="C151" t="s">
        <v>65</v>
      </c>
      <c r="D151" s="1">
        <f>SUM(E151,G151,I151,K151,M151,O151,Q151,S151,U151,W151,Y151,AA151,AC151,AE151,AG151,AI151,AK151)</f>
        <v>75.3</v>
      </c>
      <c r="E151" s="1">
        <v>19.04</v>
      </c>
      <c r="F151" s="1">
        <f t="shared" ref="F151:H151" si="318">E151*1.34</f>
        <v>25.5136</v>
      </c>
      <c r="G151" s="1">
        <v>8.0500000000000007</v>
      </c>
      <c r="H151" s="1">
        <f t="shared" si="318"/>
        <v>10.787000000000001</v>
      </c>
      <c r="I151" s="1">
        <v>4.49</v>
      </c>
      <c r="J151" s="1">
        <f t="shared" si="267"/>
        <v>10.596399999999999</v>
      </c>
      <c r="K151" s="1"/>
      <c r="L151" s="1"/>
      <c r="M151" s="1"/>
      <c r="N151" s="1"/>
      <c r="O151" s="1"/>
      <c r="P151" s="1"/>
      <c r="Q151" s="1"/>
      <c r="R151" s="1"/>
      <c r="S151" s="1">
        <v>14.24</v>
      </c>
      <c r="T151" s="1">
        <f t="shared" ref="T151" si="319">S151*1.34</f>
        <v>19.081600000000002</v>
      </c>
      <c r="U151" s="1">
        <v>9.9700000000000006</v>
      </c>
      <c r="V151" s="1">
        <f t="shared" si="276"/>
        <v>13.359800000000002</v>
      </c>
      <c r="W151" s="1">
        <v>9.7799999999999994</v>
      </c>
      <c r="X151" s="1">
        <f t="shared" ref="X151" si="320">W151*1.34</f>
        <v>13.1052</v>
      </c>
      <c r="Y151" s="1"/>
      <c r="Z151" s="1"/>
      <c r="AA151" s="1"/>
      <c r="AB151" s="1"/>
      <c r="AC151" s="1">
        <v>3.95</v>
      </c>
      <c r="AD151" s="1">
        <f t="shared" si="316"/>
        <v>10.862500000000001</v>
      </c>
      <c r="AE151" s="1">
        <v>3.16</v>
      </c>
      <c r="AF151" s="1">
        <f t="shared" si="286"/>
        <v>8.6900000000000013</v>
      </c>
      <c r="AG151" s="1">
        <v>2.62</v>
      </c>
      <c r="AH151" s="1">
        <f>AG151*2.36</f>
        <v>6.1832000000000003</v>
      </c>
      <c r="AI151" s="9"/>
      <c r="AJ151" s="9"/>
      <c r="AK151" s="9"/>
      <c r="AL151" s="9"/>
      <c r="AM151" s="1">
        <f>3.18+3.03</f>
        <v>6.21</v>
      </c>
      <c r="AN151" s="1">
        <f t="shared" si="317"/>
        <v>3.726</v>
      </c>
      <c r="AP151" s="1">
        <f t="shared" si="294"/>
        <v>0.83</v>
      </c>
      <c r="AQ151" s="1">
        <f t="shared" si="295"/>
        <v>0.17</v>
      </c>
      <c r="AR151" s="1">
        <f t="shared" si="266"/>
        <v>1</v>
      </c>
    </row>
    <row r="152" spans="1:44" x14ac:dyDescent="0.25">
      <c r="C152" t="s">
        <v>65</v>
      </c>
      <c r="D152" s="1">
        <f>SUM(E152,G152,I152,K152,M152,O152,Q152,S152,U152,W152,Y152,AA152,AC152,AE152,AG152,AI152,AK152)</f>
        <v>75.900000000000006</v>
      </c>
      <c r="E152" s="1">
        <v>21.06</v>
      </c>
      <c r="F152" s="1">
        <f t="shared" ref="F152:H153" si="321">E152*1.34</f>
        <v>28.220400000000001</v>
      </c>
      <c r="G152" s="1">
        <v>8.65</v>
      </c>
      <c r="H152" s="1">
        <f t="shared" si="321"/>
        <v>11.591000000000001</v>
      </c>
      <c r="I152" s="1">
        <v>6.35</v>
      </c>
      <c r="J152" s="1">
        <f t="shared" si="267"/>
        <v>14.985999999999999</v>
      </c>
      <c r="K152" s="1"/>
      <c r="L152" s="1"/>
      <c r="M152" s="1"/>
      <c r="N152" s="1"/>
      <c r="O152" s="1"/>
      <c r="P152" s="1"/>
      <c r="Q152" s="1"/>
      <c r="R152" s="1"/>
      <c r="S152" s="1">
        <v>12.55</v>
      </c>
      <c r="T152" s="1">
        <f t="shared" ref="T152" si="322">S152*1.34</f>
        <v>16.817000000000004</v>
      </c>
      <c r="U152" s="1">
        <v>8.75</v>
      </c>
      <c r="V152" s="1">
        <f t="shared" si="276"/>
        <v>11.725000000000001</v>
      </c>
      <c r="W152" s="1">
        <v>8.69</v>
      </c>
      <c r="X152" s="1">
        <f t="shared" ref="X152:X156" si="323">W152*1.34</f>
        <v>11.644600000000001</v>
      </c>
      <c r="Y152" s="1"/>
      <c r="Z152" s="1"/>
      <c r="AA152" s="1"/>
      <c r="AB152" s="1"/>
      <c r="AC152" s="1">
        <v>3.56</v>
      </c>
      <c r="AD152" s="1">
        <f t="shared" ref="AD152:AD156" si="324">AC152*2.75</f>
        <v>9.7900000000000009</v>
      </c>
      <c r="AE152" s="1">
        <v>6.29</v>
      </c>
      <c r="AF152" s="1">
        <f t="shared" ref="AF152:AF184" si="325">AE152*2.75</f>
        <v>17.297499999999999</v>
      </c>
      <c r="AG152" s="1"/>
      <c r="AH152" s="1"/>
      <c r="AI152" s="9"/>
      <c r="AJ152" s="9"/>
      <c r="AK152" s="9"/>
      <c r="AL152" s="9"/>
      <c r="AM152" s="1">
        <v>23.82</v>
      </c>
      <c r="AN152" s="1">
        <f t="shared" si="317"/>
        <v>14.292</v>
      </c>
      <c r="AP152" s="1">
        <f t="shared" si="294"/>
        <v>0.8</v>
      </c>
      <c r="AQ152" s="1">
        <f t="shared" si="295"/>
        <v>0.2</v>
      </c>
      <c r="AR152" s="1">
        <f t="shared" si="266"/>
        <v>1</v>
      </c>
    </row>
    <row r="153" spans="1:44" x14ac:dyDescent="0.25">
      <c r="B153" t="s">
        <v>42</v>
      </c>
      <c r="C153" t="s">
        <v>76</v>
      </c>
      <c r="D153" s="1">
        <f>SUM(E153,G153,I153,K153,M153,O153,Q153,S153,U153,W153,Y153,AA153,AC153,AE153,AG153,AI153,AK153)</f>
        <v>75.95</v>
      </c>
      <c r="E153" s="1">
        <v>21</v>
      </c>
      <c r="F153" s="1">
        <f t="shared" si="321"/>
        <v>28.14</v>
      </c>
      <c r="G153" s="1">
        <v>10.35</v>
      </c>
      <c r="H153" s="1">
        <f t="shared" si="321"/>
        <v>13.869</v>
      </c>
      <c r="I153" s="1">
        <v>4.9000000000000004</v>
      </c>
      <c r="J153" s="1">
        <f t="shared" si="267"/>
        <v>11.564</v>
      </c>
      <c r="K153" s="1">
        <v>4.6500000000000004</v>
      </c>
      <c r="L153" s="1">
        <f>K153*2.36</f>
        <v>10.974</v>
      </c>
      <c r="M153" s="1"/>
      <c r="N153" s="1"/>
      <c r="O153" s="1"/>
      <c r="P153" s="1"/>
      <c r="S153" s="1">
        <v>12.55</v>
      </c>
      <c r="T153" s="1">
        <f t="shared" ref="T153" si="326">S153*1.34</f>
        <v>16.817000000000004</v>
      </c>
      <c r="U153" s="1">
        <v>8</v>
      </c>
      <c r="V153" s="1">
        <f t="shared" si="276"/>
        <v>10.72</v>
      </c>
      <c r="W153" s="1">
        <v>6.4</v>
      </c>
      <c r="X153" s="1">
        <f t="shared" si="323"/>
        <v>8.5760000000000005</v>
      </c>
      <c r="Y153" s="1"/>
      <c r="Z153" s="1"/>
      <c r="AA153" s="1"/>
      <c r="AB153" s="1"/>
      <c r="AC153" s="1">
        <v>4.55</v>
      </c>
      <c r="AD153" s="1">
        <f t="shared" si="324"/>
        <v>12.512499999999999</v>
      </c>
      <c r="AE153" s="1">
        <v>3.55</v>
      </c>
      <c r="AF153" s="1">
        <f t="shared" si="325"/>
        <v>9.7624999999999993</v>
      </c>
      <c r="AG153" s="1"/>
      <c r="AH153" s="1"/>
      <c r="AI153" s="9"/>
      <c r="AJ153" s="9"/>
      <c r="AK153" s="9"/>
      <c r="AL153" s="9"/>
      <c r="AM153" s="1"/>
      <c r="AN153" s="1"/>
      <c r="AP153" s="1">
        <f t="shared" si="294"/>
        <v>0.74</v>
      </c>
      <c r="AQ153" s="1">
        <f t="shared" si="295"/>
        <v>0.26</v>
      </c>
      <c r="AR153" s="1">
        <f t="shared" si="266"/>
        <v>1</v>
      </c>
    </row>
    <row r="154" spans="1:44" x14ac:dyDescent="0.25">
      <c r="B154" t="s">
        <v>43</v>
      </c>
      <c r="C154" t="s">
        <v>48</v>
      </c>
      <c r="D154" s="1">
        <f>SUM(E154,G154,I154,K154,M154,O154,Q154,S154,U154,W154,Y154,AA154,AC154,AE154,AG154,AI154,AK154)</f>
        <v>75.989999999999995</v>
      </c>
      <c r="E154" s="1">
        <v>20.149999999999999</v>
      </c>
      <c r="F154" s="1">
        <f t="shared" ref="F154:H154" si="327">E154*1.34</f>
        <v>27.001000000000001</v>
      </c>
      <c r="G154" s="1">
        <v>8.39</v>
      </c>
      <c r="H154" s="1">
        <f t="shared" si="327"/>
        <v>11.242600000000001</v>
      </c>
      <c r="I154" s="1">
        <v>3.92</v>
      </c>
      <c r="J154" s="1">
        <f t="shared" si="267"/>
        <v>9.251199999999999</v>
      </c>
      <c r="K154" s="1"/>
      <c r="L154" s="1"/>
      <c r="M154" s="1"/>
      <c r="N154" s="1"/>
      <c r="O154" s="1"/>
      <c r="P154" s="1"/>
      <c r="Q154" s="1"/>
      <c r="R154" s="1"/>
      <c r="S154" s="1">
        <v>13.89</v>
      </c>
      <c r="T154" s="1">
        <f t="shared" ref="T154" si="328">S154*1.34</f>
        <v>18.6126</v>
      </c>
      <c r="U154" s="1">
        <v>9.91</v>
      </c>
      <c r="V154" s="1">
        <f t="shared" si="276"/>
        <v>13.279400000000001</v>
      </c>
      <c r="W154" s="1">
        <v>9.52</v>
      </c>
      <c r="X154" s="1">
        <f t="shared" si="323"/>
        <v>12.7568</v>
      </c>
      <c r="Y154" s="1"/>
      <c r="Z154" s="1"/>
      <c r="AA154" s="1"/>
      <c r="AB154" s="1"/>
      <c r="AC154" s="1">
        <v>2.9</v>
      </c>
      <c r="AD154" s="1">
        <f t="shared" si="324"/>
        <v>7.9749999999999996</v>
      </c>
      <c r="AE154" s="1">
        <v>5.32</v>
      </c>
      <c r="AF154" s="1">
        <f t="shared" si="325"/>
        <v>14.63</v>
      </c>
      <c r="AG154" s="1">
        <v>1.99</v>
      </c>
      <c r="AH154" s="1">
        <f>AG154*2.36</f>
        <v>4.6963999999999997</v>
      </c>
      <c r="AI154" s="9"/>
      <c r="AJ154" s="9"/>
      <c r="AK154" s="9"/>
      <c r="AL154" s="9"/>
      <c r="AM154" s="1">
        <v>6.39</v>
      </c>
      <c r="AN154" s="1">
        <f t="shared" ref="AN154:AN155" si="329">AM154*0.6</f>
        <v>3.8339999999999996</v>
      </c>
      <c r="AP154" s="1">
        <f t="shared" si="294"/>
        <v>0.84</v>
      </c>
      <c r="AQ154" s="1">
        <f t="shared" si="295"/>
        <v>0.16</v>
      </c>
      <c r="AR154" s="1">
        <f t="shared" si="266"/>
        <v>1</v>
      </c>
    </row>
    <row r="155" spans="1:44" x14ac:dyDescent="0.25">
      <c r="B155" t="s">
        <v>43</v>
      </c>
      <c r="C155" t="s">
        <v>48</v>
      </c>
      <c r="D155" s="1">
        <f>SUM(E155,G155,I155,K155,M155,O155,Q155,S155,U155,W155,Y155,AA155,AC155,AE155,AG155,AI155,AK155)</f>
        <v>76.33</v>
      </c>
      <c r="E155" s="1">
        <v>20.14</v>
      </c>
      <c r="F155" s="1">
        <f t="shared" ref="F155:H156" si="330">E155*1.34</f>
        <v>26.987600000000004</v>
      </c>
      <c r="G155" s="1">
        <v>8.59</v>
      </c>
      <c r="H155" s="1">
        <f t="shared" si="330"/>
        <v>11.5106</v>
      </c>
      <c r="I155" s="1">
        <v>3.89</v>
      </c>
      <c r="J155" s="1">
        <f t="shared" si="267"/>
        <v>9.1804000000000006</v>
      </c>
      <c r="K155" s="1"/>
      <c r="L155" s="1"/>
      <c r="M155" s="1"/>
      <c r="N155" s="1"/>
      <c r="O155" s="1"/>
      <c r="P155" s="1"/>
      <c r="Q155" s="1"/>
      <c r="R155" s="1"/>
      <c r="S155" s="1">
        <v>13.94</v>
      </c>
      <c r="T155" s="1">
        <f t="shared" ref="T155" si="331">S155*1.34</f>
        <v>18.679600000000001</v>
      </c>
      <c r="U155" s="1">
        <v>9.91</v>
      </c>
      <c r="V155" s="1">
        <f t="shared" si="276"/>
        <v>13.279400000000001</v>
      </c>
      <c r="W155" s="1">
        <v>9.6300000000000008</v>
      </c>
      <c r="X155" s="1">
        <f t="shared" si="323"/>
        <v>12.904200000000001</v>
      </c>
      <c r="Y155" s="1"/>
      <c r="Z155" s="1"/>
      <c r="AA155" s="1"/>
      <c r="AB155" s="1"/>
      <c r="AC155" s="1">
        <v>2.9</v>
      </c>
      <c r="AD155" s="1">
        <f t="shared" si="324"/>
        <v>7.9749999999999996</v>
      </c>
      <c r="AE155" s="1">
        <v>5.3</v>
      </c>
      <c r="AF155" s="1">
        <f t="shared" si="325"/>
        <v>14.574999999999999</v>
      </c>
      <c r="AG155" s="1">
        <v>2.0299999999999998</v>
      </c>
      <c r="AH155" s="1">
        <f>AG155*2.36</f>
        <v>4.7907999999999991</v>
      </c>
      <c r="AI155" s="9"/>
      <c r="AJ155" s="9"/>
      <c r="AK155" s="9"/>
      <c r="AL155" s="9"/>
      <c r="AM155" s="1">
        <v>13.71</v>
      </c>
      <c r="AN155" s="1">
        <f t="shared" si="329"/>
        <v>8.2260000000000009</v>
      </c>
      <c r="AP155" s="1">
        <f t="shared" si="294"/>
        <v>0.84</v>
      </c>
      <c r="AQ155" s="1">
        <f t="shared" si="295"/>
        <v>0.16</v>
      </c>
      <c r="AR155" s="1">
        <f t="shared" si="266"/>
        <v>1</v>
      </c>
    </row>
    <row r="156" spans="1:44" x14ac:dyDescent="0.25">
      <c r="A156" t="s">
        <v>60</v>
      </c>
      <c r="B156" t="s">
        <v>42</v>
      </c>
      <c r="C156" t="s">
        <v>78</v>
      </c>
      <c r="D156" s="1">
        <f>SUM(E156,G156,I156,K156,M156,O156,Q156,S156,U156,W156,Y156,AA156,AC156,AE156,AG156,AI156,AK156)</f>
        <v>76.38000000000001</v>
      </c>
      <c r="E156" s="1">
        <v>20.11</v>
      </c>
      <c r="F156" s="1">
        <f t="shared" si="330"/>
        <v>26.947400000000002</v>
      </c>
      <c r="G156" s="1">
        <v>8.17</v>
      </c>
      <c r="H156" s="1">
        <f t="shared" si="330"/>
        <v>10.947800000000001</v>
      </c>
      <c r="I156" s="1">
        <v>4.4800000000000004</v>
      </c>
      <c r="J156" s="1">
        <f t="shared" si="267"/>
        <v>10.572800000000001</v>
      </c>
      <c r="K156" s="1">
        <v>4.3</v>
      </c>
      <c r="L156" s="1">
        <f t="shared" ref="L156:L159" si="332">K156*2.36</f>
        <v>10.148</v>
      </c>
      <c r="M156" s="1"/>
      <c r="N156" s="1"/>
      <c r="O156" s="1"/>
      <c r="P156" s="1"/>
      <c r="Q156" s="1"/>
      <c r="R156" s="1"/>
      <c r="S156" s="1">
        <v>13.8</v>
      </c>
      <c r="T156" s="1">
        <f t="shared" ref="T156" si="333">S156*1.34</f>
        <v>18.492000000000001</v>
      </c>
      <c r="U156" s="1">
        <v>9.48</v>
      </c>
      <c r="V156" s="1">
        <f t="shared" si="276"/>
        <v>12.703200000000001</v>
      </c>
      <c r="W156" s="1">
        <v>8.76</v>
      </c>
      <c r="X156" s="1">
        <f t="shared" si="323"/>
        <v>11.7384</v>
      </c>
      <c r="Y156" s="1"/>
      <c r="Z156" s="1"/>
      <c r="AA156" s="1"/>
      <c r="AB156" s="1"/>
      <c r="AC156" s="1">
        <v>4.2</v>
      </c>
      <c r="AD156" s="1">
        <f t="shared" si="324"/>
        <v>11.55</v>
      </c>
      <c r="AE156" s="1">
        <v>3.08</v>
      </c>
      <c r="AF156" s="1">
        <f t="shared" si="325"/>
        <v>8.4700000000000006</v>
      </c>
      <c r="AG156" s="1"/>
      <c r="AH156" s="1"/>
      <c r="AI156" s="9"/>
      <c r="AJ156" s="9"/>
      <c r="AK156" s="9"/>
      <c r="AL156" s="9"/>
      <c r="AM156" s="1"/>
      <c r="AN156" s="1"/>
      <c r="AP156" s="1">
        <f t="shared" si="294"/>
        <v>0.78</v>
      </c>
      <c r="AQ156" s="1">
        <f t="shared" si="295"/>
        <v>0.22</v>
      </c>
      <c r="AR156" s="1">
        <f t="shared" si="266"/>
        <v>1</v>
      </c>
    </row>
    <row r="157" spans="1:44" x14ac:dyDescent="0.25">
      <c r="B157" t="s">
        <v>119</v>
      </c>
      <c r="C157" t="s">
        <v>120</v>
      </c>
      <c r="D157" s="1">
        <f>SUM(E157,G157,I157,K157,M157,O157,Q157,S157,U157,W157,Y157,AA157,AC157,AE157,AG157,AI157,AK157)</f>
        <v>76.889999999999986</v>
      </c>
      <c r="E157" s="1">
        <v>21.68</v>
      </c>
      <c r="F157" s="1">
        <f t="shared" ref="F157:H158" si="334">E157*1.34</f>
        <v>29.051200000000001</v>
      </c>
      <c r="G157" s="1">
        <v>10.66</v>
      </c>
      <c r="H157" s="1">
        <f t="shared" si="334"/>
        <v>14.284400000000002</v>
      </c>
      <c r="I157" s="1">
        <v>3.62</v>
      </c>
      <c r="J157" s="1">
        <f t="shared" si="267"/>
        <v>8.5432000000000006</v>
      </c>
      <c r="K157" s="1">
        <v>3.28</v>
      </c>
      <c r="L157" s="1">
        <f t="shared" si="332"/>
        <v>7.7407999999999992</v>
      </c>
      <c r="M157" s="1"/>
      <c r="N157" s="1"/>
      <c r="O157" s="1"/>
      <c r="P157" s="1"/>
      <c r="Q157" s="1"/>
      <c r="R157" s="1"/>
      <c r="S157" s="1">
        <v>14.2</v>
      </c>
      <c r="T157" s="1">
        <f t="shared" ref="T157" si="335">S157*1.34</f>
        <v>19.027999999999999</v>
      </c>
      <c r="U157" s="1">
        <v>11.49</v>
      </c>
      <c r="V157" s="1">
        <f t="shared" si="276"/>
        <v>15.396600000000001</v>
      </c>
      <c r="W157" s="1"/>
      <c r="X157" s="1"/>
      <c r="Y157" s="1"/>
      <c r="Z157" s="1"/>
      <c r="AA157" s="1"/>
      <c r="AB157" s="1"/>
      <c r="AC157" s="1">
        <v>4.25</v>
      </c>
      <c r="AD157" s="1">
        <f t="shared" ref="AD157:AD158" si="336">AC157*2.75</f>
        <v>11.6875</v>
      </c>
      <c r="AE157" s="1">
        <v>7.71</v>
      </c>
      <c r="AF157" s="1">
        <f t="shared" si="325"/>
        <v>21.202500000000001</v>
      </c>
      <c r="AG157" s="1"/>
      <c r="AH157" s="1"/>
      <c r="AI157" s="9"/>
      <c r="AJ157" s="9"/>
      <c r="AK157" s="9"/>
      <c r="AL157" s="9"/>
      <c r="AM157" s="1">
        <f>71.1+12.51</f>
        <v>83.61</v>
      </c>
      <c r="AN157" s="1">
        <f t="shared" ref="AN157:AN159" si="337">AM157*0.6</f>
        <v>50.165999999999997</v>
      </c>
      <c r="AP157" s="1">
        <f t="shared" si="294"/>
        <v>0.77</v>
      </c>
      <c r="AQ157" s="1">
        <f t="shared" si="295"/>
        <v>0.23</v>
      </c>
      <c r="AR157" s="1">
        <f t="shared" si="266"/>
        <v>1</v>
      </c>
    </row>
    <row r="158" spans="1:44" x14ac:dyDescent="0.25">
      <c r="B158" t="s">
        <v>88</v>
      </c>
      <c r="C158" t="s">
        <v>89</v>
      </c>
      <c r="D158" s="1">
        <f>SUM(E158,G158,I158,K158,M158,O158,Q158,S158,U158,W158,Y158,AA158,AC158,AE158,AG158,AI158,AK158)</f>
        <v>76.899999999999991</v>
      </c>
      <c r="E158" s="1">
        <v>20.66</v>
      </c>
      <c r="F158" s="1">
        <f t="shared" si="334"/>
        <v>27.6844</v>
      </c>
      <c r="G158" s="1">
        <v>8.39</v>
      </c>
      <c r="H158" s="1">
        <f t="shared" si="334"/>
        <v>11.242600000000001</v>
      </c>
      <c r="I158" s="1">
        <v>3.56</v>
      </c>
      <c r="J158" s="1">
        <f t="shared" si="267"/>
        <v>8.4016000000000002</v>
      </c>
      <c r="K158" s="1">
        <v>3.32</v>
      </c>
      <c r="L158" s="1">
        <f t="shared" si="332"/>
        <v>7.8351999999999995</v>
      </c>
      <c r="M158" s="1"/>
      <c r="N158" s="1"/>
      <c r="O158" s="1"/>
      <c r="P158" s="1"/>
      <c r="Q158" s="1"/>
      <c r="R158" s="1"/>
      <c r="S158" s="1">
        <v>14.32</v>
      </c>
      <c r="T158" s="1">
        <f t="shared" ref="T158" si="338">S158*1.34</f>
        <v>19.188800000000001</v>
      </c>
      <c r="U158" s="1">
        <v>10.1</v>
      </c>
      <c r="V158" s="1">
        <f t="shared" si="276"/>
        <v>13.534000000000001</v>
      </c>
      <c r="W158" s="1">
        <v>8.01</v>
      </c>
      <c r="X158" s="1">
        <f t="shared" ref="X158" si="339">W158*1.34</f>
        <v>10.7334</v>
      </c>
      <c r="Y158" s="1"/>
      <c r="Z158" s="1"/>
      <c r="AA158" s="1"/>
      <c r="AB158" s="1"/>
      <c r="AC158" s="1">
        <v>4.58</v>
      </c>
      <c r="AD158" s="1">
        <f t="shared" si="336"/>
        <v>12.595000000000001</v>
      </c>
      <c r="AE158" s="1">
        <v>3.96</v>
      </c>
      <c r="AF158" s="1">
        <f t="shared" si="325"/>
        <v>10.89</v>
      </c>
      <c r="AG158" s="1"/>
      <c r="AH158" s="1"/>
      <c r="AI158" s="9"/>
      <c r="AJ158" s="9"/>
      <c r="AK158" s="9"/>
      <c r="AL158" s="9"/>
      <c r="AM158" s="1">
        <f>14.11+1.78</f>
        <v>15.889999999999999</v>
      </c>
      <c r="AN158" s="1">
        <f t="shared" si="337"/>
        <v>9.5339999999999989</v>
      </c>
      <c r="AP158" s="1">
        <f t="shared" si="294"/>
        <v>0.8</v>
      </c>
      <c r="AQ158" s="1">
        <f t="shared" si="295"/>
        <v>0.2</v>
      </c>
      <c r="AR158" s="1">
        <f t="shared" si="266"/>
        <v>1</v>
      </c>
    </row>
    <row r="159" spans="1:44" x14ac:dyDescent="0.25">
      <c r="B159" t="s">
        <v>99</v>
      </c>
      <c r="C159" t="s">
        <v>100</v>
      </c>
      <c r="D159" s="1">
        <f>SUM(E159,G159,I159,K159,M159,O159,Q159,S159,U159,W159,Y159,AA159,AC159,AE159,AG159,AI159,AK159)</f>
        <v>76.95</v>
      </c>
      <c r="E159" s="1">
        <v>22</v>
      </c>
      <c r="F159" s="1">
        <f t="shared" ref="F159:H162" si="340">E159*1.34</f>
        <v>29.48</v>
      </c>
      <c r="G159" s="1">
        <v>11.65</v>
      </c>
      <c r="H159" s="1">
        <f t="shared" si="340"/>
        <v>15.611000000000001</v>
      </c>
      <c r="I159" s="1">
        <v>4.25</v>
      </c>
      <c r="J159" s="1">
        <f t="shared" si="267"/>
        <v>10.029999999999999</v>
      </c>
      <c r="K159" s="1">
        <v>3.85</v>
      </c>
      <c r="L159" s="1">
        <f t="shared" si="332"/>
        <v>9.0860000000000003</v>
      </c>
      <c r="M159" s="1"/>
      <c r="N159" s="1"/>
      <c r="O159" s="1"/>
      <c r="P159" s="1"/>
      <c r="Q159" s="1"/>
      <c r="R159" s="1"/>
      <c r="S159" s="1">
        <v>12.95</v>
      </c>
      <c r="T159" s="1">
        <f t="shared" ref="T159" si="341">S159*1.34</f>
        <v>17.353000000000002</v>
      </c>
      <c r="U159" s="1">
        <v>11.5</v>
      </c>
      <c r="V159" s="1">
        <f t="shared" si="276"/>
        <v>15.41</v>
      </c>
      <c r="W159" s="1"/>
      <c r="X159" s="1"/>
      <c r="Y159" s="1"/>
      <c r="Z159" s="1"/>
      <c r="AA159" s="1"/>
      <c r="AB159" s="1"/>
      <c r="AC159" s="1">
        <v>5.25</v>
      </c>
      <c r="AD159" s="1">
        <f t="shared" ref="AD159" si="342">AC159*2.75</f>
        <v>14.4375</v>
      </c>
      <c r="AE159" s="1">
        <v>5.5</v>
      </c>
      <c r="AF159" s="1">
        <f t="shared" si="325"/>
        <v>15.125</v>
      </c>
      <c r="AG159" s="1"/>
      <c r="AH159" s="1"/>
      <c r="AI159" s="9"/>
      <c r="AJ159" s="9"/>
      <c r="AK159" s="9"/>
      <c r="AL159" s="9"/>
      <c r="AM159" s="1">
        <v>11.15</v>
      </c>
      <c r="AN159" s="1">
        <f t="shared" si="337"/>
        <v>6.69</v>
      </c>
      <c r="AP159" s="1">
        <f t="shared" si="294"/>
        <v>0.74</v>
      </c>
      <c r="AQ159" s="1">
        <f t="shared" si="295"/>
        <v>0.26</v>
      </c>
      <c r="AR159" s="1">
        <f t="shared" si="266"/>
        <v>1</v>
      </c>
    </row>
    <row r="160" spans="1:44" x14ac:dyDescent="0.25">
      <c r="B160" t="s">
        <v>42</v>
      </c>
      <c r="C160" t="s">
        <v>56</v>
      </c>
      <c r="D160" s="1">
        <f>SUM(E160,G160,I160,K160,M160,O160,Q160,S160,U160,W160,Y160,AA160,AC160,AE160,AG160,AI160,AK160)</f>
        <v>77.400000000000006</v>
      </c>
      <c r="E160" s="1">
        <v>24.25</v>
      </c>
      <c r="F160" s="1">
        <f t="shared" si="340"/>
        <v>32.495000000000005</v>
      </c>
      <c r="G160" s="1">
        <v>11.3</v>
      </c>
      <c r="H160" s="1">
        <f t="shared" si="340"/>
        <v>15.142000000000001</v>
      </c>
      <c r="I160" s="1">
        <v>5.2</v>
      </c>
      <c r="J160" s="1">
        <f t="shared" si="267"/>
        <v>12.272</v>
      </c>
      <c r="K160" s="1"/>
      <c r="L160" s="1"/>
      <c r="M160" s="1"/>
      <c r="N160" s="1"/>
      <c r="O160" s="1"/>
      <c r="P160" s="1"/>
      <c r="Q160" s="1"/>
      <c r="R160" s="1"/>
      <c r="S160" s="1">
        <v>13.5</v>
      </c>
      <c r="T160" s="1">
        <f t="shared" ref="T160" si="343">S160*1.34</f>
        <v>18.09</v>
      </c>
      <c r="U160" s="1">
        <v>9.3000000000000007</v>
      </c>
      <c r="V160" s="1">
        <f t="shared" si="276"/>
        <v>12.462000000000002</v>
      </c>
      <c r="W160" s="1">
        <v>8.9499999999999993</v>
      </c>
      <c r="X160" s="1">
        <f t="shared" ref="X160" si="344">W160*1.34</f>
        <v>11.993</v>
      </c>
      <c r="Y160" s="1"/>
      <c r="Z160" s="1"/>
      <c r="AA160" s="1"/>
      <c r="AB160" s="1"/>
      <c r="AC160" s="1"/>
      <c r="AD160" s="1"/>
      <c r="AE160" s="1">
        <v>4.9000000000000004</v>
      </c>
      <c r="AF160" s="1">
        <f t="shared" si="325"/>
        <v>13.475000000000001</v>
      </c>
      <c r="AG160" s="1"/>
      <c r="AH160" s="1"/>
      <c r="AI160" s="9"/>
      <c r="AJ160" s="9"/>
      <c r="AK160" s="9"/>
      <c r="AL160" s="9"/>
      <c r="AM160" s="1"/>
      <c r="AN160" s="1"/>
      <c r="AP160" s="1">
        <f t="shared" si="294"/>
        <v>0.79</v>
      </c>
      <c r="AQ160" s="1">
        <f t="shared" si="295"/>
        <v>0.21</v>
      </c>
      <c r="AR160" s="1">
        <f t="shared" si="266"/>
        <v>1</v>
      </c>
    </row>
    <row r="161" spans="1:44" x14ac:dyDescent="0.25">
      <c r="B161" t="s">
        <v>62</v>
      </c>
      <c r="C161" t="s">
        <v>63</v>
      </c>
      <c r="D161" s="1">
        <f>SUM(E161,G161,I161,K161,M161,O161,Q161,S161,U161,W161,Y161,AA161,AC161,AE161,AG161,AI161,AK161)</f>
        <v>77.44</v>
      </c>
      <c r="E161" s="1">
        <v>29.87</v>
      </c>
      <c r="F161" s="1">
        <f t="shared" si="340"/>
        <v>40.025800000000004</v>
      </c>
      <c r="G161" s="1">
        <v>9.66</v>
      </c>
      <c r="H161" s="1">
        <f t="shared" si="340"/>
        <v>12.944400000000002</v>
      </c>
      <c r="I161" s="1">
        <v>4.6900000000000004</v>
      </c>
      <c r="J161" s="1">
        <f t="shared" si="267"/>
        <v>11.0684</v>
      </c>
      <c r="K161" s="1"/>
      <c r="L161" s="1"/>
      <c r="M161" s="1"/>
      <c r="N161" s="1"/>
      <c r="O161" s="1"/>
      <c r="P161" s="1"/>
      <c r="Q161" s="1"/>
      <c r="R161" s="1"/>
      <c r="S161" s="1">
        <v>12.94</v>
      </c>
      <c r="T161" s="1">
        <f t="shared" ref="T161" si="345">S161*1.34</f>
        <v>17.339600000000001</v>
      </c>
      <c r="U161" s="1">
        <v>10.97</v>
      </c>
      <c r="V161" s="1">
        <f t="shared" si="276"/>
        <v>14.699800000000002</v>
      </c>
      <c r="W161" s="1"/>
      <c r="X161" s="1"/>
      <c r="Y161" s="1"/>
      <c r="Z161" s="1"/>
      <c r="AA161" s="1"/>
      <c r="AB161" s="1"/>
      <c r="AC161" s="1">
        <v>5.4</v>
      </c>
      <c r="AD161" s="1">
        <f t="shared" ref="AD161:AD162" si="346">AC161*2.75</f>
        <v>14.850000000000001</v>
      </c>
      <c r="AE161" s="1">
        <v>3.91</v>
      </c>
      <c r="AF161" s="1">
        <f t="shared" si="325"/>
        <v>10.752500000000001</v>
      </c>
      <c r="AG161" s="1"/>
      <c r="AH161" s="1"/>
      <c r="AI161" s="9"/>
      <c r="AJ161" s="9"/>
      <c r="AK161" s="9"/>
      <c r="AL161" s="9"/>
      <c r="AM161" s="1">
        <f>8.01+3.98</f>
        <v>11.99</v>
      </c>
      <c r="AN161" s="1">
        <f>AM161*0.6</f>
        <v>7.194</v>
      </c>
      <c r="AP161" s="1">
        <f t="shared" si="294"/>
        <v>0.81</v>
      </c>
      <c r="AQ161" s="1">
        <f t="shared" si="295"/>
        <v>0.19</v>
      </c>
      <c r="AR161" s="1">
        <f t="shared" si="266"/>
        <v>1</v>
      </c>
    </row>
    <row r="162" spans="1:44" x14ac:dyDescent="0.25">
      <c r="C162" t="s">
        <v>65</v>
      </c>
      <c r="D162" s="1">
        <f>SUM(E162,G162,I162,K162,M162,O162,Q162,S162,U162,W162,Y162,AA162,AC162,AE162,AG162,AI162,AK162)</f>
        <v>77.78</v>
      </c>
      <c r="E162" s="1">
        <v>19.03</v>
      </c>
      <c r="F162" s="1">
        <f t="shared" si="340"/>
        <v>25.500200000000003</v>
      </c>
      <c r="G162" s="1">
        <v>8.2799999999999994</v>
      </c>
      <c r="H162" s="1">
        <f t="shared" si="340"/>
        <v>11.0952</v>
      </c>
      <c r="I162" s="1">
        <v>5.38</v>
      </c>
      <c r="J162" s="1">
        <f t="shared" si="267"/>
        <v>12.6968</v>
      </c>
      <c r="K162" s="1"/>
      <c r="L162" s="1"/>
      <c r="M162" s="1"/>
      <c r="N162" s="1"/>
      <c r="O162" s="1"/>
      <c r="P162" s="1"/>
      <c r="Q162" s="1"/>
      <c r="R162" s="1"/>
      <c r="S162" s="1">
        <v>14.83</v>
      </c>
      <c r="T162" s="1">
        <f t="shared" ref="T162" si="347">S162*1.34</f>
        <v>19.872200000000003</v>
      </c>
      <c r="U162" s="1">
        <v>9.69</v>
      </c>
      <c r="V162" s="1">
        <f t="shared" si="276"/>
        <v>12.9846</v>
      </c>
      <c r="W162" s="1">
        <v>9.17</v>
      </c>
      <c r="X162" s="1">
        <f t="shared" ref="X162:X212" si="348">W162*1.34</f>
        <v>12.287800000000001</v>
      </c>
      <c r="Y162" s="1"/>
      <c r="Z162" s="1"/>
      <c r="AA162" s="1"/>
      <c r="AB162" s="1"/>
      <c r="AC162" s="1">
        <v>3.4</v>
      </c>
      <c r="AD162" s="1">
        <f t="shared" si="346"/>
        <v>9.35</v>
      </c>
      <c r="AE162" s="1">
        <v>4.45</v>
      </c>
      <c r="AF162" s="1">
        <f t="shared" si="325"/>
        <v>12.237500000000001</v>
      </c>
      <c r="AG162" s="1">
        <v>3.55</v>
      </c>
      <c r="AH162" s="1">
        <f>AG162*2.36</f>
        <v>8.3779999999999983</v>
      </c>
      <c r="AI162" s="9"/>
      <c r="AJ162" s="9"/>
      <c r="AK162" s="9"/>
      <c r="AL162" s="9"/>
      <c r="AM162" s="1"/>
      <c r="AN162" s="1"/>
      <c r="AP162" s="1">
        <f t="shared" si="294"/>
        <v>0.82</v>
      </c>
      <c r="AQ162" s="1">
        <f t="shared" si="295"/>
        <v>0.18</v>
      </c>
      <c r="AR162" s="1">
        <f t="shared" si="266"/>
        <v>1</v>
      </c>
    </row>
    <row r="163" spans="1:44" x14ac:dyDescent="0.25">
      <c r="A163" t="s">
        <v>60</v>
      </c>
      <c r="B163" t="s">
        <v>42</v>
      </c>
      <c r="C163" t="s">
        <v>78</v>
      </c>
      <c r="D163" s="1">
        <f>SUM(E163,G163,I163,K163,M163,O163,Q163,S163,U163,W163,Y163,AA163,AC163,AE163,AG163,AI163,AK163)</f>
        <v>78.11</v>
      </c>
      <c r="E163" s="1">
        <v>18.239999999999998</v>
      </c>
      <c r="F163" s="1">
        <f t="shared" ref="F163:H163" si="349">E163*1.34</f>
        <v>24.441600000000001</v>
      </c>
      <c r="G163" s="1">
        <v>7.97</v>
      </c>
      <c r="H163" s="1">
        <f t="shared" si="349"/>
        <v>10.6798</v>
      </c>
      <c r="I163" s="1">
        <v>4.9400000000000004</v>
      </c>
      <c r="J163" s="1">
        <f t="shared" si="267"/>
        <v>11.6584</v>
      </c>
      <c r="K163" s="1">
        <v>4.59</v>
      </c>
      <c r="L163" s="1">
        <f t="shared" ref="L163" si="350">K163*2.36</f>
        <v>10.8324</v>
      </c>
      <c r="M163" s="1"/>
      <c r="N163" s="1"/>
      <c r="O163" s="1"/>
      <c r="P163" s="1"/>
      <c r="Q163" s="1"/>
      <c r="R163" s="1"/>
      <c r="S163" s="1">
        <v>12.65</v>
      </c>
      <c r="T163" s="1">
        <f t="shared" ref="T163" si="351">S163*1.34</f>
        <v>16.951000000000001</v>
      </c>
      <c r="U163" s="1">
        <v>10.62</v>
      </c>
      <c r="V163" s="1">
        <f t="shared" si="276"/>
        <v>14.2308</v>
      </c>
      <c r="W163" s="1">
        <v>8.51</v>
      </c>
      <c r="X163" s="1">
        <f t="shared" si="348"/>
        <v>11.4034</v>
      </c>
      <c r="Y163" s="1"/>
      <c r="Z163" s="1"/>
      <c r="AA163" s="1"/>
      <c r="AB163" s="1"/>
      <c r="AC163" s="1">
        <v>6.39</v>
      </c>
      <c r="AD163" s="1">
        <f t="shared" ref="AD163" si="352">AC163*2.75</f>
        <v>17.572499999999998</v>
      </c>
      <c r="AE163" s="1">
        <v>4.2</v>
      </c>
      <c r="AF163" s="1">
        <f t="shared" si="325"/>
        <v>11.55</v>
      </c>
      <c r="AG163" s="1"/>
      <c r="AH163" s="1"/>
      <c r="AI163" s="9"/>
      <c r="AJ163" s="9"/>
      <c r="AK163" s="9"/>
      <c r="AL163" s="9"/>
      <c r="AM163" s="1"/>
      <c r="AN163" s="1"/>
      <c r="AP163" s="1">
        <f t="shared" si="294"/>
        <v>0.78</v>
      </c>
      <c r="AQ163" s="1">
        <f t="shared" si="295"/>
        <v>0.22</v>
      </c>
      <c r="AR163" s="1">
        <f t="shared" si="266"/>
        <v>1</v>
      </c>
    </row>
    <row r="164" spans="1:44" x14ac:dyDescent="0.25">
      <c r="B164" t="s">
        <v>74</v>
      </c>
      <c r="C164" t="s">
        <v>75</v>
      </c>
      <c r="D164" s="1">
        <f>SUM(E164,G164,I164,K164,M164,O164,Q164,S164,U164,W164,Y164,AA164,AC164,AE164,AG164,AI164,AK164)</f>
        <v>78.350000000000009</v>
      </c>
      <c r="E164" s="1">
        <v>19.600000000000001</v>
      </c>
      <c r="F164" s="1">
        <f t="shared" ref="F164:H168" si="353">E164*1.34</f>
        <v>26.264000000000003</v>
      </c>
      <c r="G164" s="1">
        <v>9.6999999999999993</v>
      </c>
      <c r="H164" s="1">
        <f t="shared" si="353"/>
        <v>12.997999999999999</v>
      </c>
      <c r="I164" s="1">
        <v>4.05</v>
      </c>
      <c r="J164" s="1">
        <f t="shared" si="267"/>
        <v>9.5579999999999998</v>
      </c>
      <c r="K164" s="1"/>
      <c r="L164" s="1"/>
      <c r="M164" s="1"/>
      <c r="N164" s="1"/>
      <c r="O164" s="1"/>
      <c r="P164" s="1"/>
      <c r="Q164" s="1"/>
      <c r="R164" s="1"/>
      <c r="S164" s="1">
        <v>13.55</v>
      </c>
      <c r="T164" s="1">
        <f t="shared" ref="T164" si="354">S164*1.34</f>
        <v>18.157000000000004</v>
      </c>
      <c r="U164" s="1">
        <v>9.75</v>
      </c>
      <c r="V164" s="1">
        <f t="shared" si="276"/>
        <v>13.065000000000001</v>
      </c>
      <c r="W164" s="1">
        <v>9.5500000000000007</v>
      </c>
      <c r="X164" s="1">
        <f t="shared" si="348"/>
        <v>12.797000000000002</v>
      </c>
      <c r="Y164" s="1"/>
      <c r="Z164" s="1"/>
      <c r="AA164" s="1"/>
      <c r="AB164" s="1"/>
      <c r="AC164" s="1">
        <v>7.25</v>
      </c>
      <c r="AD164" s="1">
        <f t="shared" ref="AD164:AD170" si="355">AC164*2.75</f>
        <v>19.9375</v>
      </c>
      <c r="AE164" s="1">
        <v>3.5</v>
      </c>
      <c r="AF164" s="1">
        <f t="shared" si="325"/>
        <v>9.625</v>
      </c>
      <c r="AG164" s="1">
        <v>1.4</v>
      </c>
      <c r="AH164" s="1">
        <f>AG164*2.36</f>
        <v>3.3039999999999998</v>
      </c>
      <c r="AI164" s="9"/>
      <c r="AJ164" s="9"/>
      <c r="AK164" s="9"/>
      <c r="AL164" s="9"/>
      <c r="AM164" s="1">
        <v>12.9</v>
      </c>
      <c r="AN164" s="1">
        <f t="shared" ref="AN164" si="356">AM164*0.6</f>
        <v>7.74</v>
      </c>
      <c r="AP164" s="1">
        <f t="shared" si="294"/>
        <v>0.82</v>
      </c>
      <c r="AQ164" s="1">
        <f t="shared" si="295"/>
        <v>0.18</v>
      </c>
      <c r="AR164" s="1">
        <f t="shared" si="266"/>
        <v>1</v>
      </c>
    </row>
    <row r="165" spans="1:44" x14ac:dyDescent="0.25">
      <c r="B165" t="s">
        <v>42</v>
      </c>
      <c r="C165" t="s">
        <v>54</v>
      </c>
      <c r="D165" s="1">
        <f>SUM(E165,G165,I165,K165,M165,O165,Q165,S165,U165,W165,Y165,AA165,AC165,AE165,AG165,AI165,AK165)</f>
        <v>78.48</v>
      </c>
      <c r="E165" s="1">
        <v>19.510000000000002</v>
      </c>
      <c r="F165" s="1">
        <f t="shared" si="353"/>
        <v>26.143400000000003</v>
      </c>
      <c r="G165" s="1">
        <v>8.25</v>
      </c>
      <c r="H165" s="1">
        <f t="shared" si="353"/>
        <v>11.055000000000001</v>
      </c>
      <c r="I165" s="1">
        <v>5.19</v>
      </c>
      <c r="J165" s="1">
        <f t="shared" si="267"/>
        <v>12.2484</v>
      </c>
      <c r="K165" s="1"/>
      <c r="L165" s="1"/>
      <c r="M165" s="1"/>
      <c r="N165" s="1"/>
      <c r="O165" s="1"/>
      <c r="P165" s="1"/>
      <c r="Q165" s="1"/>
      <c r="R165" s="1"/>
      <c r="S165" s="1">
        <v>14.45</v>
      </c>
      <c r="T165" s="1">
        <f t="shared" ref="T165" si="357">S165*1.34</f>
        <v>19.363</v>
      </c>
      <c r="U165" s="1">
        <v>13</v>
      </c>
      <c r="V165" s="1">
        <f t="shared" si="276"/>
        <v>17.420000000000002</v>
      </c>
      <c r="W165" s="1">
        <v>8.2200000000000006</v>
      </c>
      <c r="X165" s="1">
        <f t="shared" si="348"/>
        <v>11.014800000000001</v>
      </c>
      <c r="Y165" s="1"/>
      <c r="Z165" s="1"/>
      <c r="AA165" s="1"/>
      <c r="AB165" s="1"/>
      <c r="AC165" s="1">
        <v>4.91</v>
      </c>
      <c r="AD165" s="1">
        <f t="shared" si="355"/>
        <v>13.502500000000001</v>
      </c>
      <c r="AE165" s="1">
        <v>4.95</v>
      </c>
      <c r="AF165" s="1">
        <f t="shared" si="325"/>
        <v>13.612500000000001</v>
      </c>
      <c r="AG165" s="1"/>
      <c r="AH165" s="1"/>
      <c r="AI165" s="9"/>
      <c r="AJ165" s="9"/>
      <c r="AK165" s="9"/>
      <c r="AL165" s="9"/>
      <c r="AM165" s="1"/>
      <c r="AN165" s="1"/>
      <c r="AP165" s="1">
        <f t="shared" si="294"/>
        <v>0.83</v>
      </c>
      <c r="AQ165" s="1">
        <f t="shared" si="295"/>
        <v>0.17</v>
      </c>
      <c r="AR165" s="1">
        <f t="shared" si="266"/>
        <v>1</v>
      </c>
    </row>
    <row r="166" spans="1:44" x14ac:dyDescent="0.25">
      <c r="A166" t="s">
        <v>60</v>
      </c>
      <c r="B166" t="s">
        <v>42</v>
      </c>
      <c r="C166" t="s">
        <v>78</v>
      </c>
      <c r="D166" s="1">
        <f>SUM(E166,G166,I166,K166,M166,O166,Q166,S166,U166,W166,Y166,AA166,AC166,AE166,AG166,AI166,AK166)</f>
        <v>78.509999999999991</v>
      </c>
      <c r="E166" s="1">
        <v>18.22</v>
      </c>
      <c r="F166" s="1">
        <f t="shared" si="353"/>
        <v>24.4148</v>
      </c>
      <c r="G166" s="1">
        <v>7.91</v>
      </c>
      <c r="H166" s="1">
        <f t="shared" si="353"/>
        <v>10.599400000000001</v>
      </c>
      <c r="I166" s="1">
        <v>6.19</v>
      </c>
      <c r="J166" s="1">
        <f t="shared" si="267"/>
        <v>14.6084</v>
      </c>
      <c r="K166" s="1">
        <v>3.89</v>
      </c>
      <c r="L166" s="1">
        <f>K166*2.36</f>
        <v>9.1804000000000006</v>
      </c>
      <c r="M166" s="1"/>
      <c r="N166" s="1"/>
      <c r="O166" s="1"/>
      <c r="P166" s="1"/>
      <c r="Q166" s="1"/>
      <c r="R166" s="1"/>
      <c r="S166" s="1">
        <v>16.37</v>
      </c>
      <c r="T166" s="1">
        <f t="shared" ref="T166" si="358">S166*1.34</f>
        <v>21.935800000000004</v>
      </c>
      <c r="U166" s="1">
        <v>10.51</v>
      </c>
      <c r="V166" s="1">
        <f t="shared" si="276"/>
        <v>14.083400000000001</v>
      </c>
      <c r="W166" s="1">
        <v>8.5299999999999994</v>
      </c>
      <c r="X166" s="1">
        <f t="shared" si="348"/>
        <v>11.430199999999999</v>
      </c>
      <c r="Y166" s="1"/>
      <c r="Z166" s="1"/>
      <c r="AA166" s="1"/>
      <c r="AB166" s="1"/>
      <c r="AC166" s="1">
        <v>2.97</v>
      </c>
      <c r="AD166" s="1">
        <f t="shared" si="355"/>
        <v>8.1675000000000004</v>
      </c>
      <c r="AE166" s="1">
        <v>3.92</v>
      </c>
      <c r="AF166" s="1">
        <f t="shared" si="325"/>
        <v>10.78</v>
      </c>
      <c r="AG166" s="1"/>
      <c r="AH166" s="1"/>
      <c r="AI166" s="9"/>
      <c r="AJ166" s="9"/>
      <c r="AK166" s="9"/>
      <c r="AL166" s="9"/>
      <c r="AM166" s="1"/>
      <c r="AN166" s="1"/>
      <c r="AP166" s="1">
        <f t="shared" si="294"/>
        <v>0.77</v>
      </c>
      <c r="AQ166" s="1">
        <f t="shared" si="295"/>
        <v>0.23</v>
      </c>
      <c r="AR166" s="1">
        <f t="shared" si="266"/>
        <v>1</v>
      </c>
    </row>
    <row r="167" spans="1:44" x14ac:dyDescent="0.25">
      <c r="B167" t="s">
        <v>42</v>
      </c>
      <c r="C167" t="s">
        <v>54</v>
      </c>
      <c r="D167" s="1">
        <f>SUM(E167,G167,I167,K167,M167,O167,Q167,S167,U167,W167,Y167,AA167,AC167,AE167,AG167,AI167,AK167)</f>
        <v>78.63</v>
      </c>
      <c r="E167" s="1">
        <v>22.1</v>
      </c>
      <c r="F167" s="1">
        <f t="shared" si="353"/>
        <v>29.614000000000004</v>
      </c>
      <c r="G167" s="1">
        <v>10.95</v>
      </c>
      <c r="H167" s="1">
        <f t="shared" si="353"/>
        <v>14.673</v>
      </c>
      <c r="I167" s="1">
        <v>4.41</v>
      </c>
      <c r="J167" s="1">
        <f t="shared" si="267"/>
        <v>10.4076</v>
      </c>
      <c r="K167" s="1"/>
      <c r="L167" s="1"/>
      <c r="M167" s="1"/>
      <c r="N167" s="1"/>
      <c r="O167" s="1"/>
      <c r="P167" s="1"/>
      <c r="Q167" s="1"/>
      <c r="R167" s="1"/>
      <c r="S167" s="1">
        <v>15.87</v>
      </c>
      <c r="T167" s="1">
        <f t="shared" ref="T167" si="359">S167*1.34</f>
        <v>21.265799999999999</v>
      </c>
      <c r="U167" s="1">
        <v>11.4</v>
      </c>
      <c r="V167" s="1">
        <f t="shared" si="276"/>
        <v>15.276000000000002</v>
      </c>
      <c r="W167" s="1">
        <v>8.56</v>
      </c>
      <c r="X167" s="1">
        <f t="shared" si="348"/>
        <v>11.470400000000001</v>
      </c>
      <c r="Y167" s="1"/>
      <c r="Z167" s="1"/>
      <c r="AA167" s="1"/>
      <c r="AB167" s="1"/>
      <c r="AC167" s="1">
        <v>3.05</v>
      </c>
      <c r="AD167" s="1">
        <f t="shared" si="355"/>
        <v>8.3874999999999993</v>
      </c>
      <c r="AE167" s="1">
        <v>2.29</v>
      </c>
      <c r="AF167" s="1">
        <f t="shared" si="325"/>
        <v>6.2975000000000003</v>
      </c>
      <c r="AG167" s="1"/>
      <c r="AH167" s="1"/>
      <c r="AI167" s="9"/>
      <c r="AJ167" s="9"/>
      <c r="AK167" s="9"/>
      <c r="AL167" s="9"/>
      <c r="AM167" s="1"/>
      <c r="AN167" s="1"/>
      <c r="AP167" s="1">
        <f t="shared" si="294"/>
        <v>0.8</v>
      </c>
      <c r="AQ167" s="1">
        <f t="shared" si="295"/>
        <v>0.2</v>
      </c>
      <c r="AR167" s="1">
        <f t="shared" ref="AR167:AR219" si="360">AP167+AQ167</f>
        <v>1</v>
      </c>
    </row>
    <row r="168" spans="1:44" x14ac:dyDescent="0.25">
      <c r="B168" t="s">
        <v>43</v>
      </c>
      <c r="C168" t="s">
        <v>48</v>
      </c>
      <c r="D168" s="1">
        <f>SUM(E168,G168,I168,K168,M168,O168,Q168,S168,U168,W168,Y168,AA168,AC168,AE168,AG168,AI168,AK168)</f>
        <v>78.7</v>
      </c>
      <c r="E168" s="1">
        <v>20.43</v>
      </c>
      <c r="F168" s="1">
        <f t="shared" si="353"/>
        <v>27.376200000000001</v>
      </c>
      <c r="G168" s="1">
        <v>8.7899999999999991</v>
      </c>
      <c r="H168" s="1">
        <f t="shared" si="353"/>
        <v>11.778599999999999</v>
      </c>
      <c r="I168" s="1">
        <v>3.91</v>
      </c>
      <c r="J168" s="1">
        <f t="shared" ref="J168:J219" si="361">I168*2.36</f>
        <v>9.2276000000000007</v>
      </c>
      <c r="K168" s="1"/>
      <c r="L168" s="1"/>
      <c r="M168" s="1"/>
      <c r="N168" s="1"/>
      <c r="O168" s="1"/>
      <c r="P168" s="1"/>
      <c r="Q168" s="1"/>
      <c r="R168" s="1"/>
      <c r="S168" s="1">
        <v>13.57</v>
      </c>
      <c r="T168" s="1">
        <f t="shared" ref="T168" si="362">S168*1.34</f>
        <v>18.183800000000002</v>
      </c>
      <c r="U168" s="1">
        <v>9.9700000000000006</v>
      </c>
      <c r="V168" s="1">
        <f t="shared" si="276"/>
        <v>13.359800000000002</v>
      </c>
      <c r="W168" s="1">
        <v>9.41</v>
      </c>
      <c r="X168" s="1">
        <f t="shared" si="348"/>
        <v>12.609400000000001</v>
      </c>
      <c r="Y168" s="1"/>
      <c r="Z168" s="1"/>
      <c r="AA168" s="1"/>
      <c r="AB168" s="1"/>
      <c r="AC168" s="1">
        <v>4.91</v>
      </c>
      <c r="AD168" s="1">
        <f t="shared" si="355"/>
        <v>13.502500000000001</v>
      </c>
      <c r="AE168" s="1">
        <v>5.79</v>
      </c>
      <c r="AF168" s="1">
        <f t="shared" si="325"/>
        <v>15.922499999999999</v>
      </c>
      <c r="AG168" s="1">
        <v>1.92</v>
      </c>
      <c r="AH168" s="1">
        <f>AG168*2.36</f>
        <v>4.5311999999999992</v>
      </c>
      <c r="AI168" s="9"/>
      <c r="AJ168" s="9"/>
      <c r="AK168" s="9"/>
      <c r="AL168" s="9"/>
      <c r="AM168" s="1">
        <v>15.76</v>
      </c>
      <c r="AN168" s="1">
        <f t="shared" ref="AN168:AN169" si="363">AM168*0.6</f>
        <v>9.4559999999999995</v>
      </c>
      <c r="AP168" s="1">
        <f t="shared" si="294"/>
        <v>0.84</v>
      </c>
      <c r="AQ168" s="1">
        <f t="shared" si="295"/>
        <v>0.16</v>
      </c>
      <c r="AR168" s="1">
        <f t="shared" si="360"/>
        <v>1</v>
      </c>
    </row>
    <row r="169" spans="1:44" x14ac:dyDescent="0.25">
      <c r="B169" t="s">
        <v>42</v>
      </c>
      <c r="C169" t="s">
        <v>69</v>
      </c>
      <c r="D169" s="1">
        <f>SUM(E169,G169,I169,K169,M169,O169,Q169,S169,U169,W169,Y169,AA169,AC169,AE169,AG169,AI169,AK169)</f>
        <v>78.97</v>
      </c>
      <c r="E169" s="1">
        <v>20.46</v>
      </c>
      <c r="F169" s="1">
        <f t="shared" ref="F169:H170" si="364">E169*1.34</f>
        <v>27.416400000000003</v>
      </c>
      <c r="G169" s="1">
        <v>9.44</v>
      </c>
      <c r="H169" s="1">
        <f t="shared" si="364"/>
        <v>12.6496</v>
      </c>
      <c r="I169" s="1">
        <v>3.76</v>
      </c>
      <c r="J169" s="1">
        <f t="shared" si="361"/>
        <v>8.8735999999999997</v>
      </c>
      <c r="K169" s="1"/>
      <c r="L169" s="1"/>
      <c r="M169" s="1"/>
      <c r="N169" s="1"/>
      <c r="O169" s="1"/>
      <c r="P169" s="1"/>
      <c r="Q169" s="1"/>
      <c r="R169" s="1"/>
      <c r="S169" s="1">
        <v>10.53</v>
      </c>
      <c r="T169" s="1">
        <f t="shared" ref="T169" si="365">S169*1.34</f>
        <v>14.110200000000001</v>
      </c>
      <c r="U169" s="1">
        <v>9.75</v>
      </c>
      <c r="V169" s="1">
        <f t="shared" si="276"/>
        <v>13.065000000000001</v>
      </c>
      <c r="W169" s="1">
        <v>8.0299999999999994</v>
      </c>
      <c r="X169" s="1">
        <f t="shared" si="348"/>
        <v>10.760199999999999</v>
      </c>
      <c r="Y169" s="1">
        <v>7.9</v>
      </c>
      <c r="Z169" s="1">
        <f t="shared" ref="Z169:Z170" si="366">Y169*1.34</f>
        <v>10.586</v>
      </c>
      <c r="AA169" s="1"/>
      <c r="AB169" s="1"/>
      <c r="AC169" s="1">
        <v>3.89</v>
      </c>
      <c r="AD169" s="1">
        <f t="shared" si="355"/>
        <v>10.6975</v>
      </c>
      <c r="AE169" s="1">
        <v>5.21</v>
      </c>
      <c r="AF169" s="1">
        <f t="shared" si="325"/>
        <v>14.327500000000001</v>
      </c>
      <c r="AG169" s="1"/>
      <c r="AH169" s="1"/>
      <c r="AI169" s="9"/>
      <c r="AJ169" s="9"/>
      <c r="AK169" s="9"/>
      <c r="AL169" s="9"/>
      <c r="AM169" s="1">
        <v>2.06</v>
      </c>
      <c r="AN169" s="1">
        <f t="shared" si="363"/>
        <v>1.236</v>
      </c>
      <c r="AP169" s="1">
        <f t="shared" si="294"/>
        <v>0.83</v>
      </c>
      <c r="AQ169" s="1">
        <f t="shared" si="295"/>
        <v>0.17</v>
      </c>
      <c r="AR169" s="1">
        <f t="shared" si="360"/>
        <v>1</v>
      </c>
    </row>
    <row r="170" spans="1:44" x14ac:dyDescent="0.25">
      <c r="B170" t="s">
        <v>42</v>
      </c>
      <c r="C170" t="s">
        <v>71</v>
      </c>
      <c r="D170" s="1">
        <f>SUM(E170,G170,I170,K170,M170,O170,Q170,S170,U170,W170,Y170,AA170,AC170,AE170,AG170,AI170,AK170)</f>
        <v>79.010000000000019</v>
      </c>
      <c r="E170" s="1">
        <v>20.92</v>
      </c>
      <c r="F170" s="1">
        <f t="shared" si="364"/>
        <v>28.032800000000005</v>
      </c>
      <c r="G170" s="1">
        <v>9.4</v>
      </c>
      <c r="H170" s="1">
        <f t="shared" si="364"/>
        <v>12.596000000000002</v>
      </c>
      <c r="I170" s="1">
        <v>4.16</v>
      </c>
      <c r="J170" s="1">
        <f t="shared" si="361"/>
        <v>9.8176000000000005</v>
      </c>
      <c r="K170" s="1"/>
      <c r="L170" s="1"/>
      <c r="M170" s="1"/>
      <c r="N170" s="1"/>
      <c r="O170" s="1"/>
      <c r="P170" s="1"/>
      <c r="Q170" s="1"/>
      <c r="R170" s="1"/>
      <c r="S170" s="1">
        <v>12</v>
      </c>
      <c r="T170" s="1">
        <f t="shared" ref="T170" si="367">S170*1.34</f>
        <v>16.080000000000002</v>
      </c>
      <c r="U170" s="1">
        <v>8.6</v>
      </c>
      <c r="V170" s="1">
        <f t="shared" si="276"/>
        <v>11.524000000000001</v>
      </c>
      <c r="W170" s="1">
        <v>7.44</v>
      </c>
      <c r="X170" s="1">
        <f t="shared" si="348"/>
        <v>9.9696000000000016</v>
      </c>
      <c r="Y170" s="1">
        <v>7.36</v>
      </c>
      <c r="Z170" s="1">
        <f t="shared" si="366"/>
        <v>9.8624000000000009</v>
      </c>
      <c r="AA170" s="1"/>
      <c r="AB170" s="1"/>
      <c r="AC170" s="1">
        <v>2.56</v>
      </c>
      <c r="AD170" s="1">
        <f t="shared" si="355"/>
        <v>7.04</v>
      </c>
      <c r="AE170" s="1">
        <v>6.57</v>
      </c>
      <c r="AF170" s="1">
        <f t="shared" si="325"/>
        <v>18.067500000000003</v>
      </c>
      <c r="AG170" s="1"/>
      <c r="AH170" s="1"/>
      <c r="AI170" s="9"/>
      <c r="AJ170" s="9"/>
      <c r="AK170" s="9"/>
      <c r="AL170" s="9"/>
      <c r="AM170" s="1"/>
      <c r="AN170" s="1"/>
      <c r="AP170" s="1">
        <f t="shared" si="294"/>
        <v>0.83</v>
      </c>
      <c r="AQ170" s="1">
        <f t="shared" si="295"/>
        <v>0.17</v>
      </c>
      <c r="AR170" s="1">
        <f t="shared" si="360"/>
        <v>1</v>
      </c>
    </row>
    <row r="171" spans="1:44" x14ac:dyDescent="0.25">
      <c r="C171" t="s">
        <v>55</v>
      </c>
      <c r="D171" s="1">
        <f>SUM(E171,G171,I171,K171,M171,O171,Q171,S171,U171,W171,Y171,AA171,AC171,AE171,AG171,AI171,AK171)</f>
        <v>79.259999999999991</v>
      </c>
      <c r="E171" s="1">
        <v>19.82</v>
      </c>
      <c r="F171" s="1">
        <f t="shared" ref="F171:H173" si="368">E171*1.34</f>
        <v>26.558800000000002</v>
      </c>
      <c r="G171" s="1">
        <v>7.04</v>
      </c>
      <c r="H171" s="1">
        <f t="shared" si="368"/>
        <v>9.4336000000000002</v>
      </c>
      <c r="I171" s="1">
        <v>4.57</v>
      </c>
      <c r="J171" s="1">
        <f t="shared" si="361"/>
        <v>10.7852</v>
      </c>
      <c r="K171" s="1"/>
      <c r="L171" s="1"/>
      <c r="M171" s="1"/>
      <c r="N171" s="1"/>
      <c r="O171" s="1"/>
      <c r="P171" s="1"/>
      <c r="Q171" s="1"/>
      <c r="R171" s="1"/>
      <c r="S171" s="1">
        <v>13.93</v>
      </c>
      <c r="T171" s="1">
        <f t="shared" ref="T171" si="369">S171*1.34</f>
        <v>18.6662</v>
      </c>
      <c r="U171" s="1">
        <v>8.0500000000000007</v>
      </c>
      <c r="V171" s="1">
        <f t="shared" ref="V171:V223" si="370">U171*1.34</f>
        <v>10.787000000000001</v>
      </c>
      <c r="W171" s="1">
        <v>8.02</v>
      </c>
      <c r="X171" s="1">
        <f t="shared" si="348"/>
        <v>10.7468</v>
      </c>
      <c r="Y171" s="1">
        <v>8</v>
      </c>
      <c r="Z171" s="1">
        <f t="shared" ref="Z171" si="371">Y171*1.34</f>
        <v>10.72</v>
      </c>
      <c r="AA171" s="1"/>
      <c r="AB171" s="1"/>
      <c r="AC171" s="1">
        <v>1.1200000000000001</v>
      </c>
      <c r="AD171" s="1">
        <f t="shared" ref="AD171:AD174" si="372">AC171*2.75</f>
        <v>3.08</v>
      </c>
      <c r="AE171" s="1">
        <v>8.7100000000000009</v>
      </c>
      <c r="AF171" s="1">
        <f t="shared" si="325"/>
        <v>23.952500000000001</v>
      </c>
      <c r="AG171" s="1"/>
      <c r="AH171" s="1"/>
      <c r="AI171" s="9"/>
      <c r="AJ171" s="9"/>
      <c r="AK171" s="9"/>
      <c r="AL171" s="9"/>
      <c r="AM171" s="1"/>
      <c r="AN171" s="1"/>
      <c r="AP171" s="1">
        <f t="shared" si="294"/>
        <v>0.85</v>
      </c>
      <c r="AQ171" s="1">
        <f t="shared" si="295"/>
        <v>0.15</v>
      </c>
      <c r="AR171" s="1">
        <f t="shared" si="360"/>
        <v>1</v>
      </c>
    </row>
    <row r="172" spans="1:44" x14ac:dyDescent="0.25">
      <c r="C172" t="s">
        <v>51</v>
      </c>
      <c r="D172" s="1">
        <f>SUM(E172,G172,I172,K172,M172,O172,Q172,S172,U172,W172,Y172,AA172,AC172,AE172,AG172,AI172,AK172)</f>
        <v>79.61</v>
      </c>
      <c r="E172" s="1">
        <v>24.24</v>
      </c>
      <c r="F172" s="1">
        <f t="shared" si="368"/>
        <v>32.4816</v>
      </c>
      <c r="G172" s="1">
        <v>9.6</v>
      </c>
      <c r="H172" s="1">
        <f t="shared" si="368"/>
        <v>12.864000000000001</v>
      </c>
      <c r="I172" s="1">
        <v>4.24</v>
      </c>
      <c r="J172" s="1">
        <f t="shared" si="361"/>
        <v>10.006399999999999</v>
      </c>
      <c r="K172" s="1"/>
      <c r="L172" s="1"/>
      <c r="M172" s="1"/>
      <c r="N172" s="1"/>
      <c r="O172" s="1"/>
      <c r="P172" s="1"/>
      <c r="Q172" s="1"/>
      <c r="R172" s="1"/>
      <c r="S172" s="1">
        <v>11.87</v>
      </c>
      <c r="T172" s="1">
        <f t="shared" ref="T172" si="373">S172*1.34</f>
        <v>15.905799999999999</v>
      </c>
      <c r="U172" s="1">
        <v>11.28</v>
      </c>
      <c r="V172" s="1">
        <f t="shared" si="370"/>
        <v>15.1152</v>
      </c>
      <c r="W172" s="1">
        <v>10.79</v>
      </c>
      <c r="X172" s="1">
        <f t="shared" si="348"/>
        <v>14.458600000000001</v>
      </c>
      <c r="Y172" s="1"/>
      <c r="Z172" s="1"/>
      <c r="AA172" s="1"/>
      <c r="AB172" s="1"/>
      <c r="AC172" s="1">
        <v>2.59</v>
      </c>
      <c r="AD172" s="1">
        <f t="shared" si="372"/>
        <v>7.1224999999999996</v>
      </c>
      <c r="AE172" s="1">
        <v>5</v>
      </c>
      <c r="AF172" s="1">
        <f t="shared" si="325"/>
        <v>13.75</v>
      </c>
      <c r="AG172" s="1"/>
      <c r="AH172" s="1"/>
      <c r="AI172" s="9"/>
      <c r="AJ172" s="9"/>
      <c r="AK172" s="9"/>
      <c r="AL172" s="9"/>
      <c r="AM172" s="1"/>
      <c r="AN172" s="1"/>
      <c r="AP172" s="1">
        <f t="shared" si="294"/>
        <v>0.83</v>
      </c>
      <c r="AQ172" s="1">
        <f t="shared" si="295"/>
        <v>0.17</v>
      </c>
      <c r="AR172" s="1">
        <f t="shared" si="360"/>
        <v>1</v>
      </c>
    </row>
    <row r="173" spans="1:44" x14ac:dyDescent="0.25">
      <c r="D173" s="1">
        <f>SUM(E173,G173,I173,K173,M173,O173,Q173,S173,U173,W173,Y173,AA173,AC173,AE173,AG173,AI173,AK173)</f>
        <v>79.830000000000013</v>
      </c>
      <c r="E173" s="1">
        <v>21.17</v>
      </c>
      <c r="F173" s="1">
        <f t="shared" si="368"/>
        <v>28.367800000000003</v>
      </c>
      <c r="G173" s="1">
        <v>9.58</v>
      </c>
      <c r="H173" s="1">
        <f t="shared" si="368"/>
        <v>12.837200000000001</v>
      </c>
      <c r="I173" s="1">
        <v>4.3499999999999996</v>
      </c>
      <c r="J173" s="1">
        <f t="shared" si="361"/>
        <v>10.265999999999998</v>
      </c>
      <c r="K173" s="1"/>
      <c r="L173" s="1"/>
      <c r="M173" s="1"/>
      <c r="N173" s="1"/>
      <c r="O173" s="1"/>
      <c r="P173" s="1"/>
      <c r="Q173" s="1"/>
      <c r="R173" s="1"/>
      <c r="S173" s="1">
        <v>13.29</v>
      </c>
      <c r="T173" s="1">
        <f t="shared" ref="T173" si="374">S173*1.34</f>
        <v>17.808599999999998</v>
      </c>
      <c r="U173" s="1">
        <v>11.17</v>
      </c>
      <c r="V173" s="1">
        <f t="shared" si="370"/>
        <v>14.9678</v>
      </c>
      <c r="W173" s="1">
        <v>11.09</v>
      </c>
      <c r="X173" s="1">
        <f t="shared" si="348"/>
        <v>14.8606</v>
      </c>
      <c r="Y173" s="1"/>
      <c r="Z173" s="1"/>
      <c r="AA173" s="1"/>
      <c r="AB173" s="1"/>
      <c r="AC173" s="1">
        <v>5.67</v>
      </c>
      <c r="AD173" s="1">
        <f t="shared" si="372"/>
        <v>15.592499999999999</v>
      </c>
      <c r="AE173" s="1">
        <v>3.51</v>
      </c>
      <c r="AF173" s="1">
        <f t="shared" si="325"/>
        <v>9.6524999999999999</v>
      </c>
      <c r="AG173" s="1"/>
      <c r="AH173" s="1"/>
      <c r="AI173" s="9"/>
      <c r="AJ173" s="9"/>
      <c r="AK173" s="9"/>
      <c r="AL173" s="9"/>
      <c r="AM173" s="1"/>
      <c r="AN173" s="1"/>
      <c r="AP173" s="1">
        <f t="shared" si="294"/>
        <v>0.83</v>
      </c>
      <c r="AQ173" s="1">
        <f t="shared" si="295"/>
        <v>0.17</v>
      </c>
      <c r="AR173" s="1">
        <f t="shared" si="360"/>
        <v>1</v>
      </c>
    </row>
    <row r="174" spans="1:44" x14ac:dyDescent="0.25">
      <c r="B174" t="s">
        <v>62</v>
      </c>
      <c r="C174" t="s">
        <v>63</v>
      </c>
      <c r="D174" s="1">
        <f>SUM(E174,G174,I174,K174,M174,O174,Q174,S174,U174,W174,Y174,AA174,AC174,AE174,AG174,AI174,AK174)</f>
        <v>80.010000000000005</v>
      </c>
      <c r="E174" s="1">
        <v>22.99</v>
      </c>
      <c r="F174" s="1">
        <f t="shared" ref="F174:H182" si="375">E174*1.34</f>
        <v>30.8066</v>
      </c>
      <c r="G174" s="1">
        <v>9</v>
      </c>
      <c r="H174" s="1">
        <f t="shared" si="375"/>
        <v>12.06</v>
      </c>
      <c r="I174" s="1">
        <v>4.82</v>
      </c>
      <c r="J174" s="1">
        <f t="shared" si="361"/>
        <v>11.3752</v>
      </c>
      <c r="K174" s="1"/>
      <c r="L174" s="1"/>
      <c r="M174" s="1"/>
      <c r="N174" s="1"/>
      <c r="O174" s="1"/>
      <c r="P174" s="1"/>
      <c r="Q174" s="1"/>
      <c r="R174" s="1"/>
      <c r="S174" s="1">
        <f>13.04+3.52</f>
        <v>16.559999999999999</v>
      </c>
      <c r="T174" s="1">
        <f t="shared" ref="T174" si="376">S174*1.34</f>
        <v>22.1904</v>
      </c>
      <c r="U174" s="1">
        <v>10.73</v>
      </c>
      <c r="V174" s="1">
        <f t="shared" si="370"/>
        <v>14.378200000000001</v>
      </c>
      <c r="W174" s="1">
        <v>8.73</v>
      </c>
      <c r="X174" s="1">
        <f t="shared" si="348"/>
        <v>11.698200000000002</v>
      </c>
      <c r="Y174" s="1"/>
      <c r="Z174" s="1"/>
      <c r="AA174" s="1"/>
      <c r="AB174" s="1"/>
      <c r="AC174" s="1">
        <v>5.47</v>
      </c>
      <c r="AD174" s="1">
        <f t="shared" si="372"/>
        <v>15.042499999999999</v>
      </c>
      <c r="AE174" s="1">
        <v>1.71</v>
      </c>
      <c r="AF174" s="1">
        <f t="shared" si="325"/>
        <v>4.7024999999999997</v>
      </c>
      <c r="AG174" s="1"/>
      <c r="AH174" s="1"/>
      <c r="AI174" s="9"/>
      <c r="AJ174" s="9"/>
      <c r="AK174" s="9"/>
      <c r="AL174" s="9"/>
      <c r="AM174" s="1">
        <f>102.27+4.92</f>
        <v>107.19</v>
      </c>
      <c r="AN174" s="1">
        <f t="shared" ref="AN174:AN178" si="377">AM174*0.6</f>
        <v>64.313999999999993</v>
      </c>
      <c r="AP174" s="1">
        <f t="shared" si="294"/>
        <v>0.83</v>
      </c>
      <c r="AQ174" s="1">
        <f t="shared" si="295"/>
        <v>0.17</v>
      </c>
      <c r="AR174" s="1">
        <f t="shared" si="360"/>
        <v>1</v>
      </c>
    </row>
    <row r="175" spans="1:44" x14ac:dyDescent="0.25">
      <c r="B175" t="s">
        <v>81</v>
      </c>
      <c r="C175" t="s">
        <v>82</v>
      </c>
      <c r="D175" s="1">
        <f>SUM(E175,G175,I175,K175,M175,O175,Q175,S175,U175,W175,Y175,AA175,AC175,AE175,AG175,AI175,AK175)</f>
        <v>80.03</v>
      </c>
      <c r="E175" s="1">
        <v>23.18</v>
      </c>
      <c r="F175" s="1">
        <f t="shared" si="375"/>
        <v>31.061200000000003</v>
      </c>
      <c r="G175" s="1">
        <v>6.79</v>
      </c>
      <c r="H175" s="1">
        <f t="shared" si="375"/>
        <v>9.0986000000000011</v>
      </c>
      <c r="I175" s="1">
        <v>4.13</v>
      </c>
      <c r="J175" s="1">
        <f t="shared" si="361"/>
        <v>9.7467999999999986</v>
      </c>
      <c r="K175" s="1">
        <v>3.13</v>
      </c>
      <c r="L175" s="1">
        <f>K175*2.36</f>
        <v>7.3867999999999991</v>
      </c>
      <c r="M175" s="1"/>
      <c r="N175" s="1"/>
      <c r="O175" s="1"/>
      <c r="P175" s="1"/>
      <c r="Q175" s="1"/>
      <c r="R175" s="1"/>
      <c r="S175" s="1">
        <v>15.93</v>
      </c>
      <c r="T175" s="1">
        <f t="shared" ref="T175" si="378">S175*1.34</f>
        <v>21.3462</v>
      </c>
      <c r="U175" s="1">
        <v>10.07</v>
      </c>
      <c r="V175" s="1">
        <f t="shared" si="370"/>
        <v>13.493800000000002</v>
      </c>
      <c r="W175" s="1">
        <v>10.62</v>
      </c>
      <c r="X175" s="1">
        <f t="shared" si="348"/>
        <v>14.2308</v>
      </c>
      <c r="Y175" s="1"/>
      <c r="Z175" s="1"/>
      <c r="AA175" s="1"/>
      <c r="AB175" s="1"/>
      <c r="AC175" s="1"/>
      <c r="AD175" s="1"/>
      <c r="AE175" s="1">
        <v>6.18</v>
      </c>
      <c r="AF175" s="1">
        <f t="shared" si="325"/>
        <v>16.994999999999997</v>
      </c>
      <c r="AG175" s="1"/>
      <c r="AH175" s="1"/>
      <c r="AI175" s="9"/>
      <c r="AJ175" s="9"/>
      <c r="AK175" s="9"/>
      <c r="AL175" s="9"/>
      <c r="AM175" s="1">
        <f>32.57+29.32</f>
        <v>61.89</v>
      </c>
      <c r="AN175" s="1">
        <f t="shared" si="377"/>
        <v>37.134</v>
      </c>
      <c r="AP175" s="1">
        <f t="shared" si="294"/>
        <v>0.82</v>
      </c>
      <c r="AQ175" s="1">
        <f t="shared" si="295"/>
        <v>0.18</v>
      </c>
      <c r="AR175" s="1">
        <f t="shared" si="360"/>
        <v>1</v>
      </c>
    </row>
    <row r="176" spans="1:44" x14ac:dyDescent="0.25">
      <c r="C176" t="s">
        <v>65</v>
      </c>
      <c r="D176" s="1">
        <f>SUM(E176,G176,I176,K176,M176,O176,Q176,S176,U176,W176,Y176,AA176,AC176,AE176,AG176,AI176,AK176)</f>
        <v>80.11</v>
      </c>
      <c r="E176" s="1">
        <v>22.9</v>
      </c>
      <c r="F176" s="1">
        <f t="shared" si="375"/>
        <v>30.686</v>
      </c>
      <c r="G176" s="1">
        <v>10.27</v>
      </c>
      <c r="H176" s="1">
        <f t="shared" si="375"/>
        <v>13.761800000000001</v>
      </c>
      <c r="I176" s="1">
        <v>7.27</v>
      </c>
      <c r="J176" s="1">
        <f t="shared" si="361"/>
        <v>17.1572</v>
      </c>
      <c r="K176" s="1"/>
      <c r="L176" s="1"/>
      <c r="M176" s="1"/>
      <c r="N176" s="1"/>
      <c r="O176" s="1"/>
      <c r="P176" s="1"/>
      <c r="Q176" s="1"/>
      <c r="R176" s="1"/>
      <c r="S176" s="1">
        <v>14.59</v>
      </c>
      <c r="T176" s="1">
        <f t="shared" ref="T176" si="379">S176*1.34</f>
        <v>19.550599999999999</v>
      </c>
      <c r="U176" s="1">
        <v>8.7100000000000009</v>
      </c>
      <c r="V176" s="1">
        <f t="shared" si="370"/>
        <v>11.671400000000002</v>
      </c>
      <c r="W176" s="1">
        <v>8.3000000000000007</v>
      </c>
      <c r="X176" s="1">
        <f t="shared" si="348"/>
        <v>11.122000000000002</v>
      </c>
      <c r="Y176" s="1"/>
      <c r="Z176" s="1"/>
      <c r="AA176" s="1"/>
      <c r="AB176" s="1"/>
      <c r="AC176" s="1">
        <v>4.21</v>
      </c>
      <c r="AD176" s="1">
        <f t="shared" ref="AD176" si="380">AC176*2.75</f>
        <v>11.577500000000001</v>
      </c>
      <c r="AE176" s="1">
        <v>3.86</v>
      </c>
      <c r="AF176" s="1">
        <f t="shared" si="325"/>
        <v>10.615</v>
      </c>
      <c r="AG176" s="1"/>
      <c r="AH176" s="1"/>
      <c r="AI176" s="9"/>
      <c r="AJ176" s="9"/>
      <c r="AK176" s="9"/>
      <c r="AL176" s="9"/>
      <c r="AM176" s="1">
        <v>30.82</v>
      </c>
      <c r="AN176" s="1">
        <f t="shared" si="377"/>
        <v>18.492000000000001</v>
      </c>
      <c r="AP176" s="1">
        <f t="shared" si="294"/>
        <v>0.78</v>
      </c>
      <c r="AQ176" s="1">
        <f t="shared" si="295"/>
        <v>0.22</v>
      </c>
      <c r="AR176" s="1">
        <f t="shared" si="360"/>
        <v>1</v>
      </c>
    </row>
    <row r="177" spans="2:44" x14ac:dyDescent="0.25">
      <c r="B177" t="s">
        <v>119</v>
      </c>
      <c r="C177" t="s">
        <v>120</v>
      </c>
      <c r="D177" s="1">
        <f>SUM(E177,G177,I177,K177,M177,O177,Q177,S177,U177,W177,Y177,AA177,AC177,AE177,AG177,AI177,AK177)</f>
        <v>80.290000000000006</v>
      </c>
      <c r="E177" s="1">
        <v>25.5</v>
      </c>
      <c r="F177" s="1">
        <f t="shared" si="375"/>
        <v>34.17</v>
      </c>
      <c r="G177" s="1">
        <v>9.5299999999999994</v>
      </c>
      <c r="H177" s="1">
        <f t="shared" si="375"/>
        <v>12.770199999999999</v>
      </c>
      <c r="I177" s="1">
        <v>3.52</v>
      </c>
      <c r="J177" s="1">
        <f t="shared" si="361"/>
        <v>8.3071999999999999</v>
      </c>
      <c r="K177" s="1">
        <v>3.51</v>
      </c>
      <c r="L177" s="1">
        <f>K177*2.36</f>
        <v>8.2835999999999999</v>
      </c>
      <c r="M177" s="1"/>
      <c r="N177" s="1"/>
      <c r="O177" s="1"/>
      <c r="P177" s="1"/>
      <c r="Q177" s="1"/>
      <c r="R177" s="1"/>
      <c r="S177" s="1">
        <v>14.15</v>
      </c>
      <c r="T177" s="1">
        <f t="shared" ref="T177" si="381">S177*1.34</f>
        <v>18.961000000000002</v>
      </c>
      <c r="U177" s="1">
        <v>11.41</v>
      </c>
      <c r="V177" s="1">
        <f t="shared" si="370"/>
        <v>15.289400000000001</v>
      </c>
      <c r="W177" s="1">
        <v>10.66</v>
      </c>
      <c r="X177" s="1">
        <f t="shared" si="348"/>
        <v>14.284400000000002</v>
      </c>
      <c r="Y177" s="1"/>
      <c r="Z177" s="1"/>
      <c r="AA177" s="1"/>
      <c r="AB177" s="1"/>
      <c r="AC177" s="1"/>
      <c r="AD177" s="1"/>
      <c r="AE177" s="1">
        <v>2.0099999999999998</v>
      </c>
      <c r="AF177" s="1">
        <f t="shared" si="325"/>
        <v>5.5274999999999999</v>
      </c>
      <c r="AG177" s="1"/>
      <c r="AH177" s="1"/>
      <c r="AI177" s="9"/>
      <c r="AJ177" s="9"/>
      <c r="AK177" s="9"/>
      <c r="AL177" s="9"/>
      <c r="AM177" s="1">
        <f>24.99+15.29</f>
        <v>40.28</v>
      </c>
      <c r="AN177" s="1">
        <f t="shared" si="377"/>
        <v>24.167999999999999</v>
      </c>
      <c r="AP177" s="1">
        <f t="shared" si="294"/>
        <v>0.79</v>
      </c>
      <c r="AQ177" s="1">
        <f t="shared" si="295"/>
        <v>0.21</v>
      </c>
      <c r="AR177" s="1">
        <f t="shared" si="360"/>
        <v>1</v>
      </c>
    </row>
    <row r="178" spans="2:44" x14ac:dyDescent="0.25">
      <c r="B178" t="s">
        <v>72</v>
      </c>
      <c r="C178" t="s">
        <v>73</v>
      </c>
      <c r="D178" s="1">
        <f>SUM(E178,G178,I178,K178,M178,O178,Q178,S178,U178,W178,Y178,AA178,AC178,AE178,AG178,AI178,AK178)</f>
        <v>80.3</v>
      </c>
      <c r="E178" s="1">
        <v>22.35</v>
      </c>
      <c r="F178" s="1">
        <f t="shared" si="375"/>
        <v>29.949000000000005</v>
      </c>
      <c r="G178" s="1">
        <v>9.65</v>
      </c>
      <c r="H178" s="1">
        <f t="shared" si="375"/>
        <v>12.931000000000001</v>
      </c>
      <c r="I178" s="1">
        <v>4.2</v>
      </c>
      <c r="J178" s="1">
        <f t="shared" si="361"/>
        <v>9.911999999999999</v>
      </c>
      <c r="K178" s="1"/>
      <c r="L178" s="1"/>
      <c r="M178" s="1"/>
      <c r="N178" s="1"/>
      <c r="O178" s="1"/>
      <c r="P178" s="1"/>
      <c r="Q178" s="1"/>
      <c r="R178" s="1"/>
      <c r="S178" s="1">
        <v>13.65</v>
      </c>
      <c r="T178" s="1">
        <f t="shared" ref="T178" si="382">S178*1.34</f>
        <v>18.291</v>
      </c>
      <c r="U178" s="1">
        <v>11.95</v>
      </c>
      <c r="V178" s="1">
        <f t="shared" si="370"/>
        <v>16.013000000000002</v>
      </c>
      <c r="W178" s="1">
        <v>9.1999999999999993</v>
      </c>
      <c r="X178" s="1">
        <f t="shared" si="348"/>
        <v>12.327999999999999</v>
      </c>
      <c r="Y178" s="1"/>
      <c r="Z178" s="1"/>
      <c r="AA178" s="1"/>
      <c r="AB178" s="1"/>
      <c r="AC178" s="1">
        <v>5.95</v>
      </c>
      <c r="AD178" s="1">
        <f t="shared" ref="AD178:AD180" si="383">AC178*2.75</f>
        <v>16.362500000000001</v>
      </c>
      <c r="AE178" s="1">
        <v>3.35</v>
      </c>
      <c r="AF178" s="1">
        <f t="shared" si="325"/>
        <v>9.2125000000000004</v>
      </c>
      <c r="AG178" s="1"/>
      <c r="AH178" s="1"/>
      <c r="AI178" s="9"/>
      <c r="AJ178" s="9"/>
      <c r="AK178" s="9"/>
      <c r="AL178" s="9"/>
      <c r="AM178" s="1">
        <v>10.9</v>
      </c>
      <c r="AN178" s="1">
        <f t="shared" si="377"/>
        <v>6.54</v>
      </c>
      <c r="AP178" s="1">
        <f t="shared" si="294"/>
        <v>0.83</v>
      </c>
      <c r="AQ178" s="1">
        <f t="shared" si="295"/>
        <v>0.17</v>
      </c>
      <c r="AR178" s="1">
        <f t="shared" si="360"/>
        <v>1</v>
      </c>
    </row>
    <row r="179" spans="2:44" x14ac:dyDescent="0.25">
      <c r="B179" t="s">
        <v>42</v>
      </c>
      <c r="C179" t="s">
        <v>54</v>
      </c>
      <c r="D179" s="1">
        <f>SUM(E179,G179,I179,K179,M179,O179,Q179,S179,U179,W179,Y179,AA179,AC179,AE179,AG179,AI179,AK179)</f>
        <v>80.639999999999986</v>
      </c>
      <c r="E179" s="1">
        <v>25.47</v>
      </c>
      <c r="F179" s="1">
        <f t="shared" si="375"/>
        <v>34.129800000000003</v>
      </c>
      <c r="G179" s="1">
        <v>8.25</v>
      </c>
      <c r="H179" s="1">
        <f t="shared" si="375"/>
        <v>11.055000000000001</v>
      </c>
      <c r="I179" s="1">
        <v>4.03</v>
      </c>
      <c r="J179" s="1">
        <f t="shared" si="361"/>
        <v>9.5107999999999997</v>
      </c>
      <c r="K179" s="1"/>
      <c r="L179" s="1"/>
      <c r="M179" s="1"/>
      <c r="N179" s="1"/>
      <c r="O179" s="1"/>
      <c r="P179" s="1"/>
      <c r="Q179" s="1"/>
      <c r="R179" s="1"/>
      <c r="S179" s="1">
        <v>17.29</v>
      </c>
      <c r="T179" s="1">
        <f t="shared" ref="T179" si="384">S179*1.34</f>
        <v>23.168600000000001</v>
      </c>
      <c r="U179" s="1">
        <v>10.4</v>
      </c>
      <c r="V179" s="1">
        <f t="shared" si="370"/>
        <v>13.936000000000002</v>
      </c>
      <c r="W179" s="1">
        <v>9.0500000000000007</v>
      </c>
      <c r="X179" s="1">
        <f t="shared" si="348"/>
        <v>12.127000000000002</v>
      </c>
      <c r="Y179" s="1"/>
      <c r="Z179" s="1"/>
      <c r="AA179" s="1"/>
      <c r="AB179" s="1"/>
      <c r="AC179" s="1">
        <v>3.35</v>
      </c>
      <c r="AD179" s="1">
        <f t="shared" si="383"/>
        <v>9.2125000000000004</v>
      </c>
      <c r="AE179" s="1">
        <v>2.8</v>
      </c>
      <c r="AF179" s="1">
        <f t="shared" si="325"/>
        <v>7.6999999999999993</v>
      </c>
      <c r="AG179" s="1"/>
      <c r="AH179" s="1"/>
      <c r="AI179" s="9"/>
      <c r="AJ179" s="9"/>
      <c r="AK179" s="9"/>
      <c r="AL179" s="9"/>
      <c r="AM179" s="1"/>
      <c r="AN179" s="1"/>
      <c r="AP179" s="1">
        <f t="shared" si="294"/>
        <v>0.85</v>
      </c>
      <c r="AQ179" s="1">
        <f t="shared" si="295"/>
        <v>0.15</v>
      </c>
      <c r="AR179" s="1">
        <f t="shared" si="360"/>
        <v>1</v>
      </c>
    </row>
    <row r="180" spans="2:44" x14ac:dyDescent="0.25">
      <c r="B180" t="s">
        <v>42</v>
      </c>
      <c r="C180" t="s">
        <v>71</v>
      </c>
      <c r="D180" s="1">
        <f>SUM(E180,G180,I180,K180,M180,O180,Q180,S180,U180,W180,Y180,AA180,AC180,AE180,AG180,AI180,AK180)</f>
        <v>80.680000000000007</v>
      </c>
      <c r="E180" s="1">
        <v>20.77</v>
      </c>
      <c r="F180" s="1">
        <f t="shared" si="375"/>
        <v>27.831800000000001</v>
      </c>
      <c r="G180" s="1">
        <v>11.05</v>
      </c>
      <c r="H180" s="1">
        <f t="shared" si="375"/>
        <v>14.807000000000002</v>
      </c>
      <c r="I180" s="1">
        <v>4.16</v>
      </c>
      <c r="J180" s="1">
        <f t="shared" si="361"/>
        <v>9.8176000000000005</v>
      </c>
      <c r="K180" s="1"/>
      <c r="L180" s="1"/>
      <c r="M180" s="1"/>
      <c r="N180" s="1"/>
      <c r="O180" s="1"/>
      <c r="P180" s="1"/>
      <c r="Q180" s="1"/>
      <c r="R180" s="1"/>
      <c r="S180" s="1">
        <v>12</v>
      </c>
      <c r="T180" s="1">
        <f t="shared" ref="T180" si="385">S180*1.34</f>
        <v>16.080000000000002</v>
      </c>
      <c r="U180" s="1">
        <v>8.6</v>
      </c>
      <c r="V180" s="1">
        <f t="shared" si="370"/>
        <v>11.524000000000001</v>
      </c>
      <c r="W180" s="1">
        <v>7.44</v>
      </c>
      <c r="X180" s="1">
        <f t="shared" si="348"/>
        <v>9.9696000000000016</v>
      </c>
      <c r="Y180" s="1">
        <v>7.36</v>
      </c>
      <c r="Z180" s="1">
        <f t="shared" ref="Z180" si="386">Y180*1.34</f>
        <v>9.8624000000000009</v>
      </c>
      <c r="AA180" s="1"/>
      <c r="AB180" s="1"/>
      <c r="AC180" s="1">
        <v>2.73</v>
      </c>
      <c r="AD180" s="1">
        <f t="shared" si="383"/>
        <v>7.5075000000000003</v>
      </c>
      <c r="AE180" s="1">
        <v>6.57</v>
      </c>
      <c r="AF180" s="1">
        <f t="shared" si="325"/>
        <v>18.067500000000003</v>
      </c>
      <c r="AG180" s="1"/>
      <c r="AH180" s="1"/>
      <c r="AI180" s="9"/>
      <c r="AJ180" s="9"/>
      <c r="AK180" s="9"/>
      <c r="AL180" s="9"/>
      <c r="AM180" s="1"/>
      <c r="AN180" s="1"/>
      <c r="AP180" s="1">
        <f t="shared" si="294"/>
        <v>0.81</v>
      </c>
      <c r="AQ180" s="1">
        <f t="shared" si="295"/>
        <v>0.19</v>
      </c>
      <c r="AR180" s="1">
        <f t="shared" si="360"/>
        <v>1</v>
      </c>
    </row>
    <row r="181" spans="2:44" x14ac:dyDescent="0.25">
      <c r="D181" s="1">
        <f>SUM(E181,G181,I181,K181,M181,O181,Q181,S181,U181,W181,Y181,AA181,AC181,AE181,AG181,AI181,AK181)</f>
        <v>80.86</v>
      </c>
      <c r="E181" s="1">
        <v>23.94</v>
      </c>
      <c r="F181" s="1">
        <f t="shared" si="375"/>
        <v>32.079600000000006</v>
      </c>
      <c r="G181" s="1">
        <v>9.43</v>
      </c>
      <c r="H181" s="1">
        <f t="shared" si="375"/>
        <v>12.636200000000001</v>
      </c>
      <c r="I181" s="1">
        <v>3.68</v>
      </c>
      <c r="J181" s="1">
        <f t="shared" si="361"/>
        <v>8.6847999999999992</v>
      </c>
      <c r="K181" s="1">
        <v>2.56</v>
      </c>
      <c r="L181" s="1">
        <f>K181*2.36</f>
        <v>6.0415999999999999</v>
      </c>
      <c r="M181" s="1"/>
      <c r="N181" s="1"/>
      <c r="O181" s="1"/>
      <c r="P181" s="1"/>
      <c r="Q181" s="1"/>
      <c r="R181" s="1"/>
      <c r="S181" s="1">
        <v>13.86</v>
      </c>
      <c r="T181" s="1">
        <f t="shared" ref="T181" si="387">S181*1.34</f>
        <v>18.572400000000002</v>
      </c>
      <c r="U181" s="1">
        <v>10.54</v>
      </c>
      <c r="V181" s="1">
        <f t="shared" si="370"/>
        <v>14.1236</v>
      </c>
      <c r="W181" s="1">
        <v>9.18</v>
      </c>
      <c r="X181" s="1">
        <f t="shared" si="348"/>
        <v>12.3012</v>
      </c>
      <c r="Y181" s="1"/>
      <c r="Z181" s="1"/>
      <c r="AA181" s="1"/>
      <c r="AB181" s="1"/>
      <c r="AC181" s="1"/>
      <c r="AD181" s="1"/>
      <c r="AE181" s="1">
        <v>7.67</v>
      </c>
      <c r="AF181" s="1">
        <f t="shared" si="325"/>
        <v>21.092500000000001</v>
      </c>
      <c r="AG181" s="1"/>
      <c r="AH181" s="1"/>
      <c r="AI181" s="9"/>
      <c r="AJ181" s="9"/>
      <c r="AK181" s="9"/>
      <c r="AL181" s="9"/>
      <c r="AM181" s="1"/>
      <c r="AN181" s="1"/>
      <c r="AP181" s="1">
        <f t="shared" si="294"/>
        <v>0.81</v>
      </c>
      <c r="AQ181" s="1">
        <f t="shared" si="295"/>
        <v>0.19</v>
      </c>
      <c r="AR181" s="1">
        <f t="shared" si="360"/>
        <v>1</v>
      </c>
    </row>
    <row r="182" spans="2:44" x14ac:dyDescent="0.25">
      <c r="B182" t="s">
        <v>42</v>
      </c>
      <c r="C182" t="s">
        <v>54</v>
      </c>
      <c r="D182" s="1">
        <f>SUM(E182,G182,I182,K182,M182,O182,Q182,S182,U182,W182,Y182,AA182,AC182,AE182,AG182,AI182,AK182)</f>
        <v>81.05</v>
      </c>
      <c r="E182" s="1">
        <v>20.04</v>
      </c>
      <c r="F182" s="1">
        <f t="shared" si="375"/>
        <v>26.8536</v>
      </c>
      <c r="G182" s="1">
        <v>12.37</v>
      </c>
      <c r="H182" s="1">
        <f t="shared" si="375"/>
        <v>16.575800000000001</v>
      </c>
      <c r="I182" s="1">
        <v>3.44</v>
      </c>
      <c r="J182" s="1">
        <f t="shared" si="361"/>
        <v>8.1183999999999994</v>
      </c>
      <c r="K182" s="1"/>
      <c r="L182" s="1"/>
      <c r="M182" s="1"/>
      <c r="N182" s="1"/>
      <c r="O182" s="1"/>
      <c r="P182" s="1"/>
      <c r="Q182" s="1"/>
      <c r="R182" s="1"/>
      <c r="S182" s="1">
        <v>12.3</v>
      </c>
      <c r="T182" s="1">
        <f t="shared" ref="T182" si="388">S182*1.34</f>
        <v>16.482000000000003</v>
      </c>
      <c r="U182" s="1">
        <v>10.19</v>
      </c>
      <c r="V182" s="1">
        <f t="shared" si="370"/>
        <v>13.6546</v>
      </c>
      <c r="W182" s="1">
        <v>8.01</v>
      </c>
      <c r="X182" s="1">
        <f t="shared" si="348"/>
        <v>10.7334</v>
      </c>
      <c r="Y182" s="1"/>
      <c r="Z182" s="1"/>
      <c r="AA182" s="1"/>
      <c r="AB182" s="1"/>
      <c r="AC182" s="1">
        <v>8.06</v>
      </c>
      <c r="AD182" s="1">
        <f t="shared" ref="AD182" si="389">AC182*2.75</f>
        <v>22.165000000000003</v>
      </c>
      <c r="AE182" s="1">
        <v>6.64</v>
      </c>
      <c r="AF182" s="1">
        <f t="shared" si="325"/>
        <v>18.259999999999998</v>
      </c>
      <c r="AG182" s="1"/>
      <c r="AH182" s="1"/>
      <c r="AI182" s="9"/>
      <c r="AJ182" s="9"/>
      <c r="AK182" s="9"/>
      <c r="AL182" s="9"/>
      <c r="AM182" s="1"/>
      <c r="AN182" s="1"/>
      <c r="AP182" s="1">
        <f t="shared" si="294"/>
        <v>0.8</v>
      </c>
      <c r="AQ182" s="1">
        <f t="shared" si="295"/>
        <v>0.2</v>
      </c>
      <c r="AR182" s="1">
        <f t="shared" si="360"/>
        <v>1</v>
      </c>
    </row>
    <row r="183" spans="2:44" x14ac:dyDescent="0.25">
      <c r="B183" t="s">
        <v>119</v>
      </c>
      <c r="C183" t="s">
        <v>120</v>
      </c>
      <c r="D183" s="1">
        <f>SUM(E183,G183,I183,K183,M183,O183,Q183,S183,U183,W183,Y183,AA183,AC183,AE183,AG183,AI183,AK183)</f>
        <v>81.28</v>
      </c>
      <c r="E183" s="1">
        <v>24.96</v>
      </c>
      <c r="F183" s="1">
        <f t="shared" ref="F183:H183" si="390">E183*1.34</f>
        <v>33.446400000000004</v>
      </c>
      <c r="G183" s="1">
        <v>9.61</v>
      </c>
      <c r="H183" s="1">
        <f t="shared" si="390"/>
        <v>12.8774</v>
      </c>
      <c r="I183" s="1">
        <v>4.0199999999999996</v>
      </c>
      <c r="J183" s="1">
        <f t="shared" si="361"/>
        <v>9.4871999999999979</v>
      </c>
      <c r="K183" s="1">
        <v>3.57</v>
      </c>
      <c r="L183" s="1">
        <f t="shared" ref="L183:L184" si="391">K183*2.36</f>
        <v>8.4251999999999985</v>
      </c>
      <c r="M183" s="1"/>
      <c r="N183" s="1"/>
      <c r="O183" s="1"/>
      <c r="P183" s="1"/>
      <c r="Q183" s="1"/>
      <c r="R183" s="1"/>
      <c r="S183" s="1">
        <v>14.56</v>
      </c>
      <c r="T183" s="1">
        <f t="shared" ref="T183" si="392">S183*1.34</f>
        <v>19.510400000000001</v>
      </c>
      <c r="U183" s="1">
        <v>11.4</v>
      </c>
      <c r="V183" s="1">
        <f t="shared" si="370"/>
        <v>15.276000000000002</v>
      </c>
      <c r="W183" s="1">
        <v>11.06</v>
      </c>
      <c r="X183" s="1">
        <f t="shared" si="348"/>
        <v>14.820400000000001</v>
      </c>
      <c r="Y183" s="1"/>
      <c r="Z183" s="1"/>
      <c r="AA183" s="1"/>
      <c r="AB183" s="1"/>
      <c r="AC183" s="1"/>
      <c r="AD183" s="1"/>
      <c r="AE183" s="1">
        <v>2.1</v>
      </c>
      <c r="AF183" s="1">
        <f t="shared" si="325"/>
        <v>5.7750000000000004</v>
      </c>
      <c r="AG183" s="1"/>
      <c r="AH183" s="1"/>
      <c r="AI183" s="9"/>
      <c r="AJ183" s="9"/>
      <c r="AK183" s="9"/>
      <c r="AL183" s="9"/>
      <c r="AM183" s="1">
        <f>29.91+15.23</f>
        <v>45.14</v>
      </c>
      <c r="AN183" s="1">
        <f t="shared" ref="AN183:AN184" si="393">AM183*0.6</f>
        <v>27.084</v>
      </c>
      <c r="AP183" s="1">
        <f t="shared" si="294"/>
        <v>0.79</v>
      </c>
      <c r="AQ183" s="1">
        <f t="shared" si="295"/>
        <v>0.21</v>
      </c>
      <c r="AR183" s="1">
        <f t="shared" si="360"/>
        <v>1</v>
      </c>
    </row>
    <row r="184" spans="2:44" x14ac:dyDescent="0.25">
      <c r="B184" t="s">
        <v>106</v>
      </c>
      <c r="C184" t="s">
        <v>112</v>
      </c>
      <c r="D184" s="1">
        <f>SUM(E184,G184,I184,K184,M184,O184,Q184,S184,U184,W184,Y184,AA184,AC184,AE184,AG184,AI184,AK184)</f>
        <v>81.96</v>
      </c>
      <c r="E184" s="1">
        <v>22.19</v>
      </c>
      <c r="F184" s="1">
        <f t="shared" ref="F184:H184" si="394">E184*1.34</f>
        <v>29.734600000000004</v>
      </c>
      <c r="G184" s="1">
        <v>11.58</v>
      </c>
      <c r="H184" s="1">
        <f t="shared" si="394"/>
        <v>15.517200000000001</v>
      </c>
      <c r="I184" s="1">
        <v>4.04</v>
      </c>
      <c r="J184" s="1">
        <f t="shared" si="361"/>
        <v>9.5343999999999998</v>
      </c>
      <c r="K184" s="1">
        <v>3.61</v>
      </c>
      <c r="L184" s="1">
        <f t="shared" si="391"/>
        <v>8.5195999999999987</v>
      </c>
      <c r="M184" s="1"/>
      <c r="N184" s="1"/>
      <c r="O184" s="1"/>
      <c r="P184" s="1"/>
      <c r="Q184" s="1"/>
      <c r="R184" s="1"/>
      <c r="S184" s="1">
        <v>11.19</v>
      </c>
      <c r="T184" s="1">
        <f t="shared" ref="T184" si="395">S184*1.34</f>
        <v>14.9946</v>
      </c>
      <c r="U184" s="1">
        <v>10.050000000000001</v>
      </c>
      <c r="V184" s="1">
        <f t="shared" si="370"/>
        <v>13.467000000000002</v>
      </c>
      <c r="W184" s="1">
        <v>9.26</v>
      </c>
      <c r="X184" s="1">
        <f t="shared" si="348"/>
        <v>12.4084</v>
      </c>
      <c r="Y184" s="1"/>
      <c r="Z184" s="1"/>
      <c r="AA184" s="1"/>
      <c r="AB184" s="1"/>
      <c r="AC184" s="1">
        <v>6.88</v>
      </c>
      <c r="AD184" s="1">
        <f t="shared" ref="AD184" si="396">AC184*2.75</f>
        <v>18.919999999999998</v>
      </c>
      <c r="AE184" s="1">
        <v>3.16</v>
      </c>
      <c r="AF184" s="1">
        <f t="shared" si="325"/>
        <v>8.6900000000000013</v>
      </c>
      <c r="AG184" s="1"/>
      <c r="AH184" s="1"/>
      <c r="AI184" s="9"/>
      <c r="AJ184" s="9"/>
      <c r="AK184" s="9"/>
      <c r="AL184" s="9"/>
      <c r="AM184" s="1">
        <v>9.48</v>
      </c>
      <c r="AN184" s="1">
        <f t="shared" si="393"/>
        <v>5.6879999999999997</v>
      </c>
      <c r="AP184" s="1">
        <f t="shared" si="294"/>
        <v>0.77</v>
      </c>
      <c r="AQ184" s="1">
        <f t="shared" si="295"/>
        <v>0.23</v>
      </c>
      <c r="AR184" s="1">
        <f t="shared" si="360"/>
        <v>1</v>
      </c>
    </row>
    <row r="185" spans="2:44" x14ac:dyDescent="0.25">
      <c r="B185" t="s">
        <v>42</v>
      </c>
      <c r="C185" t="s">
        <v>71</v>
      </c>
      <c r="D185" s="1">
        <f>SUM(E185,G185,I185,K185,M185,O185,Q185,S185,U185,W185,Y185,AA185,AC185,AE185,AG185,AI185,AK185)</f>
        <v>82.240000000000009</v>
      </c>
      <c r="E185" s="1">
        <v>21.18</v>
      </c>
      <c r="F185" s="1">
        <f t="shared" ref="F185:H186" si="397">E185*1.34</f>
        <v>28.3812</v>
      </c>
      <c r="G185" s="1">
        <v>11.51</v>
      </c>
      <c r="H185" s="1">
        <f t="shared" si="397"/>
        <v>15.423400000000001</v>
      </c>
      <c r="I185" s="1">
        <v>4.16</v>
      </c>
      <c r="J185" s="1">
        <f t="shared" si="361"/>
        <v>9.8176000000000005</v>
      </c>
      <c r="K185" s="1"/>
      <c r="L185" s="1"/>
      <c r="M185" s="1"/>
      <c r="N185" s="1"/>
      <c r="O185" s="1"/>
      <c r="P185" s="1"/>
      <c r="Q185" s="1"/>
      <c r="R185" s="1"/>
      <c r="S185" s="1">
        <v>12</v>
      </c>
      <c r="T185" s="1">
        <f t="shared" ref="T185" si="398">S185*1.34</f>
        <v>16.080000000000002</v>
      </c>
      <c r="U185" s="1">
        <v>8.6</v>
      </c>
      <c r="V185" s="1">
        <f t="shared" si="370"/>
        <v>11.524000000000001</v>
      </c>
      <c r="W185" s="1">
        <v>7.44</v>
      </c>
      <c r="X185" s="1">
        <f t="shared" si="348"/>
        <v>9.9696000000000016</v>
      </c>
      <c r="Y185" s="1">
        <v>7.36</v>
      </c>
      <c r="Z185" s="1">
        <f t="shared" ref="Z185:Z186" si="399">Y185*1.34</f>
        <v>9.8624000000000009</v>
      </c>
      <c r="AA185" s="1"/>
      <c r="AB185" s="1"/>
      <c r="AC185" s="1">
        <v>3.42</v>
      </c>
      <c r="AD185" s="1">
        <f t="shared" ref="AD185:AD191" si="400">AC185*2.75</f>
        <v>9.4049999999999994</v>
      </c>
      <c r="AE185" s="1">
        <v>6.57</v>
      </c>
      <c r="AF185" s="1">
        <f t="shared" ref="AF185:AF191" si="401">AE185*2.75</f>
        <v>18.067500000000003</v>
      </c>
      <c r="AG185" s="1"/>
      <c r="AH185" s="1"/>
      <c r="AI185" s="9"/>
      <c r="AJ185" s="9"/>
      <c r="AK185" s="9"/>
      <c r="AL185" s="9"/>
      <c r="AM185" s="1"/>
      <c r="AN185" s="1"/>
      <c r="AP185" s="1">
        <f t="shared" si="294"/>
        <v>0.81</v>
      </c>
      <c r="AQ185" s="1">
        <f t="shared" si="295"/>
        <v>0.19</v>
      </c>
      <c r="AR185" s="1">
        <f t="shared" si="360"/>
        <v>1</v>
      </c>
    </row>
    <row r="186" spans="2:44" x14ac:dyDescent="0.25">
      <c r="B186" t="s">
        <v>42</v>
      </c>
      <c r="C186" t="s">
        <v>69</v>
      </c>
      <c r="D186" s="1">
        <f>SUM(E186,G186,I186,K186,M186,O186,Q186,S186,U186,W186,Y186,AA186,AC186,AE186,AG186,AI186,AK186)</f>
        <v>82.34</v>
      </c>
      <c r="E186" s="1">
        <v>20.51</v>
      </c>
      <c r="F186" s="1">
        <f t="shared" si="397"/>
        <v>27.483400000000003</v>
      </c>
      <c r="G186" s="1">
        <v>10.36</v>
      </c>
      <c r="H186" s="1">
        <f t="shared" si="397"/>
        <v>13.882400000000001</v>
      </c>
      <c r="I186" s="1">
        <v>3.79</v>
      </c>
      <c r="J186" s="1">
        <f t="shared" si="361"/>
        <v>8.9443999999999999</v>
      </c>
      <c r="K186" s="1"/>
      <c r="L186" s="1"/>
      <c r="M186" s="1"/>
      <c r="N186" s="1"/>
      <c r="O186" s="1"/>
      <c r="P186" s="1"/>
      <c r="Q186" s="1"/>
      <c r="R186" s="1"/>
      <c r="S186" s="1">
        <v>10.55</v>
      </c>
      <c r="T186" s="1">
        <f t="shared" ref="T186" si="402">S186*1.34</f>
        <v>14.137000000000002</v>
      </c>
      <c r="U186" s="1">
        <v>10.53</v>
      </c>
      <c r="V186" s="1">
        <f t="shared" si="370"/>
        <v>14.110200000000001</v>
      </c>
      <c r="W186" s="1">
        <v>8.0299999999999994</v>
      </c>
      <c r="X186" s="1">
        <f t="shared" si="348"/>
        <v>10.760199999999999</v>
      </c>
      <c r="Y186" s="1">
        <v>7.9</v>
      </c>
      <c r="Z186" s="1">
        <f t="shared" si="399"/>
        <v>10.586</v>
      </c>
      <c r="AA186" s="1"/>
      <c r="AB186" s="1"/>
      <c r="AC186" s="1">
        <v>5.46</v>
      </c>
      <c r="AD186" s="1">
        <f t="shared" si="400"/>
        <v>15.015000000000001</v>
      </c>
      <c r="AE186" s="1">
        <v>5.21</v>
      </c>
      <c r="AF186" s="1">
        <f t="shared" si="401"/>
        <v>14.327500000000001</v>
      </c>
      <c r="AG186" s="1"/>
      <c r="AH186" s="1"/>
      <c r="AI186" s="9"/>
      <c r="AJ186" s="9"/>
      <c r="AK186" s="9"/>
      <c r="AL186" s="9"/>
      <c r="AM186" s="1">
        <v>2.1</v>
      </c>
      <c r="AN186" s="1">
        <f t="shared" ref="AN186:AN187" si="403">AM186*0.6</f>
        <v>1.26</v>
      </c>
      <c r="AP186" s="1">
        <f t="shared" si="294"/>
        <v>0.83</v>
      </c>
      <c r="AQ186" s="1">
        <f t="shared" si="295"/>
        <v>0.17</v>
      </c>
      <c r="AR186" s="1">
        <f t="shared" si="360"/>
        <v>1</v>
      </c>
    </row>
    <row r="187" spans="2:44" x14ac:dyDescent="0.25">
      <c r="B187" t="s">
        <v>119</v>
      </c>
      <c r="C187" t="s">
        <v>120</v>
      </c>
      <c r="D187" s="1">
        <f>SUM(E187,G187,I187,K187,M187,O187,Q187,S187,U187,W187,Y187,AA187,AC187,AE187,AG187,AI187,AK187)</f>
        <v>82.42</v>
      </c>
      <c r="E187" s="1">
        <v>23.04</v>
      </c>
      <c r="F187" s="1">
        <f t="shared" ref="F187:H216" si="404">E187*1.34</f>
        <v>30.8736</v>
      </c>
      <c r="G187" s="1">
        <v>9.1300000000000008</v>
      </c>
      <c r="H187" s="1">
        <f t="shared" si="404"/>
        <v>12.234200000000001</v>
      </c>
      <c r="I187" s="1">
        <v>4.04</v>
      </c>
      <c r="J187" s="1">
        <f t="shared" si="361"/>
        <v>9.5343999999999998</v>
      </c>
      <c r="K187" s="1">
        <v>3.79</v>
      </c>
      <c r="L187" s="1">
        <f t="shared" ref="L187:L188" si="405">K187*2.36</f>
        <v>8.9443999999999999</v>
      </c>
      <c r="M187" s="1"/>
      <c r="N187" s="1"/>
      <c r="O187" s="1"/>
      <c r="P187" s="1"/>
      <c r="Q187" s="1"/>
      <c r="R187" s="1"/>
      <c r="S187" s="1">
        <v>14.91</v>
      </c>
      <c r="T187" s="1">
        <f t="shared" ref="T187" si="406">S187*1.34</f>
        <v>19.979400000000002</v>
      </c>
      <c r="U187" s="1">
        <v>10.75</v>
      </c>
      <c r="V187" s="1">
        <f t="shared" si="370"/>
        <v>14.405000000000001</v>
      </c>
      <c r="W187" s="1">
        <v>9.27</v>
      </c>
      <c r="X187" s="1">
        <f t="shared" si="348"/>
        <v>12.421799999999999</v>
      </c>
      <c r="Y187" s="1"/>
      <c r="Z187" s="1"/>
      <c r="AA187" s="1"/>
      <c r="AB187" s="1"/>
      <c r="AC187" s="1">
        <v>5.15</v>
      </c>
      <c r="AD187" s="1">
        <f t="shared" si="400"/>
        <v>14.162500000000001</v>
      </c>
      <c r="AE187" s="1">
        <v>2.34</v>
      </c>
      <c r="AF187" s="1">
        <f t="shared" si="401"/>
        <v>6.4349999999999996</v>
      </c>
      <c r="AG187" s="1"/>
      <c r="AH187" s="1"/>
      <c r="AI187" s="9"/>
      <c r="AJ187" s="9"/>
      <c r="AK187" s="9"/>
      <c r="AL187" s="9"/>
      <c r="AM187" s="1">
        <v>20.56</v>
      </c>
      <c r="AN187" s="1">
        <f t="shared" si="403"/>
        <v>12.335999999999999</v>
      </c>
      <c r="AP187" s="1">
        <f t="shared" si="294"/>
        <v>0.79</v>
      </c>
      <c r="AQ187" s="1">
        <f t="shared" si="295"/>
        <v>0.21</v>
      </c>
      <c r="AR187" s="1">
        <f t="shared" si="360"/>
        <v>1</v>
      </c>
    </row>
    <row r="188" spans="2:44" x14ac:dyDescent="0.25">
      <c r="B188" t="s">
        <v>42</v>
      </c>
      <c r="C188" t="s">
        <v>77</v>
      </c>
      <c r="D188" s="1">
        <f>SUM(E188,G188,I188,K188,M188,O188,Q188,S188,U188,W188,Y188,AA188,AC188,AE188,AG188,AI188,AK188)</f>
        <v>82.549999999999983</v>
      </c>
      <c r="E188" s="1">
        <v>20.149999999999999</v>
      </c>
      <c r="F188" s="1">
        <f t="shared" si="404"/>
        <v>27.001000000000001</v>
      </c>
      <c r="G188" s="1">
        <v>8.6999999999999993</v>
      </c>
      <c r="H188" s="1">
        <f t="shared" si="404"/>
        <v>11.657999999999999</v>
      </c>
      <c r="I188" s="1">
        <v>3.55</v>
      </c>
      <c r="J188" s="1">
        <f t="shared" si="361"/>
        <v>8.3779999999999983</v>
      </c>
      <c r="K188" s="1">
        <v>3.1</v>
      </c>
      <c r="L188" s="1">
        <f t="shared" si="405"/>
        <v>7.3159999999999998</v>
      </c>
      <c r="M188" s="1"/>
      <c r="N188" s="1"/>
      <c r="O188" s="1"/>
      <c r="P188" s="1"/>
      <c r="Q188" s="1"/>
      <c r="R188" s="1"/>
      <c r="S188" s="1">
        <v>12.8</v>
      </c>
      <c r="T188" s="1">
        <f t="shared" ref="T188" si="407">S188*1.34</f>
        <v>17.152000000000001</v>
      </c>
      <c r="U188" s="1">
        <v>8.65</v>
      </c>
      <c r="V188" s="1">
        <f t="shared" si="370"/>
        <v>11.591000000000001</v>
      </c>
      <c r="W188" s="1">
        <v>7.75</v>
      </c>
      <c r="X188" s="1">
        <f t="shared" si="348"/>
        <v>10.385</v>
      </c>
      <c r="Y188" s="1">
        <v>7.75</v>
      </c>
      <c r="Z188" s="1">
        <f t="shared" ref="Z188" si="408">Y188*1.34</f>
        <v>10.385</v>
      </c>
      <c r="AA188" s="1"/>
      <c r="AB188" s="1"/>
      <c r="AC188" s="1">
        <v>4.05</v>
      </c>
      <c r="AD188" s="1">
        <f t="shared" si="400"/>
        <v>11.137499999999999</v>
      </c>
      <c r="AE188" s="1">
        <v>6.05</v>
      </c>
      <c r="AF188" s="1">
        <f t="shared" si="401"/>
        <v>16.637499999999999</v>
      </c>
      <c r="AG188" s="1"/>
      <c r="AH188" s="1"/>
      <c r="AI188" s="9"/>
      <c r="AJ188" s="9"/>
      <c r="AK188" s="9"/>
      <c r="AL188" s="9"/>
      <c r="AM188" s="1"/>
      <c r="AN188" s="1"/>
      <c r="AP188" s="1">
        <f t="shared" si="294"/>
        <v>0.81</v>
      </c>
      <c r="AQ188" s="1">
        <f t="shared" si="295"/>
        <v>0.19</v>
      </c>
      <c r="AR188" s="1">
        <f t="shared" si="360"/>
        <v>1</v>
      </c>
    </row>
    <row r="189" spans="2:44" x14ac:dyDescent="0.25">
      <c r="B189" t="s">
        <v>41</v>
      </c>
      <c r="C189" t="s">
        <v>47</v>
      </c>
      <c r="D189" s="1">
        <f>SUM(E189,G189,I189,K189,M189,O189,Q189,S189,U189,W189,Y189,AA189,AC189,AE189,AG189,AI189,AK189)</f>
        <v>82.7</v>
      </c>
      <c r="E189" s="1">
        <v>23.6</v>
      </c>
      <c r="F189" s="1">
        <f t="shared" si="404"/>
        <v>31.624000000000002</v>
      </c>
      <c r="G189" s="1">
        <v>8.3000000000000007</v>
      </c>
      <c r="H189" s="1">
        <f t="shared" si="404"/>
        <v>11.122000000000002</v>
      </c>
      <c r="I189" s="1">
        <v>4.2</v>
      </c>
      <c r="J189" s="1">
        <f t="shared" si="361"/>
        <v>9.911999999999999</v>
      </c>
      <c r="K189" s="1"/>
      <c r="L189" s="1"/>
      <c r="M189" s="1"/>
      <c r="N189" s="1"/>
      <c r="O189" s="1"/>
      <c r="P189" s="1"/>
      <c r="Q189" s="1"/>
      <c r="R189" s="1"/>
      <c r="S189" s="1">
        <v>14.1</v>
      </c>
      <c r="T189" s="1">
        <f t="shared" ref="T189" si="409">S189*1.34</f>
        <v>18.894000000000002</v>
      </c>
      <c r="U189" s="1">
        <v>11</v>
      </c>
      <c r="V189" s="1">
        <f t="shared" si="370"/>
        <v>14.74</v>
      </c>
      <c r="W189" s="1">
        <v>11</v>
      </c>
      <c r="X189" s="1">
        <f t="shared" si="348"/>
        <v>14.74</v>
      </c>
      <c r="Y189" s="1"/>
      <c r="Z189" s="1"/>
      <c r="AA189" s="1"/>
      <c r="AB189" s="1"/>
      <c r="AC189" s="1">
        <v>5.8</v>
      </c>
      <c r="AD189" s="1">
        <f t="shared" si="400"/>
        <v>15.95</v>
      </c>
      <c r="AE189" s="1">
        <v>4.7</v>
      </c>
      <c r="AF189" s="1">
        <f t="shared" si="401"/>
        <v>12.925000000000001</v>
      </c>
      <c r="AG189" s="1"/>
      <c r="AH189" s="1"/>
      <c r="AI189" s="9"/>
      <c r="AJ189" s="9"/>
      <c r="AK189" s="9"/>
      <c r="AL189" s="9"/>
      <c r="AM189" s="1">
        <f>10.2+3</f>
        <v>13.2</v>
      </c>
      <c r="AN189" s="1">
        <f t="shared" ref="AN189:AN193" si="410">AM189*0.6</f>
        <v>7.919999999999999</v>
      </c>
      <c r="AP189" s="1">
        <f t="shared" si="294"/>
        <v>0.85</v>
      </c>
      <c r="AQ189" s="1">
        <f t="shared" si="295"/>
        <v>0.15</v>
      </c>
      <c r="AR189" s="1">
        <f t="shared" si="360"/>
        <v>1</v>
      </c>
    </row>
    <row r="190" spans="2:44" x14ac:dyDescent="0.25">
      <c r="B190" t="s">
        <v>88</v>
      </c>
      <c r="C190" t="s">
        <v>89</v>
      </c>
      <c r="D190" s="1">
        <f>SUM(E190,G190,I190,K190,M190,O190,Q190,S190,U190,W190,Y190,AA190,AC190,AE190,AG190,AI190,AK190)</f>
        <v>82.92</v>
      </c>
      <c r="E190" s="1">
        <v>21.61</v>
      </c>
      <c r="F190" s="1">
        <f t="shared" si="404"/>
        <v>28.9574</v>
      </c>
      <c r="G190" s="1">
        <v>8.48</v>
      </c>
      <c r="H190" s="1">
        <f t="shared" si="404"/>
        <v>11.363200000000001</v>
      </c>
      <c r="I190" s="1">
        <v>3.68</v>
      </c>
      <c r="J190" s="1">
        <f t="shared" si="361"/>
        <v>8.6847999999999992</v>
      </c>
      <c r="K190" s="1">
        <v>3.38</v>
      </c>
      <c r="L190" s="1">
        <f t="shared" ref="L190:L192" si="411">K190*2.36</f>
        <v>7.976799999999999</v>
      </c>
      <c r="M190" s="1"/>
      <c r="N190" s="1"/>
      <c r="O190" s="1"/>
      <c r="P190" s="1"/>
      <c r="Q190" s="1"/>
      <c r="R190" s="1"/>
      <c r="S190" s="1">
        <v>14.49</v>
      </c>
      <c r="T190" s="1">
        <f t="shared" ref="T190" si="412">S190*1.34</f>
        <v>19.416600000000003</v>
      </c>
      <c r="U190" s="1">
        <v>9.34</v>
      </c>
      <c r="V190" s="1">
        <f t="shared" si="370"/>
        <v>12.515600000000001</v>
      </c>
      <c r="W190" s="1">
        <v>9.02</v>
      </c>
      <c r="X190" s="1">
        <f t="shared" si="348"/>
        <v>12.0868</v>
      </c>
      <c r="Y190" s="1"/>
      <c r="Z190" s="1"/>
      <c r="AA190" s="1"/>
      <c r="AB190" s="1"/>
      <c r="AC190" s="1">
        <v>7.14</v>
      </c>
      <c r="AD190" s="1">
        <f t="shared" si="400"/>
        <v>19.634999999999998</v>
      </c>
      <c r="AE190" s="1">
        <v>5.78</v>
      </c>
      <c r="AF190" s="1">
        <f t="shared" si="401"/>
        <v>15.895000000000001</v>
      </c>
      <c r="AG190" s="1"/>
      <c r="AH190" s="1"/>
      <c r="AI190" s="9"/>
      <c r="AJ190" s="9"/>
      <c r="AK190" s="9"/>
      <c r="AL190" s="9"/>
      <c r="AM190" s="1">
        <f>47.4+12.85+1.93</f>
        <v>62.18</v>
      </c>
      <c r="AN190" s="1">
        <f t="shared" si="410"/>
        <v>37.308</v>
      </c>
      <c r="AP190" s="1">
        <f t="shared" si="294"/>
        <v>0.81</v>
      </c>
      <c r="AQ190" s="1">
        <f t="shared" si="295"/>
        <v>0.19</v>
      </c>
      <c r="AR190" s="1">
        <f t="shared" si="360"/>
        <v>1</v>
      </c>
    </row>
    <row r="191" spans="2:44" x14ac:dyDescent="0.25">
      <c r="B191" t="s">
        <v>88</v>
      </c>
      <c r="C191" t="s">
        <v>89</v>
      </c>
      <c r="D191" s="1">
        <f>SUM(E191,G191,I191,K191,M191,O191,Q191,S191,U191,W191,Y191,AA191,AC191,AE191,AG191,AI191,AK191)</f>
        <v>83.31</v>
      </c>
      <c r="E191" s="1">
        <v>22.06</v>
      </c>
      <c r="F191" s="1">
        <f t="shared" si="404"/>
        <v>29.560400000000001</v>
      </c>
      <c r="G191" s="1">
        <v>10.02</v>
      </c>
      <c r="H191" s="1">
        <f t="shared" si="404"/>
        <v>13.4268</v>
      </c>
      <c r="I191" s="1">
        <v>4.13</v>
      </c>
      <c r="J191" s="1">
        <f t="shared" si="361"/>
        <v>9.7467999999999986</v>
      </c>
      <c r="K191" s="1">
        <v>3.07</v>
      </c>
      <c r="L191" s="1">
        <f t="shared" si="411"/>
        <v>7.2451999999999996</v>
      </c>
      <c r="M191" s="1"/>
      <c r="N191" s="1"/>
      <c r="O191" s="1"/>
      <c r="P191" s="1"/>
      <c r="Q191" s="1"/>
      <c r="R191" s="1"/>
      <c r="S191" s="1">
        <v>15.3</v>
      </c>
      <c r="T191" s="1">
        <f t="shared" ref="T191" si="413">S191*1.34</f>
        <v>20.502000000000002</v>
      </c>
      <c r="U191" s="1">
        <v>9.94</v>
      </c>
      <c r="V191" s="1">
        <f t="shared" si="370"/>
        <v>13.319599999999999</v>
      </c>
      <c r="W191" s="1">
        <v>9.2899999999999991</v>
      </c>
      <c r="X191" s="1">
        <f t="shared" si="348"/>
        <v>12.448599999999999</v>
      </c>
      <c r="Y191" s="1"/>
      <c r="Z191" s="1"/>
      <c r="AA191" s="1"/>
      <c r="AB191" s="1"/>
      <c r="AC191" s="1">
        <v>4.45</v>
      </c>
      <c r="AD191" s="1">
        <f t="shared" si="400"/>
        <v>12.237500000000001</v>
      </c>
      <c r="AE191" s="1">
        <v>5.05</v>
      </c>
      <c r="AF191" s="1">
        <f t="shared" si="401"/>
        <v>13.887499999999999</v>
      </c>
      <c r="AG191" s="1"/>
      <c r="AH191" s="1"/>
      <c r="AI191" s="9"/>
      <c r="AJ191" s="9"/>
      <c r="AK191" s="9"/>
      <c r="AL191" s="9"/>
      <c r="AM191" s="1">
        <f>16.18+2.08</f>
        <v>18.259999999999998</v>
      </c>
      <c r="AN191" s="1">
        <f t="shared" si="410"/>
        <v>10.955999999999998</v>
      </c>
      <c r="AP191" s="1">
        <f t="shared" si="294"/>
        <v>0.79</v>
      </c>
      <c r="AQ191" s="1">
        <f t="shared" si="295"/>
        <v>0.21</v>
      </c>
      <c r="AR191" s="1">
        <f t="shared" si="360"/>
        <v>1</v>
      </c>
    </row>
    <row r="192" spans="2:44" x14ac:dyDescent="0.25">
      <c r="B192" t="s">
        <v>119</v>
      </c>
      <c r="C192" t="s">
        <v>120</v>
      </c>
      <c r="D192" s="1">
        <f>SUM(E192,G192,I192,K192,M192,O192,Q192,S192,U192,W192,Y192,AA192,AC192,AE192,AG192,AI192,AK192)</f>
        <v>83.43</v>
      </c>
      <c r="E192" s="1">
        <v>23.67</v>
      </c>
      <c r="F192" s="1">
        <f t="shared" si="404"/>
        <v>31.717800000000004</v>
      </c>
      <c r="G192" s="1">
        <v>10.94</v>
      </c>
      <c r="H192" s="1">
        <f t="shared" si="404"/>
        <v>14.659600000000001</v>
      </c>
      <c r="I192" s="1">
        <v>4.12</v>
      </c>
      <c r="J192" s="1">
        <f t="shared" si="361"/>
        <v>9.7232000000000003</v>
      </c>
      <c r="K192" s="1">
        <v>3.93</v>
      </c>
      <c r="L192" s="1">
        <f t="shared" si="411"/>
        <v>9.274799999999999</v>
      </c>
      <c r="M192" s="1"/>
      <c r="N192" s="1"/>
      <c r="O192" s="1"/>
      <c r="P192" s="1"/>
      <c r="Q192" s="1"/>
      <c r="R192" s="1"/>
      <c r="S192" s="1">
        <v>15.63</v>
      </c>
      <c r="T192" s="1">
        <f t="shared" ref="T192" si="414">S192*1.34</f>
        <v>20.944200000000002</v>
      </c>
      <c r="U192" s="1">
        <v>11.8</v>
      </c>
      <c r="V192" s="1">
        <f t="shared" si="370"/>
        <v>15.812000000000001</v>
      </c>
      <c r="W192" s="1">
        <v>11.48</v>
      </c>
      <c r="X192" s="1">
        <f t="shared" si="348"/>
        <v>15.383200000000002</v>
      </c>
      <c r="Y192" s="1"/>
      <c r="Z192" s="1"/>
      <c r="AA192" s="1"/>
      <c r="AB192" s="1"/>
      <c r="AC192" s="1"/>
      <c r="AD192" s="1"/>
      <c r="AE192" s="1">
        <v>1.86</v>
      </c>
      <c r="AF192" s="1">
        <f t="shared" ref="AF192:AF202" si="415">AE192*2.75</f>
        <v>5.1150000000000002</v>
      </c>
      <c r="AG192" s="1"/>
      <c r="AH192" s="1"/>
      <c r="AI192" s="9"/>
      <c r="AJ192" s="9"/>
      <c r="AK192" s="9"/>
      <c r="AL192" s="9"/>
      <c r="AM192" s="1">
        <v>16.940000000000001</v>
      </c>
      <c r="AN192" s="1">
        <f t="shared" si="410"/>
        <v>10.164</v>
      </c>
      <c r="AP192" s="1">
        <f t="shared" si="294"/>
        <v>0.77</v>
      </c>
      <c r="AQ192" s="1">
        <f t="shared" si="295"/>
        <v>0.23</v>
      </c>
      <c r="AR192" s="1">
        <f t="shared" si="360"/>
        <v>1</v>
      </c>
    </row>
    <row r="193" spans="2:44" x14ac:dyDescent="0.25">
      <c r="B193" t="s">
        <v>41</v>
      </c>
      <c r="C193" t="s">
        <v>47</v>
      </c>
      <c r="D193" s="1">
        <f>SUM(E193,G193,I193,K193,M193,O193,Q193,S193,U193,W193,Y193,AA193,AC193,AE193,AG193,AI193,AK193)</f>
        <v>83.5</v>
      </c>
      <c r="E193" s="1">
        <v>27</v>
      </c>
      <c r="F193" s="1">
        <f t="shared" si="404"/>
        <v>36.18</v>
      </c>
      <c r="G193" s="1">
        <v>8.6</v>
      </c>
      <c r="H193" s="1">
        <f t="shared" si="404"/>
        <v>11.524000000000001</v>
      </c>
      <c r="I193" s="1">
        <v>3.9</v>
      </c>
      <c r="J193" s="1">
        <f t="shared" si="361"/>
        <v>9.2039999999999988</v>
      </c>
      <c r="K193" s="1"/>
      <c r="L193" s="1"/>
      <c r="M193" s="1"/>
      <c r="N193" s="1"/>
      <c r="O193" s="1"/>
      <c r="P193" s="1"/>
      <c r="Q193" s="1"/>
      <c r="R193" s="1"/>
      <c r="S193" s="1">
        <v>13.4</v>
      </c>
      <c r="T193" s="1">
        <f t="shared" ref="T193" si="416">S193*1.34</f>
        <v>17.956000000000003</v>
      </c>
      <c r="U193" s="1">
        <v>11.1</v>
      </c>
      <c r="V193" s="1">
        <f t="shared" si="370"/>
        <v>14.874000000000001</v>
      </c>
      <c r="W193" s="1">
        <v>9.1999999999999993</v>
      </c>
      <c r="X193" s="1">
        <f t="shared" si="348"/>
        <v>12.327999999999999</v>
      </c>
      <c r="Y193" s="1"/>
      <c r="Z193" s="1"/>
      <c r="AA193" s="1"/>
      <c r="AB193" s="1"/>
      <c r="AC193" s="1">
        <v>3.6</v>
      </c>
      <c r="AD193" s="1">
        <f t="shared" ref="AD193:AD203" si="417">AC193*2.75</f>
        <v>9.9</v>
      </c>
      <c r="AE193" s="1">
        <v>6.7</v>
      </c>
      <c r="AF193" s="1">
        <f t="shared" si="415"/>
        <v>18.425000000000001</v>
      </c>
      <c r="AG193" s="1"/>
      <c r="AH193" s="1"/>
      <c r="AI193" s="9"/>
      <c r="AJ193" s="9"/>
      <c r="AK193" s="9"/>
      <c r="AL193" s="9"/>
      <c r="AM193" s="1">
        <f>11.2+2.4</f>
        <v>13.6</v>
      </c>
      <c r="AN193" s="1">
        <f t="shared" si="410"/>
        <v>8.16</v>
      </c>
      <c r="AP193" s="1">
        <f t="shared" si="294"/>
        <v>0.85</v>
      </c>
      <c r="AQ193" s="1">
        <f t="shared" si="295"/>
        <v>0.15</v>
      </c>
      <c r="AR193" s="1">
        <f t="shared" si="360"/>
        <v>1</v>
      </c>
    </row>
    <row r="194" spans="2:44" x14ac:dyDescent="0.25">
      <c r="B194" t="s">
        <v>42</v>
      </c>
      <c r="C194" t="s">
        <v>77</v>
      </c>
      <c r="D194" s="1">
        <f>SUM(E194,G194,I194,K194,M194,O194,Q194,S194,U194,W194,Y194,AA194,AC194,AE194,AG194,AI194,AK194)</f>
        <v>83.600000000000009</v>
      </c>
      <c r="E194" s="1">
        <v>20.149999999999999</v>
      </c>
      <c r="F194" s="1">
        <f t="shared" si="404"/>
        <v>27.001000000000001</v>
      </c>
      <c r="G194" s="1">
        <v>7</v>
      </c>
      <c r="H194" s="1">
        <f t="shared" si="404"/>
        <v>9.3800000000000008</v>
      </c>
      <c r="I194" s="1">
        <v>3.5</v>
      </c>
      <c r="J194" s="1">
        <f t="shared" si="361"/>
        <v>8.26</v>
      </c>
      <c r="K194" s="1">
        <v>3.1</v>
      </c>
      <c r="L194" s="1">
        <f>K194*2.36</f>
        <v>7.3159999999999998</v>
      </c>
      <c r="M194" s="1"/>
      <c r="N194" s="1"/>
      <c r="O194" s="1"/>
      <c r="P194" s="1"/>
      <c r="Q194" s="1"/>
      <c r="R194" s="1"/>
      <c r="S194" s="1">
        <v>13.2</v>
      </c>
      <c r="T194" s="1">
        <f t="shared" ref="T194" si="418">S194*1.34</f>
        <v>17.687999999999999</v>
      </c>
      <c r="U194" s="1">
        <v>10.95</v>
      </c>
      <c r="V194" s="1">
        <f t="shared" si="370"/>
        <v>14.673</v>
      </c>
      <c r="W194" s="1">
        <v>8.9499999999999993</v>
      </c>
      <c r="X194" s="1">
        <f t="shared" si="348"/>
        <v>11.993</v>
      </c>
      <c r="Y194" s="1">
        <v>8.15</v>
      </c>
      <c r="Z194" s="1">
        <f t="shared" ref="Z194" si="419">Y194*1.34</f>
        <v>10.921000000000001</v>
      </c>
      <c r="AA194" s="1"/>
      <c r="AB194" s="1"/>
      <c r="AC194" s="1">
        <v>2.5</v>
      </c>
      <c r="AD194" s="1">
        <f t="shared" si="417"/>
        <v>6.875</v>
      </c>
      <c r="AE194" s="1">
        <v>6.1</v>
      </c>
      <c r="AF194" s="1">
        <f t="shared" si="415"/>
        <v>16.774999999999999</v>
      </c>
      <c r="AG194" s="1"/>
      <c r="AH194" s="1"/>
      <c r="AI194" s="9"/>
      <c r="AJ194" s="9"/>
      <c r="AK194" s="9"/>
      <c r="AL194" s="9"/>
      <c r="AM194" s="1"/>
      <c r="AN194" s="1"/>
      <c r="AP194" s="1">
        <f t="shared" si="294"/>
        <v>0.84</v>
      </c>
      <c r="AQ194" s="1">
        <f t="shared" si="295"/>
        <v>0.16</v>
      </c>
      <c r="AR194" s="1">
        <f t="shared" si="360"/>
        <v>1</v>
      </c>
    </row>
    <row r="195" spans="2:44" x14ac:dyDescent="0.25">
      <c r="B195" t="s">
        <v>41</v>
      </c>
      <c r="C195" t="s">
        <v>47</v>
      </c>
      <c r="D195" s="1">
        <f>SUM(E195,G195,I195,K195,M195,O195,Q195,S195,U195,W195,Y195,AA195,AC195,AE195,AG195,AI195,AK195)</f>
        <v>83.7</v>
      </c>
      <c r="E195" s="1">
        <v>24.1</v>
      </c>
      <c r="F195" s="1">
        <f t="shared" si="404"/>
        <v>32.294000000000004</v>
      </c>
      <c r="G195" s="1">
        <v>8.5</v>
      </c>
      <c r="H195" s="1">
        <f t="shared" si="404"/>
        <v>11.39</v>
      </c>
      <c r="I195" s="1">
        <v>4.5</v>
      </c>
      <c r="J195" s="1">
        <f t="shared" si="361"/>
        <v>10.62</v>
      </c>
      <c r="K195" s="1"/>
      <c r="L195" s="1"/>
      <c r="M195" s="1"/>
      <c r="N195" s="1"/>
      <c r="O195" s="1"/>
      <c r="P195" s="1"/>
      <c r="Q195" s="1"/>
      <c r="R195" s="1"/>
      <c r="S195" s="1">
        <v>13.8</v>
      </c>
      <c r="T195" s="1">
        <f t="shared" ref="T195" si="420">S195*1.34</f>
        <v>18.492000000000001</v>
      </c>
      <c r="U195" s="1">
        <v>10.8</v>
      </c>
      <c r="V195" s="1">
        <f t="shared" si="370"/>
        <v>14.472000000000001</v>
      </c>
      <c r="W195" s="1">
        <v>10.6</v>
      </c>
      <c r="X195" s="1">
        <f t="shared" si="348"/>
        <v>14.204000000000001</v>
      </c>
      <c r="Y195" s="1"/>
      <c r="Z195" s="1"/>
      <c r="AA195" s="1"/>
      <c r="AB195" s="1"/>
      <c r="AC195" s="1">
        <v>4.7</v>
      </c>
      <c r="AD195" s="1">
        <f t="shared" si="417"/>
        <v>12.925000000000001</v>
      </c>
      <c r="AE195" s="1">
        <v>4.7</v>
      </c>
      <c r="AF195" s="1">
        <f t="shared" si="415"/>
        <v>12.925000000000001</v>
      </c>
      <c r="AG195" s="1">
        <v>2</v>
      </c>
      <c r="AH195" s="1">
        <f>AG195*2.36</f>
        <v>4.72</v>
      </c>
      <c r="AI195" s="9"/>
      <c r="AJ195" s="9"/>
      <c r="AK195" s="9"/>
      <c r="AL195" s="9"/>
      <c r="AM195" s="1">
        <f>8.4+6.9</f>
        <v>15.3</v>
      </c>
      <c r="AN195" s="1">
        <f t="shared" ref="AN195:AN197" si="421">AM195*0.6</f>
        <v>9.18</v>
      </c>
      <c r="AP195" s="1">
        <f t="shared" si="294"/>
        <v>0.84</v>
      </c>
      <c r="AQ195" s="1">
        <f t="shared" si="295"/>
        <v>0.16</v>
      </c>
      <c r="AR195" s="1">
        <f t="shared" si="360"/>
        <v>1</v>
      </c>
    </row>
    <row r="196" spans="2:44" x14ac:dyDescent="0.25">
      <c r="B196" t="s">
        <v>62</v>
      </c>
      <c r="C196" t="s">
        <v>63</v>
      </c>
      <c r="D196" s="1">
        <f>SUM(E196,G196,I196,K196,M196,O196,Q196,S196,U196,W196,Y196,AA196,AC196,AE196,AG196,AI196,AK196)</f>
        <v>84.090000000000018</v>
      </c>
      <c r="E196" s="1">
        <v>25.25</v>
      </c>
      <c r="F196" s="1">
        <f t="shared" si="404"/>
        <v>33.835000000000001</v>
      </c>
      <c r="G196" s="1">
        <v>10.73</v>
      </c>
      <c r="H196" s="1">
        <f t="shared" si="404"/>
        <v>14.378200000000001</v>
      </c>
      <c r="I196" s="1">
        <v>4.87</v>
      </c>
      <c r="J196" s="1">
        <f t="shared" si="361"/>
        <v>11.4932</v>
      </c>
      <c r="K196" s="1"/>
      <c r="L196" s="1"/>
      <c r="M196" s="1"/>
      <c r="N196" s="1"/>
      <c r="O196" s="1"/>
      <c r="P196" s="1"/>
      <c r="Q196" s="1"/>
      <c r="R196" s="1"/>
      <c r="S196" s="1">
        <f>11.77+3.64</f>
        <v>15.41</v>
      </c>
      <c r="T196" s="1">
        <f t="shared" ref="T196" si="422">S196*1.34</f>
        <v>20.6494</v>
      </c>
      <c r="U196" s="1">
        <v>10.67</v>
      </c>
      <c r="V196" s="1">
        <f t="shared" si="370"/>
        <v>14.297800000000001</v>
      </c>
      <c r="W196" s="1">
        <v>9.9600000000000009</v>
      </c>
      <c r="X196" s="1">
        <f t="shared" si="348"/>
        <v>13.346400000000003</v>
      </c>
      <c r="Y196" s="1"/>
      <c r="Z196" s="1"/>
      <c r="AA196" s="1"/>
      <c r="AB196" s="1"/>
      <c r="AC196" s="1">
        <v>5.47</v>
      </c>
      <c r="AD196" s="1">
        <f t="shared" si="417"/>
        <v>15.042499999999999</v>
      </c>
      <c r="AE196" s="1">
        <v>1.73</v>
      </c>
      <c r="AF196" s="1">
        <f t="shared" si="415"/>
        <v>4.7575000000000003</v>
      </c>
      <c r="AG196" s="1"/>
      <c r="AH196" s="1"/>
      <c r="AI196" s="9"/>
      <c r="AJ196" s="9"/>
      <c r="AK196" s="9"/>
      <c r="AL196" s="9"/>
      <c r="AM196" s="1">
        <f>8.66+3.98</f>
        <v>12.64</v>
      </c>
      <c r="AN196" s="1">
        <f t="shared" si="421"/>
        <v>7.5839999999999996</v>
      </c>
      <c r="AP196" s="1">
        <f t="shared" si="294"/>
        <v>0.81</v>
      </c>
      <c r="AQ196" s="1">
        <f t="shared" si="295"/>
        <v>0.19</v>
      </c>
      <c r="AR196" s="1">
        <f t="shared" si="360"/>
        <v>1</v>
      </c>
    </row>
    <row r="197" spans="2:44" x14ac:dyDescent="0.25">
      <c r="C197" t="s">
        <v>65</v>
      </c>
      <c r="D197" s="1">
        <f>SUM(E197,G197,I197,K197,M197,O197,Q197,S197,U197,W197,Y197,AA197,AC197,AE197,AG197,AI197,AK197)</f>
        <v>84.49</v>
      </c>
      <c r="E197" s="1">
        <v>24.75</v>
      </c>
      <c r="F197" s="1">
        <f t="shared" si="404"/>
        <v>33.164999999999999</v>
      </c>
      <c r="G197" s="1">
        <v>8.14</v>
      </c>
      <c r="H197" s="1">
        <f t="shared" si="404"/>
        <v>10.907600000000002</v>
      </c>
      <c r="I197" s="1">
        <v>6.33</v>
      </c>
      <c r="J197" s="1">
        <f t="shared" si="361"/>
        <v>14.938799999999999</v>
      </c>
      <c r="K197" s="1"/>
      <c r="L197" s="1"/>
      <c r="M197" s="1"/>
      <c r="N197" s="1"/>
      <c r="O197" s="1"/>
      <c r="P197" s="1"/>
      <c r="Q197" s="1"/>
      <c r="R197" s="1"/>
      <c r="S197" s="1">
        <v>12.87</v>
      </c>
      <c r="T197" s="1">
        <f t="shared" ref="T197" si="423">S197*1.34</f>
        <v>17.245799999999999</v>
      </c>
      <c r="U197" s="1">
        <v>11.23</v>
      </c>
      <c r="V197" s="1">
        <f t="shared" si="370"/>
        <v>15.048200000000001</v>
      </c>
      <c r="W197" s="1">
        <v>10.78</v>
      </c>
      <c r="X197" s="1">
        <f t="shared" si="348"/>
        <v>14.4452</v>
      </c>
      <c r="Y197" s="1"/>
      <c r="Z197" s="1"/>
      <c r="AA197" s="1"/>
      <c r="AB197" s="1"/>
      <c r="AC197" s="1">
        <v>3.36</v>
      </c>
      <c r="AD197" s="1">
        <f t="shared" si="417"/>
        <v>9.24</v>
      </c>
      <c r="AE197" s="1">
        <v>4.3099999999999996</v>
      </c>
      <c r="AF197" s="1">
        <f t="shared" si="415"/>
        <v>11.852499999999999</v>
      </c>
      <c r="AG197" s="1">
        <v>2.72</v>
      </c>
      <c r="AH197" s="1">
        <f>AG197*2.36</f>
        <v>6.4192</v>
      </c>
      <c r="AI197" s="9"/>
      <c r="AJ197" s="9"/>
      <c r="AK197" s="9"/>
      <c r="AL197" s="9"/>
      <c r="AM197" s="1">
        <v>2.64</v>
      </c>
      <c r="AN197" s="1">
        <f t="shared" si="421"/>
        <v>1.5840000000000001</v>
      </c>
      <c r="AP197" s="1">
        <f t="shared" si="294"/>
        <v>0.83</v>
      </c>
      <c r="AQ197" s="1">
        <f t="shared" si="295"/>
        <v>0.17</v>
      </c>
      <c r="AR197" s="1">
        <f t="shared" si="360"/>
        <v>1</v>
      </c>
    </row>
    <row r="198" spans="2:44" x14ac:dyDescent="0.25">
      <c r="B198" t="s">
        <v>72</v>
      </c>
      <c r="C198" t="s">
        <v>73</v>
      </c>
      <c r="D198" s="1">
        <f>SUM(E198,G198,I198,K198,M198,O198,Q198,S198,U198,W198,Y198,AA198,AC198,AE198,AG198,AI198,AK198)</f>
        <v>84.8</v>
      </c>
      <c r="E198" s="1">
        <v>25.7</v>
      </c>
      <c r="F198" s="1">
        <f t="shared" si="404"/>
        <v>34.438000000000002</v>
      </c>
      <c r="G198" s="1">
        <v>11.5</v>
      </c>
      <c r="H198" s="1">
        <f t="shared" si="404"/>
        <v>15.41</v>
      </c>
      <c r="I198" s="1">
        <v>4.2</v>
      </c>
      <c r="J198" s="1">
        <f t="shared" si="361"/>
        <v>9.911999999999999</v>
      </c>
      <c r="K198" s="1"/>
      <c r="L198" s="1"/>
      <c r="M198" s="1"/>
      <c r="N198" s="1"/>
      <c r="O198" s="1"/>
      <c r="P198" s="1"/>
      <c r="Q198" s="1"/>
      <c r="R198" s="1"/>
      <c r="S198" s="1">
        <v>14.05</v>
      </c>
      <c r="T198" s="1">
        <f t="shared" ref="T198" si="424">S198*1.34</f>
        <v>18.827000000000002</v>
      </c>
      <c r="U198" s="1">
        <v>10.65</v>
      </c>
      <c r="V198" s="1">
        <f t="shared" si="370"/>
        <v>14.271000000000001</v>
      </c>
      <c r="W198" s="1">
        <v>10.6</v>
      </c>
      <c r="X198" s="1">
        <f t="shared" si="348"/>
        <v>14.204000000000001</v>
      </c>
      <c r="Y198" s="1"/>
      <c r="Z198" s="1"/>
      <c r="AA198" s="1"/>
      <c r="AB198" s="1"/>
      <c r="AC198" s="1">
        <v>3.85</v>
      </c>
      <c r="AD198" s="1">
        <f t="shared" si="417"/>
        <v>10.5875</v>
      </c>
      <c r="AE198" s="1">
        <v>4.25</v>
      </c>
      <c r="AF198" s="1">
        <f t="shared" si="415"/>
        <v>11.6875</v>
      </c>
      <c r="AG198" s="1"/>
      <c r="AH198" s="1"/>
      <c r="AI198" s="9"/>
      <c r="AJ198" s="9"/>
      <c r="AK198" s="9"/>
      <c r="AL198" s="9"/>
      <c r="AM198" s="1">
        <v>15.7</v>
      </c>
      <c r="AN198" s="1">
        <f t="shared" ref="AN198:AN199" si="425">AM198*0.6</f>
        <v>9.42</v>
      </c>
      <c r="AP198" s="1">
        <f t="shared" si="294"/>
        <v>0.81</v>
      </c>
      <c r="AQ198" s="1">
        <f t="shared" si="295"/>
        <v>0.19</v>
      </c>
      <c r="AR198" s="1">
        <f t="shared" si="360"/>
        <v>1</v>
      </c>
    </row>
    <row r="199" spans="2:44" x14ac:dyDescent="0.25">
      <c r="B199" t="s">
        <v>74</v>
      </c>
      <c r="C199" t="s">
        <v>75</v>
      </c>
      <c r="D199" s="1">
        <f>SUM(E199,G199,I199,K199,M199,O199,Q199,S199,U199,W199,Y199,AA199,AC199,AE199,AG199,AI199,AK199)</f>
        <v>84.9</v>
      </c>
      <c r="E199" s="1">
        <v>22.4</v>
      </c>
      <c r="F199" s="1">
        <f t="shared" si="404"/>
        <v>30.015999999999998</v>
      </c>
      <c r="G199" s="1">
        <v>10.3</v>
      </c>
      <c r="H199" s="1">
        <f t="shared" si="404"/>
        <v>13.802000000000001</v>
      </c>
      <c r="I199" s="1">
        <v>4.25</v>
      </c>
      <c r="J199" s="1">
        <f t="shared" si="361"/>
        <v>10.029999999999999</v>
      </c>
      <c r="K199" s="1"/>
      <c r="L199" s="1"/>
      <c r="M199" s="1"/>
      <c r="N199" s="1"/>
      <c r="O199" s="1"/>
      <c r="P199" s="1"/>
      <c r="Q199" s="1"/>
      <c r="R199" s="1"/>
      <c r="S199" s="1">
        <v>15.95</v>
      </c>
      <c r="T199" s="1">
        <f t="shared" ref="T199" si="426">S199*1.34</f>
        <v>21.373000000000001</v>
      </c>
      <c r="U199" s="1">
        <v>12.6</v>
      </c>
      <c r="V199" s="1">
        <f t="shared" si="370"/>
        <v>16.884</v>
      </c>
      <c r="W199" s="1">
        <v>10.050000000000001</v>
      </c>
      <c r="X199" s="1">
        <f t="shared" si="348"/>
        <v>13.467000000000002</v>
      </c>
      <c r="Y199" s="1"/>
      <c r="Z199" s="1"/>
      <c r="AA199" s="1"/>
      <c r="AB199" s="1"/>
      <c r="AC199" s="1">
        <v>3.15</v>
      </c>
      <c r="AD199" s="1">
        <f t="shared" si="417"/>
        <v>8.6624999999999996</v>
      </c>
      <c r="AE199" s="1">
        <v>6.2</v>
      </c>
      <c r="AF199" s="1">
        <f t="shared" si="415"/>
        <v>17.05</v>
      </c>
      <c r="AG199" s="1"/>
      <c r="AH199" s="1"/>
      <c r="AI199" s="9"/>
      <c r="AJ199" s="9"/>
      <c r="AK199" s="9"/>
      <c r="AL199" s="9"/>
      <c r="AM199" s="1">
        <v>90.75</v>
      </c>
      <c r="AN199" s="1">
        <f t="shared" si="425"/>
        <v>54.449999999999996</v>
      </c>
      <c r="AP199" s="1">
        <f t="shared" si="294"/>
        <v>0.83</v>
      </c>
      <c r="AQ199" s="1">
        <f t="shared" si="295"/>
        <v>0.17</v>
      </c>
      <c r="AR199" s="1">
        <f t="shared" si="360"/>
        <v>1</v>
      </c>
    </row>
    <row r="200" spans="2:44" x14ac:dyDescent="0.25">
      <c r="C200" t="s">
        <v>67</v>
      </c>
      <c r="D200" s="1">
        <f>SUM(E200,G200,I200,K200,M200,O200,Q200,S200,U200,W200,Y200,AA200,AC200,AE200,AG200,AI200,AK200)</f>
        <v>84.929999999999993</v>
      </c>
      <c r="E200" s="1">
        <v>20</v>
      </c>
      <c r="F200" s="1">
        <f t="shared" si="404"/>
        <v>26.8</v>
      </c>
      <c r="G200" s="1">
        <v>8.39</v>
      </c>
      <c r="H200" s="1">
        <f t="shared" si="404"/>
        <v>11.242600000000001</v>
      </c>
      <c r="I200" s="1">
        <v>3.59</v>
      </c>
      <c r="J200" s="1">
        <f t="shared" si="361"/>
        <v>8.4723999999999986</v>
      </c>
      <c r="K200" s="1"/>
      <c r="L200" s="1"/>
      <c r="M200" s="1"/>
      <c r="N200" s="1"/>
      <c r="O200" s="1"/>
      <c r="P200" s="1"/>
      <c r="Q200" s="1"/>
      <c r="R200" s="1"/>
      <c r="S200" s="1">
        <v>10.98</v>
      </c>
      <c r="T200" s="1">
        <f t="shared" ref="T200" si="427">S200*1.34</f>
        <v>14.713200000000002</v>
      </c>
      <c r="U200" s="1">
        <v>8.6999999999999993</v>
      </c>
      <c r="V200" s="1">
        <f t="shared" si="370"/>
        <v>11.657999999999999</v>
      </c>
      <c r="W200" s="1">
        <v>8.4</v>
      </c>
      <c r="X200" s="1">
        <f t="shared" si="348"/>
        <v>11.256000000000002</v>
      </c>
      <c r="Y200" s="1">
        <v>8.6199999999999992</v>
      </c>
      <c r="Z200" s="1">
        <f t="shared" ref="Z200" si="428">Y200*1.34</f>
        <v>11.550799999999999</v>
      </c>
      <c r="AA200" s="1"/>
      <c r="AB200" s="1"/>
      <c r="AC200" s="1">
        <v>6.12</v>
      </c>
      <c r="AD200" s="1">
        <f t="shared" si="417"/>
        <v>16.830000000000002</v>
      </c>
      <c r="AE200" s="1">
        <v>8.0299999999999994</v>
      </c>
      <c r="AF200" s="1">
        <f t="shared" si="415"/>
        <v>22.0825</v>
      </c>
      <c r="AG200" s="1">
        <v>2.1</v>
      </c>
      <c r="AH200" s="1">
        <f>AG200*2.36</f>
        <v>4.9559999999999995</v>
      </c>
      <c r="AI200" s="9"/>
      <c r="AJ200" s="9"/>
      <c r="AK200" s="9"/>
      <c r="AL200" s="9"/>
      <c r="AM200" s="1"/>
      <c r="AN200" s="1"/>
      <c r="AP200" s="1">
        <f t="shared" si="294"/>
        <v>0.86</v>
      </c>
      <c r="AQ200" s="1">
        <f t="shared" si="295"/>
        <v>0.14000000000000001</v>
      </c>
      <c r="AR200" s="1">
        <f t="shared" si="360"/>
        <v>1</v>
      </c>
    </row>
    <row r="201" spans="2:44" x14ac:dyDescent="0.25">
      <c r="B201" t="s">
        <v>41</v>
      </c>
      <c r="C201" t="s">
        <v>47</v>
      </c>
      <c r="D201" s="1">
        <f>SUM(E201,G201,I201,K201,M201,O201,Q201,S201,U201,W201,Y201,AA201,AC201,AE201,AG201,AI201,AK201)</f>
        <v>85.3</v>
      </c>
      <c r="E201" s="1">
        <v>29.1</v>
      </c>
      <c r="F201" s="1">
        <f t="shared" si="404"/>
        <v>38.994000000000007</v>
      </c>
      <c r="G201" s="1">
        <v>8.9</v>
      </c>
      <c r="H201" s="1">
        <f t="shared" si="404"/>
        <v>11.926000000000002</v>
      </c>
      <c r="I201" s="1">
        <v>4.5999999999999996</v>
      </c>
      <c r="J201" s="1">
        <f t="shared" si="361"/>
        <v>10.855999999999998</v>
      </c>
      <c r="K201" s="1"/>
      <c r="L201" s="1"/>
      <c r="M201" s="1"/>
      <c r="N201" s="1"/>
      <c r="O201" s="1"/>
      <c r="P201" s="1"/>
      <c r="Q201" s="1"/>
      <c r="R201" s="1"/>
      <c r="S201" s="1">
        <v>13</v>
      </c>
      <c r="T201" s="1">
        <f t="shared" ref="T201" si="429">S201*1.34</f>
        <v>17.420000000000002</v>
      </c>
      <c r="U201" s="1">
        <v>10.4</v>
      </c>
      <c r="V201" s="1">
        <f t="shared" si="370"/>
        <v>13.936000000000002</v>
      </c>
      <c r="W201" s="1">
        <v>9.5</v>
      </c>
      <c r="X201" s="1">
        <f t="shared" si="348"/>
        <v>12.73</v>
      </c>
      <c r="Y201" s="1"/>
      <c r="Z201" s="1"/>
      <c r="AA201" s="1"/>
      <c r="AB201" s="1"/>
      <c r="AC201" s="1">
        <v>4.5999999999999996</v>
      </c>
      <c r="AD201" s="1">
        <f t="shared" si="417"/>
        <v>12.649999999999999</v>
      </c>
      <c r="AE201" s="1">
        <v>5.2</v>
      </c>
      <c r="AF201" s="1">
        <f t="shared" si="415"/>
        <v>14.3</v>
      </c>
      <c r="AG201" s="1"/>
      <c r="AH201" s="1"/>
      <c r="AI201" s="9"/>
      <c r="AJ201" s="9"/>
      <c r="AK201" s="9"/>
      <c r="AL201" s="9"/>
      <c r="AM201" s="1">
        <f>7.3+2.1</f>
        <v>9.4</v>
      </c>
      <c r="AN201" s="1">
        <f>AM201*0.6</f>
        <v>5.64</v>
      </c>
      <c r="AP201" s="1">
        <f t="shared" si="294"/>
        <v>0.84</v>
      </c>
      <c r="AQ201" s="1">
        <f t="shared" si="295"/>
        <v>0.16</v>
      </c>
      <c r="AR201" s="1">
        <f t="shared" si="360"/>
        <v>1</v>
      </c>
    </row>
    <row r="202" spans="2:44" x14ac:dyDescent="0.25">
      <c r="D202" s="1">
        <f>SUM(E202,G202,I202,K202,M202,O202,Q202,S202,U202,W202,Y202,AA202,AC202,AE202,AG202,AI202,AK202)</f>
        <v>85.42</v>
      </c>
      <c r="E202" s="1">
        <v>22.98</v>
      </c>
      <c r="F202" s="1">
        <f t="shared" si="404"/>
        <v>30.793200000000002</v>
      </c>
      <c r="G202" s="1">
        <v>13</v>
      </c>
      <c r="H202" s="1">
        <f t="shared" si="404"/>
        <v>17.420000000000002</v>
      </c>
      <c r="I202" s="1">
        <v>4.72</v>
      </c>
      <c r="J202" s="1">
        <f t="shared" si="361"/>
        <v>11.139199999999999</v>
      </c>
      <c r="K202" s="1"/>
      <c r="L202" s="1"/>
      <c r="M202" s="1"/>
      <c r="N202" s="1"/>
      <c r="O202" s="1"/>
      <c r="P202" s="1"/>
      <c r="Q202" s="1"/>
      <c r="R202" s="1"/>
      <c r="S202" s="1">
        <v>14.47</v>
      </c>
      <c r="T202" s="1">
        <f t="shared" ref="T202" si="430">S202*1.34</f>
        <v>19.389800000000001</v>
      </c>
      <c r="U202" s="1">
        <v>9.6999999999999993</v>
      </c>
      <c r="V202" s="1">
        <f t="shared" si="370"/>
        <v>12.997999999999999</v>
      </c>
      <c r="W202" s="1">
        <v>9.0500000000000007</v>
      </c>
      <c r="X202" s="1">
        <f t="shared" si="348"/>
        <v>12.127000000000002</v>
      </c>
      <c r="Y202" s="1"/>
      <c r="Z202" s="1"/>
      <c r="AA202" s="1"/>
      <c r="AB202" s="1"/>
      <c r="AC202" s="1">
        <v>2.5</v>
      </c>
      <c r="AD202" s="1">
        <f t="shared" si="417"/>
        <v>6.875</v>
      </c>
      <c r="AE202" s="1">
        <v>9</v>
      </c>
      <c r="AF202" s="1">
        <f t="shared" si="415"/>
        <v>24.75</v>
      </c>
      <c r="AG202" s="1"/>
      <c r="AH202" s="1"/>
      <c r="AI202" s="9"/>
      <c r="AJ202" s="9"/>
      <c r="AK202" s="9"/>
      <c r="AL202" s="9"/>
      <c r="AM202" s="1"/>
      <c r="AN202" s="1"/>
      <c r="AP202" s="1">
        <f t="shared" ref="AP202:AP265" si="431">ROUND(SUM(AK202,AI202,AG202,AE202,AC202,AA202,Y202,W202,U202,S202,E202)/D202,2)</f>
        <v>0.79</v>
      </c>
      <c r="AQ202" s="1">
        <f t="shared" ref="AQ202:AQ265" si="432">ROUND(SUM(G202,I202,K202,M202,O202,Q202)/D202,2)</f>
        <v>0.21</v>
      </c>
      <c r="AR202" s="1">
        <f t="shared" si="360"/>
        <v>1</v>
      </c>
    </row>
    <row r="203" spans="2:44" x14ac:dyDescent="0.25">
      <c r="B203" t="s">
        <v>72</v>
      </c>
      <c r="C203" t="s">
        <v>73</v>
      </c>
      <c r="D203" s="1">
        <f>SUM(E203,G203,I203,K203,M203,O203,Q203,S203,U203,W203,Y203,AA203,AC203,AE203,AG203,AI203,AK203)</f>
        <v>85.5</v>
      </c>
      <c r="E203" s="1">
        <v>24.15</v>
      </c>
      <c r="F203" s="1">
        <f t="shared" si="404"/>
        <v>32.360999999999997</v>
      </c>
      <c r="G203" s="1">
        <v>10.050000000000001</v>
      </c>
      <c r="H203" s="1">
        <f t="shared" si="404"/>
        <v>13.467000000000002</v>
      </c>
      <c r="I203" s="1">
        <v>4.2</v>
      </c>
      <c r="J203" s="1">
        <f t="shared" si="361"/>
        <v>9.911999999999999</v>
      </c>
      <c r="K203" s="1"/>
      <c r="L203" s="1"/>
      <c r="M203" s="1"/>
      <c r="N203" s="1"/>
      <c r="O203" s="1"/>
      <c r="P203" s="1"/>
      <c r="Q203" s="1"/>
      <c r="R203" s="1"/>
      <c r="S203" s="1">
        <v>14.75</v>
      </c>
      <c r="T203" s="1">
        <f t="shared" ref="T203" si="433">S203*1.34</f>
        <v>19.765000000000001</v>
      </c>
      <c r="U203" s="1">
        <v>11.35</v>
      </c>
      <c r="V203" s="1">
        <f t="shared" si="370"/>
        <v>15.209</v>
      </c>
      <c r="W203" s="1">
        <v>10.35</v>
      </c>
      <c r="X203" s="1">
        <f t="shared" si="348"/>
        <v>13.869</v>
      </c>
      <c r="Y203" s="1">
        <v>7</v>
      </c>
      <c r="Z203" s="1">
        <f t="shared" ref="Z203" si="434">Y203*1.34</f>
        <v>9.3800000000000008</v>
      </c>
      <c r="AA203" s="1"/>
      <c r="AB203" s="1"/>
      <c r="AC203" s="1">
        <v>3.65</v>
      </c>
      <c r="AD203" s="1">
        <f t="shared" si="417"/>
        <v>10.0375</v>
      </c>
      <c r="AE203" s="1"/>
      <c r="AF203" s="1"/>
      <c r="AG203" s="1"/>
      <c r="AH203" s="1"/>
      <c r="AI203" s="9"/>
      <c r="AJ203" s="9"/>
      <c r="AK203" s="9"/>
      <c r="AL203" s="9"/>
      <c r="AM203" s="1">
        <v>13.3</v>
      </c>
      <c r="AN203" s="1">
        <f t="shared" ref="AN203:AN206" si="435">AM203*0.6</f>
        <v>7.98</v>
      </c>
      <c r="AP203" s="1">
        <f t="shared" si="431"/>
        <v>0.83</v>
      </c>
      <c r="AQ203" s="1">
        <f t="shared" si="432"/>
        <v>0.17</v>
      </c>
      <c r="AR203" s="1">
        <f t="shared" si="360"/>
        <v>1</v>
      </c>
    </row>
    <row r="204" spans="2:44" x14ac:dyDescent="0.25">
      <c r="B204" t="s">
        <v>119</v>
      </c>
      <c r="C204" t="s">
        <v>120</v>
      </c>
      <c r="D204" s="1">
        <f>SUM(E204,G204,I204,K204,M204,O204,Q204,S204,U204,W204,Y204,AA204,AC204,AE204,AG204,AI204,AK204)</f>
        <v>85.52</v>
      </c>
      <c r="E204" s="1">
        <v>28</v>
      </c>
      <c r="F204" s="1">
        <f t="shared" si="404"/>
        <v>37.520000000000003</v>
      </c>
      <c r="G204" s="1">
        <v>10.44</v>
      </c>
      <c r="H204" s="1">
        <f t="shared" si="404"/>
        <v>13.989599999999999</v>
      </c>
      <c r="I204" s="1">
        <v>3.73</v>
      </c>
      <c r="J204" s="1">
        <f t="shared" si="361"/>
        <v>8.8027999999999995</v>
      </c>
      <c r="K204" s="1">
        <v>3.55</v>
      </c>
      <c r="L204" s="1">
        <f t="shared" ref="L204:L205" si="436">K204*2.36</f>
        <v>8.3779999999999983</v>
      </c>
      <c r="M204" s="1"/>
      <c r="N204" s="1"/>
      <c r="O204" s="1"/>
      <c r="P204" s="1"/>
      <c r="Q204" s="1"/>
      <c r="R204" s="1"/>
      <c r="S204" s="1">
        <v>14.74</v>
      </c>
      <c r="T204" s="1">
        <f t="shared" ref="T204" si="437">S204*1.34</f>
        <v>19.7516</v>
      </c>
      <c r="U204" s="1">
        <v>11.92</v>
      </c>
      <c r="V204" s="1">
        <f t="shared" si="370"/>
        <v>15.972800000000001</v>
      </c>
      <c r="W204" s="1">
        <v>11.16</v>
      </c>
      <c r="X204" s="1">
        <f t="shared" si="348"/>
        <v>14.954400000000001</v>
      </c>
      <c r="Y204" s="1"/>
      <c r="Z204" s="1"/>
      <c r="AA204" s="1"/>
      <c r="AB204" s="1"/>
      <c r="AC204" s="1"/>
      <c r="AD204" s="1"/>
      <c r="AE204" s="1">
        <v>1.98</v>
      </c>
      <c r="AF204" s="1">
        <f>AE204*2.75</f>
        <v>5.4450000000000003</v>
      </c>
      <c r="AG204" s="1"/>
      <c r="AH204" s="1"/>
      <c r="AI204" s="9"/>
      <c r="AJ204" s="9"/>
      <c r="AK204" s="9"/>
      <c r="AL204" s="9"/>
      <c r="AM204" s="1">
        <f>26.5+15.96</f>
        <v>42.46</v>
      </c>
      <c r="AN204" s="1">
        <f t="shared" si="435"/>
        <v>25.475999999999999</v>
      </c>
      <c r="AP204" s="1">
        <f t="shared" si="431"/>
        <v>0.79</v>
      </c>
      <c r="AQ204" s="1">
        <f t="shared" si="432"/>
        <v>0.21</v>
      </c>
      <c r="AR204" s="1">
        <f t="shared" si="360"/>
        <v>1</v>
      </c>
    </row>
    <row r="205" spans="2:44" x14ac:dyDescent="0.25">
      <c r="B205" t="s">
        <v>106</v>
      </c>
      <c r="C205" t="s">
        <v>109</v>
      </c>
      <c r="D205" s="1">
        <f>SUM(E205,G205,I205,K205,M205,O205,Q205,S205,U205,W205,Y205,AA205,AC205,AE205,AG205,AI205,AK205)</f>
        <v>85.66</v>
      </c>
      <c r="E205" s="1">
        <v>19.41</v>
      </c>
      <c r="F205" s="1">
        <f t="shared" si="404"/>
        <v>26.009400000000003</v>
      </c>
      <c r="G205" s="1">
        <v>9.02</v>
      </c>
      <c r="H205" s="1">
        <f t="shared" si="404"/>
        <v>12.0868</v>
      </c>
      <c r="I205" s="1">
        <v>3.61</v>
      </c>
      <c r="J205" s="1">
        <f t="shared" si="361"/>
        <v>8.5195999999999987</v>
      </c>
      <c r="K205" s="1">
        <v>3.37</v>
      </c>
      <c r="L205" s="1">
        <f t="shared" si="436"/>
        <v>7.9531999999999998</v>
      </c>
      <c r="M205" s="1"/>
      <c r="N205" s="1"/>
      <c r="O205" s="1"/>
      <c r="P205" s="1"/>
      <c r="Q205" s="1">
        <v>3.02</v>
      </c>
      <c r="R205" s="1">
        <f>Q205*2.36</f>
        <v>7.1271999999999993</v>
      </c>
      <c r="S205" s="1">
        <v>13.32</v>
      </c>
      <c r="T205" s="1">
        <f t="shared" ref="T205" si="438">S205*1.34</f>
        <v>17.848800000000001</v>
      </c>
      <c r="U205" s="1">
        <v>8.07</v>
      </c>
      <c r="V205" s="1">
        <f t="shared" si="370"/>
        <v>10.813800000000001</v>
      </c>
      <c r="W205" s="1">
        <v>8.07</v>
      </c>
      <c r="X205" s="1">
        <f t="shared" si="348"/>
        <v>10.813800000000001</v>
      </c>
      <c r="Y205" s="1">
        <v>7.95</v>
      </c>
      <c r="Z205" s="1">
        <f t="shared" ref="Z205" si="439">Y205*1.34</f>
        <v>10.653</v>
      </c>
      <c r="AA205" s="1"/>
      <c r="AB205" s="1"/>
      <c r="AC205" s="1">
        <v>9.82</v>
      </c>
      <c r="AD205" s="1">
        <f t="shared" ref="AD205:AD206" si="440">AC205*2.75</f>
        <v>27.005000000000003</v>
      </c>
      <c r="AE205" s="1"/>
      <c r="AF205" s="1"/>
      <c r="AG205" s="1"/>
      <c r="AH205" s="1"/>
      <c r="AI205" s="9"/>
      <c r="AJ205" s="9"/>
      <c r="AK205" s="9"/>
      <c r="AL205" s="9"/>
      <c r="AM205" s="1">
        <v>7.21</v>
      </c>
      <c r="AN205" s="1">
        <f t="shared" si="435"/>
        <v>4.3259999999999996</v>
      </c>
      <c r="AP205" s="1">
        <f t="shared" si="431"/>
        <v>0.78</v>
      </c>
      <c r="AQ205" s="1">
        <f t="shared" si="432"/>
        <v>0.22</v>
      </c>
      <c r="AR205" s="1">
        <f t="shared" si="360"/>
        <v>1</v>
      </c>
    </row>
    <row r="206" spans="2:44" x14ac:dyDescent="0.25">
      <c r="B206" t="s">
        <v>42</v>
      </c>
      <c r="C206" t="s">
        <v>46</v>
      </c>
      <c r="D206" s="1">
        <f>SUM(E206,G206,I206,K206,M206,O206,Q206,S206,U206,W206,Y206,AA206,AC206,AE206,AG206,AI206,AK206)</f>
        <v>85.699999999999989</v>
      </c>
      <c r="E206" s="1">
        <v>22.4</v>
      </c>
      <c r="F206" s="1">
        <f t="shared" si="404"/>
        <v>30.015999999999998</v>
      </c>
      <c r="G206" s="1">
        <v>9.5</v>
      </c>
      <c r="H206" s="1">
        <f t="shared" si="404"/>
        <v>12.73</v>
      </c>
      <c r="I206" s="1">
        <v>4.3</v>
      </c>
      <c r="J206" s="1">
        <f t="shared" si="361"/>
        <v>10.148</v>
      </c>
      <c r="K206" s="1"/>
      <c r="L206" s="1"/>
      <c r="M206" s="1"/>
      <c r="N206" s="1"/>
      <c r="O206" s="1"/>
      <c r="P206" s="1"/>
      <c r="Q206" s="1"/>
      <c r="R206" s="1"/>
      <c r="S206" s="1">
        <v>15.6</v>
      </c>
      <c r="T206" s="1">
        <f t="shared" ref="T206" si="441">S206*1.34</f>
        <v>20.904</v>
      </c>
      <c r="U206" s="1">
        <v>10.3</v>
      </c>
      <c r="V206" s="1">
        <f t="shared" si="370"/>
        <v>13.802000000000001</v>
      </c>
      <c r="W206" s="1">
        <v>9</v>
      </c>
      <c r="X206" s="1">
        <f t="shared" si="348"/>
        <v>12.06</v>
      </c>
      <c r="Y206" s="1"/>
      <c r="Z206" s="1"/>
      <c r="AA206" s="1"/>
      <c r="AB206" s="1"/>
      <c r="AC206" s="1">
        <v>6.3</v>
      </c>
      <c r="AD206" s="1">
        <f t="shared" si="440"/>
        <v>17.324999999999999</v>
      </c>
      <c r="AE206" s="1">
        <v>8.3000000000000007</v>
      </c>
      <c r="AF206" s="1">
        <f t="shared" ref="AF206:AF213" si="442">AE206*2.75</f>
        <v>22.825000000000003</v>
      </c>
      <c r="AG206" s="1"/>
      <c r="AH206" s="1"/>
      <c r="AI206" s="9"/>
      <c r="AJ206" s="9"/>
      <c r="AK206" s="9"/>
      <c r="AL206" s="9"/>
      <c r="AM206" s="1">
        <f>9.1+1.3</f>
        <v>10.4</v>
      </c>
      <c r="AN206" s="1">
        <f t="shared" si="435"/>
        <v>6.24</v>
      </c>
      <c r="AP206" s="1">
        <f t="shared" si="431"/>
        <v>0.84</v>
      </c>
      <c r="AQ206" s="1">
        <f t="shared" si="432"/>
        <v>0.16</v>
      </c>
      <c r="AR206" s="1">
        <f t="shared" si="360"/>
        <v>1</v>
      </c>
    </row>
    <row r="207" spans="2:44" x14ac:dyDescent="0.25">
      <c r="D207" s="1">
        <f>SUM(E207,G207,I207,K207,M207,O207,Q207,S207,U207,W207,Y207,AA207,AC207,AE207,AG207,AI207,AK207)</f>
        <v>85.72</v>
      </c>
      <c r="E207" s="1">
        <v>22.94</v>
      </c>
      <c r="F207" s="1">
        <f t="shared" si="404"/>
        <v>30.739600000000003</v>
      </c>
      <c r="G207" s="1">
        <v>11.98</v>
      </c>
      <c r="H207" s="1">
        <f t="shared" si="404"/>
        <v>16.0532</v>
      </c>
      <c r="I207" s="1">
        <v>3</v>
      </c>
      <c r="J207" s="1">
        <f t="shared" si="361"/>
        <v>7.08</v>
      </c>
      <c r="K207" s="1">
        <v>3</v>
      </c>
      <c r="L207" s="1">
        <f t="shared" ref="L207:L208" si="443">K207*2.36</f>
        <v>7.08</v>
      </c>
      <c r="M207" s="1">
        <v>2.88</v>
      </c>
      <c r="N207" s="1">
        <f>M207*2.36</f>
        <v>6.7967999999999993</v>
      </c>
      <c r="O207" s="1"/>
      <c r="P207" s="1"/>
      <c r="Q207" s="1"/>
      <c r="R207" s="1"/>
      <c r="S207" s="1">
        <v>12.24</v>
      </c>
      <c r="T207" s="1">
        <f t="shared" ref="T207" si="444">S207*1.34</f>
        <v>16.401600000000002</v>
      </c>
      <c r="U207" s="1">
        <v>10.08</v>
      </c>
      <c r="V207" s="1">
        <f t="shared" si="370"/>
        <v>13.507200000000001</v>
      </c>
      <c r="W207" s="1">
        <v>7.85</v>
      </c>
      <c r="X207" s="1">
        <f t="shared" si="348"/>
        <v>10.519</v>
      </c>
      <c r="Y207" s="1"/>
      <c r="Z207" s="1"/>
      <c r="AA207" s="1"/>
      <c r="AB207" s="1"/>
      <c r="AC207" s="1"/>
      <c r="AD207" s="1"/>
      <c r="AE207" s="1">
        <v>2.91</v>
      </c>
      <c r="AF207" s="1">
        <f t="shared" si="442"/>
        <v>8.0025000000000013</v>
      </c>
      <c r="AG207" s="1">
        <v>4.59</v>
      </c>
      <c r="AH207" s="1">
        <f>AG207*2.36</f>
        <v>10.8324</v>
      </c>
      <c r="AI207" s="9">
        <v>4.25</v>
      </c>
      <c r="AJ207" s="9">
        <f t="shared" ref="AJ207" si="445">AI207*2.75</f>
        <v>11.6875</v>
      </c>
      <c r="AK207" s="9"/>
      <c r="AL207" s="9"/>
      <c r="AM207" s="1"/>
      <c r="AN207" s="1"/>
      <c r="AP207" s="1">
        <f t="shared" si="431"/>
        <v>0.76</v>
      </c>
      <c r="AQ207" s="1">
        <f t="shared" si="432"/>
        <v>0.24</v>
      </c>
      <c r="AR207" s="1">
        <f t="shared" si="360"/>
        <v>1</v>
      </c>
    </row>
    <row r="208" spans="2:44" x14ac:dyDescent="0.25">
      <c r="B208" t="s">
        <v>62</v>
      </c>
      <c r="C208" t="s">
        <v>105</v>
      </c>
      <c r="D208" s="1">
        <f>SUM(E208,G208,I208,K208,M208,O208,Q208,S208,U208,W208,Y208,AA208,AC208,AE208,AG208,AI208,AK208)</f>
        <v>85.76</v>
      </c>
      <c r="E208" s="1">
        <v>26.56</v>
      </c>
      <c r="F208" s="1">
        <f t="shared" si="404"/>
        <v>35.590400000000002</v>
      </c>
      <c r="G208" s="1">
        <v>11.42</v>
      </c>
      <c r="H208" s="1">
        <f t="shared" si="404"/>
        <v>15.302800000000001</v>
      </c>
      <c r="I208" s="1">
        <v>4.43</v>
      </c>
      <c r="J208" s="1">
        <f t="shared" si="361"/>
        <v>10.454799999999999</v>
      </c>
      <c r="K208" s="1">
        <v>4.21</v>
      </c>
      <c r="L208" s="1">
        <f t="shared" si="443"/>
        <v>9.9355999999999991</v>
      </c>
      <c r="M208" s="1"/>
      <c r="N208" s="1"/>
      <c r="O208" s="1"/>
      <c r="P208" s="1"/>
      <c r="Q208" s="1"/>
      <c r="R208" s="1"/>
      <c r="S208" s="1">
        <v>13.76</v>
      </c>
      <c r="T208" s="1">
        <f t="shared" ref="T208" si="446">S208*1.34</f>
        <v>18.438400000000001</v>
      </c>
      <c r="U208" s="1">
        <v>10.46</v>
      </c>
      <c r="V208" s="1">
        <f t="shared" si="370"/>
        <v>14.016400000000003</v>
      </c>
      <c r="W208" s="1">
        <v>10.130000000000001</v>
      </c>
      <c r="X208" s="1">
        <f t="shared" si="348"/>
        <v>13.574200000000001</v>
      </c>
      <c r="Y208" s="1"/>
      <c r="Z208" s="1"/>
      <c r="AA208" s="1"/>
      <c r="AB208" s="1"/>
      <c r="AC208" s="1"/>
      <c r="AD208" s="1"/>
      <c r="AE208" s="1">
        <v>4.79</v>
      </c>
      <c r="AF208" s="1">
        <f t="shared" si="442"/>
        <v>13.172499999999999</v>
      </c>
      <c r="AG208" s="1"/>
      <c r="AH208" s="1"/>
      <c r="AI208" s="9"/>
      <c r="AJ208" s="9"/>
      <c r="AK208" s="9"/>
      <c r="AL208" s="9"/>
      <c r="AM208" s="1"/>
      <c r="AN208" s="1"/>
      <c r="AP208" s="1">
        <f t="shared" si="431"/>
        <v>0.77</v>
      </c>
      <c r="AQ208" s="1">
        <f t="shared" si="432"/>
        <v>0.23</v>
      </c>
      <c r="AR208" s="1">
        <f t="shared" si="360"/>
        <v>1</v>
      </c>
    </row>
    <row r="209" spans="2:44" x14ac:dyDescent="0.25">
      <c r="B209" t="s">
        <v>42</v>
      </c>
      <c r="C209" t="s">
        <v>56</v>
      </c>
      <c r="D209" s="1">
        <f>SUM(E209,G209,I209,K209,M209,O209,Q209,S209,U209,W209,Y209,AA209,AC209,AE209,AG209,AI209,AK209)</f>
        <v>85.90000000000002</v>
      </c>
      <c r="E209" s="1">
        <v>23.85</v>
      </c>
      <c r="F209" s="1">
        <f t="shared" si="404"/>
        <v>31.959000000000003</v>
      </c>
      <c r="G209" s="1">
        <v>9.3000000000000007</v>
      </c>
      <c r="H209" s="1">
        <f t="shared" si="404"/>
        <v>12.462000000000002</v>
      </c>
      <c r="I209" s="1">
        <v>3.85</v>
      </c>
      <c r="J209" s="1">
        <f t="shared" si="361"/>
        <v>9.0860000000000003</v>
      </c>
      <c r="K209" s="1"/>
      <c r="L209" s="1"/>
      <c r="M209" s="1"/>
      <c r="N209" s="1"/>
      <c r="O209" s="1"/>
      <c r="P209" s="1"/>
      <c r="Q209" s="1"/>
      <c r="R209" s="1"/>
      <c r="S209" s="1">
        <v>13.3</v>
      </c>
      <c r="T209" s="1">
        <f t="shared" ref="T209" si="447">S209*1.34</f>
        <v>17.822000000000003</v>
      </c>
      <c r="U209" s="1">
        <v>8.9499999999999993</v>
      </c>
      <c r="V209" s="1">
        <f t="shared" si="370"/>
        <v>11.993</v>
      </c>
      <c r="W209" s="1">
        <v>8.9499999999999993</v>
      </c>
      <c r="X209" s="1">
        <f t="shared" si="348"/>
        <v>11.993</v>
      </c>
      <c r="Y209" s="1">
        <v>8.75</v>
      </c>
      <c r="Z209" s="1">
        <f t="shared" ref="Z209:Z210" si="448">Y209*1.34</f>
        <v>11.725000000000001</v>
      </c>
      <c r="AA209" s="1"/>
      <c r="AB209" s="1"/>
      <c r="AC209" s="1"/>
      <c r="AD209" s="1"/>
      <c r="AE209" s="1">
        <v>6.15</v>
      </c>
      <c r="AF209" s="1">
        <f t="shared" si="442"/>
        <v>16.912500000000001</v>
      </c>
      <c r="AG209" s="1">
        <v>2.8</v>
      </c>
      <c r="AH209" s="1">
        <f>AG209*2.36</f>
        <v>6.6079999999999997</v>
      </c>
      <c r="AI209" s="9"/>
      <c r="AJ209" s="9"/>
      <c r="AK209" s="9"/>
      <c r="AL209" s="9"/>
      <c r="AM209" s="1"/>
      <c r="AN209" s="1"/>
      <c r="AP209" s="1">
        <f t="shared" si="431"/>
        <v>0.85</v>
      </c>
      <c r="AQ209" s="1">
        <f t="shared" si="432"/>
        <v>0.15</v>
      </c>
      <c r="AR209" s="1">
        <f t="shared" si="360"/>
        <v>1</v>
      </c>
    </row>
    <row r="210" spans="2:44" x14ac:dyDescent="0.25">
      <c r="B210" t="s">
        <v>42</v>
      </c>
      <c r="C210" t="s">
        <v>77</v>
      </c>
      <c r="D210" s="1">
        <f>SUM(E210,G210,I210,K210,M210,O210,Q210,S210,U210,W210,Y210,AA210,AC210,AE210,AG210,AI210,AK210)</f>
        <v>85.95</v>
      </c>
      <c r="E210" s="1">
        <v>20.5</v>
      </c>
      <c r="F210" s="1">
        <f t="shared" si="404"/>
        <v>27.470000000000002</v>
      </c>
      <c r="G210" s="1">
        <v>8</v>
      </c>
      <c r="H210" s="1">
        <f t="shared" si="404"/>
        <v>10.72</v>
      </c>
      <c r="I210" s="1">
        <v>4.3</v>
      </c>
      <c r="J210" s="1">
        <f t="shared" si="361"/>
        <v>10.148</v>
      </c>
      <c r="K210" s="1">
        <v>3.65</v>
      </c>
      <c r="L210" s="1">
        <f>K210*2.36</f>
        <v>8.613999999999999</v>
      </c>
      <c r="M210" s="1"/>
      <c r="N210" s="1"/>
      <c r="O210" s="1"/>
      <c r="P210" s="1"/>
      <c r="Q210" s="1"/>
      <c r="R210" s="1"/>
      <c r="S210" s="1">
        <v>14.7</v>
      </c>
      <c r="T210" s="1">
        <f t="shared" ref="T210" si="449">S210*1.34</f>
        <v>19.698</v>
      </c>
      <c r="U210" s="1">
        <v>10.4</v>
      </c>
      <c r="V210" s="1">
        <f t="shared" si="370"/>
        <v>13.936000000000002</v>
      </c>
      <c r="W210" s="1">
        <v>8.6</v>
      </c>
      <c r="X210" s="1">
        <f t="shared" si="348"/>
        <v>11.524000000000001</v>
      </c>
      <c r="Y210" s="1">
        <v>8.5</v>
      </c>
      <c r="Z210" s="1">
        <f t="shared" si="448"/>
        <v>11.39</v>
      </c>
      <c r="AA210" s="1"/>
      <c r="AB210" s="1"/>
      <c r="AC210" s="1">
        <v>3.9</v>
      </c>
      <c r="AD210" s="1">
        <f t="shared" ref="AD210:AD214" si="450">AC210*2.75</f>
        <v>10.725</v>
      </c>
      <c r="AE210" s="1">
        <v>3.4</v>
      </c>
      <c r="AF210" s="1">
        <f t="shared" si="442"/>
        <v>9.35</v>
      </c>
      <c r="AG210" s="1"/>
      <c r="AH210" s="1"/>
      <c r="AI210" s="9"/>
      <c r="AJ210" s="9"/>
      <c r="AK210" s="9"/>
      <c r="AL210" s="9"/>
      <c r="AM210" s="1"/>
      <c r="AN210" s="1"/>
      <c r="AP210" s="1">
        <f t="shared" si="431"/>
        <v>0.81</v>
      </c>
      <c r="AQ210" s="1">
        <f t="shared" si="432"/>
        <v>0.19</v>
      </c>
      <c r="AR210" s="1">
        <f t="shared" si="360"/>
        <v>1</v>
      </c>
    </row>
    <row r="211" spans="2:44" x14ac:dyDescent="0.25">
      <c r="C211" t="s">
        <v>64</v>
      </c>
      <c r="D211" s="1">
        <f>SUM(E211,G211,I211,K211,M211,O211,Q211,S211,U211,W211,Y211,AA211,AC211,AE211,AG211,AI211,AK211)</f>
        <v>86.079999999999984</v>
      </c>
      <c r="E211" s="1">
        <v>23.04</v>
      </c>
      <c r="F211" s="1">
        <f t="shared" si="404"/>
        <v>30.8736</v>
      </c>
      <c r="G211" s="1">
        <v>9.09</v>
      </c>
      <c r="H211" s="1">
        <f t="shared" si="404"/>
        <v>12.1806</v>
      </c>
      <c r="I211" s="1">
        <v>5.31</v>
      </c>
      <c r="J211" s="1">
        <f t="shared" si="361"/>
        <v>12.531599999999999</v>
      </c>
      <c r="K211" s="1"/>
      <c r="L211" s="1"/>
      <c r="M211" s="1"/>
      <c r="N211" s="1"/>
      <c r="O211" s="1"/>
      <c r="P211" s="1"/>
      <c r="Q211" s="1"/>
      <c r="R211" s="1"/>
      <c r="S211" s="1">
        <v>19.79</v>
      </c>
      <c r="T211" s="1">
        <f t="shared" ref="T211" si="451">S211*1.34</f>
        <v>26.518599999999999</v>
      </c>
      <c r="U211" s="1">
        <v>10.199999999999999</v>
      </c>
      <c r="V211" s="1">
        <f t="shared" si="370"/>
        <v>13.667999999999999</v>
      </c>
      <c r="W211" s="1">
        <v>9.7200000000000006</v>
      </c>
      <c r="X211" s="1">
        <f t="shared" si="348"/>
        <v>13.024800000000001</v>
      </c>
      <c r="Y211" s="1"/>
      <c r="Z211" s="1"/>
      <c r="AA211" s="1"/>
      <c r="AB211" s="1"/>
      <c r="AC211" s="1">
        <v>5.63</v>
      </c>
      <c r="AD211" s="1">
        <f t="shared" si="450"/>
        <v>15.4825</v>
      </c>
      <c r="AE211" s="1">
        <v>3.3</v>
      </c>
      <c r="AF211" s="1">
        <f t="shared" si="442"/>
        <v>9.0749999999999993</v>
      </c>
      <c r="AG211" s="1"/>
      <c r="AH211" s="1"/>
      <c r="AI211" s="9"/>
      <c r="AJ211" s="9"/>
      <c r="AK211" s="9"/>
      <c r="AL211" s="9"/>
      <c r="AM211" s="1">
        <v>10.98</v>
      </c>
      <c r="AN211" s="1">
        <f t="shared" ref="AN211:AN216" si="452">AM211*0.6</f>
        <v>6.5880000000000001</v>
      </c>
      <c r="AP211" s="1">
        <f t="shared" si="431"/>
        <v>0.83</v>
      </c>
      <c r="AQ211" s="1">
        <f t="shared" si="432"/>
        <v>0.17</v>
      </c>
      <c r="AR211" s="1">
        <f t="shared" si="360"/>
        <v>1</v>
      </c>
    </row>
    <row r="212" spans="2:44" x14ac:dyDescent="0.25">
      <c r="B212" t="s">
        <v>79</v>
      </c>
      <c r="C212" t="s">
        <v>80</v>
      </c>
      <c r="D212" s="1">
        <f>SUM(E212,G212,I212,K212,M212,O212,Q212,S212,U212,W212,Y212,AA212,AC212,AE212,AG212,AI212,AK212)</f>
        <v>86.200000000000017</v>
      </c>
      <c r="E212" s="1">
        <v>21.7</v>
      </c>
      <c r="F212" s="1">
        <f t="shared" si="404"/>
        <v>29.077999999999999</v>
      </c>
      <c r="G212" s="1">
        <v>10.95</v>
      </c>
      <c r="H212" s="1">
        <f t="shared" si="404"/>
        <v>14.673</v>
      </c>
      <c r="I212" s="1">
        <v>4.25</v>
      </c>
      <c r="J212" s="1">
        <f t="shared" si="361"/>
        <v>10.029999999999999</v>
      </c>
      <c r="K212" s="1">
        <v>3.7</v>
      </c>
      <c r="L212" s="1">
        <f t="shared" ref="L212:L262" si="453">K212*2.36</f>
        <v>8.7319999999999993</v>
      </c>
      <c r="M212" s="1"/>
      <c r="N212" s="1"/>
      <c r="O212" s="1"/>
      <c r="P212" s="1"/>
      <c r="Q212" s="1">
        <v>1.45</v>
      </c>
      <c r="R212" s="1">
        <f>Q212*2.36</f>
        <v>3.4219999999999997</v>
      </c>
      <c r="S212" s="1">
        <v>13.85</v>
      </c>
      <c r="T212" s="1">
        <f t="shared" ref="T212" si="454">S212*1.34</f>
        <v>18.559000000000001</v>
      </c>
      <c r="U212" s="1">
        <v>10.75</v>
      </c>
      <c r="V212" s="1">
        <f t="shared" si="370"/>
        <v>14.405000000000001</v>
      </c>
      <c r="W212" s="1">
        <v>10.25</v>
      </c>
      <c r="X212" s="1">
        <f t="shared" si="348"/>
        <v>13.735000000000001</v>
      </c>
      <c r="Y212" s="1"/>
      <c r="Z212" s="1"/>
      <c r="AA212" s="1"/>
      <c r="AB212" s="1"/>
      <c r="AC212" s="1">
        <v>5.4</v>
      </c>
      <c r="AD212" s="1">
        <f t="shared" si="450"/>
        <v>14.850000000000001</v>
      </c>
      <c r="AE212" s="1">
        <v>3.9</v>
      </c>
      <c r="AF212" s="1">
        <f t="shared" si="442"/>
        <v>10.725</v>
      </c>
      <c r="AG212" s="1"/>
      <c r="AH212" s="1"/>
      <c r="AI212" s="9"/>
      <c r="AJ212" s="9"/>
      <c r="AK212" s="9"/>
      <c r="AL212" s="9"/>
      <c r="AM212" s="1">
        <f>115.45+13.65</f>
        <v>129.1</v>
      </c>
      <c r="AN212" s="1">
        <f t="shared" si="452"/>
        <v>77.459999999999994</v>
      </c>
      <c r="AP212" s="1">
        <f t="shared" si="431"/>
        <v>0.76</v>
      </c>
      <c r="AQ212" s="1">
        <f t="shared" si="432"/>
        <v>0.24</v>
      </c>
      <c r="AR212" s="1">
        <f t="shared" si="360"/>
        <v>1</v>
      </c>
    </row>
    <row r="213" spans="2:44" x14ac:dyDescent="0.25">
      <c r="B213" t="s">
        <v>86</v>
      </c>
      <c r="C213" t="s">
        <v>87</v>
      </c>
      <c r="D213" s="1">
        <f>SUM(E213,G213,I213,K213,M213,O213,Q213,S213,U213,W213,Y213,AA213,AC213,AE213,AG213,AI213,AK213)</f>
        <v>86.4</v>
      </c>
      <c r="E213" s="1">
        <v>20.399999999999999</v>
      </c>
      <c r="F213" s="1">
        <f t="shared" si="404"/>
        <v>27.335999999999999</v>
      </c>
      <c r="G213" s="1">
        <v>9.1</v>
      </c>
      <c r="H213" s="1">
        <f t="shared" si="404"/>
        <v>12.194000000000001</v>
      </c>
      <c r="I213" s="1">
        <v>5.2</v>
      </c>
      <c r="J213" s="1">
        <f t="shared" si="361"/>
        <v>12.272</v>
      </c>
      <c r="K213" s="1">
        <v>4.5</v>
      </c>
      <c r="L213" s="1">
        <f t="shared" si="453"/>
        <v>10.62</v>
      </c>
      <c r="M213" s="1"/>
      <c r="N213" s="1"/>
      <c r="O213" s="1"/>
      <c r="P213" s="1"/>
      <c r="Q213" s="1"/>
      <c r="R213" s="1"/>
      <c r="S213" s="1">
        <v>15.6</v>
      </c>
      <c r="T213" s="1">
        <f t="shared" ref="T213" si="455">S213*1.34</f>
        <v>20.904</v>
      </c>
      <c r="U213" s="1">
        <v>8.5</v>
      </c>
      <c r="V213" s="1">
        <f t="shared" si="370"/>
        <v>11.39</v>
      </c>
      <c r="W213" s="1">
        <v>8.4</v>
      </c>
      <c r="X213" s="1">
        <f t="shared" ref="X213:X238" si="456">W213*1.34</f>
        <v>11.256000000000002</v>
      </c>
      <c r="Y213" s="1"/>
      <c r="Z213" s="1"/>
      <c r="AA213" s="1"/>
      <c r="AB213" s="1"/>
      <c r="AC213" s="1">
        <v>4.3</v>
      </c>
      <c r="AD213" s="1">
        <f t="shared" si="450"/>
        <v>11.824999999999999</v>
      </c>
      <c r="AE213" s="1">
        <v>6.5</v>
      </c>
      <c r="AF213" s="1">
        <f t="shared" si="442"/>
        <v>17.875</v>
      </c>
      <c r="AG213" s="1">
        <v>3.9</v>
      </c>
      <c r="AH213" s="1">
        <f>AG213*2.36</f>
        <v>9.2039999999999988</v>
      </c>
      <c r="AI213" s="9"/>
      <c r="AJ213" s="9"/>
      <c r="AK213" s="9"/>
      <c r="AL213" s="9"/>
      <c r="AM213" s="1">
        <v>3.7</v>
      </c>
      <c r="AN213" s="1">
        <f t="shared" si="452"/>
        <v>2.2200000000000002</v>
      </c>
      <c r="AP213" s="1">
        <f t="shared" si="431"/>
        <v>0.78</v>
      </c>
      <c r="AQ213" s="1">
        <f t="shared" si="432"/>
        <v>0.22</v>
      </c>
      <c r="AR213" s="1">
        <f t="shared" si="360"/>
        <v>1</v>
      </c>
    </row>
    <row r="214" spans="2:44" x14ac:dyDescent="0.25">
      <c r="B214" t="s">
        <v>101</v>
      </c>
      <c r="C214" t="s">
        <v>102</v>
      </c>
      <c r="D214" s="1">
        <f>SUM(E214,G214,I214,K214,M214,O214,Q214,S214,U214,W214,Y214,AA214,AC214,AE214,AG214,AI214,AK214)</f>
        <v>86.45</v>
      </c>
      <c r="E214" s="1">
        <v>25.5</v>
      </c>
      <c r="F214" s="1">
        <f t="shared" si="404"/>
        <v>34.17</v>
      </c>
      <c r="G214" s="1">
        <v>10.75</v>
      </c>
      <c r="H214" s="1">
        <f t="shared" si="404"/>
        <v>14.405000000000001</v>
      </c>
      <c r="I214" s="1">
        <v>4.2300000000000004</v>
      </c>
      <c r="J214" s="1">
        <f t="shared" si="361"/>
        <v>9.982800000000001</v>
      </c>
      <c r="K214" s="1">
        <v>4.04</v>
      </c>
      <c r="L214" s="1">
        <f t="shared" si="453"/>
        <v>9.5343999999999998</v>
      </c>
      <c r="M214" s="1"/>
      <c r="N214" s="1"/>
      <c r="O214" s="1"/>
      <c r="P214" s="1"/>
      <c r="Q214" s="1"/>
      <c r="R214" s="1"/>
      <c r="S214" s="1">
        <v>15</v>
      </c>
      <c r="T214" s="1">
        <f t="shared" ref="T214" si="457">S214*1.34</f>
        <v>20.100000000000001</v>
      </c>
      <c r="U214" s="1">
        <v>11.15</v>
      </c>
      <c r="V214" s="1">
        <f t="shared" si="370"/>
        <v>14.941000000000001</v>
      </c>
      <c r="W214" s="1">
        <v>11.08</v>
      </c>
      <c r="X214" s="1">
        <f t="shared" si="456"/>
        <v>14.847200000000001</v>
      </c>
      <c r="Y214" s="1"/>
      <c r="Z214" s="1"/>
      <c r="AA214" s="1"/>
      <c r="AB214" s="1"/>
      <c r="AC214" s="1">
        <v>4.7</v>
      </c>
      <c r="AD214" s="1">
        <f t="shared" si="450"/>
        <v>12.925000000000001</v>
      </c>
      <c r="AE214" s="1"/>
      <c r="AF214" s="1"/>
      <c r="AG214" s="1"/>
      <c r="AH214" s="1"/>
      <c r="AI214" s="9"/>
      <c r="AJ214" s="9"/>
      <c r="AK214" s="9"/>
      <c r="AL214" s="9"/>
      <c r="AM214" s="1">
        <v>10.53</v>
      </c>
      <c r="AN214" s="1">
        <f t="shared" si="452"/>
        <v>6.3179999999999996</v>
      </c>
      <c r="AP214" s="1">
        <f t="shared" si="431"/>
        <v>0.78</v>
      </c>
      <c r="AQ214" s="1">
        <f t="shared" si="432"/>
        <v>0.22</v>
      </c>
      <c r="AR214" s="1">
        <f t="shared" si="360"/>
        <v>1</v>
      </c>
    </row>
    <row r="215" spans="2:44" x14ac:dyDescent="0.25">
      <c r="B215" t="s">
        <v>81</v>
      </c>
      <c r="C215" t="s">
        <v>82</v>
      </c>
      <c r="D215" s="1">
        <f>SUM(E215,G215,I215,K215,M215,O215,Q215,S215,U215,W215,Y215,AA215,AC215,AE215,AG215,AI215,AK215)</f>
        <v>87.469999999999985</v>
      </c>
      <c r="E215" s="1">
        <v>22.33</v>
      </c>
      <c r="F215" s="1">
        <f t="shared" si="404"/>
        <v>29.9222</v>
      </c>
      <c r="G215" s="1">
        <v>14.32</v>
      </c>
      <c r="H215" s="1">
        <f t="shared" si="404"/>
        <v>19.188800000000001</v>
      </c>
      <c r="I215" s="1">
        <v>4.6900000000000004</v>
      </c>
      <c r="J215" s="1">
        <f t="shared" si="361"/>
        <v>11.0684</v>
      </c>
      <c r="K215" s="1">
        <v>2.9</v>
      </c>
      <c r="L215" s="1">
        <f t="shared" si="453"/>
        <v>6.8439999999999994</v>
      </c>
      <c r="M215" s="1"/>
      <c r="N215" s="1"/>
      <c r="O215" s="1"/>
      <c r="P215" s="1"/>
      <c r="Q215" s="1"/>
      <c r="R215" s="1"/>
      <c r="S215" s="1">
        <v>15.61</v>
      </c>
      <c r="T215" s="1">
        <f t="shared" ref="T215" si="458">S215*1.34</f>
        <v>20.917400000000001</v>
      </c>
      <c r="U215" s="1">
        <v>11.35</v>
      </c>
      <c r="V215" s="1">
        <f t="shared" si="370"/>
        <v>15.209</v>
      </c>
      <c r="W215" s="1">
        <v>10.14</v>
      </c>
      <c r="X215" s="1">
        <f t="shared" si="456"/>
        <v>13.587600000000002</v>
      </c>
      <c r="Y215" s="1"/>
      <c r="Z215" s="1"/>
      <c r="AA215" s="1"/>
      <c r="AB215" s="1"/>
      <c r="AC215" s="1"/>
      <c r="AD215" s="1"/>
      <c r="AE215" s="1">
        <v>6.13</v>
      </c>
      <c r="AF215" s="1">
        <f t="shared" ref="AF215:AF216" si="459">AE215*2.75</f>
        <v>16.857499999999998</v>
      </c>
      <c r="AG215" s="1"/>
      <c r="AH215" s="1"/>
      <c r="AI215" s="9"/>
      <c r="AJ215" s="9"/>
      <c r="AK215" s="9"/>
      <c r="AL215" s="9"/>
      <c r="AM215" s="1">
        <v>4.97</v>
      </c>
      <c r="AN215" s="1">
        <f t="shared" si="452"/>
        <v>2.9819999999999998</v>
      </c>
      <c r="AP215" s="1">
        <f t="shared" si="431"/>
        <v>0.75</v>
      </c>
      <c r="AQ215" s="1">
        <f t="shared" si="432"/>
        <v>0.25</v>
      </c>
      <c r="AR215" s="1">
        <f t="shared" si="360"/>
        <v>1</v>
      </c>
    </row>
    <row r="216" spans="2:44" x14ac:dyDescent="0.25">
      <c r="B216" t="s">
        <v>79</v>
      </c>
      <c r="C216" t="s">
        <v>80</v>
      </c>
      <c r="D216" s="1">
        <f>SUM(E216,G216,I216,K216,M216,O216,Q216,S216,U216,W216,Y216,AA216,AC216,AE216,AG216,AI216,AK216)</f>
        <v>87.800000000000011</v>
      </c>
      <c r="E216" s="1">
        <v>21.7</v>
      </c>
      <c r="F216" s="1">
        <f t="shared" si="404"/>
        <v>29.077999999999999</v>
      </c>
      <c r="G216" s="1">
        <v>10.95</v>
      </c>
      <c r="H216" s="1">
        <f t="shared" si="404"/>
        <v>14.673</v>
      </c>
      <c r="I216" s="1">
        <v>3.8</v>
      </c>
      <c r="J216" s="1">
        <f t="shared" si="361"/>
        <v>8.968</v>
      </c>
      <c r="K216" s="1">
        <v>3.7</v>
      </c>
      <c r="L216" s="1">
        <f t="shared" si="453"/>
        <v>8.7319999999999993</v>
      </c>
      <c r="M216" s="1"/>
      <c r="N216" s="1"/>
      <c r="O216" s="1"/>
      <c r="P216" s="1"/>
      <c r="Q216" s="1">
        <v>1.45</v>
      </c>
      <c r="R216" s="1">
        <f>Q216*2.36</f>
        <v>3.4219999999999997</v>
      </c>
      <c r="S216" s="1">
        <v>15.9</v>
      </c>
      <c r="T216" s="1">
        <f t="shared" ref="T216" si="460">S216*1.34</f>
        <v>21.306000000000001</v>
      </c>
      <c r="U216" s="1">
        <v>10.75</v>
      </c>
      <c r="V216" s="1">
        <f t="shared" si="370"/>
        <v>14.405000000000001</v>
      </c>
      <c r="W216" s="1">
        <v>10.25</v>
      </c>
      <c r="X216" s="1">
        <f t="shared" si="456"/>
        <v>13.735000000000001</v>
      </c>
      <c r="Y216" s="1"/>
      <c r="Z216" s="1"/>
      <c r="AA216" s="1"/>
      <c r="AB216" s="1"/>
      <c r="AC216" s="1">
        <v>5.4</v>
      </c>
      <c r="AD216" s="1">
        <f t="shared" ref="AD216" si="461">AC216*2.75</f>
        <v>14.850000000000001</v>
      </c>
      <c r="AE216" s="1">
        <v>3.9</v>
      </c>
      <c r="AF216" s="1">
        <f t="shared" si="459"/>
        <v>10.725</v>
      </c>
      <c r="AG216" s="1"/>
      <c r="AH216" s="1"/>
      <c r="AI216" s="9"/>
      <c r="AJ216" s="9"/>
      <c r="AK216" s="9"/>
      <c r="AL216" s="9"/>
      <c r="AM216" s="1">
        <v>15.95</v>
      </c>
      <c r="AN216" s="1">
        <f t="shared" si="452"/>
        <v>9.5699999999999985</v>
      </c>
      <c r="AP216" s="1">
        <f t="shared" si="431"/>
        <v>0.77</v>
      </c>
      <c r="AQ216" s="1">
        <f t="shared" si="432"/>
        <v>0.23</v>
      </c>
      <c r="AR216" s="1">
        <f t="shared" si="360"/>
        <v>1</v>
      </c>
    </row>
    <row r="217" spans="2:44" x14ac:dyDescent="0.25">
      <c r="B217" t="s">
        <v>42</v>
      </c>
      <c r="C217" t="s">
        <v>78</v>
      </c>
      <c r="D217" s="1">
        <f>SUM(E217,G217,I217,K217,M217,O217,Q217,S217,U217,W217,Y217,AA217,AC217,AE217,AG217,AI217,AK217)</f>
        <v>89.320000000000007</v>
      </c>
      <c r="E217" s="1">
        <v>22.47</v>
      </c>
      <c r="F217" s="1">
        <f t="shared" ref="F217:H219" si="462">E217*1.34</f>
        <v>30.1098</v>
      </c>
      <c r="G217" s="1">
        <v>7.76</v>
      </c>
      <c r="H217" s="1">
        <f t="shared" si="462"/>
        <v>10.398400000000001</v>
      </c>
      <c r="I217" s="1">
        <v>3.95</v>
      </c>
      <c r="J217" s="1">
        <f t="shared" si="361"/>
        <v>9.3219999999999992</v>
      </c>
      <c r="K217" s="1">
        <v>3.61</v>
      </c>
      <c r="L217" s="1">
        <f t="shared" si="453"/>
        <v>8.5195999999999987</v>
      </c>
      <c r="M217" s="1"/>
      <c r="N217" s="1"/>
      <c r="O217" s="1"/>
      <c r="P217" s="1"/>
      <c r="Q217" s="1"/>
      <c r="R217" s="1"/>
      <c r="S217" s="1">
        <v>12.06</v>
      </c>
      <c r="T217" s="1">
        <f t="shared" ref="T217" si="463">S217*1.34</f>
        <v>16.160400000000003</v>
      </c>
      <c r="U217" s="1">
        <v>9.18</v>
      </c>
      <c r="V217" s="1">
        <f t="shared" si="370"/>
        <v>12.3012</v>
      </c>
      <c r="W217" s="1">
        <v>9.16</v>
      </c>
      <c r="X217" s="1">
        <f t="shared" si="456"/>
        <v>12.274400000000002</v>
      </c>
      <c r="Y217" s="1">
        <v>8.86</v>
      </c>
      <c r="Z217" s="1">
        <f t="shared" ref="Z217:Z218" si="464">Y217*1.34</f>
        <v>11.872400000000001</v>
      </c>
      <c r="AA217" s="1"/>
      <c r="AB217" s="1"/>
      <c r="AC217" s="1">
        <v>5.76</v>
      </c>
      <c r="AD217" s="1">
        <f t="shared" ref="AD217:AD219" si="465">AC217*2.75</f>
        <v>15.84</v>
      </c>
      <c r="AE217" s="1">
        <v>6.51</v>
      </c>
      <c r="AF217" s="1">
        <f t="shared" ref="AF217:AF223" si="466">AE217*2.75</f>
        <v>17.9025</v>
      </c>
      <c r="AG217" s="1"/>
      <c r="AH217" s="1"/>
      <c r="AI217" s="9"/>
      <c r="AJ217" s="9"/>
      <c r="AK217" s="9"/>
      <c r="AL217" s="9"/>
      <c r="AM217" s="1"/>
      <c r="AN217" s="1"/>
      <c r="AP217" s="1">
        <f t="shared" si="431"/>
        <v>0.83</v>
      </c>
      <c r="AQ217" s="1">
        <f t="shared" si="432"/>
        <v>0.17</v>
      </c>
      <c r="AR217" s="1">
        <f t="shared" si="360"/>
        <v>1</v>
      </c>
    </row>
    <row r="218" spans="2:44" x14ac:dyDescent="0.25">
      <c r="B218" t="s">
        <v>42</v>
      </c>
      <c r="C218" t="s">
        <v>77</v>
      </c>
      <c r="D218" s="1">
        <f>SUM(E218,G218,I218,K218,M218,O218,Q218,S218,U218,W218,Y218,AA218,AC218,AE218,AG218,AI218,AK218)</f>
        <v>89.449999999999989</v>
      </c>
      <c r="E218" s="1">
        <v>20.8</v>
      </c>
      <c r="F218" s="1">
        <f t="shared" si="462"/>
        <v>27.872000000000003</v>
      </c>
      <c r="G218" s="1">
        <v>9.5500000000000007</v>
      </c>
      <c r="H218" s="1">
        <f t="shared" si="462"/>
        <v>12.797000000000002</v>
      </c>
      <c r="I218" s="1">
        <v>5.35</v>
      </c>
      <c r="J218" s="1">
        <f t="shared" si="361"/>
        <v>12.625999999999998</v>
      </c>
      <c r="K218" s="1">
        <v>3.05</v>
      </c>
      <c r="L218" s="1">
        <f t="shared" si="453"/>
        <v>7.1979999999999995</v>
      </c>
      <c r="M218" s="1"/>
      <c r="N218" s="1"/>
      <c r="O218" s="1"/>
      <c r="P218" s="1"/>
      <c r="Q218" s="1"/>
      <c r="R218" s="1"/>
      <c r="S218" s="1">
        <v>12.35</v>
      </c>
      <c r="T218" s="1">
        <f t="shared" ref="T218" si="467">S218*1.34</f>
        <v>16.548999999999999</v>
      </c>
      <c r="U218" s="1">
        <v>10.75</v>
      </c>
      <c r="V218" s="1">
        <f t="shared" si="370"/>
        <v>14.405000000000001</v>
      </c>
      <c r="W218" s="1">
        <v>10.199999999999999</v>
      </c>
      <c r="X218" s="1">
        <f t="shared" si="456"/>
        <v>13.667999999999999</v>
      </c>
      <c r="Y218" s="1">
        <v>8.35</v>
      </c>
      <c r="Z218" s="1">
        <f t="shared" si="464"/>
        <v>11.189</v>
      </c>
      <c r="AA218" s="1"/>
      <c r="AB218" s="1"/>
      <c r="AC218" s="1">
        <v>3.35</v>
      </c>
      <c r="AD218" s="1">
        <f t="shared" si="465"/>
        <v>9.2125000000000004</v>
      </c>
      <c r="AE218" s="1">
        <v>5.7</v>
      </c>
      <c r="AF218" s="1">
        <f t="shared" si="466"/>
        <v>15.675000000000001</v>
      </c>
      <c r="AG218" s="1"/>
      <c r="AH218" s="1"/>
      <c r="AI218" s="9"/>
      <c r="AJ218" s="9"/>
      <c r="AK218" s="9"/>
      <c r="AL218" s="9"/>
      <c r="AM218" s="1"/>
      <c r="AN218" s="1"/>
      <c r="AP218" s="1">
        <f t="shared" si="431"/>
        <v>0.8</v>
      </c>
      <c r="AQ218" s="1">
        <f t="shared" si="432"/>
        <v>0.2</v>
      </c>
      <c r="AR218" s="1">
        <f t="shared" si="360"/>
        <v>1</v>
      </c>
    </row>
    <row r="219" spans="2:44" x14ac:dyDescent="0.25">
      <c r="B219" t="s">
        <v>119</v>
      </c>
      <c r="C219" t="s">
        <v>120</v>
      </c>
      <c r="D219" s="1">
        <f>SUM(E219,G219,I219,K219,M219,O219,Q219,S219,U219,W219,Y219,AA219,AC219,AE219,AG219,AI219,AK219)</f>
        <v>89.569999999999979</v>
      </c>
      <c r="E219" s="1">
        <v>25.34</v>
      </c>
      <c r="F219" s="1">
        <f t="shared" si="462"/>
        <v>33.955600000000004</v>
      </c>
      <c r="G219" s="1">
        <v>12.43</v>
      </c>
      <c r="H219" s="1">
        <f t="shared" si="462"/>
        <v>16.656200000000002</v>
      </c>
      <c r="I219" s="1">
        <v>3.88</v>
      </c>
      <c r="J219" s="1">
        <f t="shared" si="361"/>
        <v>9.1567999999999987</v>
      </c>
      <c r="K219" s="1">
        <v>3.79</v>
      </c>
      <c r="L219" s="1">
        <f t="shared" si="453"/>
        <v>8.9443999999999999</v>
      </c>
      <c r="M219" s="1"/>
      <c r="N219" s="1"/>
      <c r="O219" s="1"/>
      <c r="P219" s="1"/>
      <c r="Q219" s="1"/>
      <c r="R219" s="1"/>
      <c r="S219" s="1">
        <v>14.86</v>
      </c>
      <c r="T219" s="1">
        <f t="shared" ref="T219" si="468">S219*1.34</f>
        <v>19.912400000000002</v>
      </c>
      <c r="U219" s="1">
        <v>10.74</v>
      </c>
      <c r="V219" s="1">
        <f t="shared" si="370"/>
        <v>14.3916</v>
      </c>
      <c r="W219" s="1">
        <v>9.24</v>
      </c>
      <c r="X219" s="1">
        <f t="shared" si="456"/>
        <v>12.381600000000001</v>
      </c>
      <c r="Y219" s="1"/>
      <c r="Z219" s="1"/>
      <c r="AA219" s="1"/>
      <c r="AB219" s="1"/>
      <c r="AC219" s="1">
        <v>6.94</v>
      </c>
      <c r="AD219" s="1">
        <f t="shared" si="465"/>
        <v>19.085000000000001</v>
      </c>
      <c r="AE219" s="1">
        <v>2.35</v>
      </c>
      <c r="AF219" s="1">
        <f t="shared" si="466"/>
        <v>6.4625000000000004</v>
      </c>
      <c r="AG219" s="1"/>
      <c r="AH219" s="1"/>
      <c r="AI219" s="9"/>
      <c r="AJ219" s="9"/>
      <c r="AK219" s="9"/>
      <c r="AL219" s="9"/>
      <c r="AM219" s="1">
        <v>13.41</v>
      </c>
      <c r="AN219" s="1">
        <f t="shared" ref="AN219:AN221" si="469">AM219*0.6</f>
        <v>8.0459999999999994</v>
      </c>
      <c r="AP219" s="1">
        <f t="shared" si="431"/>
        <v>0.78</v>
      </c>
      <c r="AQ219" s="1">
        <f t="shared" si="432"/>
        <v>0.22</v>
      </c>
      <c r="AR219" s="1">
        <f t="shared" si="360"/>
        <v>1</v>
      </c>
    </row>
    <row r="220" spans="2:44" x14ac:dyDescent="0.25">
      <c r="B220" t="s">
        <v>119</v>
      </c>
      <c r="C220" t="s">
        <v>120</v>
      </c>
      <c r="D220" s="1">
        <f>SUM(E220,G220,I220,K220,M220,O220,Q220,S220,U220,W220,Y220,AA220,AC220,AE220,AG220,AI220,AK220)</f>
        <v>89.73</v>
      </c>
      <c r="E220" s="1">
        <v>24.48</v>
      </c>
      <c r="F220" s="1">
        <f t="shared" ref="F220:H224" si="470">E220*1.34</f>
        <v>32.803200000000004</v>
      </c>
      <c r="G220" s="1">
        <v>10.65</v>
      </c>
      <c r="H220" s="1">
        <f t="shared" si="470"/>
        <v>14.271000000000001</v>
      </c>
      <c r="I220" s="1">
        <v>3.69</v>
      </c>
      <c r="J220" s="1">
        <f t="shared" ref="J220:J270" si="471">I220*2.36</f>
        <v>8.7083999999999993</v>
      </c>
      <c r="K220" s="1">
        <v>3.49</v>
      </c>
      <c r="L220" s="1">
        <f t="shared" si="453"/>
        <v>8.2363999999999997</v>
      </c>
      <c r="M220" s="1"/>
      <c r="N220" s="1"/>
      <c r="O220" s="1"/>
      <c r="P220" s="1"/>
      <c r="Q220" s="1"/>
      <c r="R220" s="1"/>
      <c r="S220" s="1">
        <v>13.76</v>
      </c>
      <c r="T220" s="1">
        <f t="shared" ref="T220" si="472">S220*1.34</f>
        <v>18.438400000000001</v>
      </c>
      <c r="U220" s="1">
        <v>11.79</v>
      </c>
      <c r="V220" s="1">
        <f t="shared" si="370"/>
        <v>15.7986</v>
      </c>
      <c r="W220" s="1">
        <v>10.92</v>
      </c>
      <c r="X220" s="1">
        <f t="shared" si="456"/>
        <v>14.632800000000001</v>
      </c>
      <c r="Y220" s="1"/>
      <c r="Z220" s="1"/>
      <c r="AA220" s="1"/>
      <c r="AB220" s="1"/>
      <c r="AC220" s="1">
        <v>2.2400000000000002</v>
      </c>
      <c r="AD220" s="1">
        <f t="shared" ref="AD220:AD231" si="473">AC220*2.75</f>
        <v>6.16</v>
      </c>
      <c r="AE220" s="1">
        <v>6.48</v>
      </c>
      <c r="AF220" s="1">
        <f t="shared" si="466"/>
        <v>17.82</v>
      </c>
      <c r="AG220" s="1">
        <v>2.23</v>
      </c>
      <c r="AH220" s="1">
        <f>AG220*2.36</f>
        <v>5.2627999999999995</v>
      </c>
      <c r="AI220" s="9"/>
      <c r="AJ220" s="9"/>
      <c r="AK220" s="9"/>
      <c r="AL220" s="9"/>
      <c r="AM220" s="1">
        <v>16.7</v>
      </c>
      <c r="AN220" s="1">
        <f t="shared" si="469"/>
        <v>10.02</v>
      </c>
      <c r="AP220" s="1">
        <f t="shared" si="431"/>
        <v>0.8</v>
      </c>
      <c r="AQ220" s="1">
        <f t="shared" si="432"/>
        <v>0.2</v>
      </c>
      <c r="AR220" s="1">
        <f t="shared" ref="AR220:AR270" si="474">AP220+AQ220</f>
        <v>1</v>
      </c>
    </row>
    <row r="221" spans="2:44" x14ac:dyDescent="0.25">
      <c r="B221" t="s">
        <v>79</v>
      </c>
      <c r="C221" t="s">
        <v>80</v>
      </c>
      <c r="D221" s="1">
        <f>SUM(E221,G221,I221,K221,M221,O221,Q221,S221,U221,W221,Y221,AA221,AC221,AE221,AG221,AI221,AK221)</f>
        <v>89.8</v>
      </c>
      <c r="E221" s="1">
        <v>21.5</v>
      </c>
      <c r="F221" s="1">
        <f t="shared" si="470"/>
        <v>28.810000000000002</v>
      </c>
      <c r="G221" s="1">
        <v>10.35</v>
      </c>
      <c r="H221" s="1">
        <f t="shared" si="470"/>
        <v>13.869</v>
      </c>
      <c r="I221" s="1">
        <v>4.8</v>
      </c>
      <c r="J221" s="1">
        <f t="shared" si="471"/>
        <v>11.327999999999999</v>
      </c>
      <c r="K221" s="1">
        <v>3.65</v>
      </c>
      <c r="L221" s="1">
        <f t="shared" si="453"/>
        <v>8.613999999999999</v>
      </c>
      <c r="M221" s="1"/>
      <c r="N221" s="1"/>
      <c r="O221" s="1"/>
      <c r="P221" s="1"/>
      <c r="Q221" s="1">
        <v>1.4</v>
      </c>
      <c r="R221" s="1">
        <f>Q221*2.36</f>
        <v>3.3039999999999998</v>
      </c>
      <c r="S221" s="1">
        <v>14.8</v>
      </c>
      <c r="T221" s="1">
        <f t="shared" ref="T221" si="475">S221*1.34</f>
        <v>19.832000000000001</v>
      </c>
      <c r="U221" s="1">
        <v>10.050000000000001</v>
      </c>
      <c r="V221" s="1">
        <f t="shared" si="370"/>
        <v>13.467000000000002</v>
      </c>
      <c r="W221" s="1">
        <v>10</v>
      </c>
      <c r="X221" s="1">
        <f t="shared" si="456"/>
        <v>13.4</v>
      </c>
      <c r="Y221" s="1"/>
      <c r="Z221" s="1"/>
      <c r="AA221" s="1"/>
      <c r="AB221" s="1"/>
      <c r="AC221" s="1">
        <v>6.4</v>
      </c>
      <c r="AD221" s="1">
        <f t="shared" si="473"/>
        <v>17.600000000000001</v>
      </c>
      <c r="AE221" s="1">
        <v>6.85</v>
      </c>
      <c r="AF221" s="1">
        <f t="shared" si="466"/>
        <v>18.837499999999999</v>
      </c>
      <c r="AG221" s="1"/>
      <c r="AH221" s="1"/>
      <c r="AI221" s="9"/>
      <c r="AJ221" s="9"/>
      <c r="AK221" s="9"/>
      <c r="AL221" s="9"/>
      <c r="AM221" s="1">
        <v>18.899999999999999</v>
      </c>
      <c r="AN221" s="1">
        <f t="shared" si="469"/>
        <v>11.339999999999998</v>
      </c>
      <c r="AP221" s="1">
        <f t="shared" si="431"/>
        <v>0.78</v>
      </c>
      <c r="AQ221" s="1">
        <f t="shared" si="432"/>
        <v>0.22</v>
      </c>
      <c r="AR221" s="1">
        <f t="shared" si="474"/>
        <v>1</v>
      </c>
    </row>
    <row r="222" spans="2:44" x14ac:dyDescent="0.25">
      <c r="B222" t="s">
        <v>42</v>
      </c>
      <c r="C222" t="s">
        <v>77</v>
      </c>
      <c r="D222" s="1">
        <f>SUM(E222,G222,I222,K222,M222,O222,Q222,S222,U222,W222,Y222,AA222,AC222,AE222,AG222,AI222,AK222)</f>
        <v>89.850000000000023</v>
      </c>
      <c r="E222" s="1">
        <v>20.55</v>
      </c>
      <c r="F222" s="1">
        <f t="shared" si="470"/>
        <v>27.537000000000003</v>
      </c>
      <c r="G222" s="1">
        <v>7.55</v>
      </c>
      <c r="H222" s="1">
        <f t="shared" si="470"/>
        <v>10.117000000000001</v>
      </c>
      <c r="I222" s="1">
        <v>4.2</v>
      </c>
      <c r="J222" s="1">
        <f t="shared" si="471"/>
        <v>9.911999999999999</v>
      </c>
      <c r="K222" s="1">
        <v>4.1500000000000004</v>
      </c>
      <c r="L222" s="1">
        <f t="shared" si="453"/>
        <v>9.7940000000000005</v>
      </c>
      <c r="M222" s="1"/>
      <c r="N222" s="1"/>
      <c r="O222" s="1"/>
      <c r="P222" s="1"/>
      <c r="Q222" s="1"/>
      <c r="R222" s="1"/>
      <c r="S222" s="1">
        <v>11.85</v>
      </c>
      <c r="T222" s="1">
        <f t="shared" ref="T222" si="476">S222*1.34</f>
        <v>15.879000000000001</v>
      </c>
      <c r="U222" s="1">
        <v>9.4</v>
      </c>
      <c r="V222" s="1">
        <f t="shared" si="370"/>
        <v>12.596000000000002</v>
      </c>
      <c r="W222" s="1">
        <v>9.15</v>
      </c>
      <c r="X222" s="1">
        <f t="shared" si="456"/>
        <v>12.261000000000001</v>
      </c>
      <c r="Y222" s="1">
        <v>8.4</v>
      </c>
      <c r="Z222" s="1">
        <f t="shared" ref="Z222:Z224" si="477">Y222*1.34</f>
        <v>11.256000000000002</v>
      </c>
      <c r="AA222" s="1"/>
      <c r="AB222" s="1"/>
      <c r="AC222" s="1">
        <v>3.7</v>
      </c>
      <c r="AD222" s="1">
        <f t="shared" si="473"/>
        <v>10.175000000000001</v>
      </c>
      <c r="AE222" s="1">
        <v>8.4</v>
      </c>
      <c r="AF222" s="1">
        <f t="shared" si="466"/>
        <v>23.1</v>
      </c>
      <c r="AG222" s="1">
        <v>2.5</v>
      </c>
      <c r="AH222" s="1">
        <f>AG222*2.36</f>
        <v>5.8999999999999995</v>
      </c>
      <c r="AI222" s="9"/>
      <c r="AJ222" s="9"/>
      <c r="AK222" s="9"/>
      <c r="AL222" s="9"/>
      <c r="AM222" s="1"/>
      <c r="AN222" s="1"/>
      <c r="AP222" s="1">
        <f t="shared" si="431"/>
        <v>0.82</v>
      </c>
      <c r="AQ222" s="1">
        <f t="shared" si="432"/>
        <v>0.18</v>
      </c>
      <c r="AR222" s="1">
        <f t="shared" si="474"/>
        <v>1</v>
      </c>
    </row>
    <row r="223" spans="2:44" x14ac:dyDescent="0.25">
      <c r="B223" t="s">
        <v>42</v>
      </c>
      <c r="C223" t="s">
        <v>77</v>
      </c>
      <c r="D223" s="1">
        <f>SUM(E223,G223,I223,K223,M223,O223,Q223,S223,U223,W223,Y223,AA223,AC223,AE223,AG223,AI223,AK223)</f>
        <v>90.000000000000014</v>
      </c>
      <c r="E223" s="1">
        <v>21.15</v>
      </c>
      <c r="F223" s="1">
        <f t="shared" si="470"/>
        <v>28.341000000000001</v>
      </c>
      <c r="G223" s="1">
        <v>8.5</v>
      </c>
      <c r="H223" s="1">
        <f t="shared" si="470"/>
        <v>11.39</v>
      </c>
      <c r="I223" s="1">
        <v>4.1500000000000004</v>
      </c>
      <c r="J223" s="1">
        <f t="shared" si="471"/>
        <v>9.7940000000000005</v>
      </c>
      <c r="K223" s="1">
        <v>3.8</v>
      </c>
      <c r="L223" s="1">
        <f t="shared" si="453"/>
        <v>8.968</v>
      </c>
      <c r="M223" s="1"/>
      <c r="N223" s="1"/>
      <c r="O223" s="1"/>
      <c r="P223" s="1"/>
      <c r="Q223" s="1"/>
      <c r="R223" s="1"/>
      <c r="S223" s="1">
        <v>13.2</v>
      </c>
      <c r="T223" s="1">
        <f t="shared" ref="T223" si="478">S223*1.34</f>
        <v>17.687999999999999</v>
      </c>
      <c r="U223" s="1">
        <v>10.7</v>
      </c>
      <c r="V223" s="1">
        <f t="shared" si="370"/>
        <v>14.337999999999999</v>
      </c>
      <c r="W223" s="1">
        <v>9.4</v>
      </c>
      <c r="X223" s="1">
        <f t="shared" si="456"/>
        <v>12.596000000000002</v>
      </c>
      <c r="Y223" s="1">
        <v>7</v>
      </c>
      <c r="Z223" s="1">
        <f t="shared" si="477"/>
        <v>9.3800000000000008</v>
      </c>
      <c r="AA223" s="1"/>
      <c r="AB223" s="1"/>
      <c r="AC223" s="1">
        <v>5.9</v>
      </c>
      <c r="AD223" s="1">
        <f t="shared" si="473"/>
        <v>16.225000000000001</v>
      </c>
      <c r="AE223" s="1">
        <v>6.2</v>
      </c>
      <c r="AF223" s="1">
        <f t="shared" si="466"/>
        <v>17.05</v>
      </c>
      <c r="AG223" s="1"/>
      <c r="AH223" s="1"/>
      <c r="AI223" s="9"/>
      <c r="AJ223" s="9"/>
      <c r="AK223" s="9"/>
      <c r="AL223" s="9"/>
      <c r="AM223" s="1"/>
      <c r="AN223" s="1"/>
      <c r="AP223" s="1">
        <f t="shared" si="431"/>
        <v>0.82</v>
      </c>
      <c r="AQ223" s="1">
        <f t="shared" si="432"/>
        <v>0.18</v>
      </c>
      <c r="AR223" s="1">
        <f t="shared" si="474"/>
        <v>1</v>
      </c>
    </row>
    <row r="224" spans="2:44" x14ac:dyDescent="0.25">
      <c r="C224" t="s">
        <v>68</v>
      </c>
      <c r="D224" s="1">
        <f>SUM(E224,G224,I224,K224,M224,O224,Q224,S224,U224,W224,Y224,AA224,AC224,AE224,AG224,AI224,AK224)</f>
        <v>90.000000000000014</v>
      </c>
      <c r="E224" s="1">
        <v>21.6</v>
      </c>
      <c r="F224" s="1">
        <f t="shared" si="470"/>
        <v>28.944000000000003</v>
      </c>
      <c r="G224" s="1">
        <v>7.2</v>
      </c>
      <c r="H224" s="1">
        <f t="shared" si="470"/>
        <v>9.6480000000000015</v>
      </c>
      <c r="I224" s="1">
        <v>4.4000000000000004</v>
      </c>
      <c r="J224" s="1">
        <f t="shared" si="471"/>
        <v>10.384</v>
      </c>
      <c r="K224" s="1">
        <v>4.2</v>
      </c>
      <c r="L224" s="1">
        <f t="shared" si="453"/>
        <v>9.911999999999999</v>
      </c>
      <c r="M224" s="1"/>
      <c r="N224" s="1"/>
      <c r="O224" s="1"/>
      <c r="P224" s="1"/>
      <c r="Q224" s="1"/>
      <c r="R224" s="1"/>
      <c r="S224" s="1">
        <v>13.15</v>
      </c>
      <c r="T224" s="1">
        <f t="shared" ref="T224" si="479">S224*1.34</f>
        <v>17.621000000000002</v>
      </c>
      <c r="U224" s="1">
        <v>11.6</v>
      </c>
      <c r="V224" s="1">
        <f t="shared" ref="V224:V272" si="480">U224*1.34</f>
        <v>15.544</v>
      </c>
      <c r="W224" s="1">
        <v>8.1999999999999993</v>
      </c>
      <c r="X224" s="1">
        <f t="shared" si="456"/>
        <v>10.988</v>
      </c>
      <c r="Y224" s="1">
        <v>7.25</v>
      </c>
      <c r="Z224" s="1">
        <f t="shared" si="477"/>
        <v>9.7149999999999999</v>
      </c>
      <c r="AA224" s="1"/>
      <c r="AB224" s="1"/>
      <c r="AC224" s="1">
        <v>12.4</v>
      </c>
      <c r="AD224" s="1">
        <f t="shared" si="473"/>
        <v>34.1</v>
      </c>
      <c r="AE224" s="1"/>
      <c r="AF224" s="1"/>
      <c r="AG224" s="1"/>
      <c r="AH224" s="1"/>
      <c r="AI224" s="9"/>
      <c r="AJ224" s="9"/>
      <c r="AK224" s="9"/>
      <c r="AL224" s="9"/>
      <c r="AM224" s="1"/>
      <c r="AN224" s="1"/>
      <c r="AP224" s="1">
        <f t="shared" si="431"/>
        <v>0.82</v>
      </c>
      <c r="AQ224" s="1">
        <f t="shared" si="432"/>
        <v>0.18</v>
      </c>
      <c r="AR224" s="1">
        <f t="shared" si="474"/>
        <v>1</v>
      </c>
    </row>
    <row r="225" spans="2:44" x14ac:dyDescent="0.25">
      <c r="B225" t="s">
        <v>99</v>
      </c>
      <c r="C225" t="s">
        <v>100</v>
      </c>
      <c r="D225" s="1">
        <f>SUM(E225,G225,I225,K225,M225,O225,Q225,S225,U225,W225,Y225,AA225,AC225,AE225,AG225,AI225,AK225)</f>
        <v>90.1</v>
      </c>
      <c r="E225" s="1">
        <v>24.1</v>
      </c>
      <c r="F225" s="1">
        <f t="shared" ref="F225:H238" si="481">E225*1.34</f>
        <v>32.294000000000004</v>
      </c>
      <c r="G225" s="1">
        <v>12.6</v>
      </c>
      <c r="H225" s="1">
        <f t="shared" si="481"/>
        <v>16.884</v>
      </c>
      <c r="I225" s="1">
        <v>4.3</v>
      </c>
      <c r="J225" s="1">
        <f t="shared" si="471"/>
        <v>10.148</v>
      </c>
      <c r="K225" s="1">
        <v>4.0999999999999996</v>
      </c>
      <c r="L225" s="1">
        <f t="shared" si="453"/>
        <v>9.6759999999999984</v>
      </c>
      <c r="M225" s="1"/>
      <c r="N225" s="1"/>
      <c r="O225" s="1"/>
      <c r="P225" s="1"/>
      <c r="Q225" s="1"/>
      <c r="R225" s="1"/>
      <c r="S225" s="1">
        <v>15.75</v>
      </c>
      <c r="T225" s="1">
        <f t="shared" ref="T225" si="482">S225*1.34</f>
        <v>21.105</v>
      </c>
      <c r="U225" s="1">
        <v>10.35</v>
      </c>
      <c r="V225" s="1">
        <f t="shared" si="480"/>
        <v>13.869</v>
      </c>
      <c r="W225" s="1">
        <v>10</v>
      </c>
      <c r="X225" s="1">
        <f t="shared" si="456"/>
        <v>13.4</v>
      </c>
      <c r="Y225" s="1"/>
      <c r="Z225" s="1"/>
      <c r="AA225" s="1"/>
      <c r="AB225" s="1"/>
      <c r="AC225" s="1">
        <v>7.55</v>
      </c>
      <c r="AD225" s="1">
        <f t="shared" si="473"/>
        <v>20.762499999999999</v>
      </c>
      <c r="AE225" s="1">
        <v>1.35</v>
      </c>
      <c r="AF225" s="1">
        <f t="shared" ref="AD225:AF255" si="483">AE225*2.75</f>
        <v>3.7125000000000004</v>
      </c>
      <c r="AG225" s="1"/>
      <c r="AH225" s="1"/>
      <c r="AI225" s="9"/>
      <c r="AJ225" s="9"/>
      <c r="AK225" s="9"/>
      <c r="AL225" s="9"/>
      <c r="AM225" s="1">
        <v>17.05</v>
      </c>
      <c r="AN225" s="1">
        <f>AM225*0.6</f>
        <v>10.23</v>
      </c>
      <c r="AP225" s="1">
        <f t="shared" si="431"/>
        <v>0.77</v>
      </c>
      <c r="AQ225" s="1">
        <f t="shared" si="432"/>
        <v>0.23</v>
      </c>
      <c r="AR225" s="1">
        <f t="shared" si="474"/>
        <v>1</v>
      </c>
    </row>
    <row r="226" spans="2:44" x14ac:dyDescent="0.25">
      <c r="B226" t="s">
        <v>86</v>
      </c>
      <c r="C226" t="s">
        <v>85</v>
      </c>
      <c r="D226" s="1">
        <f>SUM(E226,G226,I226,K226,M226,O226,Q226,S226,U226,W226,Y226,AA226,AC226,AE226,AG226,AI226,AK226)</f>
        <v>90.100000000000009</v>
      </c>
      <c r="E226" s="1">
        <v>21.3</v>
      </c>
      <c r="F226" s="1">
        <f t="shared" si="481"/>
        <v>28.542000000000002</v>
      </c>
      <c r="G226" s="1">
        <v>9.1999999999999993</v>
      </c>
      <c r="H226" s="1">
        <f t="shared" si="481"/>
        <v>12.327999999999999</v>
      </c>
      <c r="I226" s="1">
        <v>5.4</v>
      </c>
      <c r="J226" s="1">
        <f t="shared" si="471"/>
        <v>12.744</v>
      </c>
      <c r="K226" s="1">
        <v>4.2</v>
      </c>
      <c r="L226" s="1">
        <f t="shared" si="453"/>
        <v>9.911999999999999</v>
      </c>
      <c r="M226" s="1"/>
      <c r="N226" s="1"/>
      <c r="O226" s="1"/>
      <c r="P226" s="1"/>
      <c r="Q226" s="1"/>
      <c r="R226" s="1"/>
      <c r="S226" s="1">
        <v>12.5</v>
      </c>
      <c r="T226" s="1">
        <f t="shared" ref="T226" si="484">S226*1.34</f>
        <v>16.75</v>
      </c>
      <c r="U226" s="1">
        <v>12.1</v>
      </c>
      <c r="V226" s="1">
        <f t="shared" si="480"/>
        <v>16.214000000000002</v>
      </c>
      <c r="W226" s="1">
        <v>10.8</v>
      </c>
      <c r="X226" s="1">
        <f t="shared" si="456"/>
        <v>14.472000000000001</v>
      </c>
      <c r="Y226" s="1"/>
      <c r="Z226" s="1"/>
      <c r="AA226" s="1"/>
      <c r="AB226" s="1"/>
      <c r="AC226" s="1">
        <v>5.2</v>
      </c>
      <c r="AD226" s="1">
        <f t="shared" si="473"/>
        <v>14.3</v>
      </c>
      <c r="AE226" s="1">
        <f>2.9+3</f>
        <v>5.9</v>
      </c>
      <c r="AF226" s="1">
        <f t="shared" si="483"/>
        <v>16.225000000000001</v>
      </c>
      <c r="AG226" s="1">
        <v>3.5</v>
      </c>
      <c r="AH226" s="1">
        <f t="shared" ref="AH226:AH230" si="485">AG226*2.36</f>
        <v>8.26</v>
      </c>
      <c r="AI226" s="9"/>
      <c r="AJ226" s="9"/>
      <c r="AK226" s="9"/>
      <c r="AL226" s="9"/>
      <c r="AM226" s="1"/>
      <c r="AN226" s="1"/>
      <c r="AP226" s="1">
        <f t="shared" si="431"/>
        <v>0.79</v>
      </c>
      <c r="AQ226" s="1">
        <f t="shared" si="432"/>
        <v>0.21</v>
      </c>
      <c r="AR226" s="1">
        <f t="shared" si="474"/>
        <v>1</v>
      </c>
    </row>
    <row r="227" spans="2:44" x14ac:dyDescent="0.25">
      <c r="B227" t="s">
        <v>86</v>
      </c>
      <c r="C227" t="s">
        <v>85</v>
      </c>
      <c r="D227" s="1">
        <f>SUM(E227,G227,I227,K227,M227,O227,Q227,S227,U227,W227,Y227,AA227,AC227,AE227,AG227,AI227,AK227)</f>
        <v>90.5</v>
      </c>
      <c r="E227" s="1">
        <v>24.3</v>
      </c>
      <c r="F227" s="1">
        <f t="shared" si="481"/>
        <v>32.562000000000005</v>
      </c>
      <c r="G227" s="1">
        <v>9</v>
      </c>
      <c r="H227" s="1">
        <f t="shared" si="481"/>
        <v>12.06</v>
      </c>
      <c r="I227" s="1">
        <v>5.4</v>
      </c>
      <c r="J227" s="1">
        <f t="shared" si="471"/>
        <v>12.744</v>
      </c>
      <c r="K227" s="1">
        <v>4.5</v>
      </c>
      <c r="L227" s="1">
        <f t="shared" si="453"/>
        <v>10.62</v>
      </c>
      <c r="M227" s="1"/>
      <c r="N227" s="1"/>
      <c r="O227" s="1"/>
      <c r="P227" s="1"/>
      <c r="Q227" s="1"/>
      <c r="R227" s="1"/>
      <c r="S227" s="1">
        <v>14.2</v>
      </c>
      <c r="T227" s="1">
        <f t="shared" ref="T227" si="486">S227*1.34</f>
        <v>19.027999999999999</v>
      </c>
      <c r="U227" s="1">
        <v>11.5</v>
      </c>
      <c r="V227" s="1">
        <f t="shared" si="480"/>
        <v>15.41</v>
      </c>
      <c r="W227" s="1">
        <v>8.5</v>
      </c>
      <c r="X227" s="1">
        <f t="shared" si="456"/>
        <v>11.39</v>
      </c>
      <c r="Y227" s="1"/>
      <c r="Z227" s="1"/>
      <c r="AA227" s="1"/>
      <c r="AB227" s="1"/>
      <c r="AC227" s="1">
        <v>4.7</v>
      </c>
      <c r="AD227" s="1">
        <f t="shared" si="473"/>
        <v>12.925000000000001</v>
      </c>
      <c r="AE227" s="1">
        <v>4.9000000000000004</v>
      </c>
      <c r="AF227" s="1">
        <f t="shared" si="483"/>
        <v>13.475000000000001</v>
      </c>
      <c r="AG227" s="1">
        <v>3.5</v>
      </c>
      <c r="AH227" s="1">
        <f t="shared" si="485"/>
        <v>8.26</v>
      </c>
      <c r="AI227" s="9"/>
      <c r="AJ227" s="9"/>
      <c r="AK227" s="9"/>
      <c r="AL227" s="9"/>
      <c r="AM227" s="1"/>
      <c r="AN227" s="1"/>
      <c r="AP227" s="1">
        <f t="shared" si="431"/>
        <v>0.79</v>
      </c>
      <c r="AQ227" s="1">
        <f t="shared" si="432"/>
        <v>0.21</v>
      </c>
      <c r="AR227" s="1">
        <f t="shared" si="474"/>
        <v>1</v>
      </c>
    </row>
    <row r="228" spans="2:44" x14ac:dyDescent="0.25">
      <c r="B228" t="s">
        <v>42</v>
      </c>
      <c r="C228" t="s">
        <v>77</v>
      </c>
      <c r="D228" s="1">
        <f>SUM(E228,G228,I228,K228,M228,O228,Q228,S228,U228,W228,Y228,AA228,AC228,AE228,AG228,AI228,AK228)</f>
        <v>90.949999999999989</v>
      </c>
      <c r="E228" s="1">
        <v>20.149999999999999</v>
      </c>
      <c r="F228" s="1">
        <f t="shared" si="481"/>
        <v>27.001000000000001</v>
      </c>
      <c r="G228" s="1">
        <v>7</v>
      </c>
      <c r="H228" s="1">
        <f t="shared" si="481"/>
        <v>9.3800000000000008</v>
      </c>
      <c r="I228" s="1">
        <v>3.9</v>
      </c>
      <c r="J228" s="1">
        <f t="shared" si="471"/>
        <v>9.2039999999999988</v>
      </c>
      <c r="K228" s="1">
        <v>3.35</v>
      </c>
      <c r="L228" s="1">
        <f t="shared" si="453"/>
        <v>7.9059999999999997</v>
      </c>
      <c r="M228" s="1"/>
      <c r="N228" s="1"/>
      <c r="O228" s="1"/>
      <c r="P228" s="1"/>
      <c r="Q228" s="1"/>
      <c r="R228" s="1"/>
      <c r="S228" s="1">
        <v>12.7</v>
      </c>
      <c r="T228" s="1">
        <f t="shared" ref="T228" si="487">S228*1.34</f>
        <v>17.018000000000001</v>
      </c>
      <c r="U228" s="1">
        <v>11.75</v>
      </c>
      <c r="V228" s="1">
        <f t="shared" si="480"/>
        <v>15.745000000000001</v>
      </c>
      <c r="W228" s="1">
        <v>10.85</v>
      </c>
      <c r="X228" s="1">
        <f t="shared" si="456"/>
        <v>14.539</v>
      </c>
      <c r="Y228" s="1">
        <v>7.05</v>
      </c>
      <c r="Z228" s="1">
        <f t="shared" ref="Z228:Z230" si="488">Y228*1.34</f>
        <v>9.447000000000001</v>
      </c>
      <c r="AA228" s="1"/>
      <c r="AB228" s="1"/>
      <c r="AC228" s="1">
        <v>3.7</v>
      </c>
      <c r="AD228" s="1">
        <f t="shared" si="473"/>
        <v>10.175000000000001</v>
      </c>
      <c r="AE228" s="1">
        <v>8.4</v>
      </c>
      <c r="AF228" s="1">
        <f t="shared" si="483"/>
        <v>23.1</v>
      </c>
      <c r="AG228" s="1">
        <v>2.1</v>
      </c>
      <c r="AH228" s="1">
        <f t="shared" si="485"/>
        <v>4.9559999999999995</v>
      </c>
      <c r="AI228" s="9"/>
      <c r="AJ228" s="9"/>
      <c r="AK228" s="9"/>
      <c r="AL228" s="9"/>
      <c r="AM228" s="1"/>
      <c r="AN228" s="1"/>
      <c r="AP228" s="1">
        <f t="shared" si="431"/>
        <v>0.84</v>
      </c>
      <c r="AQ228" s="1">
        <f t="shared" si="432"/>
        <v>0.16</v>
      </c>
      <c r="AR228" s="1">
        <f t="shared" si="474"/>
        <v>1</v>
      </c>
    </row>
    <row r="229" spans="2:44" x14ac:dyDescent="0.25">
      <c r="B229" t="s">
        <v>43</v>
      </c>
      <c r="C229" t="s">
        <v>48</v>
      </c>
      <c r="D229" s="1">
        <f>SUM(E229,G229,I229,K229,M229,O229,Q229,S229,U229,W229,Y229,AA229,AC229,AE229,AG229,AI229,AK229)</f>
        <v>90.96</v>
      </c>
      <c r="E229" s="1">
        <v>20.309999999999999</v>
      </c>
      <c r="F229" s="1">
        <f t="shared" si="481"/>
        <v>27.215399999999999</v>
      </c>
      <c r="G229" s="1">
        <v>8.61</v>
      </c>
      <c r="H229" s="1">
        <f t="shared" si="481"/>
        <v>11.5374</v>
      </c>
      <c r="I229" s="1">
        <v>3.92</v>
      </c>
      <c r="J229" s="1">
        <f t="shared" si="471"/>
        <v>9.251199999999999</v>
      </c>
      <c r="K229" s="1">
        <v>3.93</v>
      </c>
      <c r="L229" s="1">
        <f t="shared" si="453"/>
        <v>9.274799999999999</v>
      </c>
      <c r="M229" s="1"/>
      <c r="N229" s="1"/>
      <c r="O229" s="1"/>
      <c r="P229" s="1"/>
      <c r="Q229" s="1"/>
      <c r="R229" s="1"/>
      <c r="S229" s="1">
        <v>13.59</v>
      </c>
      <c r="T229" s="1">
        <f t="shared" ref="T229" si="489">S229*1.34</f>
        <v>18.210599999999999</v>
      </c>
      <c r="U229" s="1">
        <v>9.9700000000000006</v>
      </c>
      <c r="V229" s="1">
        <f t="shared" si="480"/>
        <v>13.359800000000002</v>
      </c>
      <c r="W229" s="1">
        <v>10.01</v>
      </c>
      <c r="X229" s="1">
        <f t="shared" si="456"/>
        <v>13.413400000000001</v>
      </c>
      <c r="Y229" s="1">
        <v>7.98</v>
      </c>
      <c r="Z229" s="1">
        <f t="shared" si="488"/>
        <v>10.693200000000001</v>
      </c>
      <c r="AA229" s="1"/>
      <c r="AB229" s="1"/>
      <c r="AC229" s="1">
        <v>4.91</v>
      </c>
      <c r="AD229" s="1">
        <f t="shared" si="473"/>
        <v>13.502500000000001</v>
      </c>
      <c r="AE229" s="1">
        <v>5.85</v>
      </c>
      <c r="AF229" s="1">
        <f t="shared" si="483"/>
        <v>16.087499999999999</v>
      </c>
      <c r="AG229" s="1">
        <v>1.88</v>
      </c>
      <c r="AH229" s="1">
        <f t="shared" si="485"/>
        <v>4.4367999999999999</v>
      </c>
      <c r="AI229" s="9"/>
      <c r="AJ229" s="9"/>
      <c r="AK229" s="9"/>
      <c r="AL229" s="9"/>
      <c r="AM229" s="1">
        <v>6.62</v>
      </c>
      <c r="AN229" s="1">
        <f t="shared" ref="AN229:AN231" si="490">AM229*0.6</f>
        <v>3.972</v>
      </c>
      <c r="AP229" s="1">
        <f t="shared" si="431"/>
        <v>0.82</v>
      </c>
      <c r="AQ229" s="1">
        <f t="shared" si="432"/>
        <v>0.18</v>
      </c>
      <c r="AR229" s="1">
        <f t="shared" si="474"/>
        <v>1</v>
      </c>
    </row>
    <row r="230" spans="2:44" x14ac:dyDescent="0.25">
      <c r="B230" t="s">
        <v>43</v>
      </c>
      <c r="C230" t="s">
        <v>48</v>
      </c>
      <c r="D230" s="1">
        <f>SUM(E230,G230,I230,K230,M230,O230,Q230,S230,U230,W230,Y230,AA230,AC230,AE230,AG230,AI230,AK230)</f>
        <v>91.35</v>
      </c>
      <c r="E230" s="1">
        <v>20.420000000000002</v>
      </c>
      <c r="F230" s="1">
        <f t="shared" si="481"/>
        <v>27.362800000000004</v>
      </c>
      <c r="G230" s="1">
        <v>8.56</v>
      </c>
      <c r="H230" s="1">
        <f t="shared" si="481"/>
        <v>11.470400000000001</v>
      </c>
      <c r="I230" s="1">
        <v>3.89</v>
      </c>
      <c r="J230" s="1">
        <f t="shared" si="471"/>
        <v>9.1804000000000006</v>
      </c>
      <c r="K230" s="1">
        <v>3.98</v>
      </c>
      <c r="L230" s="1">
        <f t="shared" si="453"/>
        <v>9.3927999999999994</v>
      </c>
      <c r="M230" s="1"/>
      <c r="N230" s="1"/>
      <c r="O230" s="1"/>
      <c r="P230" s="1"/>
      <c r="Q230" s="1"/>
      <c r="R230" s="1"/>
      <c r="S230" s="1">
        <v>13.59</v>
      </c>
      <c r="T230" s="1">
        <f t="shared" ref="T230" si="491">S230*1.34</f>
        <v>18.210599999999999</v>
      </c>
      <c r="U230" s="1">
        <v>9.9700000000000006</v>
      </c>
      <c r="V230" s="1">
        <f t="shared" si="480"/>
        <v>13.359800000000002</v>
      </c>
      <c r="W230" s="1">
        <v>10.06</v>
      </c>
      <c r="X230" s="1">
        <f t="shared" si="456"/>
        <v>13.480400000000001</v>
      </c>
      <c r="Y230" s="1">
        <v>8.31</v>
      </c>
      <c r="Z230" s="1">
        <f t="shared" si="488"/>
        <v>11.135400000000001</v>
      </c>
      <c r="AA230" s="1"/>
      <c r="AB230" s="1"/>
      <c r="AC230" s="1">
        <v>4.91</v>
      </c>
      <c r="AD230" s="1">
        <f t="shared" si="473"/>
        <v>13.502500000000001</v>
      </c>
      <c r="AE230" s="1">
        <v>5.78</v>
      </c>
      <c r="AF230" s="1">
        <f t="shared" si="483"/>
        <v>15.895000000000001</v>
      </c>
      <c r="AG230" s="1">
        <v>1.88</v>
      </c>
      <c r="AH230" s="1">
        <f t="shared" si="485"/>
        <v>4.4367999999999999</v>
      </c>
      <c r="AI230" s="9"/>
      <c r="AJ230" s="9"/>
      <c r="AK230" s="9"/>
      <c r="AL230" s="9"/>
      <c r="AM230" s="1">
        <v>6.73</v>
      </c>
      <c r="AN230" s="1">
        <f t="shared" si="490"/>
        <v>4.0380000000000003</v>
      </c>
      <c r="AP230" s="1">
        <f t="shared" si="431"/>
        <v>0.82</v>
      </c>
      <c r="AQ230" s="1">
        <f t="shared" si="432"/>
        <v>0.18</v>
      </c>
      <c r="AR230" s="1">
        <f t="shared" si="474"/>
        <v>1</v>
      </c>
    </row>
    <row r="231" spans="2:44" x14ac:dyDescent="0.25">
      <c r="B231" t="s">
        <v>119</v>
      </c>
      <c r="C231" t="s">
        <v>120</v>
      </c>
      <c r="D231" s="1">
        <f>SUM(E231,G231,I231,K231,M231,O231,Q231,S231,U231,W231,Y231,AA231,AC231,AE231,AG231,AI231,AK231)</f>
        <v>91.399999999999991</v>
      </c>
      <c r="E231" s="1">
        <v>26.43</v>
      </c>
      <c r="F231" s="1">
        <f t="shared" si="481"/>
        <v>35.416200000000003</v>
      </c>
      <c r="G231" s="1">
        <v>11.98</v>
      </c>
      <c r="H231" s="1">
        <f t="shared" si="481"/>
        <v>16.0532</v>
      </c>
      <c r="I231" s="1">
        <v>3.8</v>
      </c>
      <c r="J231" s="1">
        <f t="shared" si="471"/>
        <v>8.968</v>
      </c>
      <c r="K231" s="1">
        <v>3.77</v>
      </c>
      <c r="L231" s="1">
        <f t="shared" si="453"/>
        <v>8.8971999999999998</v>
      </c>
      <c r="M231" s="1"/>
      <c r="N231" s="1"/>
      <c r="O231" s="1"/>
      <c r="P231" s="1"/>
      <c r="Q231" s="1"/>
      <c r="R231" s="1"/>
      <c r="S231" s="1">
        <v>14.87</v>
      </c>
      <c r="T231" s="1">
        <f t="shared" ref="T231" si="492">S231*1.34</f>
        <v>19.925799999999999</v>
      </c>
      <c r="U231" s="1">
        <v>11.47</v>
      </c>
      <c r="V231" s="1">
        <f t="shared" si="480"/>
        <v>15.369800000000001</v>
      </c>
      <c r="W231" s="1">
        <v>10.4</v>
      </c>
      <c r="X231" s="1">
        <f t="shared" si="456"/>
        <v>13.936000000000002</v>
      </c>
      <c r="Y231" s="1"/>
      <c r="Z231" s="1"/>
      <c r="AA231" s="1"/>
      <c r="AB231" s="1"/>
      <c r="AC231" s="1">
        <v>5.96</v>
      </c>
      <c r="AD231" s="1">
        <f t="shared" si="473"/>
        <v>16.39</v>
      </c>
      <c r="AE231" s="1">
        <v>2.72</v>
      </c>
      <c r="AF231" s="1">
        <f t="shared" si="483"/>
        <v>7.48</v>
      </c>
      <c r="AG231" s="1"/>
      <c r="AH231" s="1"/>
      <c r="AI231" s="9"/>
      <c r="AJ231" s="9"/>
      <c r="AK231" s="9"/>
      <c r="AL231" s="9"/>
      <c r="AM231" s="1">
        <v>13.71</v>
      </c>
      <c r="AN231" s="1">
        <f t="shared" si="490"/>
        <v>8.2260000000000009</v>
      </c>
      <c r="AP231" s="1">
        <f t="shared" si="431"/>
        <v>0.79</v>
      </c>
      <c r="AQ231" s="1">
        <f t="shared" si="432"/>
        <v>0.21</v>
      </c>
      <c r="AR231" s="1">
        <f t="shared" si="474"/>
        <v>1</v>
      </c>
    </row>
    <row r="232" spans="2:44" x14ac:dyDescent="0.25">
      <c r="C232" t="s">
        <v>65</v>
      </c>
      <c r="D232" s="1">
        <f>SUM(E232,G232,I232,K232,M232,O232,Q232,S232,U232,W232,Y232,AA232,AC232,AE232,AG232,AI232,AK232)</f>
        <v>91.460000000000022</v>
      </c>
      <c r="E232" s="1">
        <v>24.32</v>
      </c>
      <c r="F232" s="1">
        <f t="shared" si="481"/>
        <v>32.588799999999999</v>
      </c>
      <c r="G232" s="1">
        <v>8.6300000000000008</v>
      </c>
      <c r="H232" s="1">
        <f t="shared" si="481"/>
        <v>11.564200000000001</v>
      </c>
      <c r="I232" s="1">
        <v>5.35</v>
      </c>
      <c r="J232" s="1">
        <f t="shared" si="471"/>
        <v>12.625999999999998</v>
      </c>
      <c r="K232" s="1">
        <v>4.66</v>
      </c>
      <c r="L232" s="1">
        <f t="shared" si="453"/>
        <v>10.9976</v>
      </c>
      <c r="M232" s="1"/>
      <c r="N232" s="1"/>
      <c r="O232" s="1"/>
      <c r="P232" s="1"/>
      <c r="Q232" s="1"/>
      <c r="R232" s="1"/>
      <c r="S232" s="1">
        <v>14.65</v>
      </c>
      <c r="T232" s="1">
        <f t="shared" ref="T232" si="493">S232*1.34</f>
        <v>19.631</v>
      </c>
      <c r="U232" s="1">
        <v>8.94</v>
      </c>
      <c r="V232" s="1">
        <f t="shared" si="480"/>
        <v>11.9796</v>
      </c>
      <c r="W232" s="1">
        <v>8.56</v>
      </c>
      <c r="X232" s="1">
        <f t="shared" si="456"/>
        <v>11.470400000000001</v>
      </c>
      <c r="Y232" s="1">
        <v>8.51</v>
      </c>
      <c r="Z232" s="1">
        <f t="shared" ref="Z232" si="494">Y232*1.34</f>
        <v>11.4034</v>
      </c>
      <c r="AA232" s="1"/>
      <c r="AB232" s="1"/>
      <c r="AC232" s="1"/>
      <c r="AD232" s="1"/>
      <c r="AE232" s="1">
        <v>4.7</v>
      </c>
      <c r="AF232" s="1">
        <f t="shared" si="483"/>
        <v>12.925000000000001</v>
      </c>
      <c r="AG232" s="1">
        <v>3.14</v>
      </c>
      <c r="AH232" s="1">
        <f>AG232*2.36</f>
        <v>7.4104000000000001</v>
      </c>
      <c r="AI232" s="9"/>
      <c r="AJ232" s="9"/>
      <c r="AK232" s="9"/>
      <c r="AL232" s="9"/>
      <c r="AM232" s="1"/>
      <c r="AN232" s="1"/>
      <c r="AP232" s="1">
        <f t="shared" si="431"/>
        <v>0.8</v>
      </c>
      <c r="AQ232" s="1">
        <f t="shared" si="432"/>
        <v>0.2</v>
      </c>
      <c r="AR232" s="1">
        <f t="shared" si="474"/>
        <v>1</v>
      </c>
    </row>
    <row r="233" spans="2:44" x14ac:dyDescent="0.25">
      <c r="B233" t="s">
        <v>41</v>
      </c>
      <c r="C233" t="s">
        <v>47</v>
      </c>
      <c r="D233" s="1">
        <f>SUM(E233,G233,I233,K233,M233,O233,Q233,S233,U233,W233,Y233,AA233,AC233,AE233,AG233,AI233,AK233)</f>
        <v>91.5</v>
      </c>
      <c r="E233" s="1">
        <v>28.6</v>
      </c>
      <c r="F233" s="1">
        <f t="shared" si="481"/>
        <v>38.324000000000005</v>
      </c>
      <c r="G233" s="1">
        <v>9.6999999999999993</v>
      </c>
      <c r="H233" s="1">
        <f t="shared" si="481"/>
        <v>12.997999999999999</v>
      </c>
      <c r="I233" s="1">
        <v>4.4000000000000004</v>
      </c>
      <c r="J233" s="1">
        <f t="shared" si="471"/>
        <v>10.384</v>
      </c>
      <c r="K233" s="1">
        <v>3.8</v>
      </c>
      <c r="L233" s="1">
        <f t="shared" si="453"/>
        <v>8.968</v>
      </c>
      <c r="M233" s="1"/>
      <c r="N233" s="1"/>
      <c r="O233" s="1"/>
      <c r="P233" s="1"/>
      <c r="Q233" s="1"/>
      <c r="R233" s="1"/>
      <c r="S233" s="1">
        <v>13.9</v>
      </c>
      <c r="T233" s="1">
        <f t="shared" ref="T233" si="495">S233*1.34</f>
        <v>18.626000000000001</v>
      </c>
      <c r="U233" s="1">
        <v>10.9</v>
      </c>
      <c r="V233" s="1">
        <f t="shared" si="480"/>
        <v>14.606000000000002</v>
      </c>
      <c r="W233" s="1">
        <v>10.199999999999999</v>
      </c>
      <c r="X233" s="1">
        <f t="shared" si="456"/>
        <v>13.667999999999999</v>
      </c>
      <c r="Y233" s="1"/>
      <c r="Z233" s="1"/>
      <c r="AA233" s="1"/>
      <c r="AB233" s="1"/>
      <c r="AC233" s="1">
        <v>7</v>
      </c>
      <c r="AD233" s="1">
        <f t="shared" si="483"/>
        <v>19.25</v>
      </c>
      <c r="AE233" s="1">
        <v>3</v>
      </c>
      <c r="AF233" s="1">
        <f t="shared" si="483"/>
        <v>8.25</v>
      </c>
      <c r="AG233" s="1"/>
      <c r="AH233" s="1"/>
      <c r="AI233" s="9"/>
      <c r="AJ233" s="9"/>
      <c r="AK233" s="9"/>
      <c r="AL233" s="9"/>
      <c r="AM233" s="1">
        <f>10.2+1.2</f>
        <v>11.399999999999999</v>
      </c>
      <c r="AN233" s="1">
        <f t="shared" ref="AN233:AN237" si="496">AM233*0.6</f>
        <v>6.839999999999999</v>
      </c>
      <c r="AP233" s="1">
        <f t="shared" si="431"/>
        <v>0.8</v>
      </c>
      <c r="AQ233" s="1">
        <f t="shared" si="432"/>
        <v>0.2</v>
      </c>
      <c r="AR233" s="1">
        <f t="shared" si="474"/>
        <v>1</v>
      </c>
    </row>
    <row r="234" spans="2:44" x14ac:dyDescent="0.25">
      <c r="C234" t="s">
        <v>65</v>
      </c>
      <c r="D234" s="1">
        <f>SUM(E234,G234,I234,K234,M234,O234,Q234,S234,U234,W234,Y234,AA234,AC234,AE234,AG234,AI234,AK234)</f>
        <v>91.509999999999991</v>
      </c>
      <c r="E234" s="1">
        <v>22.51</v>
      </c>
      <c r="F234" s="1">
        <f t="shared" si="481"/>
        <v>30.163400000000003</v>
      </c>
      <c r="G234" s="1">
        <v>10.87</v>
      </c>
      <c r="H234" s="1">
        <f t="shared" si="481"/>
        <v>14.565799999999999</v>
      </c>
      <c r="I234" s="1">
        <v>4.67</v>
      </c>
      <c r="J234" s="1">
        <f t="shared" si="471"/>
        <v>11.021199999999999</v>
      </c>
      <c r="K234" s="1">
        <v>4.42</v>
      </c>
      <c r="L234" s="1">
        <f t="shared" si="453"/>
        <v>10.431199999999999</v>
      </c>
      <c r="M234" s="1"/>
      <c r="N234" s="1"/>
      <c r="O234" s="1"/>
      <c r="P234" s="1"/>
      <c r="Q234" s="1"/>
      <c r="R234" s="1"/>
      <c r="S234" s="1">
        <v>12.45</v>
      </c>
      <c r="T234" s="1">
        <f t="shared" ref="T234" si="497">S234*1.34</f>
        <v>16.683</v>
      </c>
      <c r="U234" s="1">
        <v>8.81</v>
      </c>
      <c r="V234" s="1">
        <f t="shared" si="480"/>
        <v>11.805400000000001</v>
      </c>
      <c r="W234" s="1">
        <v>8.4700000000000006</v>
      </c>
      <c r="X234" s="1">
        <f t="shared" si="456"/>
        <v>11.349800000000002</v>
      </c>
      <c r="Y234" s="1">
        <v>8.43</v>
      </c>
      <c r="Z234" s="1">
        <f t="shared" ref="Z234:Z235" si="498">Y234*1.34</f>
        <v>11.296200000000001</v>
      </c>
      <c r="AA234" s="1"/>
      <c r="AB234" s="1"/>
      <c r="AC234" s="1">
        <v>2.4700000000000002</v>
      </c>
      <c r="AD234" s="1">
        <f t="shared" si="483"/>
        <v>6.7925000000000004</v>
      </c>
      <c r="AE234" s="1">
        <v>5.94</v>
      </c>
      <c r="AF234" s="1">
        <f t="shared" si="483"/>
        <v>16.335000000000001</v>
      </c>
      <c r="AG234" s="1">
        <v>2.4700000000000002</v>
      </c>
      <c r="AH234" s="1">
        <f>AG234*2.36</f>
        <v>5.8292000000000002</v>
      </c>
      <c r="AI234" s="9"/>
      <c r="AJ234" s="9"/>
      <c r="AK234" s="9"/>
      <c r="AL234" s="9"/>
      <c r="AM234" s="1">
        <v>3.12</v>
      </c>
      <c r="AN234" s="1">
        <f t="shared" si="496"/>
        <v>1.8719999999999999</v>
      </c>
      <c r="AP234" s="1">
        <f t="shared" si="431"/>
        <v>0.78</v>
      </c>
      <c r="AQ234" s="1">
        <f t="shared" si="432"/>
        <v>0.22</v>
      </c>
      <c r="AR234" s="1">
        <f t="shared" si="474"/>
        <v>1</v>
      </c>
    </row>
    <row r="235" spans="2:44" x14ac:dyDescent="0.25">
      <c r="B235" t="s">
        <v>106</v>
      </c>
      <c r="C235" t="s">
        <v>112</v>
      </c>
      <c r="D235" s="1">
        <f>SUM(E235,G235,I235,K235,M235,O235,Q235,S235,U235,W235,Y235,AA235,AC235,AE235,AG235,AI235,AK235)</f>
        <v>92.03</v>
      </c>
      <c r="E235" s="1">
        <v>23.66</v>
      </c>
      <c r="F235" s="1">
        <f t="shared" si="481"/>
        <v>31.704400000000003</v>
      </c>
      <c r="G235" s="1">
        <v>11.58</v>
      </c>
      <c r="H235" s="1">
        <f t="shared" si="481"/>
        <v>15.517200000000001</v>
      </c>
      <c r="I235" s="1">
        <v>4.04</v>
      </c>
      <c r="J235" s="1">
        <f t="shared" si="471"/>
        <v>9.5343999999999998</v>
      </c>
      <c r="K235" s="1">
        <v>3.61</v>
      </c>
      <c r="L235" s="1">
        <f t="shared" si="453"/>
        <v>8.5195999999999987</v>
      </c>
      <c r="M235" s="1"/>
      <c r="N235" s="1"/>
      <c r="O235" s="1"/>
      <c r="P235" s="1"/>
      <c r="Q235" s="1"/>
      <c r="R235" s="1"/>
      <c r="S235" s="1">
        <v>11.19</v>
      </c>
      <c r="T235" s="1">
        <f t="shared" ref="T235" si="499">S235*1.34</f>
        <v>14.9946</v>
      </c>
      <c r="U235" s="1">
        <v>10.119999999999999</v>
      </c>
      <c r="V235" s="1">
        <f t="shared" si="480"/>
        <v>13.5608</v>
      </c>
      <c r="W235" s="1">
        <v>9.26</v>
      </c>
      <c r="X235" s="1">
        <f t="shared" si="456"/>
        <v>12.4084</v>
      </c>
      <c r="Y235" s="1">
        <v>6.32</v>
      </c>
      <c r="Z235" s="1">
        <f t="shared" si="498"/>
        <v>8.4688000000000017</v>
      </c>
      <c r="AA235" s="1"/>
      <c r="AB235" s="1"/>
      <c r="AC235" s="1">
        <v>7.07</v>
      </c>
      <c r="AD235" s="1">
        <f t="shared" si="483"/>
        <v>19.442500000000003</v>
      </c>
      <c r="AE235" s="1">
        <v>5.18</v>
      </c>
      <c r="AF235" s="1">
        <f t="shared" si="483"/>
        <v>14.244999999999999</v>
      </c>
      <c r="AG235" s="1"/>
      <c r="AH235" s="1"/>
      <c r="AI235" s="9"/>
      <c r="AJ235" s="9"/>
      <c r="AK235" s="9"/>
      <c r="AL235" s="9"/>
      <c r="AM235" s="1">
        <v>9.48</v>
      </c>
      <c r="AN235" s="1">
        <f t="shared" si="496"/>
        <v>5.6879999999999997</v>
      </c>
      <c r="AP235" s="1">
        <f t="shared" si="431"/>
        <v>0.79</v>
      </c>
      <c r="AQ235" s="1">
        <f t="shared" si="432"/>
        <v>0.21</v>
      </c>
      <c r="AR235" s="1">
        <f t="shared" si="474"/>
        <v>1</v>
      </c>
    </row>
    <row r="236" spans="2:44" x14ac:dyDescent="0.25">
      <c r="B236" t="s">
        <v>99</v>
      </c>
      <c r="C236" t="s">
        <v>100</v>
      </c>
      <c r="D236" s="1">
        <f>SUM(E236,G236,I236,K236,M236,O236,Q236,S236,U236,W236,Y236,AA236,AC236,AE236,AG236,AI236,AK236)</f>
        <v>92.199999999999989</v>
      </c>
      <c r="E236" s="1">
        <v>25.95</v>
      </c>
      <c r="F236" s="1">
        <f t="shared" si="481"/>
        <v>34.773000000000003</v>
      </c>
      <c r="G236" s="1">
        <v>13.05</v>
      </c>
      <c r="H236" s="1">
        <f t="shared" si="481"/>
        <v>17.487000000000002</v>
      </c>
      <c r="I236" s="1">
        <v>4.0999999999999996</v>
      </c>
      <c r="J236" s="1">
        <f t="shared" si="471"/>
        <v>9.6759999999999984</v>
      </c>
      <c r="K236" s="1">
        <v>4</v>
      </c>
      <c r="L236" s="1">
        <f t="shared" si="453"/>
        <v>9.44</v>
      </c>
      <c r="M236" s="1"/>
      <c r="N236" s="1"/>
      <c r="O236" s="1"/>
      <c r="P236" s="1"/>
      <c r="Q236" s="1"/>
      <c r="R236" s="1"/>
      <c r="S236" s="1">
        <v>15.25</v>
      </c>
      <c r="T236" s="1">
        <f t="shared" ref="T236" si="500">S236*1.34</f>
        <v>20.435000000000002</v>
      </c>
      <c r="U236" s="1">
        <v>10.25</v>
      </c>
      <c r="V236" s="1">
        <f t="shared" si="480"/>
        <v>13.735000000000001</v>
      </c>
      <c r="W236" s="1">
        <v>10</v>
      </c>
      <c r="X236" s="1">
        <f t="shared" si="456"/>
        <v>13.4</v>
      </c>
      <c r="Y236" s="1"/>
      <c r="Z236" s="1"/>
      <c r="AA236" s="1"/>
      <c r="AB236" s="1"/>
      <c r="AC236" s="1">
        <v>8.3000000000000007</v>
      </c>
      <c r="AD236" s="1">
        <f t="shared" si="483"/>
        <v>22.825000000000003</v>
      </c>
      <c r="AE236" s="1">
        <v>1.3</v>
      </c>
      <c r="AF236" s="1">
        <f t="shared" si="483"/>
        <v>3.5750000000000002</v>
      </c>
      <c r="AG236" s="1"/>
      <c r="AH236" s="1"/>
      <c r="AI236" s="9"/>
      <c r="AJ236" s="9"/>
      <c r="AK236" s="9"/>
      <c r="AL236" s="9"/>
      <c r="AM236" s="1">
        <v>19.8</v>
      </c>
      <c r="AN236" s="1">
        <f t="shared" si="496"/>
        <v>11.88</v>
      </c>
      <c r="AP236" s="1">
        <f t="shared" si="431"/>
        <v>0.77</v>
      </c>
      <c r="AQ236" s="1">
        <f t="shared" si="432"/>
        <v>0.23</v>
      </c>
      <c r="AR236" s="1">
        <f t="shared" si="474"/>
        <v>1</v>
      </c>
    </row>
    <row r="237" spans="2:44" x14ac:dyDescent="0.25">
      <c r="B237" t="s">
        <v>41</v>
      </c>
      <c r="C237" t="s">
        <v>47</v>
      </c>
      <c r="D237" s="1">
        <f>SUM(E237,G237,I237,K237,M237,O237,Q237,S237,U237,W237,Y237,AA237,AC237,AE237,AG237,AI237,AK237)</f>
        <v>92.800000000000011</v>
      </c>
      <c r="E237" s="1">
        <v>29.5</v>
      </c>
      <c r="F237" s="1">
        <f t="shared" si="481"/>
        <v>39.53</v>
      </c>
      <c r="G237" s="1">
        <v>9.9</v>
      </c>
      <c r="H237" s="1">
        <f t="shared" si="481"/>
        <v>13.266000000000002</v>
      </c>
      <c r="I237" s="1">
        <v>4.0999999999999996</v>
      </c>
      <c r="J237" s="1">
        <f t="shared" si="471"/>
        <v>9.6759999999999984</v>
      </c>
      <c r="K237" s="1">
        <v>4</v>
      </c>
      <c r="L237" s="1">
        <f t="shared" si="453"/>
        <v>9.44</v>
      </c>
      <c r="M237" s="1"/>
      <c r="N237" s="1"/>
      <c r="O237" s="1"/>
      <c r="P237" s="1"/>
      <c r="Q237" s="1"/>
      <c r="R237" s="1"/>
      <c r="S237" s="1">
        <v>12.9</v>
      </c>
      <c r="T237" s="1">
        <f t="shared" ref="T237" si="501">S237*1.34</f>
        <v>17.286000000000001</v>
      </c>
      <c r="U237" s="1">
        <v>10.3</v>
      </c>
      <c r="V237" s="1">
        <f t="shared" si="480"/>
        <v>13.802000000000001</v>
      </c>
      <c r="W237" s="1">
        <v>12.3</v>
      </c>
      <c r="X237" s="1">
        <f t="shared" si="456"/>
        <v>16.482000000000003</v>
      </c>
      <c r="Y237" s="1"/>
      <c r="Z237" s="1"/>
      <c r="AA237" s="1"/>
      <c r="AB237" s="1"/>
      <c r="AC237" s="1">
        <v>5.4</v>
      </c>
      <c r="AD237" s="1">
        <f t="shared" si="483"/>
        <v>14.850000000000001</v>
      </c>
      <c r="AE237" s="1">
        <v>4.4000000000000004</v>
      </c>
      <c r="AF237" s="1">
        <f t="shared" si="483"/>
        <v>12.100000000000001</v>
      </c>
      <c r="AG237" s="1"/>
      <c r="AH237" s="1"/>
      <c r="AI237" s="9"/>
      <c r="AJ237" s="9"/>
      <c r="AK237" s="9"/>
      <c r="AL237" s="9"/>
      <c r="AM237" s="1">
        <v>10.6</v>
      </c>
      <c r="AN237" s="1">
        <f t="shared" si="496"/>
        <v>6.3599999999999994</v>
      </c>
      <c r="AP237" s="1">
        <f t="shared" si="431"/>
        <v>0.81</v>
      </c>
      <c r="AQ237" s="1">
        <f t="shared" si="432"/>
        <v>0.19</v>
      </c>
      <c r="AR237" s="1">
        <f t="shared" si="474"/>
        <v>1</v>
      </c>
    </row>
    <row r="238" spans="2:44" x14ac:dyDescent="0.25">
      <c r="B238" t="s">
        <v>95</v>
      </c>
      <c r="C238" t="s">
        <v>96</v>
      </c>
      <c r="D238" s="1">
        <f>SUM(E238,G238,I238,K238,M238,O238,Q238,S238,U238,W238,Y238,AA238,AC238,AE238,AG238,AI238,AK238)</f>
        <v>92.850000000000009</v>
      </c>
      <c r="E238" s="1">
        <v>20.25</v>
      </c>
      <c r="F238" s="1">
        <f t="shared" si="481"/>
        <v>27.135000000000002</v>
      </c>
      <c r="G238" s="1">
        <v>9.5</v>
      </c>
      <c r="H238" s="1">
        <f t="shared" si="481"/>
        <v>12.73</v>
      </c>
      <c r="I238" s="1">
        <v>4.2300000000000004</v>
      </c>
      <c r="J238" s="1">
        <f t="shared" si="471"/>
        <v>9.982800000000001</v>
      </c>
      <c r="K238" s="1">
        <v>4.18</v>
      </c>
      <c r="L238" s="1">
        <f t="shared" si="453"/>
        <v>9.8647999999999989</v>
      </c>
      <c r="M238" s="1"/>
      <c r="N238" s="1"/>
      <c r="O238" s="1"/>
      <c r="P238" s="1"/>
      <c r="Q238" s="1"/>
      <c r="R238" s="1"/>
      <c r="S238" s="1">
        <v>15.87</v>
      </c>
      <c r="T238" s="1">
        <f t="shared" ref="T238" si="502">S238*1.34</f>
        <v>21.265799999999999</v>
      </c>
      <c r="U238" s="1">
        <v>11.98</v>
      </c>
      <c r="V238" s="1">
        <f t="shared" si="480"/>
        <v>16.0532</v>
      </c>
      <c r="W238" s="1">
        <v>11.87</v>
      </c>
      <c r="X238" s="1">
        <f t="shared" si="456"/>
        <v>15.905799999999999</v>
      </c>
      <c r="Y238" s="1"/>
      <c r="Z238" s="1"/>
      <c r="AA238" s="1"/>
      <c r="AB238" s="1"/>
      <c r="AC238" s="1">
        <v>5.24</v>
      </c>
      <c r="AD238" s="1">
        <f t="shared" si="483"/>
        <v>14.41</v>
      </c>
      <c r="AE238" s="1">
        <v>5.79</v>
      </c>
      <c r="AF238" s="1">
        <f t="shared" si="483"/>
        <v>15.922499999999999</v>
      </c>
      <c r="AG238" s="1">
        <v>3.94</v>
      </c>
      <c r="AH238" s="1">
        <f t="shared" ref="AH238" si="503">AG238*2.36</f>
        <v>9.2983999999999991</v>
      </c>
      <c r="AI238" s="9"/>
      <c r="AJ238" s="9"/>
      <c r="AK238" s="9"/>
      <c r="AL238" s="9"/>
      <c r="AM238" s="1"/>
      <c r="AN238" s="1"/>
      <c r="AP238" s="1">
        <f t="shared" si="431"/>
        <v>0.81</v>
      </c>
      <c r="AQ238" s="1">
        <f t="shared" si="432"/>
        <v>0.19</v>
      </c>
      <c r="AR238" s="1">
        <f t="shared" si="474"/>
        <v>1</v>
      </c>
    </row>
    <row r="239" spans="2:44" x14ac:dyDescent="0.25">
      <c r="B239" t="s">
        <v>110</v>
      </c>
      <c r="C239" t="s">
        <v>111</v>
      </c>
      <c r="D239" s="1">
        <f>SUM(E239,G239,I239,K239,M239,O239,Q239,S239,U239,W239,Y239,AA239,AC239,AE239,AG239,AI239,AK239)</f>
        <v>93.3</v>
      </c>
      <c r="E239" s="1">
        <v>25.35</v>
      </c>
      <c r="F239" s="1">
        <f t="shared" ref="F239:H241" si="504">E239*1.34</f>
        <v>33.969000000000001</v>
      </c>
      <c r="G239" s="1">
        <v>11.25</v>
      </c>
      <c r="H239" s="1">
        <f t="shared" si="504"/>
        <v>15.075000000000001</v>
      </c>
      <c r="I239" s="1">
        <v>5.69</v>
      </c>
      <c r="J239" s="1">
        <f t="shared" si="471"/>
        <v>13.4284</v>
      </c>
      <c r="K239" s="1">
        <v>3.82</v>
      </c>
      <c r="L239" s="1">
        <f t="shared" si="453"/>
        <v>9.0151999999999983</v>
      </c>
      <c r="M239" s="1"/>
      <c r="N239" s="1"/>
      <c r="O239" s="1"/>
      <c r="P239" s="1"/>
      <c r="Q239" s="1"/>
      <c r="R239" s="1"/>
      <c r="S239" s="1">
        <v>12.31</v>
      </c>
      <c r="T239" s="1">
        <f t="shared" ref="T239" si="505">S239*1.34</f>
        <v>16.4954</v>
      </c>
      <c r="U239" s="1">
        <v>11.82</v>
      </c>
      <c r="V239" s="1">
        <f t="shared" si="480"/>
        <v>15.838800000000001</v>
      </c>
      <c r="W239" s="1"/>
      <c r="X239" s="1"/>
      <c r="Y239" s="1"/>
      <c r="Z239" s="1"/>
      <c r="AA239" s="1"/>
      <c r="AB239" s="1"/>
      <c r="AC239" s="1">
        <v>3.57</v>
      </c>
      <c r="AD239" s="1">
        <f t="shared" si="483"/>
        <v>9.817499999999999</v>
      </c>
      <c r="AE239" s="1">
        <v>8.5399999999999991</v>
      </c>
      <c r="AF239" s="1">
        <f t="shared" si="483"/>
        <v>23.484999999999999</v>
      </c>
      <c r="AG239" s="1">
        <v>5.25</v>
      </c>
      <c r="AH239" s="1">
        <f>AG239*2.36</f>
        <v>12.389999999999999</v>
      </c>
      <c r="AI239" s="9">
        <v>5.7</v>
      </c>
      <c r="AJ239" s="9">
        <f t="shared" ref="AJ239" si="506">AI239*2.75</f>
        <v>15.675000000000001</v>
      </c>
      <c r="AK239" s="9"/>
      <c r="AL239" s="9"/>
      <c r="AM239" s="1">
        <f>61.2+3.3</f>
        <v>64.5</v>
      </c>
      <c r="AN239" s="1">
        <f t="shared" ref="AN239:AN243" si="507">AM239*0.6</f>
        <v>38.699999999999996</v>
      </c>
      <c r="AP239" s="1">
        <f t="shared" si="431"/>
        <v>0.78</v>
      </c>
      <c r="AQ239" s="1">
        <f t="shared" si="432"/>
        <v>0.22</v>
      </c>
      <c r="AR239" s="1">
        <f t="shared" si="474"/>
        <v>1</v>
      </c>
    </row>
    <row r="240" spans="2:44" x14ac:dyDescent="0.25">
      <c r="B240" t="s">
        <v>41</v>
      </c>
      <c r="C240" t="s">
        <v>47</v>
      </c>
      <c r="D240" s="1">
        <f>SUM(E240,G240,I240,K240,M240,O240,Q240,S240,U240,W240,Y240,AA240,AC240,AE240,AG240,AI240,AK240)</f>
        <v>93.300000000000011</v>
      </c>
      <c r="E240" s="1">
        <v>30.2</v>
      </c>
      <c r="F240" s="1">
        <f t="shared" si="504"/>
        <v>40.468000000000004</v>
      </c>
      <c r="G240" s="1">
        <v>9.8000000000000007</v>
      </c>
      <c r="H240" s="1">
        <f t="shared" si="504"/>
        <v>13.132000000000001</v>
      </c>
      <c r="I240" s="1">
        <v>4.0999999999999996</v>
      </c>
      <c r="J240" s="1">
        <f t="shared" si="471"/>
        <v>9.6759999999999984</v>
      </c>
      <c r="K240" s="1">
        <v>3.9</v>
      </c>
      <c r="L240" s="1">
        <f t="shared" si="453"/>
        <v>9.2039999999999988</v>
      </c>
      <c r="M240" s="1"/>
      <c r="N240" s="1"/>
      <c r="O240" s="1"/>
      <c r="P240" s="1"/>
      <c r="Q240" s="1"/>
      <c r="R240" s="1"/>
      <c r="S240" s="1">
        <v>12.9</v>
      </c>
      <c r="T240" s="1">
        <f t="shared" ref="T240" si="508">S240*1.34</f>
        <v>17.286000000000001</v>
      </c>
      <c r="U240" s="1">
        <v>12.3</v>
      </c>
      <c r="V240" s="1">
        <f t="shared" si="480"/>
        <v>16.482000000000003</v>
      </c>
      <c r="W240" s="1">
        <v>10.3</v>
      </c>
      <c r="X240" s="1">
        <f t="shared" ref="X240:X291" si="509">W240*1.34</f>
        <v>13.802000000000001</v>
      </c>
      <c r="Y240" s="1"/>
      <c r="Z240" s="1"/>
      <c r="AA240" s="1"/>
      <c r="AB240" s="1"/>
      <c r="AC240" s="1">
        <v>5.4</v>
      </c>
      <c r="AD240" s="1">
        <f t="shared" si="483"/>
        <v>14.850000000000001</v>
      </c>
      <c r="AE240" s="1">
        <v>4.4000000000000004</v>
      </c>
      <c r="AF240" s="1">
        <f t="shared" si="483"/>
        <v>12.100000000000001</v>
      </c>
      <c r="AG240" s="1"/>
      <c r="AH240" s="1"/>
      <c r="AI240" s="9"/>
      <c r="AJ240" s="9"/>
      <c r="AK240" s="9"/>
      <c r="AL240" s="9"/>
      <c r="AM240" s="1">
        <f>8+1.9</f>
        <v>9.9</v>
      </c>
      <c r="AN240" s="1">
        <f t="shared" si="507"/>
        <v>5.94</v>
      </c>
      <c r="AP240" s="1">
        <f t="shared" si="431"/>
        <v>0.81</v>
      </c>
      <c r="AQ240" s="1">
        <f t="shared" si="432"/>
        <v>0.19</v>
      </c>
      <c r="AR240" s="1">
        <f t="shared" si="474"/>
        <v>1</v>
      </c>
    </row>
    <row r="241" spans="2:44" x14ac:dyDescent="0.25">
      <c r="B241" t="s">
        <v>41</v>
      </c>
      <c r="C241" t="s">
        <v>47</v>
      </c>
      <c r="D241" s="1">
        <f>SUM(E241,G241,I241,K241,M241,O241,Q241,S241,U241,W241,Y241,AA241,AC241,AE241,AG241,AI241,AK241)</f>
        <v>93.4</v>
      </c>
      <c r="E241" s="1">
        <v>30.2</v>
      </c>
      <c r="F241" s="1">
        <f t="shared" si="504"/>
        <v>40.468000000000004</v>
      </c>
      <c r="G241" s="1">
        <v>9.8000000000000007</v>
      </c>
      <c r="H241" s="1">
        <f t="shared" si="504"/>
        <v>13.132000000000001</v>
      </c>
      <c r="I241" s="1">
        <v>4.0999999999999996</v>
      </c>
      <c r="J241" s="1">
        <f t="shared" si="471"/>
        <v>9.6759999999999984</v>
      </c>
      <c r="K241" s="1">
        <v>3.9</v>
      </c>
      <c r="L241" s="1">
        <f t="shared" si="453"/>
        <v>9.2039999999999988</v>
      </c>
      <c r="M241" s="1"/>
      <c r="N241" s="1"/>
      <c r="O241" s="1"/>
      <c r="P241" s="1"/>
      <c r="Q241" s="1"/>
      <c r="R241" s="1"/>
      <c r="S241" s="1">
        <v>12.9</v>
      </c>
      <c r="T241" s="1">
        <f t="shared" ref="T241" si="510">S241*1.34</f>
        <v>17.286000000000001</v>
      </c>
      <c r="U241" s="1">
        <v>12.3</v>
      </c>
      <c r="V241" s="1">
        <f t="shared" si="480"/>
        <v>16.482000000000003</v>
      </c>
      <c r="W241" s="1">
        <v>10.3</v>
      </c>
      <c r="X241" s="1">
        <f t="shared" si="509"/>
        <v>13.802000000000001</v>
      </c>
      <c r="Y241" s="1"/>
      <c r="Z241" s="1"/>
      <c r="AA241" s="1"/>
      <c r="AB241" s="1"/>
      <c r="AC241" s="1">
        <v>5.5</v>
      </c>
      <c r="AD241" s="1">
        <f t="shared" si="483"/>
        <v>15.125</v>
      </c>
      <c r="AE241" s="1">
        <v>4.4000000000000004</v>
      </c>
      <c r="AF241" s="1">
        <f t="shared" si="483"/>
        <v>12.100000000000001</v>
      </c>
      <c r="AG241" s="1"/>
      <c r="AH241" s="1"/>
      <c r="AI241" s="9"/>
      <c r="AJ241" s="9"/>
      <c r="AK241" s="9"/>
      <c r="AL241" s="9"/>
      <c r="AM241" s="1">
        <f>8+1.9</f>
        <v>9.9</v>
      </c>
      <c r="AN241" s="1">
        <f t="shared" si="507"/>
        <v>5.94</v>
      </c>
      <c r="AP241" s="1">
        <f t="shared" si="431"/>
        <v>0.81</v>
      </c>
      <c r="AQ241" s="1">
        <f t="shared" si="432"/>
        <v>0.19</v>
      </c>
      <c r="AR241" s="1">
        <f t="shared" si="474"/>
        <v>1</v>
      </c>
    </row>
    <row r="242" spans="2:44" x14ac:dyDescent="0.25">
      <c r="B242" t="s">
        <v>42</v>
      </c>
      <c r="C242" t="s">
        <v>46</v>
      </c>
      <c r="D242" s="1">
        <f>SUM(E242,G242,I242,K242,M242,O242,Q242,S242,U242,W242,Y242,AA242,AC242,AE242,AG242,AI242,AK242)</f>
        <v>94.8</v>
      </c>
      <c r="E242" s="1">
        <v>22</v>
      </c>
      <c r="F242" s="1">
        <f t="shared" ref="F242:H243" si="511">E242*1.34</f>
        <v>29.48</v>
      </c>
      <c r="G242" s="1">
        <v>8.6</v>
      </c>
      <c r="H242" s="1">
        <f t="shared" si="511"/>
        <v>11.524000000000001</v>
      </c>
      <c r="I242" s="1">
        <v>5.5</v>
      </c>
      <c r="J242" s="1">
        <f t="shared" si="471"/>
        <v>12.979999999999999</v>
      </c>
      <c r="K242" s="1">
        <v>4.4000000000000004</v>
      </c>
      <c r="L242" s="1">
        <f t="shared" si="453"/>
        <v>10.384</v>
      </c>
      <c r="M242" s="1"/>
      <c r="N242" s="1"/>
      <c r="O242" s="1"/>
      <c r="P242" s="1"/>
      <c r="Q242" s="1"/>
      <c r="R242" s="1"/>
      <c r="S242" s="1">
        <v>15.4</v>
      </c>
      <c r="T242" s="1">
        <f t="shared" ref="T242" si="512">S242*1.34</f>
        <v>20.636000000000003</v>
      </c>
      <c r="U242" s="1">
        <v>8.9</v>
      </c>
      <c r="V242" s="1">
        <f t="shared" si="480"/>
        <v>11.926000000000002</v>
      </c>
      <c r="W242" s="1">
        <v>8.8000000000000007</v>
      </c>
      <c r="X242" s="1">
        <f t="shared" si="509"/>
        <v>11.792000000000002</v>
      </c>
      <c r="Y242" s="1">
        <v>8</v>
      </c>
      <c r="Z242" s="1">
        <f t="shared" ref="Z242:Z243" si="513">Y242*1.34</f>
        <v>10.72</v>
      </c>
      <c r="AA242" s="1"/>
      <c r="AB242" s="1"/>
      <c r="AC242" s="1"/>
      <c r="AD242" s="1"/>
      <c r="AE242" s="1">
        <v>13.2</v>
      </c>
      <c r="AF242" s="1">
        <f t="shared" si="483"/>
        <v>36.299999999999997</v>
      </c>
      <c r="AG242" s="1"/>
      <c r="AH242" s="1"/>
      <c r="AI242" s="9"/>
      <c r="AJ242" s="9"/>
      <c r="AK242" s="9"/>
      <c r="AL242" s="9"/>
      <c r="AM242" s="1">
        <f>10.7+1.2</f>
        <v>11.899999999999999</v>
      </c>
      <c r="AN242" s="1">
        <f t="shared" si="507"/>
        <v>7.1399999999999988</v>
      </c>
      <c r="AP242" s="1">
        <f t="shared" si="431"/>
        <v>0.8</v>
      </c>
      <c r="AQ242" s="1">
        <f t="shared" si="432"/>
        <v>0.2</v>
      </c>
      <c r="AR242" s="1">
        <f t="shared" si="474"/>
        <v>1</v>
      </c>
    </row>
    <row r="243" spans="2:44" x14ac:dyDescent="0.25">
      <c r="B243" t="s">
        <v>41</v>
      </c>
      <c r="C243" t="s">
        <v>47</v>
      </c>
      <c r="D243" s="1">
        <f>SUM(E243,G243,I243,K243,M243,O243,Q243,S243,U243,W243,Y243,AA243,AC243,AE243,AG243,AI243,AK243)</f>
        <v>95.199999999999989</v>
      </c>
      <c r="E243" s="1">
        <v>25.4</v>
      </c>
      <c r="F243" s="1">
        <f t="shared" si="511"/>
        <v>34.036000000000001</v>
      </c>
      <c r="G243" s="1">
        <v>9.5</v>
      </c>
      <c r="H243" s="1">
        <f t="shared" si="511"/>
        <v>12.73</v>
      </c>
      <c r="I243" s="1">
        <v>4.4000000000000004</v>
      </c>
      <c r="J243" s="1">
        <f t="shared" si="471"/>
        <v>10.384</v>
      </c>
      <c r="K243" s="1">
        <v>3.9</v>
      </c>
      <c r="L243" s="1">
        <f t="shared" si="453"/>
        <v>9.2039999999999988</v>
      </c>
      <c r="M243" s="1"/>
      <c r="N243" s="1"/>
      <c r="O243" s="1"/>
      <c r="P243" s="1"/>
      <c r="Q243" s="1"/>
      <c r="R243" s="1"/>
      <c r="S243" s="1">
        <v>14</v>
      </c>
      <c r="T243" s="1">
        <f t="shared" ref="T243" si="514">S243*1.34</f>
        <v>18.760000000000002</v>
      </c>
      <c r="U243" s="1">
        <v>9.8000000000000007</v>
      </c>
      <c r="V243" s="1">
        <f t="shared" si="480"/>
        <v>13.132000000000001</v>
      </c>
      <c r="W243" s="1">
        <v>9.1</v>
      </c>
      <c r="X243" s="1">
        <f t="shared" si="509"/>
        <v>12.194000000000001</v>
      </c>
      <c r="Y243" s="1">
        <v>9.1</v>
      </c>
      <c r="Z243" s="1">
        <f t="shared" si="513"/>
        <v>12.194000000000001</v>
      </c>
      <c r="AA243" s="1"/>
      <c r="AB243" s="1"/>
      <c r="AC243" s="1">
        <v>4.3</v>
      </c>
      <c r="AD243" s="1">
        <f t="shared" ref="AD243" si="515">AC243*2.75</f>
        <v>11.824999999999999</v>
      </c>
      <c r="AE243" s="1">
        <v>5.7</v>
      </c>
      <c r="AF243" s="1">
        <f t="shared" si="483"/>
        <v>15.675000000000001</v>
      </c>
      <c r="AG243" s="1"/>
      <c r="AH243" s="1"/>
      <c r="AI243" s="9"/>
      <c r="AJ243" s="9"/>
      <c r="AK243" s="9"/>
      <c r="AL243" s="9"/>
      <c r="AM243" s="1">
        <f>17.1+2.2</f>
        <v>19.3</v>
      </c>
      <c r="AN243" s="1">
        <f t="shared" si="507"/>
        <v>11.58</v>
      </c>
      <c r="AP243" s="1">
        <f t="shared" si="431"/>
        <v>0.81</v>
      </c>
      <c r="AQ243" s="1">
        <f t="shared" si="432"/>
        <v>0.19</v>
      </c>
      <c r="AR243" s="1">
        <f t="shared" si="474"/>
        <v>1</v>
      </c>
    </row>
    <row r="244" spans="2:44" x14ac:dyDescent="0.25">
      <c r="B244" t="s">
        <v>117</v>
      </c>
      <c r="C244" t="s">
        <v>118</v>
      </c>
      <c r="D244" s="1">
        <f>SUM(E244,G244,I244,K244,M244,O244,Q244,S244,U244,W244,Y244,AA244,AC244,AE244,AG244,AI244,AK244)</f>
        <v>95.36999999999999</v>
      </c>
      <c r="E244" s="1">
        <v>25.63</v>
      </c>
      <c r="F244" s="1">
        <f t="shared" ref="F244:H252" si="516">E244*1.34</f>
        <v>34.344200000000001</v>
      </c>
      <c r="G244" s="1">
        <v>11.38</v>
      </c>
      <c r="H244" s="1">
        <f t="shared" si="516"/>
        <v>15.249200000000002</v>
      </c>
      <c r="I244" s="1">
        <v>4.6500000000000004</v>
      </c>
      <c r="J244" s="1">
        <f t="shared" si="471"/>
        <v>10.974</v>
      </c>
      <c r="K244" s="1">
        <v>4.32</v>
      </c>
      <c r="L244" s="1">
        <f t="shared" si="453"/>
        <v>10.1952</v>
      </c>
      <c r="M244" s="1"/>
      <c r="N244" s="1"/>
      <c r="O244" s="1"/>
      <c r="P244" s="1"/>
      <c r="Q244" s="1"/>
      <c r="R244" s="1"/>
      <c r="S244" s="1">
        <v>15.65</v>
      </c>
      <c r="T244" s="1">
        <f t="shared" ref="T244" si="517">S244*1.34</f>
        <v>20.971</v>
      </c>
      <c r="U244" s="1">
        <v>12.94</v>
      </c>
      <c r="V244" s="1">
        <f t="shared" si="480"/>
        <v>17.339600000000001</v>
      </c>
      <c r="W244" s="1">
        <v>12.84</v>
      </c>
      <c r="X244" s="1">
        <f t="shared" si="509"/>
        <v>17.2056</v>
      </c>
      <c r="Y244" s="1"/>
      <c r="Z244" s="1"/>
      <c r="AA244" s="1"/>
      <c r="AB244" s="1"/>
      <c r="AC244" s="1">
        <v>2.85</v>
      </c>
      <c r="AD244" s="1">
        <f t="shared" ref="AD244" si="518">AC244*2.75</f>
        <v>7.8375000000000004</v>
      </c>
      <c r="AE244" s="1">
        <v>5.1100000000000003</v>
      </c>
      <c r="AF244" s="1">
        <f t="shared" si="483"/>
        <v>14.0525</v>
      </c>
      <c r="AG244" s="1"/>
      <c r="AH244" s="1"/>
      <c r="AI244" s="9"/>
      <c r="AJ244" s="9"/>
      <c r="AK244" s="9"/>
      <c r="AL244" s="9"/>
      <c r="AM244" s="1">
        <v>2.7</v>
      </c>
      <c r="AN244" s="1">
        <f t="shared" ref="AN244:AN245" si="519">AM244*0.6</f>
        <v>1.62</v>
      </c>
      <c r="AP244" s="1">
        <f t="shared" si="431"/>
        <v>0.79</v>
      </c>
      <c r="AQ244" s="1">
        <f t="shared" si="432"/>
        <v>0.21</v>
      </c>
      <c r="AR244" s="1">
        <f t="shared" si="474"/>
        <v>1</v>
      </c>
    </row>
    <row r="245" spans="2:44" x14ac:dyDescent="0.25">
      <c r="B245" t="s">
        <v>42</v>
      </c>
      <c r="C245" t="s">
        <v>46</v>
      </c>
      <c r="D245" s="1">
        <f>SUM(E245,G245,I245,K245,M245,O245,Q245,S245,U245,W245,Y245,AA245,AC245,AE245,AG245,AI245,AK245)</f>
        <v>95.399999999999991</v>
      </c>
      <c r="E245" s="1">
        <v>24.8</v>
      </c>
      <c r="F245" s="1">
        <f t="shared" si="516"/>
        <v>33.232000000000006</v>
      </c>
      <c r="G245" s="1">
        <v>9.1</v>
      </c>
      <c r="H245" s="1">
        <f t="shared" si="516"/>
        <v>12.194000000000001</v>
      </c>
      <c r="I245" s="1">
        <v>3.6</v>
      </c>
      <c r="J245" s="1">
        <f t="shared" si="471"/>
        <v>8.4960000000000004</v>
      </c>
      <c r="K245" s="1">
        <v>3.4</v>
      </c>
      <c r="L245" s="1">
        <f t="shared" si="453"/>
        <v>8.0239999999999991</v>
      </c>
      <c r="M245" s="1"/>
      <c r="N245" s="1"/>
      <c r="O245" s="1"/>
      <c r="P245" s="1"/>
      <c r="Q245" s="1">
        <v>1.8</v>
      </c>
      <c r="R245" s="1">
        <f>Q245*2.36</f>
        <v>4.2480000000000002</v>
      </c>
      <c r="S245" s="1">
        <v>14.2</v>
      </c>
      <c r="T245" s="1">
        <f t="shared" ref="T245" si="520">S245*1.34</f>
        <v>19.027999999999999</v>
      </c>
      <c r="U245" s="1">
        <v>10.1</v>
      </c>
      <c r="V245" s="1">
        <f t="shared" si="480"/>
        <v>13.534000000000001</v>
      </c>
      <c r="W245" s="1">
        <v>8.6999999999999993</v>
      </c>
      <c r="X245" s="1">
        <f t="shared" si="509"/>
        <v>11.657999999999999</v>
      </c>
      <c r="Y245" s="1">
        <v>8.6999999999999993</v>
      </c>
      <c r="Z245" s="1">
        <f t="shared" ref="Z245" si="521">Y245*1.34</f>
        <v>11.657999999999999</v>
      </c>
      <c r="AA245" s="1"/>
      <c r="AB245" s="1"/>
      <c r="AC245" s="1"/>
      <c r="AD245" s="1"/>
      <c r="AE245" s="1">
        <v>11</v>
      </c>
      <c r="AF245" s="1">
        <f t="shared" si="483"/>
        <v>30.25</v>
      </c>
      <c r="AG245" s="1"/>
      <c r="AH245" s="1"/>
      <c r="AI245" s="9"/>
      <c r="AJ245" s="9"/>
      <c r="AK245" s="9"/>
      <c r="AL245" s="9"/>
      <c r="AM245" s="1">
        <f>11.8+1.3</f>
        <v>13.100000000000001</v>
      </c>
      <c r="AN245" s="1">
        <f t="shared" si="519"/>
        <v>7.86</v>
      </c>
      <c r="AP245" s="1">
        <f t="shared" si="431"/>
        <v>0.81</v>
      </c>
      <c r="AQ245" s="1">
        <f t="shared" si="432"/>
        <v>0.19</v>
      </c>
      <c r="AR245" s="1">
        <f t="shared" si="474"/>
        <v>1</v>
      </c>
    </row>
    <row r="246" spans="2:44" x14ac:dyDescent="0.25">
      <c r="D246" s="1">
        <f>SUM(E246,G246,I246,K246,M246,O246,Q246,S246,U246,W246,Y246,AA246,AC246,AE246,AG246,AI246,AK246)</f>
        <v>95.53</v>
      </c>
      <c r="E246" s="1">
        <v>33.57</v>
      </c>
      <c r="F246" s="1">
        <f t="shared" si="516"/>
        <v>44.983800000000002</v>
      </c>
      <c r="G246" s="1">
        <v>9.6</v>
      </c>
      <c r="H246" s="1">
        <f t="shared" si="516"/>
        <v>12.864000000000001</v>
      </c>
      <c r="I246" s="1">
        <v>3.69</v>
      </c>
      <c r="J246" s="1">
        <f t="shared" si="471"/>
        <v>8.7083999999999993</v>
      </c>
      <c r="K246" s="1">
        <v>3.69</v>
      </c>
      <c r="L246" s="1">
        <f t="shared" si="453"/>
        <v>8.7083999999999993</v>
      </c>
      <c r="M246" s="1">
        <v>3.27</v>
      </c>
      <c r="N246" s="1">
        <f>M246*2.36</f>
        <v>7.7172000000000001</v>
      </c>
      <c r="O246" s="1"/>
      <c r="P246" s="1"/>
      <c r="Q246" s="1">
        <v>1.8</v>
      </c>
      <c r="R246" s="1">
        <f>Q246*2.36</f>
        <v>4.2480000000000002</v>
      </c>
      <c r="S246" s="1">
        <v>12</v>
      </c>
      <c r="T246" s="1">
        <f t="shared" ref="T246" si="522">S246*1.34</f>
        <v>16.080000000000002</v>
      </c>
      <c r="U246" s="1">
        <v>11.55</v>
      </c>
      <c r="V246" s="1">
        <f t="shared" si="480"/>
        <v>15.477000000000002</v>
      </c>
      <c r="W246" s="1">
        <v>8.5500000000000007</v>
      </c>
      <c r="X246" s="1">
        <f t="shared" si="509"/>
        <v>11.457000000000003</v>
      </c>
      <c r="Y246" s="1"/>
      <c r="Z246" s="1"/>
      <c r="AA246" s="1"/>
      <c r="AB246" s="1"/>
      <c r="AC246" s="1"/>
      <c r="AD246" s="1"/>
      <c r="AE246" s="1">
        <v>5</v>
      </c>
      <c r="AF246" s="1">
        <f t="shared" si="483"/>
        <v>13.75</v>
      </c>
      <c r="AG246" s="1">
        <v>2.81</v>
      </c>
      <c r="AH246" s="1">
        <f>AG246*2.36</f>
        <v>6.6315999999999997</v>
      </c>
      <c r="AI246" s="9"/>
      <c r="AJ246" s="9"/>
      <c r="AK246" s="9"/>
      <c r="AL246" s="9"/>
      <c r="AM246" s="1"/>
      <c r="AN246" s="1"/>
      <c r="AP246" s="1">
        <f t="shared" si="431"/>
        <v>0.77</v>
      </c>
      <c r="AQ246" s="1">
        <f t="shared" si="432"/>
        <v>0.23</v>
      </c>
      <c r="AR246" s="1">
        <f t="shared" si="474"/>
        <v>1</v>
      </c>
    </row>
    <row r="247" spans="2:44" x14ac:dyDescent="0.25">
      <c r="B247" t="s">
        <v>99</v>
      </c>
      <c r="C247" t="s">
        <v>100</v>
      </c>
      <c r="D247" s="1">
        <f>SUM(E247,G247,I247,K247,M247,O247,Q247,S247,U247,W247,Y247,AA247,AC247,AE247,AG247,AI247,AK247)</f>
        <v>95.55</v>
      </c>
      <c r="E247" s="1">
        <v>26.85</v>
      </c>
      <c r="F247" s="1">
        <f t="shared" si="516"/>
        <v>35.979000000000006</v>
      </c>
      <c r="G247" s="1">
        <v>13.15</v>
      </c>
      <c r="H247" s="1">
        <f t="shared" si="516"/>
        <v>17.621000000000002</v>
      </c>
      <c r="I247" s="1">
        <v>4.5</v>
      </c>
      <c r="J247" s="1">
        <f t="shared" si="471"/>
        <v>10.62</v>
      </c>
      <c r="K247" s="1">
        <v>4.0999999999999996</v>
      </c>
      <c r="L247" s="1">
        <f t="shared" si="453"/>
        <v>9.6759999999999984</v>
      </c>
      <c r="M247" s="1"/>
      <c r="N247" s="1"/>
      <c r="O247" s="1"/>
      <c r="P247" s="1"/>
      <c r="Q247" s="1"/>
      <c r="R247" s="1"/>
      <c r="S247" s="1">
        <v>16.7</v>
      </c>
      <c r="T247" s="1">
        <f t="shared" ref="T247" si="523">S247*1.34</f>
        <v>22.378</v>
      </c>
      <c r="U247" s="1">
        <v>10.35</v>
      </c>
      <c r="V247" s="1">
        <f t="shared" si="480"/>
        <v>13.869</v>
      </c>
      <c r="W247" s="1">
        <v>9.9</v>
      </c>
      <c r="X247" s="1">
        <f t="shared" si="509"/>
        <v>13.266000000000002</v>
      </c>
      <c r="Y247" s="1"/>
      <c r="Z247" s="1"/>
      <c r="AA247" s="1"/>
      <c r="AB247" s="1"/>
      <c r="AC247" s="1">
        <v>8.6999999999999993</v>
      </c>
      <c r="AD247" s="1">
        <f t="shared" ref="AD247" si="524">AC247*2.75</f>
        <v>23.924999999999997</v>
      </c>
      <c r="AE247" s="1">
        <v>1.3</v>
      </c>
      <c r="AF247" s="1">
        <f t="shared" si="483"/>
        <v>3.5750000000000002</v>
      </c>
      <c r="AG247" s="1"/>
      <c r="AH247" s="1"/>
      <c r="AI247" s="9"/>
      <c r="AJ247" s="9"/>
      <c r="AK247" s="9"/>
      <c r="AL247" s="9"/>
      <c r="AM247" s="1">
        <f>64.95+36.75</f>
        <v>101.7</v>
      </c>
      <c r="AN247" s="1">
        <f t="shared" ref="AN247:AN248" si="525">AM247*0.6</f>
        <v>61.019999999999996</v>
      </c>
      <c r="AP247" s="1">
        <f t="shared" si="431"/>
        <v>0.77</v>
      </c>
      <c r="AQ247" s="1">
        <f t="shared" si="432"/>
        <v>0.23</v>
      </c>
      <c r="AR247" s="1">
        <f t="shared" si="474"/>
        <v>1</v>
      </c>
    </row>
    <row r="248" spans="2:44" x14ac:dyDescent="0.25">
      <c r="D248" s="1">
        <f>SUM(E248,G248,I248,K248,M248,O248,Q248,S248,U248,W248,Y248,AA248,AC248,AE248,AG248,AI248,AK248)</f>
        <v>95.59999999999998</v>
      </c>
      <c r="E248" s="1">
        <v>28.5</v>
      </c>
      <c r="F248" s="1">
        <f t="shared" si="516"/>
        <v>38.190000000000005</v>
      </c>
      <c r="G248" s="1">
        <v>9.4499999999999993</v>
      </c>
      <c r="H248" s="1">
        <f t="shared" si="516"/>
        <v>12.663</v>
      </c>
      <c r="I248" s="1">
        <v>4.8</v>
      </c>
      <c r="J248" s="1">
        <f t="shared" si="471"/>
        <v>11.327999999999999</v>
      </c>
      <c r="K248" s="1">
        <v>4.25</v>
      </c>
      <c r="L248" s="1">
        <f t="shared" si="453"/>
        <v>10.029999999999999</v>
      </c>
      <c r="M248" s="1"/>
      <c r="N248" s="1"/>
      <c r="O248" s="1"/>
      <c r="P248" s="1"/>
      <c r="Q248" s="1"/>
      <c r="R248" s="1"/>
      <c r="S248" s="1">
        <v>13.05</v>
      </c>
      <c r="T248" s="1">
        <f t="shared" ref="T248" si="526">S248*1.34</f>
        <v>17.487000000000002</v>
      </c>
      <c r="U248" s="1">
        <v>8.75</v>
      </c>
      <c r="V248" s="1">
        <f t="shared" si="480"/>
        <v>11.725000000000001</v>
      </c>
      <c r="W248" s="1">
        <v>8.6</v>
      </c>
      <c r="X248" s="1">
        <f t="shared" si="509"/>
        <v>11.524000000000001</v>
      </c>
      <c r="Y248" s="1"/>
      <c r="Z248" s="1"/>
      <c r="AA248" s="1"/>
      <c r="AB248" s="1"/>
      <c r="AC248" s="1">
        <v>8.5500000000000007</v>
      </c>
      <c r="AD248" s="1">
        <f t="shared" ref="AD248" si="527">AC248*2.75</f>
        <v>23.512500000000003</v>
      </c>
      <c r="AE248" s="1">
        <v>5.85</v>
      </c>
      <c r="AF248" s="1">
        <f t="shared" si="483"/>
        <v>16.087499999999999</v>
      </c>
      <c r="AG248" s="1">
        <v>3.8</v>
      </c>
      <c r="AH248" s="1">
        <f>AG248*2.36</f>
        <v>8.968</v>
      </c>
      <c r="AI248" s="9"/>
      <c r="AJ248" s="9"/>
      <c r="AK248" s="9"/>
      <c r="AL248" s="9"/>
      <c r="AM248" s="1">
        <v>13.4</v>
      </c>
      <c r="AN248" s="1">
        <f t="shared" si="525"/>
        <v>8.0399999999999991</v>
      </c>
      <c r="AP248" s="1">
        <f t="shared" si="431"/>
        <v>0.81</v>
      </c>
      <c r="AQ248" s="1">
        <f t="shared" si="432"/>
        <v>0.19</v>
      </c>
      <c r="AR248" s="1">
        <f t="shared" si="474"/>
        <v>1</v>
      </c>
    </row>
    <row r="249" spans="2:44" x14ac:dyDescent="0.25">
      <c r="B249" t="s">
        <v>43</v>
      </c>
      <c r="C249" t="s">
        <v>133</v>
      </c>
      <c r="D249" s="1">
        <f>SUM(E249,G249,I249,K249,M249,O249,Q249,S249,U249,W249,Y249,AA249,AC249,AE249,AG249,AI249,AK249)</f>
        <v>95.600000000000009</v>
      </c>
      <c r="E249" s="1">
        <v>24.2</v>
      </c>
      <c r="F249" s="1">
        <f t="shared" si="516"/>
        <v>32.428000000000004</v>
      </c>
      <c r="G249" s="1">
        <v>11.9</v>
      </c>
      <c r="H249" s="1">
        <f t="shared" si="516"/>
        <v>15.946000000000002</v>
      </c>
      <c r="I249" s="1">
        <v>4</v>
      </c>
      <c r="J249" s="1">
        <f t="shared" si="471"/>
        <v>9.44</v>
      </c>
      <c r="K249" s="1">
        <v>3.6</v>
      </c>
      <c r="L249" s="1">
        <f t="shared" si="453"/>
        <v>8.4960000000000004</v>
      </c>
      <c r="S249" s="1">
        <v>14.4</v>
      </c>
      <c r="T249" s="1">
        <f t="shared" ref="T249" si="528">S249*1.34</f>
        <v>19.296000000000003</v>
      </c>
      <c r="U249" s="1">
        <v>10.3</v>
      </c>
      <c r="V249" s="1">
        <f t="shared" si="480"/>
        <v>13.802000000000001</v>
      </c>
      <c r="W249" s="1">
        <v>10.3</v>
      </c>
      <c r="X249" s="1">
        <f t="shared" si="509"/>
        <v>13.802000000000001</v>
      </c>
      <c r="Y249" s="1">
        <v>9.4</v>
      </c>
      <c r="Z249" s="1">
        <f t="shared" ref="Z249" si="529">Y249*1.34</f>
        <v>12.596000000000002</v>
      </c>
      <c r="AC249" s="1">
        <v>5</v>
      </c>
      <c r="AD249" s="1">
        <f t="shared" ref="AD249" si="530">AC249*2.75</f>
        <v>13.75</v>
      </c>
      <c r="AE249" s="1">
        <v>2.5</v>
      </c>
      <c r="AF249" s="1">
        <f t="shared" si="483"/>
        <v>6.875</v>
      </c>
      <c r="AP249" s="1">
        <f t="shared" si="431"/>
        <v>0.8</v>
      </c>
      <c r="AQ249" s="1">
        <f t="shared" si="432"/>
        <v>0.2</v>
      </c>
      <c r="AR249" s="1">
        <f t="shared" si="474"/>
        <v>1</v>
      </c>
    </row>
    <row r="250" spans="2:44" x14ac:dyDescent="0.25">
      <c r="B250" t="s">
        <v>62</v>
      </c>
      <c r="C250" t="s">
        <v>105</v>
      </c>
      <c r="D250" s="1">
        <f>SUM(E250,G250,I250,K250,M250,O250,Q250,S250,U250,W250,Y250,AA250,AC250,AE250,AG250,AI250,AK250)</f>
        <v>95.91</v>
      </c>
      <c r="E250" s="1">
        <v>29.01</v>
      </c>
      <c r="F250" s="1">
        <f t="shared" si="516"/>
        <v>38.873400000000004</v>
      </c>
      <c r="G250" s="1">
        <v>18.88</v>
      </c>
      <c r="H250" s="1">
        <f t="shared" si="516"/>
        <v>25.299199999999999</v>
      </c>
      <c r="I250" s="1">
        <v>5.86</v>
      </c>
      <c r="J250" s="1">
        <f t="shared" si="471"/>
        <v>13.829599999999999</v>
      </c>
      <c r="K250" s="1">
        <v>4.29</v>
      </c>
      <c r="L250" s="1">
        <f t="shared" si="453"/>
        <v>10.1244</v>
      </c>
      <c r="M250" s="1"/>
      <c r="N250" s="1"/>
      <c r="O250" s="1"/>
      <c r="P250" s="1"/>
      <c r="Q250" s="1"/>
      <c r="R250" s="1"/>
      <c r="S250" s="1">
        <v>13.7</v>
      </c>
      <c r="T250" s="1">
        <f t="shared" ref="T250" si="531">S250*1.34</f>
        <v>18.358000000000001</v>
      </c>
      <c r="U250" s="1">
        <v>10.14</v>
      </c>
      <c r="V250" s="1">
        <f t="shared" si="480"/>
        <v>13.587600000000002</v>
      </c>
      <c r="W250" s="1">
        <v>9.23</v>
      </c>
      <c r="X250" s="1">
        <f t="shared" si="509"/>
        <v>12.368200000000002</v>
      </c>
      <c r="Y250" s="1"/>
      <c r="Z250" s="1"/>
      <c r="AA250" s="1"/>
      <c r="AB250" s="1"/>
      <c r="AC250" s="1"/>
      <c r="AD250" s="1"/>
      <c r="AE250" s="1">
        <v>4.8</v>
      </c>
      <c r="AF250" s="1">
        <f t="shared" si="483"/>
        <v>13.2</v>
      </c>
      <c r="AG250" s="1"/>
      <c r="AH250" s="1"/>
      <c r="AI250" s="9"/>
      <c r="AJ250" s="9"/>
      <c r="AK250" s="9"/>
      <c r="AL250" s="9"/>
      <c r="AM250" s="1">
        <v>59.87</v>
      </c>
      <c r="AN250" s="1">
        <f t="shared" ref="AN250:AN252" si="532">AM250*0.6</f>
        <v>35.921999999999997</v>
      </c>
      <c r="AP250" s="1">
        <f t="shared" si="431"/>
        <v>0.7</v>
      </c>
      <c r="AQ250" s="1">
        <f t="shared" si="432"/>
        <v>0.3</v>
      </c>
      <c r="AR250" s="1">
        <f t="shared" si="474"/>
        <v>1</v>
      </c>
    </row>
    <row r="251" spans="2:44" x14ac:dyDescent="0.25">
      <c r="B251" t="s">
        <v>119</v>
      </c>
      <c r="C251" t="s">
        <v>120</v>
      </c>
      <c r="D251" s="1">
        <f>SUM(E251,G251,I251,K251,M251,O251,Q251,S251,U251,W251,Y251,AA251,AC251,AE251,AG251,AI251,AK251)</f>
        <v>96.45999999999998</v>
      </c>
      <c r="E251" s="1">
        <v>28.82</v>
      </c>
      <c r="F251" s="1">
        <f t="shared" si="516"/>
        <v>38.6188</v>
      </c>
      <c r="G251" s="1">
        <v>9.84</v>
      </c>
      <c r="H251" s="1">
        <f t="shared" si="516"/>
        <v>13.185600000000001</v>
      </c>
      <c r="I251" s="1">
        <v>4.09</v>
      </c>
      <c r="J251" s="1">
        <f t="shared" si="471"/>
        <v>9.6523999999999983</v>
      </c>
      <c r="K251" s="1">
        <v>4.03</v>
      </c>
      <c r="L251" s="1">
        <f t="shared" si="453"/>
        <v>9.5107999999999997</v>
      </c>
      <c r="M251" s="1"/>
      <c r="N251" s="1"/>
      <c r="O251" s="1"/>
      <c r="P251" s="1"/>
      <c r="Q251" s="1"/>
      <c r="R251" s="1"/>
      <c r="S251" s="1">
        <v>19.16</v>
      </c>
      <c r="T251" s="1">
        <f t="shared" ref="T251" si="533">S251*1.34</f>
        <v>25.674400000000002</v>
      </c>
      <c r="U251" s="1">
        <v>12.82</v>
      </c>
      <c r="V251" s="1">
        <f t="shared" si="480"/>
        <v>17.178800000000003</v>
      </c>
      <c r="W251" s="1">
        <v>11.32</v>
      </c>
      <c r="X251" s="1">
        <f t="shared" si="509"/>
        <v>15.168800000000001</v>
      </c>
      <c r="Y251" s="1"/>
      <c r="Z251" s="1"/>
      <c r="AA251" s="1"/>
      <c r="AB251" s="1"/>
      <c r="AC251" s="1">
        <v>2.46</v>
      </c>
      <c r="AD251" s="1">
        <f t="shared" ref="AD251" si="534">AC251*2.75</f>
        <v>6.7649999999999997</v>
      </c>
      <c r="AE251" s="1">
        <v>3.92</v>
      </c>
      <c r="AF251" s="1">
        <f t="shared" si="483"/>
        <v>10.78</v>
      </c>
      <c r="AG251" s="1"/>
      <c r="AH251" s="1"/>
      <c r="AI251" s="9"/>
      <c r="AJ251" s="9"/>
      <c r="AK251" s="9"/>
      <c r="AL251" s="9"/>
      <c r="AM251" s="1">
        <v>32.61</v>
      </c>
      <c r="AN251" s="1">
        <f t="shared" si="532"/>
        <v>19.565999999999999</v>
      </c>
      <c r="AP251" s="1">
        <f t="shared" si="431"/>
        <v>0.81</v>
      </c>
      <c r="AQ251" s="1">
        <f t="shared" si="432"/>
        <v>0.19</v>
      </c>
      <c r="AR251" s="1">
        <f t="shared" si="474"/>
        <v>1</v>
      </c>
    </row>
    <row r="252" spans="2:44" x14ac:dyDescent="0.25">
      <c r="B252" t="s">
        <v>119</v>
      </c>
      <c r="C252" t="s">
        <v>120</v>
      </c>
      <c r="D252" s="1">
        <f>SUM(E252,G252,I252,K252,M252,O252,Q252,S252,U252,W252,Y252,AA252,AC252,AE252,AG252,AI252,AK252)</f>
        <v>96.78</v>
      </c>
      <c r="E252" s="1">
        <v>29.02</v>
      </c>
      <c r="F252" s="1">
        <f t="shared" si="516"/>
        <v>38.886800000000001</v>
      </c>
      <c r="G252" s="1">
        <v>10.15</v>
      </c>
      <c r="H252" s="1">
        <f t="shared" si="516"/>
        <v>13.601000000000001</v>
      </c>
      <c r="I252" s="1">
        <v>4.09</v>
      </c>
      <c r="J252" s="1">
        <f t="shared" si="471"/>
        <v>9.6523999999999983</v>
      </c>
      <c r="K252" s="1">
        <v>4.03</v>
      </c>
      <c r="L252" s="1">
        <f t="shared" si="453"/>
        <v>9.5107999999999997</v>
      </c>
      <c r="M252" s="1"/>
      <c r="N252" s="1"/>
      <c r="O252" s="1"/>
      <c r="P252" s="1"/>
      <c r="Q252" s="1"/>
      <c r="R252" s="1"/>
      <c r="S252" s="1">
        <v>19.16</v>
      </c>
      <c r="T252" s="1">
        <f t="shared" ref="T252" si="535">S252*1.34</f>
        <v>25.674400000000002</v>
      </c>
      <c r="U252" s="1">
        <v>12.63</v>
      </c>
      <c r="V252" s="1">
        <f t="shared" si="480"/>
        <v>16.924200000000003</v>
      </c>
      <c r="W252" s="1">
        <v>11.32</v>
      </c>
      <c r="X252" s="1">
        <f t="shared" si="509"/>
        <v>15.168800000000001</v>
      </c>
      <c r="Y252" s="1"/>
      <c r="Z252" s="1"/>
      <c r="AA252" s="1"/>
      <c r="AB252" s="1"/>
      <c r="AC252" s="1">
        <v>2.46</v>
      </c>
      <c r="AD252" s="1">
        <f t="shared" ref="AD252" si="536">AC252*2.75</f>
        <v>6.7649999999999997</v>
      </c>
      <c r="AE252" s="1">
        <v>3.92</v>
      </c>
      <c r="AF252" s="1">
        <f t="shared" si="483"/>
        <v>10.78</v>
      </c>
      <c r="AG252" s="1"/>
      <c r="AH252" s="1"/>
      <c r="AI252" s="9"/>
      <c r="AJ252" s="9"/>
      <c r="AK252" s="9"/>
      <c r="AL252" s="9"/>
      <c r="AM252" s="1">
        <f>34.71+27.05</f>
        <v>61.760000000000005</v>
      </c>
      <c r="AN252" s="1">
        <f t="shared" si="532"/>
        <v>37.056000000000004</v>
      </c>
      <c r="AP252" s="1">
        <f t="shared" si="431"/>
        <v>0.81</v>
      </c>
      <c r="AQ252" s="1">
        <f t="shared" si="432"/>
        <v>0.19</v>
      </c>
      <c r="AR252" s="1">
        <f t="shared" si="474"/>
        <v>1</v>
      </c>
    </row>
    <row r="253" spans="2:44" x14ac:dyDescent="0.25">
      <c r="B253" t="s">
        <v>81</v>
      </c>
      <c r="C253" t="s">
        <v>82</v>
      </c>
      <c r="D253" s="1">
        <f>SUM(E253,G253,I253,K253,M253,O253,Q253,S253,U253,W253,Y253,AA253,AC253,AE253,AG253,AI253,AK253)</f>
        <v>97.16</v>
      </c>
      <c r="E253" s="1">
        <v>27.08</v>
      </c>
      <c r="F253" s="1">
        <f t="shared" ref="F253:H253" si="537">E253*1.34</f>
        <v>36.287199999999999</v>
      </c>
      <c r="G253" s="1">
        <v>11.49</v>
      </c>
      <c r="H253" s="1">
        <f t="shared" si="537"/>
        <v>15.396600000000001</v>
      </c>
      <c r="I253" s="1">
        <v>4.13</v>
      </c>
      <c r="J253" s="1">
        <f t="shared" si="471"/>
        <v>9.7467999999999986</v>
      </c>
      <c r="K253" s="1">
        <v>3.2</v>
      </c>
      <c r="L253" s="1">
        <f t="shared" si="453"/>
        <v>7.5519999999999996</v>
      </c>
      <c r="M253" s="1"/>
      <c r="N253" s="1"/>
      <c r="O253" s="1"/>
      <c r="P253" s="1"/>
      <c r="Q253" s="1"/>
      <c r="R253" s="1"/>
      <c r="S253" s="1">
        <v>15.86</v>
      </c>
      <c r="T253" s="1">
        <f t="shared" ref="T253" si="538">S253*1.34</f>
        <v>21.252400000000002</v>
      </c>
      <c r="U253" s="1">
        <v>10.6</v>
      </c>
      <c r="V253" s="1">
        <f t="shared" si="480"/>
        <v>14.204000000000001</v>
      </c>
      <c r="W253" s="1">
        <v>10.02</v>
      </c>
      <c r="X253" s="1">
        <f t="shared" si="509"/>
        <v>13.4268</v>
      </c>
      <c r="Y253" s="1"/>
      <c r="Z253" s="1"/>
      <c r="AA253" s="1"/>
      <c r="AB253" s="1"/>
      <c r="AC253" s="1"/>
      <c r="AD253" s="1"/>
      <c r="AE253" s="1">
        <v>6.18</v>
      </c>
      <c r="AF253" s="1">
        <f t="shared" si="483"/>
        <v>16.994999999999997</v>
      </c>
      <c r="AG253" s="1"/>
      <c r="AH253" s="1"/>
      <c r="AI253" s="9"/>
      <c r="AJ253" s="9"/>
      <c r="AK253" s="9">
        <v>8.6</v>
      </c>
      <c r="AL253" s="9">
        <f t="shared" ref="AL253" si="539">AK253*1.34</f>
        <v>11.524000000000001</v>
      </c>
      <c r="AM253" s="1">
        <v>4.3</v>
      </c>
      <c r="AN253" s="1">
        <f t="shared" ref="AN253" si="540">AM253*0.6</f>
        <v>2.5799999999999996</v>
      </c>
      <c r="AP253" s="1">
        <f t="shared" si="431"/>
        <v>0.81</v>
      </c>
      <c r="AQ253" s="1">
        <f t="shared" si="432"/>
        <v>0.19</v>
      </c>
      <c r="AR253" s="1">
        <f t="shared" si="474"/>
        <v>1</v>
      </c>
    </row>
    <row r="254" spans="2:44" x14ac:dyDescent="0.25">
      <c r="B254" t="s">
        <v>42</v>
      </c>
      <c r="C254" t="s">
        <v>121</v>
      </c>
      <c r="D254" s="1">
        <f>SUM(E254,G254,I254,K254,M254,O254,Q254,S254,U254,W254,Y254,AA254,AC254,AE254,AG254,AI254,AK254)</f>
        <v>98</v>
      </c>
      <c r="E254" s="1">
        <v>22.44</v>
      </c>
      <c r="F254" s="1">
        <f t="shared" ref="F254:H260" si="541">E254*1.34</f>
        <v>30.069600000000005</v>
      </c>
      <c r="G254" s="1">
        <v>9.2200000000000006</v>
      </c>
      <c r="H254" s="1">
        <f t="shared" si="541"/>
        <v>12.354800000000001</v>
      </c>
      <c r="I254" s="1">
        <v>3.84</v>
      </c>
      <c r="J254" s="1">
        <f t="shared" si="471"/>
        <v>9.0623999999999985</v>
      </c>
      <c r="K254" s="1">
        <v>3.36</v>
      </c>
      <c r="L254" s="1">
        <f t="shared" si="453"/>
        <v>7.9295999999999989</v>
      </c>
      <c r="M254" s="1"/>
      <c r="N254" s="1"/>
      <c r="O254" s="1"/>
      <c r="P254" s="1"/>
      <c r="Q254" s="1"/>
      <c r="R254" s="1"/>
      <c r="S254" s="1">
        <v>13.05</v>
      </c>
      <c r="T254" s="1">
        <f t="shared" ref="T254" si="542">S254*1.34</f>
        <v>17.487000000000002</v>
      </c>
      <c r="U254" s="1">
        <v>10.119999999999999</v>
      </c>
      <c r="V254" s="1">
        <f t="shared" si="480"/>
        <v>13.5608</v>
      </c>
      <c r="W254" s="1">
        <v>10.029999999999999</v>
      </c>
      <c r="X254" s="1">
        <f t="shared" si="509"/>
        <v>13.440200000000001</v>
      </c>
      <c r="Y254" s="1">
        <v>9.67</v>
      </c>
      <c r="Z254" s="1">
        <f t="shared" ref="Z254:Z261" si="543">Y254*1.34</f>
        <v>12.957800000000001</v>
      </c>
      <c r="AA254" s="1"/>
      <c r="AB254" s="1"/>
      <c r="AC254" s="1">
        <v>9.5</v>
      </c>
      <c r="AD254" s="1">
        <f t="shared" ref="AD254" si="544">AC254*2.75</f>
        <v>26.125</v>
      </c>
      <c r="AE254" s="1">
        <v>3.23</v>
      </c>
      <c r="AF254" s="1">
        <f t="shared" si="483"/>
        <v>8.8825000000000003</v>
      </c>
      <c r="AG254" s="1">
        <v>3.54</v>
      </c>
      <c r="AH254" s="1">
        <f t="shared" ref="AH254:AH255" si="545">AG254*2.36</f>
        <v>8.3544</v>
      </c>
      <c r="AI254" s="9"/>
      <c r="AJ254" s="9"/>
      <c r="AK254" s="9"/>
      <c r="AL254" s="9"/>
      <c r="AM254" s="1"/>
      <c r="AN254" s="1"/>
      <c r="AP254" s="1">
        <f t="shared" si="431"/>
        <v>0.83</v>
      </c>
      <c r="AQ254" s="1">
        <f t="shared" si="432"/>
        <v>0.17</v>
      </c>
      <c r="AR254" s="1">
        <f t="shared" si="474"/>
        <v>1</v>
      </c>
    </row>
    <row r="255" spans="2:44" x14ac:dyDescent="0.25">
      <c r="B255" t="s">
        <v>106</v>
      </c>
      <c r="C255" t="s">
        <v>108</v>
      </c>
      <c r="D255" s="1">
        <f>SUM(E255,G255,I255,K255,M255,O255,Q255,S255,U255,W255,Y255,AA255,AC255,AE255,AG255,AI255,AK255)</f>
        <v>98.25</v>
      </c>
      <c r="E255" s="1">
        <v>26.59</v>
      </c>
      <c r="F255" s="1">
        <f t="shared" si="541"/>
        <v>35.630600000000001</v>
      </c>
      <c r="G255" s="1">
        <v>9.2799999999999994</v>
      </c>
      <c r="H255" s="1">
        <f t="shared" si="541"/>
        <v>12.4352</v>
      </c>
      <c r="I255" s="1">
        <v>4.84</v>
      </c>
      <c r="J255" s="1">
        <f t="shared" si="471"/>
        <v>11.4224</v>
      </c>
      <c r="K255" s="1">
        <v>3.78</v>
      </c>
      <c r="L255" s="1">
        <f t="shared" si="453"/>
        <v>8.9207999999999998</v>
      </c>
      <c r="M255" s="1"/>
      <c r="N255" s="1"/>
      <c r="O255" s="1"/>
      <c r="P255" s="1"/>
      <c r="Q255" s="1">
        <v>2.5</v>
      </c>
      <c r="R255" s="1">
        <f>Q255*2.36</f>
        <v>5.8999999999999995</v>
      </c>
      <c r="S255" s="1">
        <v>14.03</v>
      </c>
      <c r="T255" s="1">
        <f t="shared" ref="T255" si="546">S255*1.34</f>
        <v>18.8002</v>
      </c>
      <c r="U255" s="1">
        <v>8.58</v>
      </c>
      <c r="V255" s="1">
        <f t="shared" si="480"/>
        <v>11.497200000000001</v>
      </c>
      <c r="W255" s="1">
        <v>7.92</v>
      </c>
      <c r="X255" s="1">
        <f t="shared" si="509"/>
        <v>10.6128</v>
      </c>
      <c r="Y255" s="1">
        <v>7.72</v>
      </c>
      <c r="Z255" s="1">
        <f t="shared" si="543"/>
        <v>10.344800000000001</v>
      </c>
      <c r="AA255" s="1"/>
      <c r="AB255" s="1"/>
      <c r="AC255" s="1">
        <v>4.87</v>
      </c>
      <c r="AD255" s="1">
        <f t="shared" ref="AD255" si="547">AC255*2.75</f>
        <v>13.3925</v>
      </c>
      <c r="AE255" s="1">
        <v>7.5</v>
      </c>
      <c r="AF255" s="1">
        <f t="shared" si="483"/>
        <v>20.625</v>
      </c>
      <c r="AG255" s="1">
        <v>0.64</v>
      </c>
      <c r="AH255" s="1">
        <f t="shared" si="545"/>
        <v>1.5104</v>
      </c>
      <c r="AI255" s="9"/>
      <c r="AJ255" s="9"/>
      <c r="AK255" s="9"/>
      <c r="AL255" s="9"/>
      <c r="AM255" s="1">
        <v>7.5</v>
      </c>
      <c r="AN255" s="1">
        <f t="shared" ref="AN255:AN257" si="548">AM255*0.6</f>
        <v>4.5</v>
      </c>
      <c r="AP255" s="1">
        <f t="shared" si="431"/>
        <v>0.79</v>
      </c>
      <c r="AQ255" s="1">
        <f t="shared" si="432"/>
        <v>0.21</v>
      </c>
      <c r="AR255" s="1">
        <f t="shared" si="474"/>
        <v>1</v>
      </c>
    </row>
    <row r="256" spans="2:44" x14ac:dyDescent="0.25">
      <c r="B256" t="s">
        <v>74</v>
      </c>
      <c r="C256" t="s">
        <v>75</v>
      </c>
      <c r="D256" s="1">
        <f>SUM(E256,G256,I256,K256,M256,O256,Q256,S256,U256,W256,Y256,AA256,AC256,AE256,AG256,AI256,AK256)</f>
        <v>100.05</v>
      </c>
      <c r="E256" s="1">
        <v>23.6</v>
      </c>
      <c r="F256" s="1">
        <f t="shared" si="541"/>
        <v>31.624000000000002</v>
      </c>
      <c r="G256" s="1">
        <v>12.05</v>
      </c>
      <c r="H256" s="1">
        <f t="shared" si="541"/>
        <v>16.147000000000002</v>
      </c>
      <c r="I256" s="1">
        <v>4.8499999999999996</v>
      </c>
      <c r="J256" s="1">
        <f t="shared" si="471"/>
        <v>11.445999999999998</v>
      </c>
      <c r="K256" s="1">
        <v>4.1500000000000004</v>
      </c>
      <c r="L256" s="1">
        <f t="shared" si="453"/>
        <v>9.7940000000000005</v>
      </c>
      <c r="M256" s="1"/>
      <c r="N256" s="1"/>
      <c r="O256" s="1"/>
      <c r="P256" s="1"/>
      <c r="Q256" s="1"/>
      <c r="R256" s="1"/>
      <c r="S256" s="1">
        <v>15.6</v>
      </c>
      <c r="T256" s="1">
        <f t="shared" ref="T256" si="549">S256*1.34</f>
        <v>20.904</v>
      </c>
      <c r="U256" s="1">
        <v>12.25</v>
      </c>
      <c r="V256" s="1">
        <f t="shared" si="480"/>
        <v>16.415000000000003</v>
      </c>
      <c r="W256" s="1">
        <v>10.3</v>
      </c>
      <c r="X256" s="1">
        <f t="shared" si="509"/>
        <v>13.802000000000001</v>
      </c>
      <c r="Y256" s="1">
        <v>9.9499999999999993</v>
      </c>
      <c r="Z256" s="1">
        <f t="shared" si="543"/>
        <v>13.333</v>
      </c>
      <c r="AA256" s="1"/>
      <c r="AB256" s="1"/>
      <c r="AC256" s="1">
        <v>7.3</v>
      </c>
      <c r="AD256" s="1">
        <f t="shared" ref="AD256" si="550">AC256*2.75</f>
        <v>20.074999999999999</v>
      </c>
      <c r="AE256" s="1"/>
      <c r="AF256" s="1"/>
      <c r="AG256" s="1"/>
      <c r="AH256" s="1"/>
      <c r="AI256" s="9"/>
      <c r="AJ256" s="9"/>
      <c r="AK256" s="9"/>
      <c r="AL256" s="9"/>
      <c r="AM256" s="1">
        <f>110.45+7.5</f>
        <v>117.95</v>
      </c>
      <c r="AN256" s="1">
        <f t="shared" si="548"/>
        <v>70.77</v>
      </c>
      <c r="AP256" s="1">
        <f t="shared" si="431"/>
        <v>0.79</v>
      </c>
      <c r="AQ256" s="1">
        <f t="shared" si="432"/>
        <v>0.21</v>
      </c>
      <c r="AR256" s="1">
        <f t="shared" si="474"/>
        <v>1</v>
      </c>
    </row>
    <row r="257" spans="2:44" x14ac:dyDescent="0.25">
      <c r="B257" t="s">
        <v>42</v>
      </c>
      <c r="C257" t="s">
        <v>129</v>
      </c>
      <c r="D257" s="1">
        <f>SUM(E257,G257,I257,K257,M257,O257,Q257,S257,U257,W257,Y257,AA257,AC257,AE257,AG257,AI257,AK257)</f>
        <v>100.20000000000002</v>
      </c>
      <c r="E257" s="1">
        <v>25.9</v>
      </c>
      <c r="F257" s="1">
        <f t="shared" si="541"/>
        <v>34.706000000000003</v>
      </c>
      <c r="G257" s="1">
        <v>11.1</v>
      </c>
      <c r="H257" s="1">
        <f t="shared" si="541"/>
        <v>14.874000000000001</v>
      </c>
      <c r="I257" s="1">
        <v>4</v>
      </c>
      <c r="J257" s="1">
        <f t="shared" si="471"/>
        <v>9.44</v>
      </c>
      <c r="K257" s="1">
        <v>3.7</v>
      </c>
      <c r="L257" s="1">
        <f t="shared" si="453"/>
        <v>8.7319999999999993</v>
      </c>
      <c r="M257" s="1">
        <v>2.4</v>
      </c>
      <c r="N257" s="1">
        <f>M257*2.36</f>
        <v>5.6639999999999997</v>
      </c>
      <c r="O257" s="1"/>
      <c r="P257" s="1"/>
      <c r="Q257" s="1"/>
      <c r="R257" s="1"/>
      <c r="S257" s="1">
        <v>13.3</v>
      </c>
      <c r="T257" s="1">
        <f t="shared" ref="T257" si="551">S257*1.34</f>
        <v>17.822000000000003</v>
      </c>
      <c r="U257" s="1">
        <v>13</v>
      </c>
      <c r="V257" s="1">
        <f t="shared" si="480"/>
        <v>17.420000000000002</v>
      </c>
      <c r="W257" s="1">
        <v>9.4</v>
      </c>
      <c r="X257" s="1">
        <f t="shared" si="509"/>
        <v>12.596000000000002</v>
      </c>
      <c r="Y257" s="1">
        <v>9.4</v>
      </c>
      <c r="Z257" s="1">
        <f t="shared" si="543"/>
        <v>12.596000000000002</v>
      </c>
      <c r="AA257" s="1"/>
      <c r="AB257" s="1"/>
      <c r="AC257" s="1">
        <v>5</v>
      </c>
      <c r="AD257" s="1">
        <f t="shared" ref="AD257" si="552">AC257*2.75</f>
        <v>13.75</v>
      </c>
      <c r="AE257" s="1">
        <v>3</v>
      </c>
      <c r="AF257" s="1">
        <f t="shared" ref="AF257:AF291" si="553">AE257*2.75</f>
        <v>8.25</v>
      </c>
      <c r="AG257" s="1"/>
      <c r="AH257" s="1"/>
      <c r="AI257" s="9"/>
      <c r="AJ257" s="9"/>
      <c r="AK257" s="9"/>
      <c r="AL257" s="9"/>
      <c r="AM257" s="1">
        <v>19.5</v>
      </c>
      <c r="AN257" s="1">
        <f t="shared" si="548"/>
        <v>11.7</v>
      </c>
      <c r="AP257" s="1">
        <f t="shared" si="431"/>
        <v>0.79</v>
      </c>
      <c r="AQ257" s="1">
        <f t="shared" si="432"/>
        <v>0.21</v>
      </c>
      <c r="AR257" s="1">
        <f t="shared" si="474"/>
        <v>1</v>
      </c>
    </row>
    <row r="258" spans="2:44" x14ac:dyDescent="0.25">
      <c r="B258" t="s">
        <v>42</v>
      </c>
      <c r="C258" t="s">
        <v>46</v>
      </c>
      <c r="D258" s="1">
        <f>SUM(E258,G258,I258,K258,M258,O258,Q258,S258,U258,W258,Y258,AA258,AC258,AE258,AG258,AI258,AK258)</f>
        <v>100.30000000000001</v>
      </c>
      <c r="E258" s="1">
        <v>22.8</v>
      </c>
      <c r="F258" s="1">
        <f t="shared" si="541"/>
        <v>30.552000000000003</v>
      </c>
      <c r="G258" s="1">
        <v>8.9</v>
      </c>
      <c r="H258" s="1">
        <f t="shared" si="541"/>
        <v>11.926000000000002</v>
      </c>
      <c r="I258" s="1">
        <v>3.9</v>
      </c>
      <c r="J258" s="1">
        <f t="shared" si="471"/>
        <v>9.2039999999999988</v>
      </c>
      <c r="K258" s="1">
        <v>3.2</v>
      </c>
      <c r="L258" s="1">
        <f t="shared" si="453"/>
        <v>7.5519999999999996</v>
      </c>
      <c r="M258" s="1"/>
      <c r="N258" s="1"/>
      <c r="O258" s="1"/>
      <c r="P258" s="1"/>
      <c r="Q258" s="1"/>
      <c r="R258" s="1"/>
      <c r="S258" s="1">
        <v>15.6</v>
      </c>
      <c r="T258" s="1">
        <f t="shared" ref="T258" si="554">S258*1.34</f>
        <v>20.904</v>
      </c>
      <c r="U258" s="1">
        <v>9.3000000000000007</v>
      </c>
      <c r="V258" s="1">
        <f t="shared" si="480"/>
        <v>12.462000000000002</v>
      </c>
      <c r="W258" s="1">
        <v>9.3000000000000007</v>
      </c>
      <c r="X258" s="1">
        <f t="shared" si="509"/>
        <v>12.462000000000002</v>
      </c>
      <c r="Y258" s="1">
        <v>9</v>
      </c>
      <c r="Z258" s="1">
        <f t="shared" si="543"/>
        <v>12.06</v>
      </c>
      <c r="AA258" s="1"/>
      <c r="AB258" s="1"/>
      <c r="AC258" s="1">
        <v>5.4</v>
      </c>
      <c r="AD258" s="1">
        <f t="shared" ref="AD258" si="555">AC258*2.75</f>
        <v>14.850000000000001</v>
      </c>
      <c r="AE258" s="1">
        <v>3.7</v>
      </c>
      <c r="AF258" s="1">
        <f t="shared" si="553"/>
        <v>10.175000000000001</v>
      </c>
      <c r="AG258" s="1">
        <f>7.7+1.5</f>
        <v>9.1999999999999993</v>
      </c>
      <c r="AH258" s="1">
        <f t="shared" ref="AH258:AH259" si="556">AG258*2.36</f>
        <v>21.711999999999996</v>
      </c>
      <c r="AI258" s="9"/>
      <c r="AJ258" s="9"/>
      <c r="AK258" s="9"/>
      <c r="AL258" s="9"/>
      <c r="AM258" s="1"/>
      <c r="AN258" s="1"/>
      <c r="AP258" s="1">
        <f t="shared" si="431"/>
        <v>0.84</v>
      </c>
      <c r="AQ258" s="1">
        <f t="shared" si="432"/>
        <v>0.16</v>
      </c>
      <c r="AR258" s="1">
        <f t="shared" si="474"/>
        <v>1</v>
      </c>
    </row>
    <row r="259" spans="2:44" x14ac:dyDescent="0.25">
      <c r="B259" t="s">
        <v>93</v>
      </c>
      <c r="C259" t="s">
        <v>132</v>
      </c>
      <c r="D259" s="1">
        <f>SUM(E259,G259,I259,K259,M259,O259,Q259,S259,U259,W259,Y259,AA259,AC259,AE259,AG259,AI259,AK259)</f>
        <v>101.80000000000001</v>
      </c>
      <c r="E259" s="1">
        <v>21.1</v>
      </c>
      <c r="F259" s="1">
        <f t="shared" si="541"/>
        <v>28.274000000000004</v>
      </c>
      <c r="G259" s="1">
        <v>14.9</v>
      </c>
      <c r="H259" s="1">
        <f t="shared" si="541"/>
        <v>19.966000000000001</v>
      </c>
      <c r="I259" s="1">
        <v>3.5</v>
      </c>
      <c r="J259" s="1">
        <f t="shared" si="471"/>
        <v>8.26</v>
      </c>
      <c r="K259" s="1">
        <v>3.5</v>
      </c>
      <c r="L259" s="1">
        <f t="shared" si="453"/>
        <v>8.26</v>
      </c>
      <c r="S259" s="1">
        <v>13.1</v>
      </c>
      <c r="T259" s="1">
        <f t="shared" ref="T259" si="557">S259*1.34</f>
        <v>17.554000000000002</v>
      </c>
      <c r="U259" s="1">
        <v>9.6</v>
      </c>
      <c r="V259" s="1">
        <f t="shared" si="480"/>
        <v>12.864000000000001</v>
      </c>
      <c r="W259" s="1">
        <v>9.4</v>
      </c>
      <c r="X259" s="1">
        <f t="shared" si="509"/>
        <v>12.596000000000002</v>
      </c>
      <c r="Y259" s="1">
        <v>6.9</v>
      </c>
      <c r="Z259" s="1">
        <f t="shared" si="543"/>
        <v>9.2460000000000004</v>
      </c>
      <c r="AC259" s="1">
        <v>4.2</v>
      </c>
      <c r="AD259" s="1">
        <f t="shared" ref="AD259" si="558">AC259*2.75</f>
        <v>11.55</v>
      </c>
      <c r="AE259" s="1">
        <v>13.3</v>
      </c>
      <c r="AF259" s="1">
        <f t="shared" si="553"/>
        <v>36.575000000000003</v>
      </c>
      <c r="AG259">
        <v>2.2999999999999998</v>
      </c>
      <c r="AH259" s="1">
        <f t="shared" si="556"/>
        <v>5.427999999999999</v>
      </c>
      <c r="AM259">
        <f>9.1+7</f>
        <v>16.100000000000001</v>
      </c>
      <c r="AN259" s="1">
        <f t="shared" ref="AN259:AN263" si="559">AM259*0.6</f>
        <v>9.66</v>
      </c>
      <c r="AP259" s="1">
        <f t="shared" si="431"/>
        <v>0.78</v>
      </c>
      <c r="AQ259" s="1">
        <f t="shared" si="432"/>
        <v>0.22</v>
      </c>
      <c r="AR259" s="1">
        <f t="shared" si="474"/>
        <v>1</v>
      </c>
    </row>
    <row r="260" spans="2:44" x14ac:dyDescent="0.25">
      <c r="B260" t="s">
        <v>42</v>
      </c>
      <c r="C260" t="s">
        <v>122</v>
      </c>
      <c r="D260" s="1">
        <f>SUM(E260,G260,I260,K260,M260,O260,Q260,S260,U260,W260,Y260,AA260,AC260,AE260,AG260,AI260,AK260)</f>
        <v>102</v>
      </c>
      <c r="E260" s="1">
        <v>24.4</v>
      </c>
      <c r="F260" s="1">
        <f t="shared" si="541"/>
        <v>32.695999999999998</v>
      </c>
      <c r="G260" s="1">
        <v>10.7</v>
      </c>
      <c r="H260" s="1">
        <f t="shared" si="541"/>
        <v>14.337999999999999</v>
      </c>
      <c r="I260" s="1">
        <v>4.9000000000000004</v>
      </c>
      <c r="J260" s="1">
        <f t="shared" si="471"/>
        <v>11.564</v>
      </c>
      <c r="K260" s="1">
        <v>4.0999999999999996</v>
      </c>
      <c r="L260" s="1">
        <f t="shared" si="453"/>
        <v>9.6759999999999984</v>
      </c>
      <c r="M260" s="1"/>
      <c r="N260" s="1"/>
      <c r="O260" s="1"/>
      <c r="P260" s="1"/>
      <c r="Q260" s="1">
        <v>2.7</v>
      </c>
      <c r="R260" s="1">
        <f>Q260*2.36</f>
        <v>6.3719999999999999</v>
      </c>
      <c r="S260" s="1">
        <v>13.5</v>
      </c>
      <c r="T260" s="1">
        <f t="shared" ref="T260" si="560">S260*1.34</f>
        <v>18.09</v>
      </c>
      <c r="U260" s="1">
        <v>10.199999999999999</v>
      </c>
      <c r="V260" s="1">
        <f t="shared" si="480"/>
        <v>13.667999999999999</v>
      </c>
      <c r="W260" s="1">
        <v>9.9</v>
      </c>
      <c r="X260" s="1">
        <f t="shared" si="509"/>
        <v>13.266000000000002</v>
      </c>
      <c r="Y260" s="1">
        <v>9.8000000000000007</v>
      </c>
      <c r="Z260" s="1">
        <f t="shared" si="543"/>
        <v>13.132000000000001</v>
      </c>
      <c r="AA260" s="1"/>
      <c r="AB260" s="1"/>
      <c r="AC260" s="1">
        <v>5.0999999999999996</v>
      </c>
      <c r="AD260" s="1">
        <f t="shared" ref="AD260" si="561">AC260*2.75</f>
        <v>14.024999999999999</v>
      </c>
      <c r="AE260" s="1">
        <v>6.7</v>
      </c>
      <c r="AF260" s="1">
        <f t="shared" si="553"/>
        <v>18.425000000000001</v>
      </c>
      <c r="AG260" s="1"/>
      <c r="AH260" s="1"/>
      <c r="AI260" s="9"/>
      <c r="AJ260" s="9"/>
      <c r="AK260" s="9"/>
      <c r="AL260" s="9"/>
      <c r="AM260" s="1">
        <v>13.6</v>
      </c>
      <c r="AN260" s="1">
        <f t="shared" si="559"/>
        <v>8.16</v>
      </c>
      <c r="AP260" s="1">
        <f t="shared" si="431"/>
        <v>0.78</v>
      </c>
      <c r="AQ260" s="1">
        <f t="shared" si="432"/>
        <v>0.22</v>
      </c>
      <c r="AR260" s="1">
        <f t="shared" si="474"/>
        <v>1</v>
      </c>
    </row>
    <row r="261" spans="2:44" x14ac:dyDescent="0.25">
      <c r="B261" t="s">
        <v>72</v>
      </c>
      <c r="C261" t="s">
        <v>73</v>
      </c>
      <c r="D261" s="1">
        <f>SUM(E261,G261,I261,K261,M261,O261,Q261,S261,U261,W261,Y261,AA261,AC261,AE261,AG261,AI261,AK261)</f>
        <v>104</v>
      </c>
      <c r="E261" s="1">
        <v>26.85</v>
      </c>
      <c r="F261" s="1">
        <f t="shared" ref="F261:H261" si="562">E261*1.34</f>
        <v>35.979000000000006</v>
      </c>
      <c r="G261" s="1">
        <v>11.7</v>
      </c>
      <c r="H261" s="1">
        <f t="shared" si="562"/>
        <v>15.678000000000001</v>
      </c>
      <c r="I261" s="1">
        <v>4.4000000000000004</v>
      </c>
      <c r="J261" s="1">
        <f t="shared" si="471"/>
        <v>10.384</v>
      </c>
      <c r="K261" s="1">
        <v>3.8</v>
      </c>
      <c r="L261" s="1">
        <f t="shared" si="453"/>
        <v>8.968</v>
      </c>
      <c r="M261" s="1"/>
      <c r="N261" s="1"/>
      <c r="O261" s="1"/>
      <c r="P261" s="1"/>
      <c r="Q261" s="1"/>
      <c r="R261" s="1"/>
      <c r="S261" s="1">
        <v>14.05</v>
      </c>
      <c r="T261" s="1">
        <f t="shared" ref="T261" si="563">S261*1.34</f>
        <v>18.827000000000002</v>
      </c>
      <c r="U261" s="1">
        <v>10.45</v>
      </c>
      <c r="V261" s="1">
        <f t="shared" si="480"/>
        <v>14.003</v>
      </c>
      <c r="W261" s="1">
        <v>10.050000000000001</v>
      </c>
      <c r="X261" s="1">
        <f t="shared" si="509"/>
        <v>13.467000000000002</v>
      </c>
      <c r="Y261" s="1">
        <v>8.25</v>
      </c>
      <c r="Z261" s="1">
        <f t="shared" si="543"/>
        <v>11.055000000000001</v>
      </c>
      <c r="AA261" s="1"/>
      <c r="AB261" s="1"/>
      <c r="AC261" s="1">
        <v>9.4</v>
      </c>
      <c r="AD261" s="1">
        <f t="shared" ref="AD261" si="564">AC261*2.75</f>
        <v>25.85</v>
      </c>
      <c r="AE261" s="1">
        <v>5.05</v>
      </c>
      <c r="AF261" s="1">
        <f t="shared" si="553"/>
        <v>13.887499999999999</v>
      </c>
      <c r="AG261" s="1"/>
      <c r="AH261" s="1"/>
      <c r="AI261" s="9"/>
      <c r="AJ261" s="9"/>
      <c r="AK261" s="9"/>
      <c r="AL261" s="9"/>
      <c r="AM261" s="1">
        <v>95</v>
      </c>
      <c r="AN261" s="1">
        <f t="shared" si="559"/>
        <v>57</v>
      </c>
      <c r="AP261" s="1">
        <f t="shared" si="431"/>
        <v>0.81</v>
      </c>
      <c r="AQ261" s="1">
        <f t="shared" si="432"/>
        <v>0.19</v>
      </c>
      <c r="AR261" s="1">
        <f t="shared" si="474"/>
        <v>1</v>
      </c>
    </row>
    <row r="262" spans="2:44" x14ac:dyDescent="0.25">
      <c r="B262" t="s">
        <v>124</v>
      </c>
      <c r="C262" t="s">
        <v>123</v>
      </c>
      <c r="D262" s="1">
        <f>SUM(E262,G262,I262,K262,M262,O262,Q262,S262,U262,W262,Y262,AA262,AC262,AE262,AG262,AI262,AK262)</f>
        <v>104.09</v>
      </c>
      <c r="E262" s="1">
        <v>29.18</v>
      </c>
      <c r="F262" s="1">
        <f t="shared" ref="F262:H263" si="565">E262*1.34</f>
        <v>39.101199999999999</v>
      </c>
      <c r="G262" s="1">
        <v>10.25</v>
      </c>
      <c r="H262" s="1">
        <f t="shared" si="565"/>
        <v>13.735000000000001</v>
      </c>
      <c r="I262" s="1">
        <v>4.01</v>
      </c>
      <c r="J262" s="1">
        <f t="shared" si="471"/>
        <v>9.4635999999999996</v>
      </c>
      <c r="K262" s="1">
        <v>3.93</v>
      </c>
      <c r="L262" s="1">
        <f t="shared" si="453"/>
        <v>9.274799999999999</v>
      </c>
      <c r="M262" s="1"/>
      <c r="N262" s="1"/>
      <c r="O262" s="1"/>
      <c r="P262" s="1"/>
      <c r="Q262" s="1"/>
      <c r="R262" s="1"/>
      <c r="S262" s="1">
        <v>15.68</v>
      </c>
      <c r="T262" s="1">
        <f t="shared" ref="T262" si="566">S262*1.34</f>
        <v>21.011200000000002</v>
      </c>
      <c r="U262" s="1">
        <v>11.12</v>
      </c>
      <c r="V262" s="1">
        <f t="shared" si="480"/>
        <v>14.9008</v>
      </c>
      <c r="W262" s="1">
        <v>9.8699999999999992</v>
      </c>
      <c r="X262" s="1">
        <f t="shared" si="509"/>
        <v>13.2258</v>
      </c>
      <c r="Y262" s="1">
        <v>9.4700000000000006</v>
      </c>
      <c r="Z262" s="1">
        <f t="shared" ref="Z262:Z263" si="567">Y262*1.34</f>
        <v>12.689800000000002</v>
      </c>
      <c r="AA262" s="1"/>
      <c r="AB262" s="1"/>
      <c r="AC262" s="1">
        <v>5.14</v>
      </c>
      <c r="AD262" s="1">
        <f t="shared" ref="AD262" si="568">AC262*2.75</f>
        <v>14.135</v>
      </c>
      <c r="AE262" s="1">
        <v>5.44</v>
      </c>
      <c r="AF262" s="1">
        <f t="shared" si="553"/>
        <v>14.96</v>
      </c>
      <c r="AG262" s="1"/>
      <c r="AH262" s="1"/>
      <c r="AI262" s="9"/>
      <c r="AJ262" s="9"/>
      <c r="AK262" s="9"/>
      <c r="AL262" s="9"/>
      <c r="AM262" s="1">
        <v>57.25</v>
      </c>
      <c r="AN262" s="1">
        <f t="shared" si="559"/>
        <v>34.35</v>
      </c>
      <c r="AP262" s="1">
        <f t="shared" si="431"/>
        <v>0.83</v>
      </c>
      <c r="AQ262" s="1">
        <f t="shared" si="432"/>
        <v>0.17</v>
      </c>
      <c r="AR262" s="1">
        <f t="shared" si="474"/>
        <v>1</v>
      </c>
    </row>
    <row r="263" spans="2:44" x14ac:dyDescent="0.25">
      <c r="B263" t="s">
        <v>72</v>
      </c>
      <c r="C263" t="s">
        <v>73</v>
      </c>
      <c r="D263" s="1">
        <f>SUM(E263,G263,I263,K263,M263,O263,Q263,S263,U263,W263,Y263,AA263,AC263,AE263,AG263,AI263,AK263)</f>
        <v>104.44999999999999</v>
      </c>
      <c r="E263" s="1">
        <v>24.5</v>
      </c>
      <c r="F263" s="1">
        <f t="shared" si="565"/>
        <v>32.830000000000005</v>
      </c>
      <c r="G263" s="1">
        <v>12.8</v>
      </c>
      <c r="H263" s="1">
        <f t="shared" si="565"/>
        <v>17.152000000000001</v>
      </c>
      <c r="I263" s="1">
        <v>4.2</v>
      </c>
      <c r="J263" s="1">
        <f t="shared" si="471"/>
        <v>9.911999999999999</v>
      </c>
      <c r="K263" s="1">
        <v>3.95</v>
      </c>
      <c r="L263" s="1">
        <f t="shared" ref="L263:L302" si="569">K263*2.36</f>
        <v>9.3219999999999992</v>
      </c>
      <c r="M263" s="1"/>
      <c r="N263" s="1"/>
      <c r="O263" s="1"/>
      <c r="P263" s="1"/>
      <c r="Q263" s="1"/>
      <c r="R263" s="1"/>
      <c r="S263" s="1">
        <v>16.649999999999999</v>
      </c>
      <c r="T263" s="1">
        <f t="shared" ref="T263" si="570">S263*1.34</f>
        <v>22.311</v>
      </c>
      <c r="U263" s="1">
        <v>10.5</v>
      </c>
      <c r="V263" s="1">
        <f t="shared" si="480"/>
        <v>14.07</v>
      </c>
      <c r="W263" s="1">
        <v>10.3</v>
      </c>
      <c r="X263" s="1">
        <f t="shared" si="509"/>
        <v>13.802000000000001</v>
      </c>
      <c r="Y263" s="1">
        <v>9</v>
      </c>
      <c r="Z263" s="1">
        <f t="shared" si="567"/>
        <v>12.06</v>
      </c>
      <c r="AA263" s="1"/>
      <c r="AB263" s="1"/>
      <c r="AC263" s="1">
        <v>6.3</v>
      </c>
      <c r="AD263" s="1">
        <f t="shared" ref="AD263" si="571">AC263*2.75</f>
        <v>17.324999999999999</v>
      </c>
      <c r="AE263" s="1">
        <v>6.25</v>
      </c>
      <c r="AF263" s="1">
        <f t="shared" si="553"/>
        <v>17.1875</v>
      </c>
      <c r="AG263" s="1"/>
      <c r="AH263" s="1"/>
      <c r="AI263" s="9"/>
      <c r="AJ263" s="9"/>
      <c r="AK263" s="9"/>
      <c r="AL263" s="9"/>
      <c r="AM263" s="1">
        <f>94+25.8</f>
        <v>119.8</v>
      </c>
      <c r="AN263" s="1">
        <f t="shared" si="559"/>
        <v>71.88</v>
      </c>
      <c r="AP263" s="1">
        <f t="shared" si="431"/>
        <v>0.8</v>
      </c>
      <c r="AQ263" s="1">
        <f t="shared" si="432"/>
        <v>0.2</v>
      </c>
      <c r="AR263" s="1">
        <f t="shared" si="474"/>
        <v>1</v>
      </c>
    </row>
    <row r="264" spans="2:44" x14ac:dyDescent="0.25">
      <c r="C264" t="s">
        <v>51</v>
      </c>
      <c r="D264" s="1">
        <f>SUM(E264,G264,I264,K264,M264,O264,Q264,S264,U264,W264,Y264,AA264,AC264,AE264,AG264,AI264,AK264)</f>
        <v>104.89000000000001</v>
      </c>
      <c r="E264" s="1">
        <v>31.69</v>
      </c>
      <c r="F264" s="1">
        <f t="shared" ref="F264:H264" si="572">E264*1.34</f>
        <v>42.464600000000004</v>
      </c>
      <c r="G264" s="1">
        <v>10.89</v>
      </c>
      <c r="H264" s="1">
        <f t="shared" si="572"/>
        <v>14.592600000000001</v>
      </c>
      <c r="I264" s="1">
        <v>4.0599999999999996</v>
      </c>
      <c r="J264" s="1">
        <f t="shared" si="471"/>
        <v>9.5815999999999981</v>
      </c>
      <c r="K264" s="1">
        <v>3.44</v>
      </c>
      <c r="L264" s="1">
        <f t="shared" si="569"/>
        <v>8.1183999999999994</v>
      </c>
      <c r="M264" s="1"/>
      <c r="N264" s="1"/>
      <c r="O264" s="1"/>
      <c r="P264" s="1"/>
      <c r="Q264" s="1"/>
      <c r="R264" s="1"/>
      <c r="S264" s="1">
        <v>13.24</v>
      </c>
      <c r="T264" s="1">
        <f t="shared" ref="T264" si="573">S264*1.34</f>
        <v>17.741600000000002</v>
      </c>
      <c r="U264" s="1">
        <v>9.7899999999999991</v>
      </c>
      <c r="V264" s="1">
        <f t="shared" si="480"/>
        <v>13.118599999999999</v>
      </c>
      <c r="W264" s="1">
        <v>9.67</v>
      </c>
      <c r="X264" s="1">
        <f t="shared" si="509"/>
        <v>12.957800000000001</v>
      </c>
      <c r="Y264" s="1">
        <v>8.15</v>
      </c>
      <c r="Z264" s="1">
        <f t="shared" ref="Z264" si="574">Y264*1.34</f>
        <v>10.921000000000001</v>
      </c>
      <c r="AA264" s="1"/>
      <c r="AB264" s="1"/>
      <c r="AC264" s="1">
        <v>8.23</v>
      </c>
      <c r="AD264" s="1">
        <f t="shared" ref="AD264" si="575">AC264*2.75</f>
        <v>22.6325</v>
      </c>
      <c r="AE264" s="1">
        <v>5.73</v>
      </c>
      <c r="AF264" s="1">
        <f t="shared" si="553"/>
        <v>15.7575</v>
      </c>
      <c r="AG264" s="1"/>
      <c r="AH264" s="1"/>
      <c r="AI264" s="9"/>
      <c r="AJ264" s="9"/>
      <c r="AK264" s="9"/>
      <c r="AL264" s="9"/>
      <c r="AM264" s="1"/>
      <c r="AN264" s="1"/>
      <c r="AP264" s="1">
        <f t="shared" si="431"/>
        <v>0.82</v>
      </c>
      <c r="AQ264" s="1">
        <f t="shared" si="432"/>
        <v>0.18</v>
      </c>
      <c r="AR264" s="1">
        <f t="shared" si="474"/>
        <v>1</v>
      </c>
    </row>
    <row r="265" spans="2:44" x14ac:dyDescent="0.25">
      <c r="B265" t="s">
        <v>117</v>
      </c>
      <c r="C265" t="s">
        <v>118</v>
      </c>
      <c r="D265" s="1">
        <f>SUM(E265,G265,I265,K265,M265,O265,Q265,S265,U265,W265,Y265,AA265,AC265,AE265,AG265,AI265,AK265)</f>
        <v>105.13999999999997</v>
      </c>
      <c r="E265" s="1">
        <v>24.16</v>
      </c>
      <c r="F265" s="1">
        <f t="shared" ref="F265:H270" si="576">E265*1.34</f>
        <v>32.374400000000001</v>
      </c>
      <c r="G265" s="1">
        <v>13.02</v>
      </c>
      <c r="H265" s="1">
        <f t="shared" si="576"/>
        <v>17.4468</v>
      </c>
      <c r="I265" s="1">
        <v>5.8</v>
      </c>
      <c r="J265" s="1">
        <f t="shared" si="471"/>
        <v>13.687999999999999</v>
      </c>
      <c r="K265" s="1">
        <v>4.59</v>
      </c>
      <c r="L265" s="1">
        <f t="shared" si="569"/>
        <v>10.8324</v>
      </c>
      <c r="M265" s="1"/>
      <c r="N265" s="1"/>
      <c r="O265" s="1"/>
      <c r="P265" s="1"/>
      <c r="Q265" s="1"/>
      <c r="R265" s="1"/>
      <c r="S265" s="1">
        <v>14.54</v>
      </c>
      <c r="T265" s="1">
        <f t="shared" ref="T265" si="577">S265*1.34</f>
        <v>19.483599999999999</v>
      </c>
      <c r="U265" s="1">
        <v>14.5</v>
      </c>
      <c r="V265" s="1">
        <f t="shared" si="480"/>
        <v>19.43</v>
      </c>
      <c r="W265" s="1">
        <v>12.32</v>
      </c>
      <c r="X265" s="1">
        <f t="shared" si="509"/>
        <v>16.508800000000001</v>
      </c>
      <c r="Y265" s="1"/>
      <c r="Z265" s="1"/>
      <c r="AA265" s="1"/>
      <c r="AB265" s="1"/>
      <c r="AC265" s="1">
        <v>5.3</v>
      </c>
      <c r="AD265" s="1">
        <f t="shared" ref="AD265" si="578">AC265*2.75</f>
        <v>14.574999999999999</v>
      </c>
      <c r="AE265" s="1">
        <v>5.85</v>
      </c>
      <c r="AF265" s="1">
        <f t="shared" si="553"/>
        <v>16.087499999999999</v>
      </c>
      <c r="AG265" s="1"/>
      <c r="AH265" s="1"/>
      <c r="AI265" s="9">
        <v>5.0599999999999996</v>
      </c>
      <c r="AJ265" s="9">
        <f t="shared" ref="AJ265" si="579">AI265*2.75</f>
        <v>13.914999999999999</v>
      </c>
      <c r="AK265" s="9"/>
      <c r="AL265" s="9"/>
      <c r="AM265" s="1"/>
      <c r="AN265" s="1"/>
      <c r="AP265" s="1">
        <f t="shared" si="431"/>
        <v>0.78</v>
      </c>
      <c r="AQ265" s="1">
        <f t="shared" si="432"/>
        <v>0.22</v>
      </c>
      <c r="AR265" s="1">
        <f t="shared" si="474"/>
        <v>1</v>
      </c>
    </row>
    <row r="266" spans="2:44" x14ac:dyDescent="0.25">
      <c r="D266" s="1">
        <f>SUM(E266,G266,I266,K266,M266,O266,Q266,S266,U266,W266,Y266,AA266,AC266,AE266,AG266,AI266,AK266)</f>
        <v>105.55</v>
      </c>
      <c r="E266" s="1">
        <v>20.09</v>
      </c>
      <c r="F266" s="1">
        <f t="shared" si="576"/>
        <v>26.9206</v>
      </c>
      <c r="G266" s="1">
        <v>19.75</v>
      </c>
      <c r="H266" s="1">
        <f t="shared" si="576"/>
        <v>26.465</v>
      </c>
      <c r="I266" s="1">
        <v>4.2</v>
      </c>
      <c r="J266" s="1">
        <f t="shared" si="471"/>
        <v>9.911999999999999</v>
      </c>
      <c r="K266" s="1"/>
      <c r="L266" s="1"/>
      <c r="M266" s="1"/>
      <c r="N266" s="1"/>
      <c r="O266" s="1"/>
      <c r="P266" s="1"/>
      <c r="Q266" s="1">
        <v>1.89</v>
      </c>
      <c r="R266" s="1">
        <f>Q266*2.36</f>
        <v>4.4603999999999999</v>
      </c>
      <c r="S266" s="1">
        <v>18.920000000000002</v>
      </c>
      <c r="T266" s="1">
        <f t="shared" ref="T266" si="580">S266*1.34</f>
        <v>25.352800000000006</v>
      </c>
      <c r="U266" s="1">
        <v>12.47</v>
      </c>
      <c r="V266" s="1">
        <f t="shared" si="480"/>
        <v>16.709800000000001</v>
      </c>
      <c r="W266" s="1">
        <v>9.6</v>
      </c>
      <c r="X266" s="1">
        <f t="shared" si="509"/>
        <v>12.864000000000001</v>
      </c>
      <c r="Y266" s="1">
        <v>9.0299999999999994</v>
      </c>
      <c r="Z266" s="1">
        <f t="shared" ref="Z266" si="581">Y266*1.34</f>
        <v>12.100199999999999</v>
      </c>
      <c r="AA266" s="1"/>
      <c r="AB266" s="1"/>
      <c r="AC266" s="1"/>
      <c r="AD266" s="1"/>
      <c r="AE266" s="1">
        <v>9.6</v>
      </c>
      <c r="AF266" s="1">
        <f t="shared" si="553"/>
        <v>26.4</v>
      </c>
      <c r="AG266" s="1"/>
      <c r="AH266" s="1"/>
      <c r="AI266" s="9"/>
      <c r="AJ266" s="9"/>
      <c r="AK266" s="9"/>
      <c r="AL266" s="9"/>
      <c r="AM266" s="1"/>
      <c r="AN266" s="1"/>
      <c r="AP266" s="1">
        <f t="shared" ref="AP266:AP302" si="582">ROUND(SUM(AK266,AI266,AG266,AE266,AC266,AA266,Y266,W266,U266,S266,E266)/D266,2)</f>
        <v>0.76</v>
      </c>
      <c r="AQ266" s="1">
        <f t="shared" ref="AQ266:AQ302" si="583">ROUND(SUM(G266,I266,K266,M266,O266,Q266)/D266,2)</f>
        <v>0.24</v>
      </c>
      <c r="AR266" s="1">
        <f t="shared" si="474"/>
        <v>1</v>
      </c>
    </row>
    <row r="267" spans="2:44" x14ac:dyDescent="0.25">
      <c r="D267" s="1">
        <f>SUM(E267,G267,I267,K267,M267,O267,Q267,S267,U267,W267,Y267,AA267,AC267,AE267,AG267,AI267,AK267)</f>
        <v>105.89</v>
      </c>
      <c r="E267" s="1">
        <v>37.18</v>
      </c>
      <c r="F267" s="1">
        <f t="shared" si="576"/>
        <v>49.821200000000005</v>
      </c>
      <c r="G267" s="1">
        <v>13</v>
      </c>
      <c r="H267" s="1">
        <f t="shared" si="576"/>
        <v>17.420000000000002</v>
      </c>
      <c r="I267" s="1">
        <v>3.46</v>
      </c>
      <c r="J267" s="1">
        <f t="shared" si="471"/>
        <v>8.1655999999999995</v>
      </c>
      <c r="K267" s="1">
        <v>3.52</v>
      </c>
      <c r="L267" s="1">
        <f t="shared" si="569"/>
        <v>8.3071999999999999</v>
      </c>
      <c r="M267" s="1"/>
      <c r="N267" s="1"/>
      <c r="O267" s="1"/>
      <c r="P267" s="1"/>
      <c r="Q267" s="1">
        <v>2.46</v>
      </c>
      <c r="R267" s="1">
        <f>Q267*2.36</f>
        <v>5.8055999999999992</v>
      </c>
      <c r="S267" s="1">
        <v>16.600000000000001</v>
      </c>
      <c r="T267" s="1">
        <f t="shared" ref="T267" si="584">S267*1.34</f>
        <v>22.244000000000003</v>
      </c>
      <c r="U267" s="1">
        <v>14.05</v>
      </c>
      <c r="V267" s="1">
        <f t="shared" si="480"/>
        <v>18.827000000000002</v>
      </c>
      <c r="W267" s="1">
        <v>7.62</v>
      </c>
      <c r="X267" s="1">
        <f t="shared" si="509"/>
        <v>10.210800000000001</v>
      </c>
      <c r="Y267" s="1"/>
      <c r="Z267" s="1"/>
      <c r="AA267" s="1"/>
      <c r="AB267" s="1"/>
      <c r="AC267" s="1"/>
      <c r="AD267" s="1"/>
      <c r="AE267" s="1">
        <v>8</v>
      </c>
      <c r="AF267" s="1">
        <f t="shared" si="553"/>
        <v>22</v>
      </c>
      <c r="AG267" s="1"/>
      <c r="AH267" s="1"/>
      <c r="AI267" s="9"/>
      <c r="AJ267" s="9"/>
      <c r="AK267" s="9"/>
      <c r="AL267" s="9"/>
      <c r="AM267" s="1"/>
      <c r="AN267" s="1"/>
      <c r="AP267" s="1">
        <f t="shared" si="582"/>
        <v>0.79</v>
      </c>
      <c r="AQ267" s="1">
        <f t="shared" si="583"/>
        <v>0.21</v>
      </c>
      <c r="AR267" s="1">
        <f t="shared" si="474"/>
        <v>1</v>
      </c>
    </row>
    <row r="268" spans="2:44" x14ac:dyDescent="0.25">
      <c r="B268" t="s">
        <v>81</v>
      </c>
      <c r="C268" t="s">
        <v>82</v>
      </c>
      <c r="D268" s="1">
        <f>SUM(E268,G268,I268,K268,M268,O268,Q268,S268,U268,W268,Y268,AA268,AC268,AE268,AG268,AI268,AK268)</f>
        <v>106.34999999999998</v>
      </c>
      <c r="E268" s="1">
        <v>31.4</v>
      </c>
      <c r="F268" s="1">
        <f t="shared" si="576"/>
        <v>42.076000000000001</v>
      </c>
      <c r="G268" s="1">
        <v>10.84</v>
      </c>
      <c r="H268" s="1">
        <f t="shared" si="576"/>
        <v>14.525600000000001</v>
      </c>
      <c r="I268" s="1">
        <v>3.55</v>
      </c>
      <c r="J268" s="1">
        <f t="shared" si="471"/>
        <v>8.3779999999999983</v>
      </c>
      <c r="K268" s="1">
        <v>2.83</v>
      </c>
      <c r="L268" s="1">
        <f t="shared" si="569"/>
        <v>6.6787999999999998</v>
      </c>
      <c r="M268" s="1"/>
      <c r="N268" s="1"/>
      <c r="O268" s="1"/>
      <c r="P268" s="1"/>
      <c r="Q268" s="1"/>
      <c r="R268" s="1"/>
      <c r="S268" s="1">
        <v>18.059999999999999</v>
      </c>
      <c r="T268" s="1">
        <f t="shared" ref="T268" si="585">S268*1.34</f>
        <v>24.200399999999998</v>
      </c>
      <c r="U268" s="1">
        <v>11.99</v>
      </c>
      <c r="V268" s="1">
        <f t="shared" si="480"/>
        <v>16.066600000000001</v>
      </c>
      <c r="W268" s="1">
        <v>10.53</v>
      </c>
      <c r="X268" s="1">
        <f t="shared" si="509"/>
        <v>14.110200000000001</v>
      </c>
      <c r="Y268" s="1">
        <v>10.35</v>
      </c>
      <c r="Z268" s="1">
        <f t="shared" ref="Z268:Z271" si="586">Y268*1.34</f>
        <v>13.869</v>
      </c>
      <c r="AA268" s="1"/>
      <c r="AB268" s="1"/>
      <c r="AC268" s="1"/>
      <c r="AD268" s="1"/>
      <c r="AE268" s="1">
        <v>6.8</v>
      </c>
      <c r="AF268" s="1">
        <f t="shared" si="553"/>
        <v>18.7</v>
      </c>
      <c r="AG268" s="1"/>
      <c r="AH268" s="1"/>
      <c r="AI268" s="9"/>
      <c r="AJ268" s="9"/>
      <c r="AK268" s="9"/>
      <c r="AL268" s="9"/>
      <c r="AM268" s="1">
        <v>14.04</v>
      </c>
      <c r="AN268" s="1">
        <f t="shared" ref="AN268:AN270" si="587">AM268*0.6</f>
        <v>8.4239999999999995</v>
      </c>
      <c r="AP268" s="1">
        <f t="shared" si="582"/>
        <v>0.84</v>
      </c>
      <c r="AQ268" s="1">
        <f t="shared" si="583"/>
        <v>0.16</v>
      </c>
      <c r="AR268" s="1">
        <f t="shared" si="474"/>
        <v>1</v>
      </c>
    </row>
    <row r="269" spans="2:44" x14ac:dyDescent="0.25">
      <c r="B269" t="s">
        <v>134</v>
      </c>
      <c r="C269" t="s">
        <v>135</v>
      </c>
      <c r="D269" s="1">
        <f>SUM(E269,G269,I269,K269,M269,O269,Q269,S269,U269,W269,Y269,AA269,AC269,AE269,AG269,AI269,AK269)</f>
        <v>106.35000000000001</v>
      </c>
      <c r="E269" s="1">
        <v>44.17</v>
      </c>
      <c r="F269" s="1">
        <f t="shared" si="576"/>
        <v>59.187800000000003</v>
      </c>
      <c r="G269" s="1">
        <v>9.2100000000000009</v>
      </c>
      <c r="H269" s="1">
        <f t="shared" si="576"/>
        <v>12.341400000000002</v>
      </c>
      <c r="I269" s="1">
        <v>5.39</v>
      </c>
      <c r="J269" s="1">
        <f t="shared" si="471"/>
        <v>12.720399999999998</v>
      </c>
      <c r="K269" s="1">
        <v>4.72</v>
      </c>
      <c r="L269" s="1">
        <f t="shared" si="569"/>
        <v>11.139199999999999</v>
      </c>
      <c r="S269" s="1">
        <v>12.27</v>
      </c>
      <c r="T269" s="1">
        <f t="shared" ref="T269" si="588">S269*1.34</f>
        <v>16.441800000000001</v>
      </c>
      <c r="U269" s="1">
        <v>8.56</v>
      </c>
      <c r="V269" s="1">
        <f t="shared" si="480"/>
        <v>11.470400000000001</v>
      </c>
      <c r="W269" s="1">
        <v>7.69</v>
      </c>
      <c r="X269" s="1">
        <f t="shared" si="509"/>
        <v>10.304600000000001</v>
      </c>
      <c r="Y269" s="1">
        <v>6.07</v>
      </c>
      <c r="Z269" s="1">
        <f t="shared" si="586"/>
        <v>8.1338000000000008</v>
      </c>
      <c r="AC269" s="1">
        <v>4.3099999999999996</v>
      </c>
      <c r="AD269" s="1">
        <f t="shared" ref="AD269" si="589">AC269*2.75</f>
        <v>11.852499999999999</v>
      </c>
      <c r="AE269" s="1">
        <v>3.96</v>
      </c>
      <c r="AF269" s="1">
        <f t="shared" si="553"/>
        <v>10.89</v>
      </c>
      <c r="AM269">
        <f>66.05+25.65+5.22</f>
        <v>96.919999999999987</v>
      </c>
      <c r="AN269" s="1">
        <f t="shared" si="587"/>
        <v>58.151999999999987</v>
      </c>
      <c r="AP269" s="1">
        <f t="shared" si="582"/>
        <v>0.82</v>
      </c>
      <c r="AQ269" s="1">
        <f t="shared" si="583"/>
        <v>0.18</v>
      </c>
      <c r="AR269" s="1">
        <f t="shared" si="474"/>
        <v>1</v>
      </c>
    </row>
    <row r="270" spans="2:44" x14ac:dyDescent="0.25">
      <c r="B270" t="s">
        <v>99</v>
      </c>
      <c r="C270" t="s">
        <v>100</v>
      </c>
      <c r="D270" s="1">
        <f>SUM(E270,G270,I270,K270,M270,O270,Q270,S270,U270,W270,Y270,AA270,AC270,AE270,AG270,AI270,AK270)</f>
        <v>107.4</v>
      </c>
      <c r="E270" s="1">
        <v>27.4</v>
      </c>
      <c r="F270" s="1">
        <f t="shared" si="576"/>
        <v>36.716000000000001</v>
      </c>
      <c r="G270" s="1">
        <v>13.75</v>
      </c>
      <c r="H270" s="1">
        <f t="shared" si="576"/>
        <v>18.425000000000001</v>
      </c>
      <c r="I270" s="1">
        <v>4.0999999999999996</v>
      </c>
      <c r="J270" s="1">
        <f t="shared" si="471"/>
        <v>9.6759999999999984</v>
      </c>
      <c r="K270" s="1">
        <v>4.0999999999999996</v>
      </c>
      <c r="L270" s="1">
        <f t="shared" si="569"/>
        <v>9.6759999999999984</v>
      </c>
      <c r="M270" s="1"/>
      <c r="N270" s="1"/>
      <c r="O270" s="1"/>
      <c r="P270" s="1"/>
      <c r="Q270" s="1"/>
      <c r="R270" s="1"/>
      <c r="S270" s="1">
        <v>16.55</v>
      </c>
      <c r="T270" s="1">
        <f t="shared" ref="T270" si="590">S270*1.34</f>
        <v>22.177000000000003</v>
      </c>
      <c r="U270" s="1">
        <v>10.35</v>
      </c>
      <c r="V270" s="1">
        <f t="shared" si="480"/>
        <v>13.869</v>
      </c>
      <c r="W270" s="1">
        <v>10</v>
      </c>
      <c r="X270" s="1">
        <f t="shared" si="509"/>
        <v>13.4</v>
      </c>
      <c r="Y270" s="1">
        <v>9.4</v>
      </c>
      <c r="Z270" s="1">
        <f t="shared" si="586"/>
        <v>12.596000000000002</v>
      </c>
      <c r="AA270" s="1"/>
      <c r="AB270" s="1"/>
      <c r="AC270" s="1">
        <v>10.45</v>
      </c>
      <c r="AD270" s="1">
        <f t="shared" ref="AD270" si="591">AC270*2.75</f>
        <v>28.737499999999997</v>
      </c>
      <c r="AE270" s="1">
        <v>1.3</v>
      </c>
      <c r="AF270" s="1">
        <f t="shared" si="553"/>
        <v>3.5750000000000002</v>
      </c>
      <c r="AG270" s="1"/>
      <c r="AH270" s="1"/>
      <c r="AI270" s="9"/>
      <c r="AJ270" s="9"/>
      <c r="AK270" s="9"/>
      <c r="AL270" s="9"/>
      <c r="AM270" s="1">
        <v>24.35</v>
      </c>
      <c r="AN270" s="1">
        <f t="shared" si="587"/>
        <v>14.61</v>
      </c>
      <c r="AP270" s="1">
        <f t="shared" si="582"/>
        <v>0.8</v>
      </c>
      <c r="AQ270" s="1">
        <f t="shared" si="583"/>
        <v>0.2</v>
      </c>
      <c r="AR270" s="1">
        <f t="shared" si="474"/>
        <v>1</v>
      </c>
    </row>
    <row r="271" spans="2:44" x14ac:dyDescent="0.25">
      <c r="C271" t="s">
        <v>51</v>
      </c>
      <c r="D271" s="1">
        <f>SUM(E271,G271,I271,K271,M271,O271,Q271,S271,U271,W271,Y271,AA271,AC271,AE271,AG271,AI271,AK271)</f>
        <v>107.68</v>
      </c>
      <c r="E271" s="1">
        <v>29.34</v>
      </c>
      <c r="F271" s="1">
        <f t="shared" ref="F271:H271" si="592">E271*1.34</f>
        <v>39.315600000000003</v>
      </c>
      <c r="G271" s="1">
        <v>10.57</v>
      </c>
      <c r="H271" s="1">
        <f t="shared" si="592"/>
        <v>14.163800000000002</v>
      </c>
      <c r="I271" s="1">
        <v>4.9800000000000004</v>
      </c>
      <c r="J271" s="1">
        <f t="shared" ref="J271:J302" si="593">I271*2.36</f>
        <v>11.752800000000001</v>
      </c>
      <c r="K271" s="1">
        <v>4.4000000000000004</v>
      </c>
      <c r="L271" s="1">
        <f t="shared" si="569"/>
        <v>10.384</v>
      </c>
      <c r="M271" s="1"/>
      <c r="N271" s="1"/>
      <c r="O271" s="1"/>
      <c r="P271" s="1"/>
      <c r="Q271" s="1">
        <v>2.92</v>
      </c>
      <c r="R271" s="1">
        <f>Q271*2.36</f>
        <v>6.8911999999999995</v>
      </c>
      <c r="S271" s="1">
        <v>13.7</v>
      </c>
      <c r="T271" s="1">
        <f t="shared" ref="T271" si="594">S271*1.34</f>
        <v>18.358000000000001</v>
      </c>
      <c r="U271" s="1">
        <v>9.75</v>
      </c>
      <c r="V271" s="1">
        <f t="shared" si="480"/>
        <v>13.065000000000001</v>
      </c>
      <c r="W271" s="1">
        <v>9.75</v>
      </c>
      <c r="X271" s="1">
        <f t="shared" si="509"/>
        <v>13.065000000000001</v>
      </c>
      <c r="Y271" s="1">
        <v>9.59</v>
      </c>
      <c r="Z271" s="1">
        <f t="shared" si="586"/>
        <v>12.8506</v>
      </c>
      <c r="AA271" s="1"/>
      <c r="AB271" s="1"/>
      <c r="AC271" s="1">
        <v>4.26</v>
      </c>
      <c r="AD271" s="1">
        <f t="shared" ref="AD271" si="595">AC271*2.75</f>
        <v>11.715</v>
      </c>
      <c r="AE271" s="1">
        <v>8.42</v>
      </c>
      <c r="AF271" s="1">
        <f t="shared" si="553"/>
        <v>23.155000000000001</v>
      </c>
      <c r="AG271" s="1"/>
      <c r="AH271" s="1"/>
      <c r="AI271" s="9"/>
      <c r="AJ271" s="9"/>
      <c r="AK271" s="9"/>
      <c r="AL271" s="9"/>
      <c r="AM271" s="1"/>
      <c r="AN271" s="1"/>
      <c r="AP271" s="1">
        <f t="shared" si="582"/>
        <v>0.79</v>
      </c>
      <c r="AQ271" s="1">
        <f t="shared" si="583"/>
        <v>0.21</v>
      </c>
      <c r="AR271" s="1">
        <f t="shared" ref="AR271:AR302" si="596">AP271+AQ271</f>
        <v>1</v>
      </c>
    </row>
    <row r="272" spans="2:44" x14ac:dyDescent="0.25">
      <c r="C272" t="s">
        <v>64</v>
      </c>
      <c r="D272" s="1">
        <f>SUM(E272,G272,I272,K272,M272,O272,Q272,S272,U272,W272,Y272,AA272,AC272,AE272,AG272,AI272,AK272)</f>
        <v>108.75</v>
      </c>
      <c r="E272" s="1">
        <v>31.68</v>
      </c>
      <c r="F272" s="1">
        <f t="shared" ref="F272:H296" si="597">E272*1.34</f>
        <v>42.4512</v>
      </c>
      <c r="G272" s="1">
        <v>10.99</v>
      </c>
      <c r="H272" s="1">
        <f t="shared" si="597"/>
        <v>14.726600000000001</v>
      </c>
      <c r="I272" s="1">
        <v>5.31</v>
      </c>
      <c r="J272" s="1">
        <f t="shared" si="593"/>
        <v>12.531599999999999</v>
      </c>
      <c r="K272" s="1">
        <v>4.4000000000000004</v>
      </c>
      <c r="L272" s="1">
        <f t="shared" si="569"/>
        <v>10.384</v>
      </c>
      <c r="M272" s="1"/>
      <c r="N272" s="1"/>
      <c r="O272" s="1"/>
      <c r="P272" s="1"/>
      <c r="Q272" s="1">
        <v>2.8</v>
      </c>
      <c r="R272" s="1">
        <f>Q272*2.36</f>
        <v>6.6079999999999997</v>
      </c>
      <c r="S272" s="1">
        <v>15.27</v>
      </c>
      <c r="T272" s="1">
        <f t="shared" ref="T272" si="598">S272*1.34</f>
        <v>20.4618</v>
      </c>
      <c r="U272" s="1">
        <v>14.24</v>
      </c>
      <c r="V272" s="1">
        <f t="shared" si="480"/>
        <v>19.081600000000002</v>
      </c>
      <c r="W272" s="1">
        <v>12.12</v>
      </c>
      <c r="X272" s="1">
        <f t="shared" si="509"/>
        <v>16.2408</v>
      </c>
      <c r="Y272" s="1"/>
      <c r="Z272" s="1"/>
      <c r="AA272" s="1"/>
      <c r="AB272" s="1"/>
      <c r="AC272" s="1">
        <v>4.8099999999999996</v>
      </c>
      <c r="AD272" s="1">
        <f t="shared" ref="AD272" si="599">AC272*2.75</f>
        <v>13.227499999999999</v>
      </c>
      <c r="AE272" s="1">
        <v>7.13</v>
      </c>
      <c r="AF272" s="1">
        <f t="shared" si="553"/>
        <v>19.607499999999998</v>
      </c>
      <c r="AG272" s="1"/>
      <c r="AH272" s="1"/>
      <c r="AI272" s="9"/>
      <c r="AJ272" s="9"/>
      <c r="AK272" s="9"/>
      <c r="AL272" s="9"/>
      <c r="AM272" s="1">
        <f>71.42+41.54</f>
        <v>112.96000000000001</v>
      </c>
      <c r="AN272" s="1">
        <f>AM272*0.6</f>
        <v>67.775999999999996</v>
      </c>
      <c r="AP272" s="1">
        <f t="shared" si="582"/>
        <v>0.78</v>
      </c>
      <c r="AQ272" s="1">
        <f t="shared" si="583"/>
        <v>0.22</v>
      </c>
      <c r="AR272" s="1">
        <f t="shared" si="596"/>
        <v>1</v>
      </c>
    </row>
    <row r="273" spans="2:44" x14ac:dyDescent="0.25">
      <c r="D273" s="1">
        <f>SUM(E273,G273,I273,K273,M273,O273,Q273,S273,U273,W273,Y273,AA273,AC273,AE273,AG273,AI273,AK273)</f>
        <v>109.10000000000001</v>
      </c>
      <c r="E273" s="1">
        <v>21.12</v>
      </c>
      <c r="F273" s="1">
        <f t="shared" si="597"/>
        <v>28.300800000000002</v>
      </c>
      <c r="G273" s="1">
        <v>25.35</v>
      </c>
      <c r="H273" s="1">
        <f t="shared" si="597"/>
        <v>33.969000000000001</v>
      </c>
      <c r="I273" s="1">
        <v>6.2</v>
      </c>
      <c r="J273" s="1">
        <f t="shared" si="593"/>
        <v>14.632</v>
      </c>
      <c r="K273" s="1">
        <v>3.76</v>
      </c>
      <c r="L273" s="1">
        <f t="shared" si="569"/>
        <v>8.8735999999999997</v>
      </c>
      <c r="M273" s="1"/>
      <c r="N273" s="1"/>
      <c r="O273" s="1"/>
      <c r="P273" s="1"/>
      <c r="Q273" s="1">
        <v>2.27</v>
      </c>
      <c r="R273" s="1">
        <f>Q273*2.36</f>
        <v>5.3571999999999997</v>
      </c>
      <c r="S273" s="1">
        <v>13.2</v>
      </c>
      <c r="T273" s="1">
        <f t="shared" ref="T273" si="600">S273*1.34</f>
        <v>17.687999999999999</v>
      </c>
      <c r="U273" s="1">
        <v>10.49</v>
      </c>
      <c r="V273" s="1">
        <f t="shared" ref="V273:V302" si="601">U273*1.34</f>
        <v>14.056600000000001</v>
      </c>
      <c r="W273" s="1">
        <v>9.4</v>
      </c>
      <c r="X273" s="1">
        <f t="shared" si="509"/>
        <v>12.596000000000002</v>
      </c>
      <c r="Y273" s="1"/>
      <c r="Z273" s="1"/>
      <c r="AA273" s="1"/>
      <c r="AB273" s="1"/>
      <c r="AC273" s="1">
        <v>6.12</v>
      </c>
      <c r="AD273" s="1">
        <f t="shared" ref="AD273" si="602">AC273*2.75</f>
        <v>16.830000000000002</v>
      </c>
      <c r="AE273" s="1">
        <v>3</v>
      </c>
      <c r="AF273" s="1">
        <f t="shared" si="553"/>
        <v>8.25</v>
      </c>
      <c r="AG273" s="1">
        <v>3.21</v>
      </c>
      <c r="AH273" s="1">
        <f>AG273*2.36</f>
        <v>7.5755999999999997</v>
      </c>
      <c r="AI273" s="9">
        <v>4.9800000000000004</v>
      </c>
      <c r="AJ273" s="9">
        <f t="shared" ref="AJ273" si="603">AI273*2.75</f>
        <v>13.695</v>
      </c>
      <c r="AK273" s="9"/>
      <c r="AL273" s="9"/>
      <c r="AM273" s="1"/>
      <c r="AN273" s="1"/>
      <c r="AP273" s="1">
        <f t="shared" si="582"/>
        <v>0.66</v>
      </c>
      <c r="AQ273" s="1">
        <f t="shared" si="583"/>
        <v>0.34</v>
      </c>
      <c r="AR273" s="1">
        <f t="shared" si="596"/>
        <v>1</v>
      </c>
    </row>
    <row r="274" spans="2:44" x14ac:dyDescent="0.25">
      <c r="B274" t="s">
        <v>62</v>
      </c>
      <c r="C274" t="s">
        <v>63</v>
      </c>
      <c r="D274" s="1">
        <f>SUM(E274,G274,I274,K274,M274,O274,Q274,S274,U274,W274,Y274,AA274,AC274,AE274,AG274,AI274,AK274)</f>
        <v>109.12</v>
      </c>
      <c r="E274" s="1">
        <v>28.51</v>
      </c>
      <c r="F274" s="1">
        <f t="shared" si="597"/>
        <v>38.203400000000002</v>
      </c>
      <c r="G274" s="1">
        <v>11.09</v>
      </c>
      <c r="H274" s="1">
        <f t="shared" si="597"/>
        <v>14.8606</v>
      </c>
      <c r="I274" s="1">
        <v>4.91</v>
      </c>
      <c r="J274" s="1">
        <f t="shared" si="593"/>
        <v>11.5876</v>
      </c>
      <c r="K274" s="1">
        <v>3.97</v>
      </c>
      <c r="L274" s="1">
        <f t="shared" si="569"/>
        <v>9.3691999999999993</v>
      </c>
      <c r="M274" s="1">
        <v>3.78</v>
      </c>
      <c r="N274" s="1">
        <f>M274*2.36</f>
        <v>8.9207999999999998</v>
      </c>
      <c r="O274" s="1"/>
      <c r="P274" s="1"/>
      <c r="Q274" s="1"/>
      <c r="R274" s="1"/>
      <c r="S274" s="1">
        <f>13.34+3.36</f>
        <v>16.7</v>
      </c>
      <c r="T274" s="1">
        <f t="shared" ref="T274" si="604">S274*1.34</f>
        <v>22.378</v>
      </c>
      <c r="U274" s="1">
        <v>11.14</v>
      </c>
      <c r="V274" s="1">
        <f t="shared" si="601"/>
        <v>14.927600000000002</v>
      </c>
      <c r="W274" s="1">
        <v>10.11</v>
      </c>
      <c r="X274" s="1">
        <f t="shared" si="509"/>
        <v>13.5474</v>
      </c>
      <c r="Y274" s="1">
        <v>8.94</v>
      </c>
      <c r="Z274" s="1">
        <f t="shared" ref="Z274:Z277" si="605">Y274*1.34</f>
        <v>11.9796</v>
      </c>
      <c r="AA274" s="1"/>
      <c r="AB274" s="1"/>
      <c r="AC274" s="1">
        <v>4.8600000000000003</v>
      </c>
      <c r="AD274" s="1">
        <f t="shared" ref="AD274" si="606">AC274*2.75</f>
        <v>13.365</v>
      </c>
      <c r="AE274" s="1">
        <v>5.1100000000000003</v>
      </c>
      <c r="AF274" s="1">
        <f t="shared" si="553"/>
        <v>14.0525</v>
      </c>
      <c r="AG274" s="1"/>
      <c r="AH274" s="1"/>
      <c r="AI274" s="9"/>
      <c r="AJ274" s="9"/>
      <c r="AK274" s="9"/>
      <c r="AL274" s="9"/>
      <c r="AM274" s="1">
        <f>12.78+2.92</f>
        <v>15.7</v>
      </c>
      <c r="AN274" s="1">
        <f>AM274*0.6</f>
        <v>9.42</v>
      </c>
      <c r="AP274" s="1">
        <f t="shared" si="582"/>
        <v>0.78</v>
      </c>
      <c r="AQ274" s="1">
        <f t="shared" si="583"/>
        <v>0.22</v>
      </c>
      <c r="AR274" s="1">
        <f t="shared" si="596"/>
        <v>1</v>
      </c>
    </row>
    <row r="275" spans="2:44" x14ac:dyDescent="0.25">
      <c r="B275" t="s">
        <v>145</v>
      </c>
      <c r="C275" t="s">
        <v>144</v>
      </c>
      <c r="D275" s="1">
        <f>SUM(E275,G275,I275,K275,M275,O275,Q275,S275,U275,W275,Y275,AA275,AC275,AE275,AG275,AI275,AK275)</f>
        <v>109.69999999999999</v>
      </c>
      <c r="E275" s="1">
        <v>32.4</v>
      </c>
      <c r="F275" s="1">
        <f t="shared" si="597"/>
        <v>43.416000000000004</v>
      </c>
      <c r="G275" s="1">
        <v>10.1</v>
      </c>
      <c r="H275" s="1">
        <f t="shared" si="597"/>
        <v>13.534000000000001</v>
      </c>
      <c r="I275" s="1">
        <v>5</v>
      </c>
      <c r="J275" s="1">
        <f t="shared" si="593"/>
        <v>11.799999999999999</v>
      </c>
      <c r="K275" s="1">
        <v>4</v>
      </c>
      <c r="L275" s="1">
        <f t="shared" si="569"/>
        <v>9.44</v>
      </c>
      <c r="M275" s="1"/>
      <c r="N275" s="1"/>
      <c r="O275" s="1"/>
      <c r="P275" s="1"/>
      <c r="Q275" s="1">
        <v>3</v>
      </c>
      <c r="R275" s="1">
        <f>Q275*2.36</f>
        <v>7.08</v>
      </c>
      <c r="S275" s="1">
        <v>11.9</v>
      </c>
      <c r="T275" s="1">
        <f t="shared" ref="T275" si="607">S275*1.34</f>
        <v>15.946000000000002</v>
      </c>
      <c r="U275" s="1">
        <v>9.6</v>
      </c>
      <c r="V275" s="1">
        <f t="shared" si="601"/>
        <v>12.864000000000001</v>
      </c>
      <c r="W275" s="1">
        <v>9.6</v>
      </c>
      <c r="X275" s="1">
        <f t="shared" si="509"/>
        <v>12.864000000000001</v>
      </c>
      <c r="Y275" s="1">
        <v>9.6</v>
      </c>
      <c r="Z275" s="1">
        <f t="shared" si="605"/>
        <v>12.864000000000001</v>
      </c>
      <c r="AA275" s="1"/>
      <c r="AB275" s="1"/>
      <c r="AC275" s="1">
        <v>2.9</v>
      </c>
      <c r="AD275" s="1">
        <f t="shared" ref="AD275" si="608">AC275*2.75</f>
        <v>7.9749999999999996</v>
      </c>
      <c r="AE275" s="1">
        <v>8.6</v>
      </c>
      <c r="AF275" s="1">
        <f t="shared" si="553"/>
        <v>23.65</v>
      </c>
      <c r="AG275" s="1">
        <v>3</v>
      </c>
      <c r="AH275" s="1">
        <f>AG275*2.36</f>
        <v>7.08</v>
      </c>
      <c r="AI275" s="9"/>
      <c r="AJ275" s="9"/>
      <c r="AK275" s="9"/>
      <c r="AL275" s="9"/>
      <c r="AM275" s="1"/>
      <c r="AN275" s="1"/>
      <c r="AP275" s="1">
        <f t="shared" si="582"/>
        <v>0.8</v>
      </c>
      <c r="AQ275" s="1">
        <f t="shared" si="583"/>
        <v>0.2</v>
      </c>
      <c r="AR275" s="1">
        <f t="shared" si="596"/>
        <v>1</v>
      </c>
    </row>
    <row r="276" spans="2:44" x14ac:dyDescent="0.25">
      <c r="B276" t="s">
        <v>99</v>
      </c>
      <c r="C276" t="s">
        <v>100</v>
      </c>
      <c r="D276" s="1">
        <f>SUM(E276,G276,I276,K276,M276,O276,Q276,S276,U276,W276,Y276,AA276,AC276,AE276,AG276,AI276,AK276)</f>
        <v>110.5</v>
      </c>
      <c r="E276" s="1">
        <v>24.25</v>
      </c>
      <c r="F276" s="1">
        <f t="shared" si="597"/>
        <v>32.495000000000005</v>
      </c>
      <c r="G276" s="1">
        <v>17.850000000000001</v>
      </c>
      <c r="H276" s="1">
        <f t="shared" si="597"/>
        <v>23.919000000000004</v>
      </c>
      <c r="I276" s="1">
        <v>4.6500000000000004</v>
      </c>
      <c r="J276" s="1">
        <f t="shared" si="593"/>
        <v>10.974</v>
      </c>
      <c r="K276" s="1">
        <v>3.6</v>
      </c>
      <c r="L276" s="1">
        <f t="shared" si="569"/>
        <v>8.4960000000000004</v>
      </c>
      <c r="M276" s="1"/>
      <c r="N276" s="1"/>
      <c r="O276" s="1"/>
      <c r="P276" s="1"/>
      <c r="Q276" s="1"/>
      <c r="R276" s="1"/>
      <c r="S276" s="1">
        <v>15.55</v>
      </c>
      <c r="T276" s="1">
        <f t="shared" ref="T276" si="609">S276*1.34</f>
        <v>20.837000000000003</v>
      </c>
      <c r="U276" s="1">
        <v>11.25</v>
      </c>
      <c r="V276" s="1">
        <f t="shared" si="601"/>
        <v>15.075000000000001</v>
      </c>
      <c r="W276" s="1">
        <v>10.25</v>
      </c>
      <c r="X276" s="1">
        <f t="shared" si="509"/>
        <v>13.735000000000001</v>
      </c>
      <c r="Y276" s="1">
        <v>9.0500000000000007</v>
      </c>
      <c r="Z276" s="1">
        <f t="shared" si="605"/>
        <v>12.127000000000002</v>
      </c>
      <c r="AA276" s="1"/>
      <c r="AB276" s="1"/>
      <c r="AC276" s="1">
        <v>10.35</v>
      </c>
      <c r="AD276" s="1">
        <f t="shared" ref="AD276" si="610">AC276*2.75</f>
        <v>28.462499999999999</v>
      </c>
      <c r="AE276" s="1">
        <v>3.7</v>
      </c>
      <c r="AF276" s="1">
        <f t="shared" si="553"/>
        <v>10.175000000000001</v>
      </c>
      <c r="AG276" s="1"/>
      <c r="AH276" s="1"/>
      <c r="AI276" s="9"/>
      <c r="AJ276" s="9"/>
      <c r="AK276" s="9"/>
      <c r="AL276" s="9"/>
      <c r="AM276" s="1">
        <f>49.35+89.1</f>
        <v>138.44999999999999</v>
      </c>
      <c r="AN276" s="1">
        <f>AM276*0.6</f>
        <v>83.07</v>
      </c>
      <c r="AP276" s="1">
        <f t="shared" si="582"/>
        <v>0.76</v>
      </c>
      <c r="AQ276" s="1">
        <f t="shared" si="583"/>
        <v>0.24</v>
      </c>
      <c r="AR276" s="1">
        <f t="shared" si="596"/>
        <v>1</v>
      </c>
    </row>
    <row r="277" spans="2:44" x14ac:dyDescent="0.25">
      <c r="B277" t="s">
        <v>97</v>
      </c>
      <c r="C277" t="s">
        <v>98</v>
      </c>
      <c r="D277" s="1">
        <f>SUM(E277,G277,I277,K277,M277,O277,Q277,S277,U277,W277,Y277,AA277,AC277,AE277,AG277,AI277,AK277)</f>
        <v>110.63</v>
      </c>
      <c r="E277" s="1">
        <v>23.11</v>
      </c>
      <c r="F277" s="1">
        <f t="shared" si="597"/>
        <v>30.967400000000001</v>
      </c>
      <c r="G277" s="1">
        <v>13.02</v>
      </c>
      <c r="H277" s="1">
        <f t="shared" si="597"/>
        <v>17.4468</v>
      </c>
      <c r="I277" s="1">
        <v>5.27</v>
      </c>
      <c r="J277" s="1">
        <f t="shared" si="593"/>
        <v>12.437199999999999</v>
      </c>
      <c r="K277" s="1">
        <v>4.3</v>
      </c>
      <c r="L277" s="1">
        <f t="shared" si="569"/>
        <v>10.148</v>
      </c>
      <c r="M277" s="1"/>
      <c r="N277" s="1"/>
      <c r="O277" s="1"/>
      <c r="P277" s="1"/>
      <c r="Q277" s="1">
        <v>2.4</v>
      </c>
      <c r="R277" s="1">
        <f>Q277*2.36</f>
        <v>5.6639999999999997</v>
      </c>
      <c r="S277" s="1">
        <v>12.96</v>
      </c>
      <c r="T277" s="1">
        <f t="shared" ref="T277" si="611">S277*1.34</f>
        <v>17.366400000000002</v>
      </c>
      <c r="U277" s="1">
        <v>12.37</v>
      </c>
      <c r="V277" s="1">
        <f t="shared" si="601"/>
        <v>16.575800000000001</v>
      </c>
      <c r="W277" s="1">
        <v>10.039999999999999</v>
      </c>
      <c r="X277" s="1">
        <f t="shared" si="509"/>
        <v>13.4536</v>
      </c>
      <c r="Y277" s="1">
        <v>8.01</v>
      </c>
      <c r="Z277" s="1">
        <f t="shared" si="605"/>
        <v>10.7334</v>
      </c>
      <c r="AA277" s="1"/>
      <c r="AB277" s="1"/>
      <c r="AC277" s="1">
        <v>8.86</v>
      </c>
      <c r="AD277" s="1">
        <f t="shared" ref="AD277" si="612">AC277*2.75</f>
        <v>24.364999999999998</v>
      </c>
      <c r="AE277" s="1">
        <f>6.96+3.33</f>
        <v>10.29</v>
      </c>
      <c r="AF277" s="1">
        <f t="shared" si="553"/>
        <v>28.297499999999999</v>
      </c>
      <c r="AG277" s="1"/>
      <c r="AH277" s="1"/>
      <c r="AI277" s="9"/>
      <c r="AJ277" s="9"/>
      <c r="AK277" s="9"/>
      <c r="AL277" s="9"/>
      <c r="AM277" s="1">
        <v>4.09</v>
      </c>
      <c r="AN277" s="1">
        <f>AM277*0.6</f>
        <v>2.4539999999999997</v>
      </c>
      <c r="AP277" s="1">
        <f t="shared" si="582"/>
        <v>0.77</v>
      </c>
      <c r="AQ277" s="1">
        <f t="shared" si="583"/>
        <v>0.23</v>
      </c>
      <c r="AR277" s="1">
        <f t="shared" si="596"/>
        <v>1</v>
      </c>
    </row>
    <row r="278" spans="2:44" x14ac:dyDescent="0.25">
      <c r="D278" s="1">
        <f>SUM(E278,G278,I278,K278,M278,O278,Q278,S278,U278,W278,Y278,AA278,AC278,AE278,AG278,AI278,AK278)</f>
        <v>112.30000000000001</v>
      </c>
      <c r="E278" s="1">
        <v>30.72</v>
      </c>
      <c r="F278" s="1">
        <f t="shared" si="597"/>
        <v>41.1648</v>
      </c>
      <c r="G278" s="1">
        <v>14.43</v>
      </c>
      <c r="H278" s="1">
        <f t="shared" si="597"/>
        <v>19.336200000000002</v>
      </c>
      <c r="I278" s="1">
        <v>3.68</v>
      </c>
      <c r="J278" s="1">
        <f t="shared" si="593"/>
        <v>8.6847999999999992</v>
      </c>
      <c r="K278" s="1">
        <v>3.58</v>
      </c>
      <c r="L278" s="1">
        <f t="shared" si="569"/>
        <v>8.4488000000000003</v>
      </c>
      <c r="M278" s="1">
        <v>7.85</v>
      </c>
      <c r="N278" s="1">
        <f>M278*2.36</f>
        <v>18.526</v>
      </c>
      <c r="O278" s="1"/>
      <c r="P278" s="1"/>
      <c r="Q278" s="1"/>
      <c r="R278" s="1"/>
      <c r="S278" s="1">
        <v>15.51</v>
      </c>
      <c r="T278" s="1">
        <f t="shared" ref="T278" si="613">S278*1.34</f>
        <v>20.7834</v>
      </c>
      <c r="U278" s="1">
        <v>13.2</v>
      </c>
      <c r="V278" s="1">
        <f t="shared" si="601"/>
        <v>17.687999999999999</v>
      </c>
      <c r="W278" s="1">
        <v>9.64</v>
      </c>
      <c r="X278" s="1">
        <f t="shared" si="509"/>
        <v>12.917600000000002</v>
      </c>
      <c r="Y278" s="1"/>
      <c r="Z278" s="1"/>
      <c r="AA278" s="1"/>
      <c r="AB278" s="1"/>
      <c r="AC278" s="1">
        <v>3.04</v>
      </c>
      <c r="AD278" s="1">
        <f t="shared" ref="AD278" si="614">AC278*2.75</f>
        <v>8.36</v>
      </c>
      <c r="AE278" s="1">
        <f>6.36+4.29</f>
        <v>10.65</v>
      </c>
      <c r="AF278" s="1">
        <f t="shared" si="553"/>
        <v>29.287500000000001</v>
      </c>
      <c r="AG278" s="1"/>
      <c r="AH278" s="1"/>
      <c r="AI278" s="9"/>
      <c r="AJ278" s="9"/>
      <c r="AK278" s="9"/>
      <c r="AL278" s="9"/>
      <c r="AM278" s="1"/>
      <c r="AN278" s="1"/>
      <c r="AP278" s="1">
        <f t="shared" si="582"/>
        <v>0.74</v>
      </c>
      <c r="AQ278" s="1">
        <f t="shared" si="583"/>
        <v>0.26</v>
      </c>
      <c r="AR278" s="1">
        <f t="shared" si="596"/>
        <v>1</v>
      </c>
    </row>
    <row r="279" spans="2:44" x14ac:dyDescent="0.25">
      <c r="D279" s="1">
        <f>SUM(E279,G279,I279,K279,M279,O279,Q279,S279,U279,W279,Y279,AA279,AC279,AE279,AG279,AI279,AK279)</f>
        <v>113.81</v>
      </c>
      <c r="E279" s="1">
        <v>32.76</v>
      </c>
      <c r="F279" s="1">
        <f t="shared" si="597"/>
        <v>43.898400000000002</v>
      </c>
      <c r="G279" s="1">
        <v>13.26</v>
      </c>
      <c r="H279" s="1">
        <f t="shared" si="597"/>
        <v>17.7684</v>
      </c>
      <c r="I279" s="1">
        <v>3.51</v>
      </c>
      <c r="J279" s="1">
        <f t="shared" si="593"/>
        <v>8.2835999999999999</v>
      </c>
      <c r="K279" s="1">
        <v>3.51</v>
      </c>
      <c r="L279" s="1">
        <f t="shared" si="569"/>
        <v>8.2835999999999999</v>
      </c>
      <c r="M279" s="1"/>
      <c r="N279" s="1"/>
      <c r="O279" s="1"/>
      <c r="P279" s="1"/>
      <c r="Q279" s="1">
        <v>2.21</v>
      </c>
      <c r="R279" s="1">
        <f>Q279*2.36</f>
        <v>5.2155999999999993</v>
      </c>
      <c r="S279" s="1">
        <v>19.2</v>
      </c>
      <c r="T279" s="1">
        <f t="shared" ref="T279" si="615">S279*1.34</f>
        <v>25.728000000000002</v>
      </c>
      <c r="U279" s="1">
        <v>8.4</v>
      </c>
      <c r="V279" s="1">
        <f t="shared" si="601"/>
        <v>11.256000000000002</v>
      </c>
      <c r="W279" s="1">
        <v>8.4</v>
      </c>
      <c r="X279" s="1">
        <f t="shared" si="509"/>
        <v>11.256000000000002</v>
      </c>
      <c r="Y279" s="1">
        <v>8.1</v>
      </c>
      <c r="Z279" s="1">
        <f t="shared" ref="Z279:Z285" si="616">Y279*1.34</f>
        <v>10.854000000000001</v>
      </c>
      <c r="AA279" s="1"/>
      <c r="AB279" s="1"/>
      <c r="AC279" s="1">
        <v>3.68</v>
      </c>
      <c r="AD279" s="1">
        <f t="shared" ref="AD279" si="617">AC279*2.75</f>
        <v>10.120000000000001</v>
      </c>
      <c r="AE279" s="1">
        <v>7</v>
      </c>
      <c r="AF279" s="1">
        <f t="shared" si="553"/>
        <v>19.25</v>
      </c>
      <c r="AG279" s="1"/>
      <c r="AH279" s="1"/>
      <c r="AI279" s="9">
        <v>3.78</v>
      </c>
      <c r="AJ279" s="9">
        <f t="shared" ref="AJ279" si="618">AI279*2.75</f>
        <v>10.395</v>
      </c>
      <c r="AK279" s="9"/>
      <c r="AL279" s="9"/>
      <c r="AM279" s="1"/>
      <c r="AN279" s="1"/>
      <c r="AP279" s="1">
        <f t="shared" si="582"/>
        <v>0.8</v>
      </c>
      <c r="AQ279" s="1">
        <f t="shared" si="583"/>
        <v>0.2</v>
      </c>
      <c r="AR279" s="1">
        <f t="shared" si="596"/>
        <v>1</v>
      </c>
    </row>
    <row r="280" spans="2:44" x14ac:dyDescent="0.25">
      <c r="C280" t="s">
        <v>64</v>
      </c>
      <c r="D280" s="1">
        <f>SUM(E280,G280,I280,K280,M280,O280,Q280,S280,U280,W280,Y280,AA280,AC280,AE280,AG280,AI280,AK280)</f>
        <v>113.92</v>
      </c>
      <c r="E280" s="1">
        <v>25</v>
      </c>
      <c r="F280" s="1">
        <f t="shared" si="597"/>
        <v>33.5</v>
      </c>
      <c r="G280" s="1">
        <v>11.31</v>
      </c>
      <c r="H280" s="1">
        <f t="shared" si="597"/>
        <v>15.155400000000002</v>
      </c>
      <c r="I280" s="1">
        <v>5.97</v>
      </c>
      <c r="J280" s="1">
        <f t="shared" si="593"/>
        <v>14.089199999999998</v>
      </c>
      <c r="K280" s="1">
        <v>3.83</v>
      </c>
      <c r="L280" s="1">
        <f t="shared" si="569"/>
        <v>9.0388000000000002</v>
      </c>
      <c r="M280" s="1"/>
      <c r="N280" s="1"/>
      <c r="O280" s="1"/>
      <c r="P280" s="1"/>
      <c r="Q280" s="1">
        <v>2.54</v>
      </c>
      <c r="R280" s="1">
        <f>Q280*2.36</f>
        <v>5.9943999999999997</v>
      </c>
      <c r="S280" s="1">
        <v>19.96</v>
      </c>
      <c r="T280" s="1">
        <f t="shared" ref="T280" si="619">S280*1.34</f>
        <v>26.746400000000001</v>
      </c>
      <c r="U280" s="1">
        <v>10.28</v>
      </c>
      <c r="V280" s="1">
        <f t="shared" si="601"/>
        <v>13.7752</v>
      </c>
      <c r="W280" s="1">
        <v>9.2799999999999994</v>
      </c>
      <c r="X280" s="1">
        <f t="shared" si="509"/>
        <v>12.4352</v>
      </c>
      <c r="Y280" s="1">
        <v>8.9700000000000006</v>
      </c>
      <c r="Z280" s="1">
        <f t="shared" si="616"/>
        <v>12.019800000000002</v>
      </c>
      <c r="AA280" s="1"/>
      <c r="AB280" s="1"/>
      <c r="AC280" s="1">
        <v>6.34</v>
      </c>
      <c r="AD280" s="1">
        <f t="shared" ref="AD280" si="620">AC280*2.75</f>
        <v>17.434999999999999</v>
      </c>
      <c r="AE280" s="1">
        <v>7.1</v>
      </c>
      <c r="AF280" s="1">
        <f t="shared" si="553"/>
        <v>19.524999999999999</v>
      </c>
      <c r="AG280" s="1">
        <v>3.34</v>
      </c>
      <c r="AH280" s="1">
        <f>AG280*2.36</f>
        <v>7.8823999999999996</v>
      </c>
      <c r="AI280" s="9"/>
      <c r="AJ280" s="9"/>
      <c r="AK280" s="9"/>
      <c r="AL280" s="9"/>
      <c r="AM280" s="1">
        <v>7.89</v>
      </c>
      <c r="AN280" s="1">
        <f>AM280*0.6</f>
        <v>4.734</v>
      </c>
      <c r="AP280" s="1">
        <f t="shared" si="582"/>
        <v>0.79</v>
      </c>
      <c r="AQ280" s="1">
        <f t="shared" si="583"/>
        <v>0.21</v>
      </c>
      <c r="AR280" s="1">
        <f t="shared" si="596"/>
        <v>1</v>
      </c>
    </row>
    <row r="281" spans="2:44" x14ac:dyDescent="0.25">
      <c r="B281" t="s">
        <v>72</v>
      </c>
      <c r="C281" t="s">
        <v>73</v>
      </c>
      <c r="D281" s="1">
        <f>SUM(E281,G281,I281,K281,M281,O281,Q281,S281,U281,W281,Y281,AA281,AC281,AE281,AG281,AI281,AK281)</f>
        <v>114.00000000000001</v>
      </c>
      <c r="E281" s="1">
        <v>32.9</v>
      </c>
      <c r="F281" s="1">
        <f t="shared" si="597"/>
        <v>44.085999999999999</v>
      </c>
      <c r="G281" s="1">
        <v>12.7</v>
      </c>
      <c r="H281" s="1">
        <f t="shared" si="597"/>
        <v>17.018000000000001</v>
      </c>
      <c r="I281" s="1">
        <v>4.2</v>
      </c>
      <c r="J281" s="1">
        <f t="shared" si="593"/>
        <v>9.911999999999999</v>
      </c>
      <c r="K281" s="1">
        <v>3.9</v>
      </c>
      <c r="L281" s="1">
        <f t="shared" si="569"/>
        <v>9.2039999999999988</v>
      </c>
      <c r="M281" s="1"/>
      <c r="N281" s="1"/>
      <c r="O281" s="1"/>
      <c r="P281" s="1"/>
      <c r="Q281" s="1"/>
      <c r="R281" s="1"/>
      <c r="S281" s="1">
        <v>16.850000000000001</v>
      </c>
      <c r="T281" s="1">
        <f t="shared" ref="T281" si="621">S281*1.34</f>
        <v>22.579000000000004</v>
      </c>
      <c r="U281" s="1">
        <v>10.65</v>
      </c>
      <c r="V281" s="1">
        <f t="shared" si="601"/>
        <v>14.271000000000001</v>
      </c>
      <c r="W281" s="1">
        <v>10.4</v>
      </c>
      <c r="X281" s="1">
        <f t="shared" si="509"/>
        <v>13.936000000000002</v>
      </c>
      <c r="Y281" s="1">
        <v>9.1999999999999993</v>
      </c>
      <c r="Z281" s="1">
        <f t="shared" si="616"/>
        <v>12.327999999999999</v>
      </c>
      <c r="AA281" s="1"/>
      <c r="AB281" s="1"/>
      <c r="AC281" s="1">
        <v>6.9</v>
      </c>
      <c r="AD281" s="1">
        <f t="shared" ref="AD281" si="622">AC281*2.75</f>
        <v>18.975000000000001</v>
      </c>
      <c r="AE281" s="1">
        <v>6.3</v>
      </c>
      <c r="AF281" s="1">
        <f t="shared" si="553"/>
        <v>17.324999999999999</v>
      </c>
      <c r="AG281" s="1"/>
      <c r="AH281" s="1"/>
      <c r="AI281" s="9"/>
      <c r="AJ281" s="9"/>
      <c r="AK281" s="9"/>
      <c r="AL281" s="9"/>
      <c r="AM281" s="1">
        <v>19.3</v>
      </c>
      <c r="AN281" s="1">
        <f>AM281*0.6</f>
        <v>11.58</v>
      </c>
      <c r="AP281" s="1">
        <f t="shared" si="582"/>
        <v>0.82</v>
      </c>
      <c r="AQ281" s="1">
        <f t="shared" si="583"/>
        <v>0.18</v>
      </c>
      <c r="AR281" s="1">
        <f t="shared" si="596"/>
        <v>1</v>
      </c>
    </row>
    <row r="282" spans="2:44" x14ac:dyDescent="0.25">
      <c r="B282" t="s">
        <v>101</v>
      </c>
      <c r="C282" t="s">
        <v>102</v>
      </c>
      <c r="D282" s="1">
        <f>SUM(E282,G282,I282,K282,M282,O282,Q282,S282,U282,W282,Y282,AA282,AC282,AE282,AG282,AI282,AK282)</f>
        <v>114.64999999999999</v>
      </c>
      <c r="E282" s="1">
        <v>25.57</v>
      </c>
      <c r="F282" s="1">
        <f t="shared" si="597"/>
        <v>34.263800000000003</v>
      </c>
      <c r="G282" s="1">
        <v>13.59</v>
      </c>
      <c r="H282" s="1">
        <f t="shared" si="597"/>
        <v>18.210599999999999</v>
      </c>
      <c r="I282" s="1">
        <v>5.14</v>
      </c>
      <c r="J282" s="1">
        <f t="shared" si="593"/>
        <v>12.130399999999998</v>
      </c>
      <c r="K282" s="1">
        <v>4.3499999999999996</v>
      </c>
      <c r="L282" s="1">
        <f t="shared" si="569"/>
        <v>10.265999999999998</v>
      </c>
      <c r="M282" s="1"/>
      <c r="N282" s="1"/>
      <c r="O282" s="1"/>
      <c r="P282" s="1"/>
      <c r="Q282" s="1"/>
      <c r="R282" s="1"/>
      <c r="S282" s="1">
        <v>17.38</v>
      </c>
      <c r="T282" s="1">
        <f t="shared" ref="T282" si="623">S282*1.34</f>
        <v>23.289200000000001</v>
      </c>
      <c r="U282" s="1">
        <v>11.16</v>
      </c>
      <c r="V282" s="1">
        <f t="shared" si="601"/>
        <v>14.954400000000001</v>
      </c>
      <c r="W282" s="1">
        <v>11.03</v>
      </c>
      <c r="X282" s="1">
        <f t="shared" si="509"/>
        <v>14.780200000000001</v>
      </c>
      <c r="Y282" s="1">
        <v>11.02</v>
      </c>
      <c r="Z282" s="1">
        <f t="shared" si="616"/>
        <v>14.7668</v>
      </c>
      <c r="AA282" s="1"/>
      <c r="AB282" s="1"/>
      <c r="AC282" s="1">
        <v>7</v>
      </c>
      <c r="AD282" s="1">
        <f t="shared" ref="AD282" si="624">AC282*2.75</f>
        <v>19.25</v>
      </c>
      <c r="AE282" s="1">
        <v>8.41</v>
      </c>
      <c r="AF282" s="1">
        <f t="shared" si="553"/>
        <v>23.127500000000001</v>
      </c>
      <c r="AG282" s="1"/>
      <c r="AH282" s="1"/>
      <c r="AI282" s="9"/>
      <c r="AJ282" s="9"/>
      <c r="AK282" s="9"/>
      <c r="AL282" s="9"/>
      <c r="AM282" s="1">
        <v>21.55</v>
      </c>
      <c r="AN282" s="1">
        <f>AM282*0.6</f>
        <v>12.93</v>
      </c>
      <c r="AP282" s="1">
        <f t="shared" si="582"/>
        <v>0.8</v>
      </c>
      <c r="AQ282" s="1">
        <f t="shared" si="583"/>
        <v>0.2</v>
      </c>
      <c r="AR282" s="1">
        <f t="shared" si="596"/>
        <v>1</v>
      </c>
    </row>
    <row r="283" spans="2:44" x14ac:dyDescent="0.25">
      <c r="B283" t="s">
        <v>95</v>
      </c>
      <c r="C283" t="s">
        <v>96</v>
      </c>
      <c r="D283" s="1">
        <f>SUM(E283,G283,I283,K283,M283,O283,Q283,S283,U283,W283,Y283,AA283,AC283,AE283,AG283,AI283,AK283)</f>
        <v>114.89</v>
      </c>
      <c r="E283" s="1">
        <v>26.29</v>
      </c>
      <c r="F283" s="1">
        <f t="shared" si="597"/>
        <v>35.2286</v>
      </c>
      <c r="G283" s="1">
        <v>12.86</v>
      </c>
      <c r="H283" s="1">
        <f t="shared" si="597"/>
        <v>17.232400000000002</v>
      </c>
      <c r="I283" s="1">
        <v>4.3600000000000003</v>
      </c>
      <c r="J283" s="1">
        <f t="shared" si="593"/>
        <v>10.2896</v>
      </c>
      <c r="K283" s="1">
        <v>4.28</v>
      </c>
      <c r="L283" s="1">
        <f t="shared" si="569"/>
        <v>10.1008</v>
      </c>
      <c r="M283" s="1"/>
      <c r="N283" s="1"/>
      <c r="O283" s="1"/>
      <c r="P283" s="1"/>
      <c r="Q283" s="1"/>
      <c r="R283" s="1"/>
      <c r="S283" s="1">
        <v>14.88</v>
      </c>
      <c r="T283" s="1">
        <f t="shared" ref="T283" si="625">S283*1.34</f>
        <v>19.939200000000003</v>
      </c>
      <c r="U283" s="1">
        <v>12.48</v>
      </c>
      <c r="V283" s="1">
        <f t="shared" si="601"/>
        <v>16.723200000000002</v>
      </c>
      <c r="W283" s="1">
        <v>12.12</v>
      </c>
      <c r="X283" s="1">
        <f t="shared" si="509"/>
        <v>16.2408</v>
      </c>
      <c r="Y283" s="1">
        <v>9.08</v>
      </c>
      <c r="Z283" s="1">
        <f t="shared" si="616"/>
        <v>12.167200000000001</v>
      </c>
      <c r="AA283" s="1"/>
      <c r="AB283" s="1"/>
      <c r="AC283" s="1">
        <v>9.43</v>
      </c>
      <c r="AD283" s="1">
        <f t="shared" ref="AD283" si="626">AC283*2.75</f>
        <v>25.932499999999997</v>
      </c>
      <c r="AE283" s="1">
        <v>6.78</v>
      </c>
      <c r="AF283" s="1">
        <f t="shared" si="553"/>
        <v>18.645</v>
      </c>
      <c r="AG283" s="1">
        <v>2.33</v>
      </c>
      <c r="AH283" s="1">
        <f t="shared" ref="AH283:AH284" si="627">AG283*2.36</f>
        <v>5.4988000000000001</v>
      </c>
      <c r="AI283" s="9"/>
      <c r="AJ283" s="9"/>
      <c r="AK283" s="9"/>
      <c r="AL283" s="9"/>
      <c r="AM283" s="1">
        <f>5.46+4.74+2.98</f>
        <v>13.18</v>
      </c>
      <c r="AN283" s="1">
        <f>AM283*0.6</f>
        <v>7.9079999999999995</v>
      </c>
      <c r="AP283" s="1">
        <f t="shared" si="582"/>
        <v>0.81</v>
      </c>
      <c r="AQ283" s="1">
        <f t="shared" si="583"/>
        <v>0.19</v>
      </c>
      <c r="AR283" s="1">
        <f t="shared" si="596"/>
        <v>1</v>
      </c>
    </row>
    <row r="284" spans="2:44" x14ac:dyDescent="0.25">
      <c r="B284" t="s">
        <v>145</v>
      </c>
      <c r="C284" t="s">
        <v>144</v>
      </c>
      <c r="D284" s="1">
        <f>SUM(E284,G284,I284,K284,M284,O284,Q284,S284,U284,W284,Y284,AA284,AC284,AE284,AG284,AI284,AK284)</f>
        <v>115.1</v>
      </c>
      <c r="E284" s="1">
        <v>33.5</v>
      </c>
      <c r="F284" s="1">
        <f t="shared" si="597"/>
        <v>44.89</v>
      </c>
      <c r="G284" s="1">
        <v>10.8</v>
      </c>
      <c r="H284" s="1">
        <f t="shared" si="597"/>
        <v>14.472000000000001</v>
      </c>
      <c r="I284" s="1">
        <v>5.0999999999999996</v>
      </c>
      <c r="J284" s="1">
        <f t="shared" si="593"/>
        <v>12.035999999999998</v>
      </c>
      <c r="K284" s="1">
        <v>4.3</v>
      </c>
      <c r="L284" s="1">
        <f t="shared" si="569"/>
        <v>10.148</v>
      </c>
      <c r="M284" s="1"/>
      <c r="N284" s="1"/>
      <c r="O284" s="1"/>
      <c r="P284" s="1"/>
      <c r="Q284" s="1"/>
      <c r="R284" s="1"/>
      <c r="S284" s="1">
        <v>16.2</v>
      </c>
      <c r="T284" s="1">
        <f t="shared" ref="T284" si="628">S284*1.34</f>
        <v>21.708000000000002</v>
      </c>
      <c r="U284" s="1">
        <v>10.3</v>
      </c>
      <c r="V284" s="1">
        <f t="shared" si="601"/>
        <v>13.802000000000001</v>
      </c>
      <c r="W284" s="1">
        <v>10.3</v>
      </c>
      <c r="X284" s="1">
        <f t="shared" si="509"/>
        <v>13.802000000000001</v>
      </c>
      <c r="Y284" s="1">
        <v>9.8000000000000007</v>
      </c>
      <c r="Z284" s="1">
        <f t="shared" si="616"/>
        <v>13.132000000000001</v>
      </c>
      <c r="AA284" s="1"/>
      <c r="AB284" s="1"/>
      <c r="AC284" s="1">
        <v>3.4</v>
      </c>
      <c r="AD284" s="1">
        <f t="shared" ref="AD284" si="629">AC284*2.75</f>
        <v>9.35</v>
      </c>
      <c r="AE284" s="1">
        <v>7</v>
      </c>
      <c r="AF284" s="1">
        <f t="shared" si="553"/>
        <v>19.25</v>
      </c>
      <c r="AG284" s="1">
        <v>4.4000000000000004</v>
      </c>
      <c r="AH284" s="1">
        <f t="shared" si="627"/>
        <v>10.384</v>
      </c>
      <c r="AI284" s="9"/>
      <c r="AJ284" s="9"/>
      <c r="AK284" s="9"/>
      <c r="AL284" s="9"/>
      <c r="AM284" s="1"/>
      <c r="AN284" s="1"/>
      <c r="AP284" s="1">
        <f t="shared" si="582"/>
        <v>0.82</v>
      </c>
      <c r="AQ284" s="1">
        <f t="shared" si="583"/>
        <v>0.18</v>
      </c>
      <c r="AR284" s="1">
        <f t="shared" si="596"/>
        <v>1</v>
      </c>
    </row>
    <row r="285" spans="2:44" x14ac:dyDescent="0.25">
      <c r="B285" t="s">
        <v>99</v>
      </c>
      <c r="C285" t="s">
        <v>100</v>
      </c>
      <c r="D285" s="1">
        <f>SUM(E285,G285,I285,K285,M285,O285,Q285,S285,U285,W285,Y285,AA285,AC285,AE285,AG285,AI285,AK285)</f>
        <v>115.29999999999998</v>
      </c>
      <c r="E285" s="1">
        <v>25.55</v>
      </c>
      <c r="F285" s="1">
        <f t="shared" si="597"/>
        <v>34.237000000000002</v>
      </c>
      <c r="G285" s="1">
        <v>16.75</v>
      </c>
      <c r="H285" s="1">
        <f t="shared" si="597"/>
        <v>22.445</v>
      </c>
      <c r="I285" s="1">
        <v>4.55</v>
      </c>
      <c r="J285" s="1">
        <f t="shared" si="593"/>
        <v>10.738</v>
      </c>
      <c r="K285" s="1">
        <v>3.85</v>
      </c>
      <c r="L285" s="1">
        <f t="shared" si="569"/>
        <v>9.0860000000000003</v>
      </c>
      <c r="M285" s="1"/>
      <c r="N285" s="1"/>
      <c r="O285" s="1"/>
      <c r="P285" s="1"/>
      <c r="Q285" s="1"/>
      <c r="R285" s="1"/>
      <c r="S285" s="1">
        <v>16.7</v>
      </c>
      <c r="T285" s="1">
        <f t="shared" ref="T285" si="630">S285*1.34</f>
        <v>22.378</v>
      </c>
      <c r="U285" s="1">
        <v>10.3</v>
      </c>
      <c r="V285" s="1">
        <f t="shared" si="601"/>
        <v>13.802000000000001</v>
      </c>
      <c r="W285" s="1">
        <v>10.3</v>
      </c>
      <c r="X285" s="1">
        <f t="shared" si="509"/>
        <v>13.802000000000001</v>
      </c>
      <c r="Y285" s="1">
        <v>10</v>
      </c>
      <c r="Z285" s="1">
        <f t="shared" si="616"/>
        <v>13.4</v>
      </c>
      <c r="AA285" s="1"/>
      <c r="AB285" s="1"/>
      <c r="AC285" s="1">
        <v>4</v>
      </c>
      <c r="AD285" s="1">
        <f t="shared" ref="AD285" si="631">AC285*2.75</f>
        <v>11</v>
      </c>
      <c r="AE285" s="1">
        <v>13.3</v>
      </c>
      <c r="AF285" s="1">
        <f t="shared" si="553"/>
        <v>36.575000000000003</v>
      </c>
      <c r="AG285" s="1"/>
      <c r="AH285" s="1"/>
      <c r="AI285" s="9"/>
      <c r="AJ285" s="9"/>
      <c r="AK285" s="9"/>
      <c r="AL285" s="9"/>
      <c r="AM285" s="1">
        <f>17.6+6.4+4.85</f>
        <v>28.85</v>
      </c>
      <c r="AN285" s="1">
        <f>AM285*0.6</f>
        <v>17.309999999999999</v>
      </c>
      <c r="AP285" s="1">
        <f t="shared" si="582"/>
        <v>0.78</v>
      </c>
      <c r="AQ285" s="1">
        <f t="shared" si="583"/>
        <v>0.22</v>
      </c>
      <c r="AR285" s="1">
        <f t="shared" si="596"/>
        <v>1</v>
      </c>
    </row>
    <row r="286" spans="2:44" x14ac:dyDescent="0.25">
      <c r="D286" s="1">
        <f>SUM(E286,G286,I286,K286,M286,O286,Q286,S286,U286,W286,Y286,AA286,AC286,AE286,AG286,AI286,AK286)</f>
        <v>115.43999999999998</v>
      </c>
      <c r="E286" s="1">
        <v>24.41</v>
      </c>
      <c r="F286" s="1">
        <f t="shared" si="597"/>
        <v>32.709400000000002</v>
      </c>
      <c r="G286" s="1">
        <v>21.11</v>
      </c>
      <c r="H286" s="1">
        <f t="shared" si="597"/>
        <v>28.287400000000002</v>
      </c>
      <c r="I286" s="1">
        <v>4.59</v>
      </c>
      <c r="J286" s="1">
        <f t="shared" si="593"/>
        <v>10.8324</v>
      </c>
      <c r="K286" s="1">
        <v>3.53</v>
      </c>
      <c r="L286" s="1">
        <f t="shared" si="569"/>
        <v>8.3308</v>
      </c>
      <c r="M286" s="1">
        <v>3.53</v>
      </c>
      <c r="N286" s="1">
        <f>M286*2.36</f>
        <v>8.3308</v>
      </c>
      <c r="O286" s="1"/>
      <c r="P286" s="1"/>
      <c r="Q286" s="1">
        <v>2.4300000000000002</v>
      </c>
      <c r="R286" s="1">
        <f>Q286*2.36</f>
        <v>5.7347999999999999</v>
      </c>
      <c r="S286" s="1">
        <v>15.7</v>
      </c>
      <c r="T286" s="1">
        <f t="shared" ref="T286" si="632">S286*1.34</f>
        <v>21.038</v>
      </c>
      <c r="U286" s="1">
        <v>10.38</v>
      </c>
      <c r="V286" s="1">
        <f t="shared" si="601"/>
        <v>13.909200000000002</v>
      </c>
      <c r="W286" s="1">
        <v>10.130000000000001</v>
      </c>
      <c r="X286" s="1">
        <f t="shared" si="509"/>
        <v>13.574200000000001</v>
      </c>
      <c r="Y286" s="1"/>
      <c r="Z286" s="1"/>
      <c r="AA286" s="1"/>
      <c r="AB286" s="1"/>
      <c r="AC286" s="1">
        <v>4.6100000000000003</v>
      </c>
      <c r="AD286" s="1">
        <f t="shared" ref="AD286" si="633">AC286*2.75</f>
        <v>12.6775</v>
      </c>
      <c r="AE286" s="1">
        <v>2.61</v>
      </c>
      <c r="AF286" s="1">
        <f t="shared" si="553"/>
        <v>7.1774999999999993</v>
      </c>
      <c r="AG286" s="1">
        <v>2.82</v>
      </c>
      <c r="AH286" s="1">
        <f>AG286*2.36</f>
        <v>6.6551999999999989</v>
      </c>
      <c r="AI286" s="9">
        <f>5.34+4.25</f>
        <v>9.59</v>
      </c>
      <c r="AJ286" s="9">
        <f t="shared" ref="AJ286" si="634">AI286*2.75</f>
        <v>26.372499999999999</v>
      </c>
      <c r="AK286" s="9"/>
      <c r="AL286" s="9"/>
      <c r="AM286" s="1"/>
      <c r="AN286" s="1"/>
      <c r="AP286" s="1">
        <f t="shared" si="582"/>
        <v>0.7</v>
      </c>
      <c r="AQ286" s="1">
        <f t="shared" si="583"/>
        <v>0.3</v>
      </c>
      <c r="AR286" s="1">
        <f t="shared" si="596"/>
        <v>1</v>
      </c>
    </row>
    <row r="287" spans="2:44" x14ac:dyDescent="0.25">
      <c r="B287" t="s">
        <v>62</v>
      </c>
      <c r="C287" t="s">
        <v>131</v>
      </c>
      <c r="D287" s="1">
        <f>SUM(E287,G287,I287,K287,M287,O287,Q287,S287,U287,W287,Y287,AA287,AC287,AE287,AG287,AI287,AK287)</f>
        <v>117.60000000000001</v>
      </c>
      <c r="E287" s="1">
        <v>29.3</v>
      </c>
      <c r="F287" s="1">
        <f t="shared" si="597"/>
        <v>39.262</v>
      </c>
      <c r="G287" s="1">
        <v>11.2</v>
      </c>
      <c r="H287" s="1">
        <f t="shared" si="597"/>
        <v>15.007999999999999</v>
      </c>
      <c r="I287" s="1">
        <v>4.8</v>
      </c>
      <c r="J287" s="1">
        <f t="shared" si="593"/>
        <v>11.327999999999999</v>
      </c>
      <c r="K287" s="1">
        <v>3.6</v>
      </c>
      <c r="L287" s="1">
        <f t="shared" si="569"/>
        <v>8.4960000000000004</v>
      </c>
      <c r="M287" s="1"/>
      <c r="N287" s="1"/>
      <c r="O287" s="1"/>
      <c r="P287" s="1"/>
      <c r="Q287" s="1">
        <v>2.2000000000000002</v>
      </c>
      <c r="R287" s="1">
        <f>Q287*2.36</f>
        <v>5.1920000000000002</v>
      </c>
      <c r="S287" s="1">
        <v>22.8</v>
      </c>
      <c r="T287" s="1">
        <f t="shared" ref="T287" si="635">S287*1.34</f>
        <v>30.552000000000003</v>
      </c>
      <c r="U287" s="1">
        <v>11.1</v>
      </c>
      <c r="V287" s="1">
        <f t="shared" si="601"/>
        <v>14.874000000000001</v>
      </c>
      <c r="W287" s="1">
        <v>10.7</v>
      </c>
      <c r="X287" s="1">
        <f t="shared" si="509"/>
        <v>14.337999999999999</v>
      </c>
      <c r="Y287" s="1">
        <v>10.4</v>
      </c>
      <c r="Z287" s="1">
        <f t="shared" ref="Z287" si="636">Y287*1.34</f>
        <v>13.936000000000002</v>
      </c>
      <c r="AA287" s="1"/>
      <c r="AB287" s="1"/>
      <c r="AC287" s="1">
        <v>5.7</v>
      </c>
      <c r="AD287" s="1">
        <f t="shared" ref="AD287" si="637">AC287*2.75</f>
        <v>15.675000000000001</v>
      </c>
      <c r="AE287" s="1">
        <v>5.8</v>
      </c>
      <c r="AF287" s="1">
        <f t="shared" si="553"/>
        <v>15.95</v>
      </c>
      <c r="AG287" s="1"/>
      <c r="AH287" s="1"/>
      <c r="AI287" s="9"/>
      <c r="AJ287" s="9"/>
      <c r="AK287" s="9"/>
      <c r="AL287" s="9"/>
      <c r="AM287" s="1">
        <f>10.8+2.9</f>
        <v>13.700000000000001</v>
      </c>
      <c r="AN287" s="1">
        <f>AM287*0.6</f>
        <v>8.2200000000000006</v>
      </c>
      <c r="AP287" s="1">
        <f t="shared" si="582"/>
        <v>0.81</v>
      </c>
      <c r="AQ287" s="1">
        <f t="shared" si="583"/>
        <v>0.19</v>
      </c>
      <c r="AR287" s="1">
        <f t="shared" si="596"/>
        <v>1</v>
      </c>
    </row>
    <row r="288" spans="2:44" x14ac:dyDescent="0.25">
      <c r="D288" s="1">
        <f>SUM(E288,G288,I288,K288,M288,O288,Q288,S288,U288,W288,Y288,AA288,AC288,AE288,AG288,AI288,AK288)</f>
        <v>120.7</v>
      </c>
      <c r="E288" s="1">
        <v>30.5</v>
      </c>
      <c r="F288" s="1">
        <f t="shared" si="597"/>
        <v>40.870000000000005</v>
      </c>
      <c r="G288" s="1">
        <v>19.7</v>
      </c>
      <c r="H288" s="1">
        <f t="shared" si="597"/>
        <v>26.398</v>
      </c>
      <c r="I288" s="1">
        <v>6.8</v>
      </c>
      <c r="J288" s="1">
        <f t="shared" si="593"/>
        <v>16.047999999999998</v>
      </c>
      <c r="K288" s="1">
        <v>5.0999999999999996</v>
      </c>
      <c r="L288" s="1">
        <f t="shared" si="569"/>
        <v>12.035999999999998</v>
      </c>
      <c r="M288" s="1"/>
      <c r="N288" s="1"/>
      <c r="O288" s="1"/>
      <c r="P288" s="1"/>
      <c r="Q288" s="1">
        <v>1.9</v>
      </c>
      <c r="R288" s="1">
        <f>Q288*2.36</f>
        <v>4.484</v>
      </c>
      <c r="S288" s="1">
        <v>15.6</v>
      </c>
      <c r="T288" s="1">
        <f t="shared" ref="T288" si="638">S288*1.34</f>
        <v>20.904</v>
      </c>
      <c r="U288" s="1">
        <v>11.9</v>
      </c>
      <c r="V288" s="1">
        <f t="shared" si="601"/>
        <v>15.946000000000002</v>
      </c>
      <c r="W288" s="1">
        <v>11.5</v>
      </c>
      <c r="X288" s="1">
        <f t="shared" si="509"/>
        <v>15.41</v>
      </c>
      <c r="Y288" s="1"/>
      <c r="Z288" s="1"/>
      <c r="AA288" s="1"/>
      <c r="AB288" s="1"/>
      <c r="AC288" s="1">
        <v>6.3</v>
      </c>
      <c r="AD288" s="1">
        <f t="shared" ref="AD288" si="639">AC288*2.75</f>
        <v>17.324999999999999</v>
      </c>
      <c r="AE288" s="1">
        <v>8.6999999999999993</v>
      </c>
      <c r="AF288" s="1">
        <f t="shared" si="553"/>
        <v>23.924999999999997</v>
      </c>
      <c r="AG288" s="1">
        <v>2.7</v>
      </c>
      <c r="AH288" s="1">
        <f>AG288*2.36</f>
        <v>6.3719999999999999</v>
      </c>
      <c r="AI288" s="9"/>
      <c r="AJ288" s="9"/>
      <c r="AK288" s="9"/>
      <c r="AL288" s="9"/>
      <c r="AM288" s="1"/>
      <c r="AN288" s="1"/>
      <c r="AP288" s="1">
        <f t="shared" si="582"/>
        <v>0.72</v>
      </c>
      <c r="AQ288" s="1">
        <f t="shared" si="583"/>
        <v>0.28000000000000003</v>
      </c>
      <c r="AR288" s="1">
        <f t="shared" si="596"/>
        <v>1</v>
      </c>
    </row>
    <row r="289" spans="2:44" x14ac:dyDescent="0.25">
      <c r="B289" t="s">
        <v>117</v>
      </c>
      <c r="C289" t="s">
        <v>118</v>
      </c>
      <c r="D289" s="1">
        <f>SUM(E289,G289,I289,K289,M289,O289,Q289,S289,U289,W289,Y289,AA289,AC289,AE289,AG289,AI289,AK289)</f>
        <v>121.19</v>
      </c>
      <c r="E289" s="1">
        <v>27.08</v>
      </c>
      <c r="F289" s="1">
        <f t="shared" si="597"/>
        <v>36.287199999999999</v>
      </c>
      <c r="G289" s="1">
        <v>13.04</v>
      </c>
      <c r="H289" s="1">
        <f t="shared" si="597"/>
        <v>17.473600000000001</v>
      </c>
      <c r="I289" s="1">
        <v>5.67</v>
      </c>
      <c r="J289" s="1">
        <f t="shared" si="593"/>
        <v>13.3812</v>
      </c>
      <c r="K289" s="1">
        <v>5.42</v>
      </c>
      <c r="L289" s="1">
        <f t="shared" si="569"/>
        <v>12.7912</v>
      </c>
      <c r="M289" s="1"/>
      <c r="N289" s="1"/>
      <c r="O289" s="1"/>
      <c r="P289" s="1"/>
      <c r="Q289" s="1"/>
      <c r="R289" s="1"/>
      <c r="S289" s="1">
        <v>14.58</v>
      </c>
      <c r="T289" s="1">
        <f t="shared" ref="T289" si="640">S289*1.34</f>
        <v>19.537200000000002</v>
      </c>
      <c r="U289" s="1">
        <v>12.93</v>
      </c>
      <c r="V289" s="1">
        <f t="shared" si="601"/>
        <v>17.3262</v>
      </c>
      <c r="W289" s="1">
        <v>12.33</v>
      </c>
      <c r="X289" s="1">
        <f t="shared" si="509"/>
        <v>16.522200000000002</v>
      </c>
      <c r="Y289" s="1">
        <v>12.17</v>
      </c>
      <c r="Z289" s="1">
        <f t="shared" ref="Z289:Z291" si="641">Y289*1.34</f>
        <v>16.3078</v>
      </c>
      <c r="AA289" s="1"/>
      <c r="AB289" s="1"/>
      <c r="AC289" s="1">
        <v>6.44</v>
      </c>
      <c r="AD289" s="1">
        <f t="shared" ref="AD289" si="642">AC289*2.75</f>
        <v>17.71</v>
      </c>
      <c r="AE289" s="1">
        <v>6.47</v>
      </c>
      <c r="AF289" s="1">
        <f t="shared" si="553"/>
        <v>17.7925</v>
      </c>
      <c r="AG289" s="1"/>
      <c r="AH289" s="1"/>
      <c r="AI289" s="9">
        <v>5.0599999999999996</v>
      </c>
      <c r="AJ289" s="9">
        <f t="shared" ref="AJ289" si="643">AI289*2.75</f>
        <v>13.914999999999999</v>
      </c>
      <c r="AK289" s="9"/>
      <c r="AL289" s="9"/>
      <c r="AM289" s="1">
        <v>2.62</v>
      </c>
      <c r="AN289" s="1">
        <f>AM289*0.6</f>
        <v>1.5720000000000001</v>
      </c>
      <c r="AP289" s="1">
        <f t="shared" si="582"/>
        <v>0.8</v>
      </c>
      <c r="AQ289" s="1">
        <f t="shared" si="583"/>
        <v>0.2</v>
      </c>
      <c r="AR289" s="1">
        <f t="shared" si="596"/>
        <v>1</v>
      </c>
    </row>
    <row r="290" spans="2:44" x14ac:dyDescent="0.25">
      <c r="B290" t="s">
        <v>62</v>
      </c>
      <c r="C290" t="s">
        <v>131</v>
      </c>
      <c r="D290" s="1">
        <f>SUM(E290,G290,I290,K290,M290,O290,Q290,S290,U290,W290,Y290,AA290,AC290,AE290,AG290,AI290,AK290)</f>
        <v>123.4</v>
      </c>
      <c r="E290" s="1">
        <v>33.299999999999997</v>
      </c>
      <c r="F290" s="1">
        <f t="shared" si="597"/>
        <v>44.622</v>
      </c>
      <c r="G290" s="1">
        <v>13.6</v>
      </c>
      <c r="H290" s="1">
        <f t="shared" si="597"/>
        <v>18.224</v>
      </c>
      <c r="I290" s="1">
        <v>4.7</v>
      </c>
      <c r="J290" s="1">
        <f t="shared" si="593"/>
        <v>11.092000000000001</v>
      </c>
      <c r="K290" s="1">
        <v>3.8</v>
      </c>
      <c r="L290" s="1">
        <f t="shared" si="569"/>
        <v>8.968</v>
      </c>
      <c r="M290" s="1">
        <v>3.3</v>
      </c>
      <c r="N290" s="1">
        <f>M290*2.36</f>
        <v>7.7879999999999994</v>
      </c>
      <c r="O290" s="1"/>
      <c r="P290" s="1"/>
      <c r="Q290" s="1"/>
      <c r="R290" s="1"/>
      <c r="S290" s="1">
        <v>18.7</v>
      </c>
      <c r="T290" s="1">
        <f t="shared" ref="T290" si="644">S290*1.34</f>
        <v>25.058</v>
      </c>
      <c r="U290" s="1">
        <v>10.5</v>
      </c>
      <c r="V290" s="1">
        <f t="shared" si="601"/>
        <v>14.07</v>
      </c>
      <c r="W290" s="1">
        <v>10.199999999999999</v>
      </c>
      <c r="X290" s="1">
        <f t="shared" si="509"/>
        <v>13.667999999999999</v>
      </c>
      <c r="Y290" s="1">
        <v>10</v>
      </c>
      <c r="Z290" s="1">
        <f t="shared" si="641"/>
        <v>13.4</v>
      </c>
      <c r="AA290" s="1"/>
      <c r="AB290" s="1"/>
      <c r="AC290" s="1">
        <v>5.9</v>
      </c>
      <c r="AD290" s="1">
        <f t="shared" ref="AD290" si="645">AC290*2.75</f>
        <v>16.225000000000001</v>
      </c>
      <c r="AE290" s="1">
        <v>9.4</v>
      </c>
      <c r="AF290" s="1">
        <f t="shared" si="553"/>
        <v>25.85</v>
      </c>
      <c r="AG290" s="1"/>
      <c r="AH290" s="1"/>
      <c r="AI290" s="9"/>
      <c r="AJ290" s="9"/>
      <c r="AK290" s="9"/>
      <c r="AL290" s="9"/>
      <c r="AM290" s="1">
        <f>76.4+44.9+11.7+3.3</f>
        <v>136.30000000000001</v>
      </c>
      <c r="AN290" s="1">
        <f>AM290*0.6</f>
        <v>81.78</v>
      </c>
      <c r="AP290" s="1">
        <f t="shared" si="582"/>
        <v>0.79</v>
      </c>
      <c r="AQ290" s="1">
        <f t="shared" si="583"/>
        <v>0.21</v>
      </c>
      <c r="AR290" s="1">
        <f t="shared" si="596"/>
        <v>1</v>
      </c>
    </row>
    <row r="291" spans="2:44" x14ac:dyDescent="0.25">
      <c r="B291" t="s">
        <v>86</v>
      </c>
      <c r="C291" t="s">
        <v>136</v>
      </c>
      <c r="D291" s="1">
        <f>SUM(E291,G291,I291,K291,M291,O291,Q291,S291,U291,W291,Y291,AA291,AC291,AE291,AG291,AI291,AK291)</f>
        <v>123.8</v>
      </c>
      <c r="E291" s="1">
        <v>26.3</v>
      </c>
      <c r="F291" s="1">
        <f t="shared" si="597"/>
        <v>35.242000000000004</v>
      </c>
      <c r="G291" s="1">
        <v>10.5</v>
      </c>
      <c r="H291" s="1">
        <f t="shared" si="597"/>
        <v>14.07</v>
      </c>
      <c r="I291" s="1">
        <v>6.8</v>
      </c>
      <c r="J291" s="1">
        <f t="shared" si="593"/>
        <v>16.047999999999998</v>
      </c>
      <c r="K291" s="1">
        <v>3.8</v>
      </c>
      <c r="L291" s="1">
        <f t="shared" si="569"/>
        <v>8.968</v>
      </c>
      <c r="M291" s="1">
        <v>3.1</v>
      </c>
      <c r="N291" s="1">
        <f>M291*2.36</f>
        <v>7.3159999999999998</v>
      </c>
      <c r="O291" s="1"/>
      <c r="P291" s="1"/>
      <c r="Q291" s="1"/>
      <c r="R291" s="1"/>
      <c r="S291" s="1">
        <v>16.100000000000001</v>
      </c>
      <c r="T291" s="1">
        <f t="shared" ref="T291" si="646">S291*1.34</f>
        <v>21.574000000000002</v>
      </c>
      <c r="U291" s="1">
        <v>12.3</v>
      </c>
      <c r="V291" s="1">
        <f t="shared" si="601"/>
        <v>16.482000000000003</v>
      </c>
      <c r="W291" s="1">
        <v>12</v>
      </c>
      <c r="X291" s="1">
        <f t="shared" si="509"/>
        <v>16.080000000000002</v>
      </c>
      <c r="Y291" s="1">
        <v>11.3</v>
      </c>
      <c r="Z291" s="1">
        <f t="shared" si="641"/>
        <v>15.142000000000001</v>
      </c>
      <c r="AA291" s="1"/>
      <c r="AB291" s="1"/>
      <c r="AC291" s="1">
        <v>2.7</v>
      </c>
      <c r="AD291" s="1">
        <f t="shared" ref="AD291" si="647">AC291*2.75</f>
        <v>7.4250000000000007</v>
      </c>
      <c r="AE291" s="1">
        <v>14.4</v>
      </c>
      <c r="AF291" s="1">
        <f t="shared" si="553"/>
        <v>39.6</v>
      </c>
      <c r="AG291" s="1">
        <v>4.5</v>
      </c>
      <c r="AH291" s="1">
        <f>AG291*2.36</f>
        <v>10.62</v>
      </c>
      <c r="AI291" s="9"/>
      <c r="AJ291" s="9"/>
      <c r="AK291" s="9"/>
      <c r="AL291" s="9"/>
      <c r="AM291" s="1">
        <v>104.6</v>
      </c>
      <c r="AN291" s="1">
        <f>AM291*0.6</f>
        <v>62.759999999999991</v>
      </c>
      <c r="AP291" s="1">
        <f t="shared" si="582"/>
        <v>0.8</v>
      </c>
      <c r="AQ291" s="1">
        <f t="shared" si="583"/>
        <v>0.2</v>
      </c>
      <c r="AR291" s="1">
        <f t="shared" si="596"/>
        <v>1</v>
      </c>
    </row>
    <row r="292" spans="2:44" x14ac:dyDescent="0.25">
      <c r="D292" s="1">
        <f>SUM(E292,G292,I292,K292,M292,O292,Q292,S292,U292,W292,Y292,AA292,AC292,AE292,AG292,AI292,AK292)</f>
        <v>125</v>
      </c>
      <c r="E292" s="1">
        <v>40</v>
      </c>
      <c r="F292" s="1">
        <f t="shared" si="597"/>
        <v>53.6</v>
      </c>
      <c r="G292" s="1">
        <v>15</v>
      </c>
      <c r="H292" s="1">
        <f t="shared" si="597"/>
        <v>20.100000000000001</v>
      </c>
      <c r="I292" s="1">
        <v>7</v>
      </c>
      <c r="J292" s="1">
        <f t="shared" si="593"/>
        <v>16.52</v>
      </c>
      <c r="K292" s="1">
        <v>4</v>
      </c>
      <c r="L292" s="1">
        <f t="shared" si="569"/>
        <v>9.44</v>
      </c>
      <c r="M292" s="1">
        <v>4</v>
      </c>
      <c r="N292" s="1">
        <f>M292*2.36</f>
        <v>9.44</v>
      </c>
      <c r="O292" s="1">
        <v>2</v>
      </c>
      <c r="P292" s="1">
        <f>O292*2.36</f>
        <v>4.72</v>
      </c>
      <c r="Q292" s="1"/>
      <c r="R292" s="1"/>
      <c r="S292" s="1">
        <v>21</v>
      </c>
      <c r="T292" s="1">
        <f t="shared" ref="T292" si="648">S292*1.34</f>
        <v>28.14</v>
      </c>
      <c r="U292" s="1">
        <v>16</v>
      </c>
      <c r="V292" s="1">
        <f t="shared" si="601"/>
        <v>21.44</v>
      </c>
      <c r="W292" s="1">
        <v>16</v>
      </c>
      <c r="X292" s="1">
        <f t="shared" ref="X292:X302" si="649">W292*1.34</f>
        <v>21.44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9"/>
      <c r="AJ292" s="9"/>
      <c r="AK292" s="9"/>
      <c r="AL292" s="9"/>
      <c r="AM292" s="1"/>
      <c r="AN292" s="1"/>
      <c r="AP292" s="1">
        <f t="shared" si="582"/>
        <v>0.74</v>
      </c>
      <c r="AQ292" s="1">
        <f t="shared" si="583"/>
        <v>0.26</v>
      </c>
      <c r="AR292" s="1">
        <f t="shared" si="596"/>
        <v>1</v>
      </c>
    </row>
    <row r="293" spans="2:44" x14ac:dyDescent="0.25">
      <c r="B293" t="s">
        <v>88</v>
      </c>
      <c r="C293" t="s">
        <v>89</v>
      </c>
      <c r="D293" s="1">
        <f>SUM(E293,G293,I293,K293,M293,O293,Q293,S293,U293,W293,Y293,AA293,AC293,AE293,AG293,AI293,AK293)</f>
        <v>125.16000000000001</v>
      </c>
      <c r="E293" s="1">
        <v>30.2</v>
      </c>
      <c r="F293" s="1">
        <f t="shared" si="597"/>
        <v>40.468000000000004</v>
      </c>
      <c r="G293" s="1">
        <v>11.01</v>
      </c>
      <c r="H293" s="1">
        <f t="shared" si="597"/>
        <v>14.753400000000001</v>
      </c>
      <c r="I293" s="1">
        <v>4.58</v>
      </c>
      <c r="J293" s="1">
        <f t="shared" si="593"/>
        <v>10.8088</v>
      </c>
      <c r="K293" s="1">
        <v>3.15</v>
      </c>
      <c r="L293" s="1">
        <f t="shared" si="569"/>
        <v>7.4339999999999993</v>
      </c>
      <c r="M293" s="1"/>
      <c r="N293" s="1"/>
      <c r="O293" s="1"/>
      <c r="P293" s="1"/>
      <c r="Q293" s="1">
        <v>2.5099999999999998</v>
      </c>
      <c r="R293" s="1">
        <f>Q293*2.36</f>
        <v>5.9235999999999995</v>
      </c>
      <c r="S293" s="1">
        <v>24.33</v>
      </c>
      <c r="T293" s="1">
        <f t="shared" ref="T293" si="650">S293*1.34</f>
        <v>32.602199999999996</v>
      </c>
      <c r="U293" s="1">
        <v>11.21</v>
      </c>
      <c r="V293" s="1">
        <f t="shared" si="601"/>
        <v>15.021400000000002</v>
      </c>
      <c r="W293" s="1">
        <v>10.029999999999999</v>
      </c>
      <c r="X293" s="1">
        <f t="shared" si="649"/>
        <v>13.440200000000001</v>
      </c>
      <c r="Y293" s="1">
        <v>10.01</v>
      </c>
      <c r="Z293" s="1">
        <f t="shared" ref="Z293:Z296" si="651">Y293*1.34</f>
        <v>13.413400000000001</v>
      </c>
      <c r="AA293" s="1"/>
      <c r="AB293" s="1"/>
      <c r="AC293" s="1">
        <v>10.210000000000001</v>
      </c>
      <c r="AD293" s="1">
        <f t="shared" ref="AD293" si="652">AC293*2.75</f>
        <v>28.077500000000001</v>
      </c>
      <c r="AE293" s="1">
        <v>5.95</v>
      </c>
      <c r="AF293" s="1">
        <f t="shared" ref="AF293:AF296" si="653">AE293*2.75</f>
        <v>16.362500000000001</v>
      </c>
      <c r="AG293" s="1">
        <v>1.97</v>
      </c>
      <c r="AH293" s="1">
        <f t="shared" ref="AH293:AH295" si="654">AG293*2.36</f>
        <v>4.6491999999999996</v>
      </c>
      <c r="AI293" s="9"/>
      <c r="AJ293" s="9"/>
      <c r="AK293" s="9"/>
      <c r="AL293" s="9"/>
      <c r="AM293" s="1">
        <v>35.04</v>
      </c>
      <c r="AN293" s="1">
        <f>AM293*0.6</f>
        <v>21.023999999999997</v>
      </c>
      <c r="AP293" s="1">
        <f t="shared" si="582"/>
        <v>0.83</v>
      </c>
      <c r="AQ293" s="1">
        <f t="shared" si="583"/>
        <v>0.17</v>
      </c>
      <c r="AR293" s="1">
        <f t="shared" si="596"/>
        <v>1</v>
      </c>
    </row>
    <row r="294" spans="2:44" x14ac:dyDescent="0.25">
      <c r="D294" s="1">
        <f>SUM(E294,G294,I294,K294,M294,O294,Q294,S294,U294,W294,Y294,AA294,AC294,AE294,AG294,AI294,AK294)</f>
        <v>126.32999999999998</v>
      </c>
      <c r="E294" s="1">
        <v>31.54</v>
      </c>
      <c r="F294" s="1">
        <f t="shared" si="597"/>
        <v>42.263600000000004</v>
      </c>
      <c r="G294" s="1">
        <v>4.08</v>
      </c>
      <c r="H294" s="1">
        <f t="shared" si="597"/>
        <v>5.4672000000000001</v>
      </c>
      <c r="I294" s="1">
        <v>3.78</v>
      </c>
      <c r="J294" s="1">
        <f t="shared" si="593"/>
        <v>8.9207999999999998</v>
      </c>
      <c r="K294" s="1">
        <v>3.38</v>
      </c>
      <c r="L294" s="1">
        <f t="shared" si="569"/>
        <v>7.976799999999999</v>
      </c>
      <c r="M294" s="1"/>
      <c r="N294" s="1"/>
      <c r="O294" s="1"/>
      <c r="P294" s="1"/>
      <c r="Q294" s="1"/>
      <c r="R294" s="1"/>
      <c r="S294" s="1">
        <v>14.8</v>
      </c>
      <c r="T294" s="1">
        <f t="shared" ref="T294" si="655">S294*1.34</f>
        <v>19.832000000000001</v>
      </c>
      <c r="U294" s="1">
        <v>14.08</v>
      </c>
      <c r="V294" s="1">
        <f t="shared" si="601"/>
        <v>18.8672</v>
      </c>
      <c r="W294" s="1">
        <v>12.75</v>
      </c>
      <c r="X294" s="1">
        <f t="shared" si="649"/>
        <v>17.085000000000001</v>
      </c>
      <c r="Y294" s="1">
        <v>9.8800000000000008</v>
      </c>
      <c r="Z294" s="1">
        <f t="shared" si="651"/>
        <v>13.239200000000002</v>
      </c>
      <c r="AA294" s="1"/>
      <c r="AB294" s="1"/>
      <c r="AE294" s="1">
        <v>16.8</v>
      </c>
      <c r="AF294" s="1">
        <f t="shared" si="653"/>
        <v>46.2</v>
      </c>
      <c r="AG294" s="1">
        <f>5.5+3.74</f>
        <v>9.24</v>
      </c>
      <c r="AH294" s="1">
        <f t="shared" si="654"/>
        <v>21.8064</v>
      </c>
      <c r="AI294" s="9">
        <v>6</v>
      </c>
      <c r="AJ294" s="9">
        <f t="shared" ref="AJ294" si="656">AI294*2.75</f>
        <v>16.5</v>
      </c>
      <c r="AK294" s="9"/>
      <c r="AL294" s="9"/>
      <c r="AM294" s="1"/>
      <c r="AN294" s="1"/>
      <c r="AP294" s="1">
        <f t="shared" si="582"/>
        <v>0.91</v>
      </c>
      <c r="AQ294" s="1">
        <f t="shared" si="583"/>
        <v>0.09</v>
      </c>
      <c r="AR294" s="1">
        <f t="shared" si="596"/>
        <v>1</v>
      </c>
    </row>
    <row r="295" spans="2:44" x14ac:dyDescent="0.25">
      <c r="B295" t="s">
        <v>88</v>
      </c>
      <c r="C295" t="s">
        <v>89</v>
      </c>
      <c r="D295" s="1">
        <f>SUM(E295,G295,I295,K295,M295,O295,Q295,S295,U295,W295,Y295,AA295,AC295,AE295,AG295,AI295,AK295)</f>
        <v>126.49999999999999</v>
      </c>
      <c r="E295" s="1">
        <v>30.86</v>
      </c>
      <c r="F295" s="1">
        <f t="shared" si="597"/>
        <v>41.352400000000003</v>
      </c>
      <c r="G295" s="1">
        <v>9.8000000000000007</v>
      </c>
      <c r="H295" s="1">
        <f t="shared" si="597"/>
        <v>13.132000000000001</v>
      </c>
      <c r="I295" s="1">
        <v>5.13</v>
      </c>
      <c r="J295" s="1">
        <f t="shared" si="593"/>
        <v>12.1068</v>
      </c>
      <c r="K295" s="1">
        <v>3.19</v>
      </c>
      <c r="L295" s="1">
        <f t="shared" si="569"/>
        <v>7.5283999999999995</v>
      </c>
      <c r="M295" s="1"/>
      <c r="N295" s="1"/>
      <c r="O295" s="1"/>
      <c r="P295" s="1"/>
      <c r="Q295" s="1">
        <v>2.6</v>
      </c>
      <c r="R295" s="1">
        <f>Q295*2.36</f>
        <v>6.1360000000000001</v>
      </c>
      <c r="S295" s="1">
        <v>26.39</v>
      </c>
      <c r="T295" s="1">
        <f t="shared" ref="T295" si="657">S295*1.34</f>
        <v>35.3626</v>
      </c>
      <c r="U295" s="1">
        <v>11.37</v>
      </c>
      <c r="V295" s="1">
        <f t="shared" si="601"/>
        <v>15.235799999999999</v>
      </c>
      <c r="W295" s="1">
        <v>10.11</v>
      </c>
      <c r="X295" s="1">
        <f t="shared" si="649"/>
        <v>13.5474</v>
      </c>
      <c r="Y295" s="1">
        <v>10.08</v>
      </c>
      <c r="Z295" s="1">
        <f t="shared" si="651"/>
        <v>13.507200000000001</v>
      </c>
      <c r="AA295" s="1"/>
      <c r="AB295" s="1"/>
      <c r="AC295" s="1">
        <v>9.99</v>
      </c>
      <c r="AD295" s="1">
        <f t="shared" ref="AD295" si="658">AC295*2.75</f>
        <v>27.4725</v>
      </c>
      <c r="AE295" s="1">
        <v>5.18</v>
      </c>
      <c r="AF295" s="1">
        <f t="shared" si="653"/>
        <v>14.244999999999999</v>
      </c>
      <c r="AG295" s="1">
        <v>1.8</v>
      </c>
      <c r="AH295" s="1">
        <f t="shared" si="654"/>
        <v>4.2480000000000002</v>
      </c>
      <c r="AI295" s="9"/>
      <c r="AJ295" s="9"/>
      <c r="AK295" s="9"/>
      <c r="AL295" s="9"/>
      <c r="AM295" s="1">
        <v>39.08</v>
      </c>
      <c r="AN295" s="1">
        <f>AM295*0.6</f>
        <v>23.447999999999997</v>
      </c>
      <c r="AP295" s="1">
        <f t="shared" si="582"/>
        <v>0.84</v>
      </c>
      <c r="AQ295" s="1">
        <f t="shared" si="583"/>
        <v>0.16</v>
      </c>
      <c r="AR295" s="1">
        <f t="shared" si="596"/>
        <v>1</v>
      </c>
    </row>
    <row r="296" spans="2:44" x14ac:dyDescent="0.25">
      <c r="D296" s="1">
        <f>SUM(E296,G296,I296,K296,M296,O296,Q296,S296,U296,W296,Y296,AA296,AC296,AE296,AG296,AI296,AK296)</f>
        <v>127.12999999999998</v>
      </c>
      <c r="E296" s="1">
        <v>18.399999999999999</v>
      </c>
      <c r="F296" s="1">
        <f t="shared" si="597"/>
        <v>24.655999999999999</v>
      </c>
      <c r="G296" s="1">
        <v>37.729999999999997</v>
      </c>
      <c r="H296" s="1">
        <f t="shared" si="597"/>
        <v>50.558199999999999</v>
      </c>
      <c r="I296" s="1">
        <v>4.42</v>
      </c>
      <c r="J296" s="1">
        <f t="shared" si="593"/>
        <v>10.431199999999999</v>
      </c>
      <c r="K296" s="1">
        <v>3.77</v>
      </c>
      <c r="L296" s="1">
        <f t="shared" si="569"/>
        <v>8.8971999999999998</v>
      </c>
      <c r="M296" s="1"/>
      <c r="N296" s="1"/>
      <c r="O296" s="1"/>
      <c r="P296" s="1"/>
      <c r="Q296" s="1"/>
      <c r="R296" s="1"/>
      <c r="S296" s="1">
        <v>15.05</v>
      </c>
      <c r="T296" s="1">
        <f t="shared" ref="T296" si="659">S296*1.34</f>
        <v>20.167000000000002</v>
      </c>
      <c r="U296" s="1">
        <v>11</v>
      </c>
      <c r="V296" s="1">
        <f t="shared" si="601"/>
        <v>14.74</v>
      </c>
      <c r="W296" s="1">
        <v>10.44</v>
      </c>
      <c r="X296" s="1">
        <f t="shared" si="649"/>
        <v>13.989599999999999</v>
      </c>
      <c r="Y296" s="1">
        <v>9.8800000000000008</v>
      </c>
      <c r="Z296" s="1">
        <f t="shared" si="651"/>
        <v>13.239200000000002</v>
      </c>
      <c r="AA296" s="1"/>
      <c r="AB296" s="1"/>
      <c r="AC296" s="1"/>
      <c r="AD296" s="1"/>
      <c r="AE296" s="1">
        <v>6.89</v>
      </c>
      <c r="AF296" s="1">
        <f t="shared" si="653"/>
        <v>18.947499999999998</v>
      </c>
      <c r="AG296" s="1"/>
      <c r="AH296" s="1"/>
      <c r="AI296" s="9">
        <f>4.42+3.04+2.09</f>
        <v>9.5500000000000007</v>
      </c>
      <c r="AJ296" s="9">
        <f t="shared" ref="AJ296" si="660">AI296*2.75</f>
        <v>26.262500000000003</v>
      </c>
      <c r="AK296" s="9"/>
      <c r="AL296" s="9"/>
      <c r="AM296" s="1"/>
      <c r="AN296" s="1"/>
      <c r="AP296" s="1">
        <f t="shared" si="582"/>
        <v>0.64</v>
      </c>
      <c r="AQ296" s="1">
        <f t="shared" si="583"/>
        <v>0.36</v>
      </c>
      <c r="AR296" s="1">
        <f t="shared" si="596"/>
        <v>1</v>
      </c>
    </row>
    <row r="297" spans="2:44" x14ac:dyDescent="0.25">
      <c r="B297" t="s">
        <v>145</v>
      </c>
      <c r="C297" t="s">
        <v>144</v>
      </c>
      <c r="D297" s="1">
        <f>SUM(E297,G297,I297,K297,M297,O297,Q297,S297,U297,W297,Y297,AA297,AC297,AE297,AG297,AI297,AK297)</f>
        <v>132.80000000000001</v>
      </c>
      <c r="E297" s="1">
        <v>37.700000000000003</v>
      </c>
      <c r="F297" s="1">
        <f t="shared" ref="F297:H302" si="661">E297*1.34</f>
        <v>50.518000000000008</v>
      </c>
      <c r="G297" s="1">
        <v>12.6</v>
      </c>
      <c r="H297" s="1">
        <f t="shared" si="661"/>
        <v>16.884</v>
      </c>
      <c r="I297" s="1">
        <v>5.8</v>
      </c>
      <c r="J297" s="1">
        <f t="shared" si="593"/>
        <v>13.687999999999999</v>
      </c>
      <c r="K297" s="1">
        <v>5.6</v>
      </c>
      <c r="L297" s="1">
        <f t="shared" si="569"/>
        <v>13.215999999999999</v>
      </c>
      <c r="M297" s="1">
        <v>3.7</v>
      </c>
      <c r="N297" s="1">
        <f>M297*2.36</f>
        <v>8.7319999999999993</v>
      </c>
      <c r="O297" s="1"/>
      <c r="P297" s="1"/>
      <c r="Q297" s="1"/>
      <c r="R297" s="1"/>
      <c r="S297" s="1">
        <v>16</v>
      </c>
      <c r="T297" s="1">
        <f t="shared" ref="T297" si="662">S297*1.34</f>
        <v>21.44</v>
      </c>
      <c r="U297" s="1">
        <v>11.5</v>
      </c>
      <c r="V297" s="1">
        <f t="shared" si="601"/>
        <v>15.41</v>
      </c>
      <c r="W297" s="1">
        <v>11.3</v>
      </c>
      <c r="X297" s="1">
        <f t="shared" si="649"/>
        <v>15.142000000000001</v>
      </c>
      <c r="Y297" s="1">
        <v>11.3</v>
      </c>
      <c r="Z297" s="1">
        <f t="shared" ref="Z297:Z302" si="663">Y297*1.34</f>
        <v>15.142000000000001</v>
      </c>
      <c r="AA297" s="1"/>
      <c r="AB297" s="1"/>
      <c r="AC297" s="1">
        <v>4.4000000000000004</v>
      </c>
      <c r="AD297" s="1">
        <f t="shared" ref="AD297" si="664">AC297*2.75</f>
        <v>12.100000000000001</v>
      </c>
      <c r="AE297" s="1">
        <v>9.1</v>
      </c>
      <c r="AF297" s="1">
        <f t="shared" ref="AF297:AF302" si="665">AE297*2.75</f>
        <v>25.024999999999999</v>
      </c>
      <c r="AG297" s="1">
        <v>3.8</v>
      </c>
      <c r="AH297" s="1">
        <f>AG297*2.36</f>
        <v>8.968</v>
      </c>
      <c r="AI297" s="9"/>
      <c r="AJ297" s="9"/>
      <c r="AK297" s="9"/>
      <c r="AL297" s="9"/>
      <c r="AM297" s="1"/>
      <c r="AN297" s="1"/>
      <c r="AP297" s="1">
        <f t="shared" si="582"/>
        <v>0.79</v>
      </c>
      <c r="AQ297" s="1">
        <f t="shared" si="583"/>
        <v>0.21</v>
      </c>
      <c r="AR297" s="1">
        <f t="shared" si="596"/>
        <v>1</v>
      </c>
    </row>
    <row r="298" spans="2:44" x14ac:dyDescent="0.25">
      <c r="B298" t="s">
        <v>62</v>
      </c>
      <c r="C298" t="s">
        <v>63</v>
      </c>
      <c r="D298" s="1">
        <f>SUM(E298,G298,I298,K298,M298,O298,Q298,S298,U298,W298,Y298,AA298,AC298,AE298,AG298,AI298,AK298)</f>
        <v>135.25</v>
      </c>
      <c r="E298" s="1">
        <v>36.92</v>
      </c>
      <c r="F298" s="1">
        <f t="shared" si="661"/>
        <v>49.472800000000007</v>
      </c>
      <c r="G298" s="1">
        <v>12.46</v>
      </c>
      <c r="H298" s="1">
        <f t="shared" si="661"/>
        <v>16.696400000000001</v>
      </c>
      <c r="I298" s="1">
        <v>4.2</v>
      </c>
      <c r="J298" s="1">
        <f t="shared" si="593"/>
        <v>9.911999999999999</v>
      </c>
      <c r="K298" s="1">
        <v>4.08</v>
      </c>
      <c r="L298" s="1">
        <f t="shared" si="569"/>
        <v>9.6288</v>
      </c>
      <c r="M298" s="1">
        <v>2.77</v>
      </c>
      <c r="N298" s="1">
        <f>M298*2.36</f>
        <v>6.5371999999999995</v>
      </c>
      <c r="O298" s="1"/>
      <c r="P298" s="1"/>
      <c r="Q298" s="1"/>
      <c r="R298" s="1"/>
      <c r="S298" s="1">
        <f>18.53+3.11</f>
        <v>21.64</v>
      </c>
      <c r="T298" s="1">
        <f t="shared" ref="T298" si="666">S298*1.34</f>
        <v>28.997600000000002</v>
      </c>
      <c r="U298" s="1">
        <v>12.96</v>
      </c>
      <c r="V298" s="1">
        <f t="shared" si="601"/>
        <v>17.366400000000002</v>
      </c>
      <c r="W298" s="1">
        <v>12.95</v>
      </c>
      <c r="X298" s="1">
        <f t="shared" si="649"/>
        <v>17.353000000000002</v>
      </c>
      <c r="Y298" s="1">
        <v>12.55</v>
      </c>
      <c r="Z298" s="1">
        <f t="shared" si="663"/>
        <v>16.817000000000004</v>
      </c>
      <c r="AA298" s="1"/>
      <c r="AB298" s="1"/>
      <c r="AC298" s="1">
        <v>7.72</v>
      </c>
      <c r="AD298" s="1">
        <f t="shared" ref="AD298" si="667">AC298*2.75</f>
        <v>21.23</v>
      </c>
      <c r="AE298" s="1">
        <v>7</v>
      </c>
      <c r="AF298" s="1">
        <f t="shared" si="665"/>
        <v>19.25</v>
      </c>
      <c r="AG298" s="1"/>
      <c r="AH298" s="1"/>
      <c r="AI298" s="9"/>
      <c r="AJ298" s="9"/>
      <c r="AK298" s="9"/>
      <c r="AL298" s="9"/>
      <c r="AM298" s="1">
        <f>23.41+4.87</f>
        <v>28.28</v>
      </c>
      <c r="AN298" s="1">
        <f>AM298*0.6</f>
        <v>16.968</v>
      </c>
      <c r="AP298" s="1">
        <f t="shared" si="582"/>
        <v>0.83</v>
      </c>
      <c r="AQ298" s="1">
        <f t="shared" si="583"/>
        <v>0.17</v>
      </c>
      <c r="AR298" s="1">
        <f t="shared" si="596"/>
        <v>1</v>
      </c>
    </row>
    <row r="299" spans="2:44" x14ac:dyDescent="0.25">
      <c r="B299" t="s">
        <v>81</v>
      </c>
      <c r="C299" t="s">
        <v>82</v>
      </c>
      <c r="D299" s="1">
        <f>SUM(E299,G299,I299,K299,M299,O299,Q299,S299,U299,W299,Y299,AA299,AC299,AE299,AG299,AI299,AK299)</f>
        <v>140.84</v>
      </c>
      <c r="E299" s="1">
        <v>31.09</v>
      </c>
      <c r="F299" s="1">
        <f t="shared" si="661"/>
        <v>41.660600000000002</v>
      </c>
      <c r="G299" s="1">
        <v>9.4600000000000009</v>
      </c>
      <c r="H299" s="1">
        <f t="shared" si="661"/>
        <v>12.676400000000003</v>
      </c>
      <c r="I299" s="1">
        <v>6.24</v>
      </c>
      <c r="J299" s="1">
        <f t="shared" si="593"/>
        <v>14.7264</v>
      </c>
      <c r="K299" s="1">
        <v>4.74</v>
      </c>
      <c r="L299" s="1">
        <f t="shared" si="569"/>
        <v>11.186400000000001</v>
      </c>
      <c r="M299" s="1"/>
      <c r="N299" s="1"/>
      <c r="O299" s="1"/>
      <c r="P299" s="1"/>
      <c r="Q299" s="1"/>
      <c r="R299" s="1"/>
      <c r="S299" s="1">
        <v>21.79</v>
      </c>
      <c r="T299" s="1">
        <f t="shared" ref="T299" si="668">S299*1.34</f>
        <v>29.198599999999999</v>
      </c>
      <c r="U299" s="1">
        <v>11.22</v>
      </c>
      <c r="V299" s="1">
        <f t="shared" si="601"/>
        <v>15.034800000000002</v>
      </c>
      <c r="W299" s="1">
        <v>10.81</v>
      </c>
      <c r="X299" s="1">
        <f t="shared" si="649"/>
        <v>14.485400000000002</v>
      </c>
      <c r="Y299" s="1">
        <v>7.02</v>
      </c>
      <c r="Z299" s="1">
        <f t="shared" si="663"/>
        <v>9.4068000000000005</v>
      </c>
      <c r="AA299" s="1"/>
      <c r="AB299" s="1"/>
      <c r="AC299" s="1"/>
      <c r="AD299" s="1"/>
      <c r="AE299" s="1">
        <v>10.51</v>
      </c>
      <c r="AF299" s="1">
        <f t="shared" si="665"/>
        <v>28.9025</v>
      </c>
      <c r="AG299" s="1"/>
      <c r="AH299" s="1"/>
      <c r="AI299" s="9">
        <v>5.73</v>
      </c>
      <c r="AJ299" s="9">
        <f t="shared" ref="AJ299:AJ301" si="669">AI299*2.75</f>
        <v>15.7575</v>
      </c>
      <c r="AK299" s="9">
        <v>22.23</v>
      </c>
      <c r="AL299" s="9">
        <f t="shared" ref="AL299" si="670">AK299*1.34</f>
        <v>29.788200000000003</v>
      </c>
      <c r="AM299" s="1">
        <v>18</v>
      </c>
      <c r="AN299" s="1">
        <f>AM299*0.6</f>
        <v>10.799999999999999</v>
      </c>
      <c r="AP299" s="1">
        <f t="shared" si="582"/>
        <v>0.85</v>
      </c>
      <c r="AQ299" s="1">
        <f t="shared" si="583"/>
        <v>0.15</v>
      </c>
      <c r="AR299" s="1">
        <f t="shared" si="596"/>
        <v>1</v>
      </c>
    </row>
    <row r="300" spans="2:44" x14ac:dyDescent="0.25">
      <c r="D300" s="1">
        <f>SUM(E300,G300,I300,K300,M300,O300,Q300,S300,U300,W300,Y300,AA300,AC300,AE300,AG300,AI300,AK300)</f>
        <v>147.75</v>
      </c>
      <c r="E300" s="1">
        <v>36.25</v>
      </c>
      <c r="F300" s="1">
        <f t="shared" si="661"/>
        <v>48.575000000000003</v>
      </c>
      <c r="G300" s="1">
        <v>14.83</v>
      </c>
      <c r="H300" s="1">
        <f t="shared" si="661"/>
        <v>19.872200000000003</v>
      </c>
      <c r="I300" s="1">
        <v>6.57</v>
      </c>
      <c r="J300" s="1">
        <f t="shared" si="593"/>
        <v>15.5052</v>
      </c>
      <c r="K300" s="1">
        <v>3.95</v>
      </c>
      <c r="L300" s="1">
        <f t="shared" si="569"/>
        <v>9.3219999999999992</v>
      </c>
      <c r="M300" s="1"/>
      <c r="N300" s="1"/>
      <c r="O300" s="1"/>
      <c r="P300" s="1"/>
      <c r="Q300" s="1">
        <v>3.09</v>
      </c>
      <c r="R300" s="1">
        <f>Q300*2.36</f>
        <v>7.2923999999999989</v>
      </c>
      <c r="S300" s="1">
        <v>13.33</v>
      </c>
      <c r="T300" s="1">
        <f t="shared" ref="T300" si="671">S300*1.34</f>
        <v>17.862200000000001</v>
      </c>
      <c r="U300" s="1">
        <v>12.72</v>
      </c>
      <c r="V300" s="1">
        <f t="shared" si="601"/>
        <v>17.044800000000002</v>
      </c>
      <c r="W300" s="1">
        <v>12.43</v>
      </c>
      <c r="X300" s="1">
        <f t="shared" si="649"/>
        <v>16.656200000000002</v>
      </c>
      <c r="Y300" s="1">
        <v>10.43</v>
      </c>
      <c r="Z300" s="1">
        <f t="shared" si="663"/>
        <v>13.9762</v>
      </c>
      <c r="AA300" s="1"/>
      <c r="AB300" s="1"/>
      <c r="AC300" s="1">
        <v>13.26</v>
      </c>
      <c r="AD300" s="1">
        <f t="shared" ref="AD300:AD302" si="672">AC300*2.75</f>
        <v>36.464999999999996</v>
      </c>
      <c r="AE300" s="1">
        <v>9.65</v>
      </c>
      <c r="AF300" s="1">
        <f t="shared" si="665"/>
        <v>26.537500000000001</v>
      </c>
      <c r="AG300" s="1">
        <v>3.44</v>
      </c>
      <c r="AH300" s="1">
        <f>AG300*2.36</f>
        <v>8.1183999999999994</v>
      </c>
      <c r="AI300" s="9">
        <v>7.8</v>
      </c>
      <c r="AJ300" s="9">
        <f t="shared" si="669"/>
        <v>21.45</v>
      </c>
      <c r="AK300" s="9"/>
      <c r="AL300" s="9"/>
      <c r="AM300" s="1"/>
      <c r="AN300" s="1"/>
      <c r="AP300" s="1">
        <f t="shared" si="582"/>
        <v>0.81</v>
      </c>
      <c r="AQ300" s="1">
        <f t="shared" si="583"/>
        <v>0.19</v>
      </c>
      <c r="AR300" s="1">
        <f t="shared" si="596"/>
        <v>1</v>
      </c>
    </row>
    <row r="301" spans="2:44" x14ac:dyDescent="0.25">
      <c r="B301" t="s">
        <v>110</v>
      </c>
      <c r="C301" t="s">
        <v>111</v>
      </c>
      <c r="D301" s="1">
        <f>SUM(E301,G301,I301,K301,M301,O301,Q301,S301,U301,W301,Y301,AA301,AC301,AE301,AG301,AI301,AK301)</f>
        <v>158.77000000000001</v>
      </c>
      <c r="E301" s="1">
        <v>31.42</v>
      </c>
      <c r="F301" s="1">
        <f t="shared" si="661"/>
        <v>42.102800000000002</v>
      </c>
      <c r="G301" s="1">
        <v>13.99</v>
      </c>
      <c r="H301" s="1">
        <f t="shared" si="661"/>
        <v>18.746600000000001</v>
      </c>
      <c r="I301" s="1">
        <v>8.11</v>
      </c>
      <c r="J301" s="1">
        <f t="shared" si="593"/>
        <v>19.139599999999998</v>
      </c>
      <c r="K301" s="1">
        <v>6.45</v>
      </c>
      <c r="L301" s="1">
        <f t="shared" si="569"/>
        <v>15.222</v>
      </c>
      <c r="M301" s="1">
        <v>4.28</v>
      </c>
      <c r="N301" s="1">
        <f>M301*2.36</f>
        <v>10.1008</v>
      </c>
      <c r="O301" s="1"/>
      <c r="P301" s="1"/>
      <c r="Q301" s="1">
        <v>3.36</v>
      </c>
      <c r="R301" s="1">
        <f>Q301*2.36</f>
        <v>7.9295999999999989</v>
      </c>
      <c r="S301" s="1">
        <v>15.27</v>
      </c>
      <c r="T301" s="1">
        <f t="shared" ref="T301" si="673">S301*1.34</f>
        <v>20.4618</v>
      </c>
      <c r="U301" s="1">
        <v>13.26</v>
      </c>
      <c r="V301" s="1">
        <f t="shared" si="601"/>
        <v>17.7684</v>
      </c>
      <c r="W301" s="1">
        <v>10.19</v>
      </c>
      <c r="X301" s="1">
        <f t="shared" si="649"/>
        <v>13.6546</v>
      </c>
      <c r="Y301" s="1">
        <v>10.1</v>
      </c>
      <c r="Z301" s="1">
        <f t="shared" si="663"/>
        <v>13.534000000000001</v>
      </c>
      <c r="AA301" s="1">
        <v>7.69</v>
      </c>
      <c r="AB301" s="1">
        <f t="shared" ref="AB301" si="674">AA301*1.34</f>
        <v>10.304600000000001</v>
      </c>
      <c r="AC301" s="1">
        <v>11.25</v>
      </c>
      <c r="AD301" s="1">
        <f t="shared" si="672"/>
        <v>30.9375</v>
      </c>
      <c r="AE301" s="1">
        <v>7.92</v>
      </c>
      <c r="AF301" s="1">
        <f t="shared" si="665"/>
        <v>21.78</v>
      </c>
      <c r="AG301" s="1">
        <v>5.9</v>
      </c>
      <c r="AH301" s="1">
        <f>AG301*2.36</f>
        <v>13.923999999999999</v>
      </c>
      <c r="AI301" s="9">
        <v>9.58</v>
      </c>
      <c r="AJ301" s="9">
        <f t="shared" si="669"/>
        <v>26.344999999999999</v>
      </c>
      <c r="AK301" s="9"/>
      <c r="AL301" s="9"/>
      <c r="AM301" s="1">
        <f>12.62+2.62</f>
        <v>15.239999999999998</v>
      </c>
      <c r="AN301" s="1">
        <f>AM301*0.6</f>
        <v>9.1439999999999984</v>
      </c>
      <c r="AP301" s="1">
        <f t="shared" si="582"/>
        <v>0.77</v>
      </c>
      <c r="AQ301" s="1">
        <f t="shared" si="583"/>
        <v>0.23</v>
      </c>
      <c r="AR301" s="1">
        <f t="shared" si="596"/>
        <v>1</v>
      </c>
    </row>
    <row r="302" spans="2:44" x14ac:dyDescent="0.25">
      <c r="D302" s="1">
        <f>SUM(E302,G302,I302,K302,M302,O302,Q302,S302,U302,W302,Y302,AA302,AC302,AE302,AG302,AI302,AK302)</f>
        <v>198.7</v>
      </c>
      <c r="E302" s="1">
        <v>40</v>
      </c>
      <c r="F302" s="1">
        <f t="shared" si="661"/>
        <v>53.6</v>
      </c>
      <c r="G302" s="1">
        <v>28</v>
      </c>
      <c r="H302" s="1">
        <f t="shared" si="661"/>
        <v>37.520000000000003</v>
      </c>
      <c r="I302" s="1">
        <v>9</v>
      </c>
      <c r="J302" s="1">
        <f t="shared" si="593"/>
        <v>21.24</v>
      </c>
      <c r="K302" s="1">
        <v>6</v>
      </c>
      <c r="L302" s="1">
        <f t="shared" si="569"/>
        <v>14.16</v>
      </c>
      <c r="M302" s="1"/>
      <c r="N302" s="1"/>
      <c r="O302" s="1"/>
      <c r="P302" s="1"/>
      <c r="Q302" s="1">
        <v>2.2000000000000002</v>
      </c>
      <c r="R302" s="1">
        <f>Q302*2.36</f>
        <v>5.1920000000000002</v>
      </c>
      <c r="S302" s="1">
        <v>37</v>
      </c>
      <c r="T302" s="1">
        <f t="shared" ref="T302" si="675">S302*1.34</f>
        <v>49.580000000000005</v>
      </c>
      <c r="U302" s="1">
        <v>14</v>
      </c>
      <c r="V302" s="1">
        <f t="shared" si="601"/>
        <v>18.760000000000002</v>
      </c>
      <c r="W302" s="1">
        <v>12</v>
      </c>
      <c r="X302" s="1">
        <f t="shared" si="649"/>
        <v>16.080000000000002</v>
      </c>
      <c r="Y302" s="1">
        <v>12</v>
      </c>
      <c r="Z302" s="1">
        <f t="shared" si="663"/>
        <v>16.080000000000002</v>
      </c>
      <c r="AA302" s="1"/>
      <c r="AB302" s="1"/>
      <c r="AC302" s="1">
        <v>12.5</v>
      </c>
      <c r="AD302" s="1">
        <f t="shared" si="672"/>
        <v>34.375</v>
      </c>
      <c r="AE302" s="1">
        <v>26</v>
      </c>
      <c r="AF302" s="1">
        <f t="shared" si="665"/>
        <v>71.5</v>
      </c>
      <c r="AG302" s="1"/>
      <c r="AH302" s="1"/>
      <c r="AI302" s="9"/>
      <c r="AJ302" s="9"/>
      <c r="AK302" s="9"/>
      <c r="AL302" s="9"/>
      <c r="AM302" s="1"/>
      <c r="AN302" s="1"/>
      <c r="AP302" s="1">
        <f t="shared" si="582"/>
        <v>0.77</v>
      </c>
      <c r="AQ302" s="1">
        <f t="shared" si="583"/>
        <v>0.23</v>
      </c>
      <c r="AR302" s="1">
        <f t="shared" si="596"/>
        <v>1</v>
      </c>
    </row>
    <row r="304" spans="2:44" x14ac:dyDescent="0.25">
      <c r="AM304" s="4" t="s">
        <v>148</v>
      </c>
      <c r="AN304" s="4"/>
      <c r="AO304" s="4"/>
      <c r="AP304" s="6">
        <f>MAX(AP4:AP302)</f>
        <v>0.91</v>
      </c>
      <c r="AQ304" s="6">
        <f>MAX(AQ4:AQ302)</f>
        <v>0.36</v>
      </c>
    </row>
    <row r="305" spans="2:44" x14ac:dyDescent="0.25">
      <c r="B305" s="11"/>
      <c r="C305" s="12"/>
      <c r="AM305" s="24" t="s">
        <v>179</v>
      </c>
      <c r="AN305" s="4"/>
      <c r="AO305" s="4"/>
      <c r="AP305" s="4">
        <f>COUNTIF(AP4:AP302,AP304)</f>
        <v>1</v>
      </c>
      <c r="AQ305" s="4">
        <f>COUNTIF(AQ4:AQ302,AQ304)</f>
        <v>1</v>
      </c>
    </row>
    <row r="306" spans="2:44" x14ac:dyDescent="0.25">
      <c r="AM306" s="4" t="s">
        <v>149</v>
      </c>
      <c r="AN306" s="4"/>
      <c r="AO306" s="4"/>
      <c r="AP306" s="6">
        <f>MIN(AP4:AP302)</f>
        <v>0.64</v>
      </c>
      <c r="AQ306" s="6">
        <f>MIN(AQ4:AQ302)</f>
        <v>0.09</v>
      </c>
    </row>
    <row r="307" spans="2:44" x14ac:dyDescent="0.25">
      <c r="AM307" s="24" t="s">
        <v>179</v>
      </c>
      <c r="AN307" s="4"/>
      <c r="AO307" s="4"/>
      <c r="AP307" s="4">
        <f>COUNTIF(AP4:AP302,AP306)</f>
        <v>1</v>
      </c>
      <c r="AQ307" s="4">
        <f>COUNTIF(AQ4:AQ302,AQ306)</f>
        <v>1</v>
      </c>
    </row>
    <row r="308" spans="2:44" x14ac:dyDescent="0.25">
      <c r="AM308" s="4" t="s">
        <v>150</v>
      </c>
      <c r="AN308" s="4"/>
      <c r="AO308" s="4"/>
      <c r="AP308" s="6">
        <f>AVERAGE(AP4:AP302)</f>
        <v>0.79481605351170648</v>
      </c>
      <c r="AQ308" s="6">
        <f>AVERAGE(AQ4:AQ302)</f>
        <v>0.20518394648829416</v>
      </c>
    </row>
    <row r="309" spans="2:44" x14ac:dyDescent="0.25">
      <c r="AM309" s="4"/>
      <c r="AN309" s="4"/>
      <c r="AO309" s="4"/>
      <c r="AP309" s="4"/>
      <c r="AQ309" s="4"/>
    </row>
    <row r="310" spans="2:44" x14ac:dyDescent="0.25">
      <c r="AM310" s="4" t="s">
        <v>151</v>
      </c>
      <c r="AN310" s="4"/>
      <c r="AO310" s="4"/>
      <c r="AP310" s="6">
        <f>_xlfn.MODE.SNGL(AP4:AP302)</f>
        <v>0.8</v>
      </c>
      <c r="AQ310" s="6">
        <f>_xlfn.MODE.SNGL(AQ4:AQ302)</f>
        <v>0.2</v>
      </c>
    </row>
    <row r="311" spans="2:44" x14ac:dyDescent="0.25">
      <c r="AM311" s="24" t="s">
        <v>179</v>
      </c>
      <c r="AN311" s="23"/>
      <c r="AO311" s="23"/>
      <c r="AP311" s="23">
        <f>COUNTIF(AP4:AP302,AP310)</f>
        <v>51</v>
      </c>
      <c r="AQ311" s="23">
        <f>COUNTIF(AQ4:AQ302,AQ310)</f>
        <v>51</v>
      </c>
    </row>
    <row r="312" spans="2:44" x14ac:dyDescent="0.25">
      <c r="AM312" s="4" t="s">
        <v>152</v>
      </c>
      <c r="AN312" s="4"/>
      <c r="AO312" s="4"/>
      <c r="AP312" s="6">
        <f>MEDIAN(AP4:AP302)</f>
        <v>0.8</v>
      </c>
      <c r="AQ312" s="6">
        <f>MEDIAN(AQ4:AQ302)</f>
        <v>0.2</v>
      </c>
    </row>
    <row r="314" spans="2:44" x14ac:dyDescent="0.25">
      <c r="AR314" s="4"/>
    </row>
    <row r="317" spans="2:44" x14ac:dyDescent="0.25">
      <c r="AM317" s="4"/>
      <c r="AN317" s="4"/>
      <c r="AO317" s="4"/>
      <c r="AP317" s="4"/>
      <c r="AQ317" s="4"/>
    </row>
    <row r="319" spans="2:44" x14ac:dyDescent="0.25">
      <c r="AM319" s="4"/>
      <c r="AN319" s="4"/>
      <c r="AO319" s="4"/>
      <c r="AP319" s="4"/>
      <c r="AQ319" s="4"/>
    </row>
  </sheetData>
  <mergeCells count="21">
    <mergeCell ref="AQ2:AQ3"/>
    <mergeCell ref="AA2:AB2"/>
    <mergeCell ref="AC2:AD2"/>
    <mergeCell ref="AE2:AF2"/>
    <mergeCell ref="AG2:AH2"/>
    <mergeCell ref="AP2:AP3"/>
    <mergeCell ref="AI2:AJ2"/>
    <mergeCell ref="AK2:AL2"/>
    <mergeCell ref="AM2:AN2"/>
    <mergeCell ref="E1:AP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conditionalFormatting sqref="D4">
    <cfRule type="cellIs" dxfId="4" priority="1" operator="equal">
      <formula>"43.10$D5"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282B-D427-4E95-ADB3-C87D137A8313}">
  <dimension ref="A1:W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ColWidth="11.42578125" defaultRowHeight="15" x14ac:dyDescent="0.25"/>
  <cols>
    <col min="1" max="1" width="18.28515625" bestFit="1" customWidth="1"/>
    <col min="2" max="2" width="11.28515625" bestFit="1" customWidth="1"/>
    <col min="3" max="3" width="20.28515625" bestFit="1" customWidth="1"/>
    <col min="5" max="5" width="19.28515625" bestFit="1" customWidth="1"/>
    <col min="6" max="6" width="17.28515625" bestFit="1" customWidth="1"/>
    <col min="7" max="7" width="17" bestFit="1" customWidth="1"/>
    <col min="8" max="8" width="11.7109375" bestFit="1" customWidth="1"/>
    <col min="9" max="9" width="11.5703125" bestFit="1" customWidth="1"/>
    <col min="10" max="10" width="13.42578125" bestFit="1" customWidth="1"/>
    <col min="11" max="11" width="12.7109375" bestFit="1" customWidth="1"/>
    <col min="12" max="12" width="13.5703125" bestFit="1" customWidth="1"/>
    <col min="13" max="13" width="14.5703125" bestFit="1" customWidth="1"/>
    <col min="16" max="16" width="16.42578125" bestFit="1" customWidth="1"/>
    <col min="19" max="19" width="19" bestFit="1" customWidth="1"/>
    <col min="20" max="20" width="28.5703125" bestFit="1" customWidth="1"/>
  </cols>
  <sheetData>
    <row r="1" spans="1:23" x14ac:dyDescent="0.25">
      <c r="A1" t="s">
        <v>2</v>
      </c>
      <c r="B1" t="s">
        <v>3</v>
      </c>
      <c r="C1" t="s">
        <v>4</v>
      </c>
      <c r="E1" t="s">
        <v>5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158</v>
      </c>
      <c r="S1" t="s">
        <v>159</v>
      </c>
      <c r="T1" t="s">
        <v>34</v>
      </c>
    </row>
    <row r="2" spans="1:23" x14ac:dyDescent="0.25">
      <c r="B2" s="1"/>
      <c r="C2" s="1"/>
      <c r="E2" s="1"/>
      <c r="F2" s="1"/>
      <c r="G2" s="1"/>
      <c r="H2" s="1"/>
      <c r="I2" s="1"/>
      <c r="J2" s="1"/>
      <c r="K2" s="1"/>
      <c r="L2" s="1"/>
      <c r="M2" s="1"/>
    </row>
    <row r="3" spans="1:23" x14ac:dyDescent="0.25">
      <c r="B3" s="1"/>
      <c r="C3" s="1"/>
      <c r="E3" s="1"/>
      <c r="F3" s="1"/>
      <c r="G3" s="1"/>
      <c r="H3" s="1"/>
      <c r="I3" s="1"/>
      <c r="J3" s="1"/>
      <c r="K3" s="1"/>
      <c r="L3" s="1"/>
      <c r="M3" s="1"/>
    </row>
    <row r="4" spans="1:23" x14ac:dyDescent="0.25">
      <c r="A4" t="s">
        <v>19</v>
      </c>
      <c r="B4" s="1">
        <v>2.5</v>
      </c>
      <c r="C4" s="1">
        <v>2.5</v>
      </c>
      <c r="E4" s="1">
        <v>16.82</v>
      </c>
      <c r="F4" s="1">
        <v>2.5</v>
      </c>
      <c r="G4" s="1">
        <v>2.5</v>
      </c>
      <c r="H4" s="1">
        <v>0</v>
      </c>
      <c r="I4" s="1">
        <v>1</v>
      </c>
      <c r="J4" s="1">
        <v>1</v>
      </c>
      <c r="K4" s="1">
        <v>1</v>
      </c>
      <c r="L4" s="1">
        <v>2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>
        <f>E4/C4</f>
        <v>6.7279999999999998</v>
      </c>
      <c r="S4">
        <f>R4/B4</f>
        <v>2.6911999999999998</v>
      </c>
      <c r="T4" s="1">
        <f>E4/B4</f>
        <v>6.7279999999999998</v>
      </c>
      <c r="U4" s="1"/>
      <c r="V4" s="1"/>
      <c r="W4" s="1"/>
    </row>
    <row r="5" spans="1:23" x14ac:dyDescent="0.25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T5" s="1"/>
      <c r="U5" s="1"/>
      <c r="V5" s="1"/>
      <c r="W5" s="1"/>
    </row>
    <row r="6" spans="1:23" x14ac:dyDescent="0.25">
      <c r="A6" t="s">
        <v>14</v>
      </c>
      <c r="B6" s="1">
        <v>3</v>
      </c>
      <c r="C6" s="1">
        <v>2.5</v>
      </c>
      <c r="E6" s="1">
        <v>18.43</v>
      </c>
      <c r="F6" s="1">
        <v>3</v>
      </c>
      <c r="G6" s="1">
        <v>3</v>
      </c>
      <c r="H6" s="1">
        <v>0</v>
      </c>
      <c r="I6" s="1">
        <v>1</v>
      </c>
      <c r="J6" s="1">
        <v>1</v>
      </c>
      <c r="K6" s="1">
        <v>1</v>
      </c>
      <c r="L6" s="1">
        <v>2</v>
      </c>
      <c r="M6" s="1">
        <v>2</v>
      </c>
      <c r="N6" s="1">
        <v>1</v>
      </c>
      <c r="O6" s="1">
        <v>1</v>
      </c>
      <c r="P6" s="1">
        <v>1</v>
      </c>
      <c r="Q6" s="1">
        <v>0</v>
      </c>
      <c r="R6">
        <f t="shared" ref="R6:R22" si="0">E6/C6</f>
        <v>7.3719999999999999</v>
      </c>
      <c r="S6">
        <f t="shared" ref="S6:S22" si="1">R6/B6</f>
        <v>2.4573333333333331</v>
      </c>
      <c r="T6" s="1">
        <f t="shared" ref="T6:T22" si="2">E6/B6</f>
        <v>6.1433333333333335</v>
      </c>
      <c r="U6" s="1"/>
      <c r="V6" s="1"/>
      <c r="W6" s="1"/>
    </row>
    <row r="7" spans="1:23" x14ac:dyDescent="0.25">
      <c r="A7" t="s">
        <v>14</v>
      </c>
      <c r="B7" s="1">
        <v>3.5</v>
      </c>
      <c r="C7" s="1">
        <v>2.5</v>
      </c>
      <c r="E7" s="1">
        <v>21.75</v>
      </c>
      <c r="F7" s="1">
        <v>3.5</v>
      </c>
      <c r="G7" s="1">
        <v>3.5</v>
      </c>
      <c r="H7" s="1">
        <v>0</v>
      </c>
      <c r="I7" s="1">
        <v>1</v>
      </c>
      <c r="J7" s="1">
        <v>1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>
        <f t="shared" si="0"/>
        <v>8.6999999999999993</v>
      </c>
      <c r="S7">
        <f t="shared" si="1"/>
        <v>2.4857142857142853</v>
      </c>
      <c r="T7" s="1">
        <f t="shared" si="2"/>
        <v>6.2142857142857144</v>
      </c>
      <c r="U7" s="1"/>
      <c r="V7" s="1"/>
      <c r="W7" s="1"/>
    </row>
    <row r="8" spans="1:23" x14ac:dyDescent="0.25">
      <c r="A8" t="s">
        <v>14</v>
      </c>
      <c r="B8" s="1">
        <v>4</v>
      </c>
      <c r="C8" s="1">
        <v>2.5</v>
      </c>
      <c r="E8" s="1">
        <v>20.97</v>
      </c>
      <c r="F8" s="1">
        <v>4</v>
      </c>
      <c r="G8" s="1">
        <v>4</v>
      </c>
      <c r="H8" s="1">
        <v>0</v>
      </c>
      <c r="I8" s="1">
        <v>1</v>
      </c>
      <c r="J8" s="1">
        <v>1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1</v>
      </c>
      <c r="Q8" s="1">
        <v>1</v>
      </c>
      <c r="R8">
        <f t="shared" si="0"/>
        <v>8.3879999999999999</v>
      </c>
      <c r="S8">
        <f t="shared" si="1"/>
        <v>2.097</v>
      </c>
      <c r="T8" s="1">
        <f t="shared" si="2"/>
        <v>5.2424999999999997</v>
      </c>
      <c r="U8" s="1"/>
      <c r="V8" s="1"/>
      <c r="W8" s="1"/>
    </row>
    <row r="9" spans="1:23" x14ac:dyDescent="0.25">
      <c r="A9" t="s">
        <v>14</v>
      </c>
      <c r="B9" s="1">
        <v>4.5</v>
      </c>
      <c r="C9" s="1">
        <v>2.5</v>
      </c>
      <c r="E9" s="1">
        <v>23.78</v>
      </c>
      <c r="F9" s="1">
        <v>4.5</v>
      </c>
      <c r="G9" s="1">
        <v>4.5</v>
      </c>
      <c r="H9" s="1">
        <v>0</v>
      </c>
      <c r="I9" s="1">
        <v>1</v>
      </c>
      <c r="J9" s="1">
        <v>1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1</v>
      </c>
      <c r="Q9" s="1">
        <v>1</v>
      </c>
      <c r="R9">
        <f t="shared" si="0"/>
        <v>9.5120000000000005</v>
      </c>
      <c r="S9">
        <f t="shared" si="1"/>
        <v>2.113777777777778</v>
      </c>
      <c r="T9" s="1">
        <f t="shared" si="2"/>
        <v>5.2844444444444445</v>
      </c>
      <c r="U9" s="1"/>
      <c r="V9" s="1"/>
      <c r="W9" s="1"/>
    </row>
    <row r="10" spans="1:23" x14ac:dyDescent="0.25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T10" s="1"/>
      <c r="U10" s="1"/>
      <c r="V10" s="1"/>
      <c r="W10" s="1"/>
    </row>
    <row r="11" spans="1:23" x14ac:dyDescent="0.25">
      <c r="A11" t="s">
        <v>20</v>
      </c>
      <c r="B11" s="1">
        <v>7.5</v>
      </c>
      <c r="C11" s="1">
        <v>2.5</v>
      </c>
      <c r="E11" s="1">
        <v>27.32</v>
      </c>
      <c r="F11" s="1">
        <v>7.5</v>
      </c>
      <c r="G11" s="1">
        <v>7.5</v>
      </c>
      <c r="H11" s="1">
        <v>0</v>
      </c>
      <c r="I11" s="1">
        <v>1</v>
      </c>
      <c r="J11" s="1">
        <v>1</v>
      </c>
      <c r="K11" s="1"/>
      <c r="L11" s="1">
        <v>1</v>
      </c>
      <c r="M11" s="1">
        <v>1</v>
      </c>
      <c r="R11">
        <f t="shared" si="0"/>
        <v>10.928000000000001</v>
      </c>
      <c r="S11">
        <f t="shared" si="1"/>
        <v>1.4570666666666667</v>
      </c>
      <c r="T11" s="1">
        <f t="shared" si="2"/>
        <v>3.6426666666666665</v>
      </c>
      <c r="U11" s="1"/>
      <c r="V11" s="1"/>
      <c r="W11" s="1"/>
    </row>
    <row r="12" spans="1:23" x14ac:dyDescent="0.25">
      <c r="A12" t="s">
        <v>20</v>
      </c>
      <c r="B12" s="1">
        <v>8</v>
      </c>
      <c r="C12" s="1">
        <v>2.5</v>
      </c>
      <c r="E12" s="1">
        <v>28.86</v>
      </c>
      <c r="F12" s="1">
        <v>8</v>
      </c>
      <c r="G12" s="1">
        <v>8</v>
      </c>
      <c r="H12" s="1">
        <v>0</v>
      </c>
      <c r="I12" s="1">
        <v>1</v>
      </c>
      <c r="J12" s="1">
        <v>1</v>
      </c>
      <c r="K12" s="1"/>
      <c r="L12" s="1">
        <v>1</v>
      </c>
      <c r="M12" s="1">
        <v>1</v>
      </c>
      <c r="R12">
        <f t="shared" si="0"/>
        <v>11.544</v>
      </c>
      <c r="S12">
        <f t="shared" si="1"/>
        <v>1.4430000000000001</v>
      </c>
      <c r="T12" s="1">
        <f t="shared" si="2"/>
        <v>3.6074999999999999</v>
      </c>
      <c r="U12" s="1"/>
      <c r="V12" s="1"/>
      <c r="W12" s="1"/>
    </row>
    <row r="13" spans="1:23" x14ac:dyDescent="0.25">
      <c r="A13" t="s">
        <v>20</v>
      </c>
      <c r="B13" s="1">
        <v>8.5</v>
      </c>
      <c r="C13" s="1">
        <v>2.5</v>
      </c>
      <c r="E13" s="1"/>
      <c r="F13" s="1"/>
      <c r="G13" s="1"/>
      <c r="H13" s="1"/>
      <c r="I13" s="1"/>
      <c r="J13" s="1"/>
      <c r="K13" s="1"/>
      <c r="L13" s="1"/>
      <c r="M13" s="1"/>
      <c r="T13" s="1">
        <f t="shared" si="2"/>
        <v>0</v>
      </c>
      <c r="U13" s="1"/>
      <c r="V13" s="1"/>
      <c r="W13" s="1"/>
    </row>
    <row r="14" spans="1:23" x14ac:dyDescent="0.25">
      <c r="A14" t="s">
        <v>20</v>
      </c>
      <c r="B14" s="1">
        <v>9</v>
      </c>
      <c r="C14" s="1">
        <v>2.5</v>
      </c>
      <c r="E14" s="1"/>
      <c r="F14" s="1"/>
      <c r="G14" s="1"/>
      <c r="H14" s="1"/>
      <c r="I14" s="1"/>
      <c r="J14" s="1"/>
      <c r="K14" s="1"/>
      <c r="L14" s="1"/>
      <c r="M14" s="1"/>
      <c r="T14" s="1">
        <f t="shared" si="2"/>
        <v>0</v>
      </c>
      <c r="U14" s="1"/>
      <c r="V14" s="1"/>
      <c r="W14" s="1"/>
    </row>
    <row r="15" spans="1:23" x14ac:dyDescent="0.25">
      <c r="A15" t="s">
        <v>20</v>
      </c>
      <c r="B15" s="1">
        <v>9.5</v>
      </c>
      <c r="C15" s="1">
        <v>2.5</v>
      </c>
      <c r="E15" s="1">
        <v>30.78</v>
      </c>
      <c r="F15" s="1">
        <v>9.5</v>
      </c>
      <c r="G15" s="1">
        <v>9.5</v>
      </c>
      <c r="H15" s="1">
        <v>0</v>
      </c>
      <c r="I15" s="1">
        <v>1</v>
      </c>
      <c r="J15" s="1">
        <v>1</v>
      </c>
      <c r="K15" s="1"/>
      <c r="L15" s="1">
        <v>1</v>
      </c>
      <c r="M15" s="1">
        <v>1</v>
      </c>
      <c r="R15">
        <f t="shared" si="0"/>
        <v>12.312000000000001</v>
      </c>
      <c r="S15">
        <f t="shared" si="1"/>
        <v>1.296</v>
      </c>
      <c r="T15" s="1">
        <f t="shared" si="2"/>
        <v>3.24</v>
      </c>
      <c r="U15" s="1"/>
      <c r="V15" s="1"/>
      <c r="W15" s="1"/>
    </row>
    <row r="16" spans="1:23" s="2" customFormat="1" x14ac:dyDescent="0.25">
      <c r="A16" s="2" t="s">
        <v>20</v>
      </c>
      <c r="B16" s="3">
        <v>10</v>
      </c>
      <c r="C16" s="3">
        <v>2.5</v>
      </c>
      <c r="E16" s="3"/>
      <c r="F16" s="3"/>
      <c r="G16" s="3"/>
      <c r="H16" s="3"/>
      <c r="I16" s="3"/>
      <c r="J16" s="3"/>
      <c r="K16" s="3"/>
      <c r="L16" s="3"/>
      <c r="M16" s="3"/>
      <c r="R16"/>
      <c r="S16"/>
      <c r="T16" s="1">
        <f t="shared" si="2"/>
        <v>0</v>
      </c>
      <c r="U16" s="3"/>
      <c r="V16" s="3"/>
      <c r="W16" s="3"/>
    </row>
    <row r="17" spans="1:23" x14ac:dyDescent="0.25">
      <c r="A17" t="s">
        <v>20</v>
      </c>
      <c r="B17" s="1">
        <v>10.5</v>
      </c>
      <c r="C17" s="1">
        <v>2.5</v>
      </c>
      <c r="E17" s="1">
        <v>32.44</v>
      </c>
      <c r="F17" s="1">
        <v>10.5</v>
      </c>
      <c r="G17" s="1">
        <v>10.5</v>
      </c>
      <c r="H17" s="1">
        <v>0</v>
      </c>
      <c r="I17" s="1">
        <v>1</v>
      </c>
      <c r="J17" s="1">
        <v>1</v>
      </c>
      <c r="K17" s="1"/>
      <c r="L17" s="1">
        <v>2</v>
      </c>
      <c r="M17" s="1">
        <v>2</v>
      </c>
      <c r="R17">
        <f t="shared" si="0"/>
        <v>12.975999999999999</v>
      </c>
      <c r="S17">
        <f t="shared" si="1"/>
        <v>1.2358095238095237</v>
      </c>
      <c r="T17" s="1">
        <f t="shared" si="2"/>
        <v>3.0895238095238091</v>
      </c>
      <c r="U17" s="1"/>
      <c r="V17" s="1"/>
      <c r="W17" s="1"/>
    </row>
    <row r="18" spans="1:23" x14ac:dyDescent="0.25">
      <c r="A18" t="s">
        <v>20</v>
      </c>
      <c r="B18" s="1">
        <v>11</v>
      </c>
      <c r="C18" s="1">
        <v>2.5</v>
      </c>
      <c r="E18" s="1">
        <v>37.369999999999997</v>
      </c>
      <c r="F18" s="1">
        <v>11</v>
      </c>
      <c r="G18" s="1">
        <v>11</v>
      </c>
      <c r="H18" s="1">
        <v>0</v>
      </c>
      <c r="I18" s="1">
        <v>1</v>
      </c>
      <c r="J18" s="1">
        <v>1</v>
      </c>
      <c r="K18" s="1"/>
      <c r="L18" s="1">
        <v>2</v>
      </c>
      <c r="M18" s="1">
        <v>2</v>
      </c>
      <c r="R18">
        <f t="shared" si="0"/>
        <v>14.947999999999999</v>
      </c>
      <c r="S18">
        <f t="shared" si="1"/>
        <v>1.3589090909090908</v>
      </c>
      <c r="T18" s="1">
        <f t="shared" si="2"/>
        <v>3.397272727272727</v>
      </c>
      <c r="U18" s="1"/>
      <c r="V18" s="1"/>
      <c r="W18" s="1"/>
    </row>
    <row r="19" spans="1:23" x14ac:dyDescent="0.25">
      <c r="A19" t="s">
        <v>20</v>
      </c>
      <c r="B19" s="1">
        <v>11.5</v>
      </c>
      <c r="C19" s="1">
        <v>2.5</v>
      </c>
      <c r="E19" s="1"/>
      <c r="F19" s="1"/>
      <c r="G19" s="1"/>
      <c r="H19" s="1"/>
      <c r="I19" s="1"/>
      <c r="J19" s="1"/>
      <c r="K19" s="1"/>
      <c r="L19" s="1"/>
      <c r="M19" s="1"/>
      <c r="T19" s="1">
        <f t="shared" si="2"/>
        <v>0</v>
      </c>
      <c r="U19" s="1"/>
      <c r="V19" s="1"/>
      <c r="W19" s="1"/>
    </row>
    <row r="20" spans="1:23" x14ac:dyDescent="0.25">
      <c r="A20" t="s">
        <v>20</v>
      </c>
      <c r="B20" s="1">
        <v>12</v>
      </c>
      <c r="C20" s="1">
        <v>2.5</v>
      </c>
      <c r="E20" s="1"/>
      <c r="F20" s="1"/>
      <c r="G20" s="1"/>
      <c r="H20" s="1"/>
      <c r="I20" s="1"/>
      <c r="J20" s="1"/>
      <c r="K20" s="1"/>
      <c r="L20" s="1"/>
      <c r="M20" s="1"/>
      <c r="T20" s="1">
        <f t="shared" si="2"/>
        <v>0</v>
      </c>
      <c r="U20" s="1"/>
      <c r="V20" s="1"/>
      <c r="W20" s="1"/>
    </row>
    <row r="21" spans="1:23" x14ac:dyDescent="0.25">
      <c r="A21" t="s">
        <v>20</v>
      </c>
      <c r="B21" s="1">
        <v>12.5</v>
      </c>
      <c r="C21" s="1">
        <v>2.5</v>
      </c>
      <c r="E21" s="1"/>
      <c r="F21" s="1"/>
      <c r="G21" s="1"/>
      <c r="H21" s="1"/>
      <c r="I21" s="1"/>
      <c r="J21" s="1"/>
      <c r="K21" s="1"/>
      <c r="L21" s="1"/>
      <c r="M21" s="1"/>
      <c r="T21" s="1">
        <f t="shared" si="2"/>
        <v>0</v>
      </c>
      <c r="U21" s="1"/>
      <c r="V21" s="1"/>
      <c r="W21" s="1"/>
    </row>
    <row r="22" spans="1:23" x14ac:dyDescent="0.25">
      <c r="A22" t="s">
        <v>20</v>
      </c>
      <c r="B22" s="1">
        <v>13</v>
      </c>
      <c r="C22" s="1">
        <v>2.5</v>
      </c>
      <c r="E22" s="1">
        <v>36.29</v>
      </c>
      <c r="F22" s="1">
        <v>13</v>
      </c>
      <c r="G22" s="1">
        <v>13</v>
      </c>
      <c r="H22" s="1">
        <v>0</v>
      </c>
      <c r="I22" s="1">
        <v>1</v>
      </c>
      <c r="J22" s="1">
        <v>1</v>
      </c>
      <c r="K22" s="1"/>
      <c r="L22" s="1">
        <v>2</v>
      </c>
      <c r="M22" s="1">
        <v>2</v>
      </c>
      <c r="R22">
        <f t="shared" si="0"/>
        <v>14.516</v>
      </c>
      <c r="S22">
        <f t="shared" si="1"/>
        <v>1.1166153846153846</v>
      </c>
      <c r="T22" s="1">
        <f t="shared" si="2"/>
        <v>2.7915384615384613</v>
      </c>
      <c r="U22" s="1"/>
      <c r="V22" s="1"/>
      <c r="W22" s="1"/>
    </row>
    <row r="23" spans="1:23" x14ac:dyDescent="0.25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T23" s="1"/>
      <c r="U23" s="1"/>
      <c r="V23" s="1"/>
      <c r="W23" s="1"/>
    </row>
    <row r="24" spans="1:23" x14ac:dyDescent="0.25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T24" s="1"/>
      <c r="U24" s="1"/>
      <c r="V24" s="1"/>
      <c r="W24" s="1"/>
    </row>
    <row r="25" spans="1:23" x14ac:dyDescent="0.25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S25">
        <f>MEDIAN(S4:S9)</f>
        <v>2.4573333333333331</v>
      </c>
      <c r="T25" s="1"/>
      <c r="U25" s="1"/>
      <c r="V25" s="1"/>
      <c r="W25" s="1"/>
    </row>
    <row r="26" spans="1:23" x14ac:dyDescent="0.25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T26" s="1"/>
      <c r="U26" s="1"/>
      <c r="V26" s="1"/>
      <c r="W26" s="1"/>
    </row>
    <row r="27" spans="1:23" x14ac:dyDescent="0.25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T27" s="1"/>
      <c r="U27" s="1"/>
      <c r="V27" s="1"/>
      <c r="W27" s="1"/>
    </row>
    <row r="28" spans="1:23" x14ac:dyDescent="0.25"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T28" s="1"/>
      <c r="U28" s="1"/>
      <c r="V28" s="1"/>
      <c r="W28" s="1"/>
    </row>
    <row r="29" spans="1:23" x14ac:dyDescent="0.25"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T29" s="1"/>
      <c r="U29" s="1"/>
      <c r="V29" s="1"/>
      <c r="W29" s="1"/>
    </row>
    <row r="30" spans="1:23" x14ac:dyDescent="0.25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T30" s="1"/>
      <c r="U30" s="1"/>
      <c r="V30" s="1"/>
      <c r="W30" s="1"/>
    </row>
    <row r="31" spans="1:23" x14ac:dyDescent="0.25"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T31" s="1"/>
      <c r="U31" s="1"/>
      <c r="V31" s="1"/>
      <c r="W31" s="1"/>
    </row>
    <row r="32" spans="1:23" x14ac:dyDescent="0.25"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T32" s="1"/>
      <c r="U32" s="1"/>
      <c r="V32" s="1"/>
      <c r="W32" s="1"/>
    </row>
    <row r="33" spans="2:23" x14ac:dyDescent="0.25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T33" s="1"/>
      <c r="U33" s="1"/>
      <c r="V33" s="1"/>
      <c r="W33" s="1"/>
    </row>
    <row r="34" spans="2:23" x14ac:dyDescent="0.25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T34" s="1"/>
      <c r="U34" s="1"/>
      <c r="V34" s="1"/>
      <c r="W34" s="1"/>
    </row>
    <row r="35" spans="2:23" x14ac:dyDescent="0.25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T35" s="1"/>
      <c r="U35" s="1"/>
      <c r="V35" s="1"/>
      <c r="W35" s="1"/>
    </row>
    <row r="36" spans="2:23" x14ac:dyDescent="0.25"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T36" s="1"/>
      <c r="U36" s="1"/>
      <c r="V36" s="1"/>
      <c r="W36" s="1"/>
    </row>
    <row r="37" spans="2:23" x14ac:dyDescent="0.25"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T37" s="1"/>
      <c r="U37" s="1"/>
      <c r="V37" s="1"/>
      <c r="W37" s="1"/>
    </row>
    <row r="38" spans="2:23" x14ac:dyDescent="0.25"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T38" s="1"/>
      <c r="U38" s="1"/>
      <c r="V38" s="1"/>
      <c r="W38" s="1"/>
    </row>
    <row r="39" spans="2:23" x14ac:dyDescent="0.25"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T39" s="1"/>
      <c r="U39" s="1"/>
      <c r="V39" s="1"/>
      <c r="W39" s="1"/>
    </row>
    <row r="40" spans="2:23" x14ac:dyDescent="0.25"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T40" s="1"/>
      <c r="U40" s="1"/>
      <c r="V40" s="1"/>
      <c r="W40" s="1"/>
    </row>
    <row r="41" spans="2:23" x14ac:dyDescent="0.25"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T41" s="1"/>
      <c r="U41" s="1"/>
      <c r="V41" s="1"/>
      <c r="W41" s="1"/>
    </row>
    <row r="42" spans="2:23" x14ac:dyDescent="0.25"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T42" s="1"/>
      <c r="U42" s="1"/>
      <c r="V42" s="1"/>
      <c r="W42" s="1"/>
    </row>
    <row r="43" spans="2:23" x14ac:dyDescent="0.25"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T43" s="1"/>
      <c r="U43" s="1"/>
      <c r="V43" s="1"/>
      <c r="W43" s="1"/>
    </row>
    <row r="44" spans="2:23" x14ac:dyDescent="0.25"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T44" s="1"/>
      <c r="U44" s="1"/>
      <c r="V44" s="1"/>
      <c r="W44" s="1"/>
    </row>
    <row r="45" spans="2:23" x14ac:dyDescent="0.25"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T45" s="1"/>
      <c r="U45" s="1"/>
      <c r="V45" s="1"/>
      <c r="W45" s="1"/>
    </row>
    <row r="46" spans="2:23" x14ac:dyDescent="0.25"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T46" s="1"/>
      <c r="U46" s="1"/>
      <c r="V46" s="1"/>
      <c r="W46" s="1"/>
    </row>
    <row r="47" spans="2:23" x14ac:dyDescent="0.25"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T47" s="1"/>
      <c r="U47" s="1"/>
      <c r="V47" s="1"/>
      <c r="W47" s="1"/>
    </row>
    <row r="48" spans="2:23" x14ac:dyDescent="0.25"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T48" s="1"/>
      <c r="U48" s="1"/>
      <c r="V48" s="1"/>
      <c r="W48" s="1"/>
    </row>
    <row r="49" spans="2:23" x14ac:dyDescent="0.25"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T49" s="1"/>
      <c r="U49" s="1"/>
      <c r="V49" s="1"/>
      <c r="W49" s="1"/>
    </row>
    <row r="50" spans="2:23" x14ac:dyDescent="0.25"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T50" s="1"/>
      <c r="U50" s="1"/>
      <c r="V50" s="1"/>
      <c r="W50" s="1"/>
    </row>
    <row r="51" spans="2:23" x14ac:dyDescent="0.25"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T51" s="1"/>
      <c r="U51" s="1"/>
      <c r="V51" s="1"/>
      <c r="W51" s="1"/>
    </row>
    <row r="52" spans="2:23" x14ac:dyDescent="0.25"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T52" s="1"/>
      <c r="U52" s="1"/>
      <c r="V52" s="1"/>
      <c r="W52" s="1"/>
    </row>
    <row r="53" spans="2:23" x14ac:dyDescent="0.25"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T53" s="1"/>
      <c r="U53" s="1"/>
      <c r="V53" s="1"/>
      <c r="W53" s="1"/>
    </row>
    <row r="54" spans="2:23" x14ac:dyDescent="0.25"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T54" s="1"/>
      <c r="U54" s="1"/>
      <c r="V54" s="1"/>
      <c r="W54" s="1"/>
    </row>
    <row r="55" spans="2:23" x14ac:dyDescent="0.25"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</row>
    <row r="56" spans="2:23" x14ac:dyDescent="0.25"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</row>
    <row r="57" spans="2:23" x14ac:dyDescent="0.25"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</row>
    <row r="58" spans="2:23" x14ac:dyDescent="0.25">
      <c r="B58" s="1"/>
      <c r="C58" s="1"/>
    </row>
    <row r="59" spans="2:23" x14ac:dyDescent="0.25">
      <c r="B59" s="1"/>
      <c r="C59" s="1"/>
    </row>
    <row r="60" spans="2:23" x14ac:dyDescent="0.25">
      <c r="B60" s="1"/>
      <c r="C60" s="1"/>
    </row>
    <row r="61" spans="2:23" x14ac:dyDescent="0.25">
      <c r="B61" s="1"/>
      <c r="C61" s="1"/>
    </row>
    <row r="62" spans="2:23" x14ac:dyDescent="0.25">
      <c r="B62" s="1"/>
      <c r="C62" s="1"/>
    </row>
    <row r="63" spans="2:23" x14ac:dyDescent="0.25">
      <c r="B63" s="1"/>
      <c r="C63" s="1"/>
    </row>
    <row r="64" spans="2:23" x14ac:dyDescent="0.25">
      <c r="B64" s="1"/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SCC separado (2)</vt:lpstr>
      <vt:lpstr>SCC combinado</vt:lpstr>
      <vt:lpstr>SCC separado</vt:lpstr>
      <vt:lpstr>Dependencias Tipo (borrador)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Leon Ortiz</dc:creator>
  <cp:lastModifiedBy>Fernando Del Águila</cp:lastModifiedBy>
  <dcterms:created xsi:type="dcterms:W3CDTF">2015-06-05T18:19:34Z</dcterms:created>
  <dcterms:modified xsi:type="dcterms:W3CDTF">2024-08-28T20:14:36Z</dcterms:modified>
</cp:coreProperties>
</file>