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8133E82-C54E-4C0B-98D2-4FAFF15957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0" i="1"/>
  <c r="F31" i="1"/>
  <c r="F26" i="1"/>
  <c r="F29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0" i="1"/>
  <c r="G20" i="1"/>
  <c r="I20" i="1" s="1"/>
  <c r="K20" i="1" s="1"/>
  <c r="F20" i="1"/>
  <c r="H20" i="1" s="1"/>
  <c r="J20" i="1" s="1"/>
  <c r="G12" i="1"/>
  <c r="I12" i="1" s="1"/>
  <c r="K12" i="1" s="1"/>
  <c r="F12" i="1"/>
  <c r="H12" i="1" s="1"/>
  <c r="J12" i="1" s="1"/>
  <c r="C29" i="1"/>
  <c r="F6" i="1"/>
  <c r="H6" i="1" s="1"/>
  <c r="J6" i="1" s="1"/>
  <c r="G7" i="1"/>
  <c r="I7" i="1" s="1"/>
  <c r="K7" i="1" s="1"/>
  <c r="G8" i="1"/>
  <c r="I8" i="1" s="1"/>
  <c r="K8" i="1" s="1"/>
  <c r="G9" i="1"/>
  <c r="I9" i="1" s="1"/>
  <c r="K9" i="1" s="1"/>
  <c r="G10" i="1"/>
  <c r="I10" i="1" s="1"/>
  <c r="K10" i="1" s="1"/>
  <c r="G11" i="1"/>
  <c r="I11" i="1" s="1"/>
  <c r="K11" i="1" s="1"/>
  <c r="G13" i="1"/>
  <c r="I13" i="1" s="1"/>
  <c r="K13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I19" i="1" s="1"/>
  <c r="K19" i="1" s="1"/>
  <c r="G21" i="1"/>
  <c r="I21" i="1" s="1"/>
  <c r="K21" i="1" s="1"/>
  <c r="G22" i="1"/>
  <c r="I22" i="1" s="1"/>
  <c r="K22" i="1" s="1"/>
  <c r="G6" i="1"/>
  <c r="I6" i="1" s="1"/>
  <c r="K6" i="1" s="1"/>
  <c r="F7" i="1"/>
  <c r="H7" i="1" s="1"/>
  <c r="J7" i="1" s="1"/>
  <c r="F8" i="1"/>
  <c r="H8" i="1" s="1"/>
  <c r="J8" i="1" s="1"/>
  <c r="F9" i="1"/>
  <c r="H9" i="1" s="1"/>
  <c r="J9" i="1" s="1"/>
  <c r="F10" i="1"/>
  <c r="H10" i="1" s="1"/>
  <c r="J10" i="1" s="1"/>
  <c r="F11" i="1"/>
  <c r="H11" i="1" s="1"/>
  <c r="J11" i="1" s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H17" i="1" s="1"/>
  <c r="J17" i="1" s="1"/>
  <c r="F18" i="1"/>
  <c r="H18" i="1" s="1"/>
  <c r="J18" i="1" s="1"/>
  <c r="F19" i="1"/>
  <c r="H19" i="1" s="1"/>
  <c r="J19" i="1" s="1"/>
  <c r="F21" i="1"/>
  <c r="H21" i="1" s="1"/>
  <c r="J21" i="1" s="1"/>
  <c r="F22" i="1"/>
  <c r="H22" i="1" s="1"/>
  <c r="J22" i="1" s="1"/>
  <c r="L11" i="1" l="1"/>
  <c r="M11" i="1" s="1"/>
  <c r="N11" i="1" s="1"/>
  <c r="O11" i="1" s="1"/>
  <c r="E40" i="1"/>
  <c r="L9" i="1"/>
  <c r="M9" i="1" s="1"/>
  <c r="N9" i="1" s="1"/>
  <c r="O9" i="1" s="1"/>
  <c r="J43" i="1"/>
  <c r="J42" i="1"/>
  <c r="L8" i="1"/>
  <c r="M8" i="1" s="1"/>
  <c r="N8" i="1" s="1"/>
  <c r="O8" i="1" s="1"/>
  <c r="J56" i="1"/>
  <c r="L10" i="1"/>
  <c r="M10" i="1" s="1"/>
  <c r="N10" i="1" s="1"/>
  <c r="O10" i="1" s="1"/>
  <c r="J41" i="1"/>
  <c r="E51" i="1"/>
  <c r="F51" i="1" s="1"/>
  <c r="G51" i="1" s="1"/>
  <c r="E49" i="1"/>
  <c r="F49" i="1" s="1"/>
  <c r="G49" i="1" s="1"/>
  <c r="E48" i="1"/>
  <c r="F48" i="1" s="1"/>
  <c r="G48" i="1" s="1"/>
  <c r="E50" i="1"/>
  <c r="F50" i="1" s="1"/>
  <c r="G50" i="1" s="1"/>
  <c r="E46" i="1"/>
  <c r="F46" i="1" s="1"/>
  <c r="G46" i="1" s="1"/>
  <c r="E45" i="1"/>
  <c r="F45" i="1" s="1"/>
  <c r="G45" i="1" s="1"/>
  <c r="J55" i="1"/>
  <c r="O55" i="1" s="1"/>
  <c r="F30" i="1"/>
  <c r="F32" i="1" s="1"/>
  <c r="F33" i="1" s="1"/>
  <c r="J54" i="1"/>
  <c r="O54" i="1" s="1"/>
  <c r="L18" i="1"/>
  <c r="M18" i="1" s="1"/>
  <c r="N18" i="1" s="1"/>
  <c r="O18" i="1" s="1"/>
  <c r="J53" i="1"/>
  <c r="O53" i="1" s="1"/>
  <c r="J52" i="1"/>
  <c r="E43" i="1"/>
  <c r="F43" i="1" s="1"/>
  <c r="G43" i="1" s="1"/>
  <c r="J51" i="1"/>
  <c r="L7" i="1"/>
  <c r="M7" i="1" s="1"/>
  <c r="N7" i="1" s="1"/>
  <c r="O7" i="1" s="1"/>
  <c r="E47" i="1"/>
  <c r="F47" i="1" s="1"/>
  <c r="G47" i="1" s="1"/>
  <c r="E44" i="1"/>
  <c r="F44" i="1" s="1"/>
  <c r="G44" i="1" s="1"/>
  <c r="E42" i="1"/>
  <c r="F42" i="1" s="1"/>
  <c r="G42" i="1" s="1"/>
  <c r="J50" i="1"/>
  <c r="L50" i="1" s="1"/>
  <c r="N50" i="1" s="1"/>
  <c r="J46" i="1"/>
  <c r="J45" i="1"/>
  <c r="O45" i="1" s="1"/>
  <c r="L6" i="1"/>
  <c r="M6" i="1" s="1"/>
  <c r="N6" i="1" s="1"/>
  <c r="O6" i="1" s="1"/>
  <c r="J40" i="1"/>
  <c r="O40" i="1" s="1"/>
  <c r="E41" i="1"/>
  <c r="F41" i="1" s="1"/>
  <c r="G41" i="1" s="1"/>
  <c r="J49" i="1"/>
  <c r="O49" i="1" s="1"/>
  <c r="L13" i="1"/>
  <c r="M13" i="1" s="1"/>
  <c r="N13" i="1" s="1"/>
  <c r="O13" i="1" s="1"/>
  <c r="E56" i="1"/>
  <c r="F56" i="1" s="1"/>
  <c r="G56" i="1" s="1"/>
  <c r="J48" i="1"/>
  <c r="O48" i="1" s="1"/>
  <c r="E55" i="1"/>
  <c r="F55" i="1" s="1"/>
  <c r="G55" i="1" s="1"/>
  <c r="E53" i="1"/>
  <c r="F53" i="1" s="1"/>
  <c r="G53" i="1" s="1"/>
  <c r="J47" i="1"/>
  <c r="L47" i="1" s="1"/>
  <c r="N47" i="1" s="1"/>
  <c r="E54" i="1"/>
  <c r="F54" i="1" s="1"/>
  <c r="G54" i="1" s="1"/>
  <c r="E52" i="1"/>
  <c r="F52" i="1" s="1"/>
  <c r="G52" i="1" s="1"/>
  <c r="J44" i="1"/>
  <c r="O44" i="1" s="1"/>
  <c r="O41" i="1"/>
  <c r="K41" i="1"/>
  <c r="M41" i="1" s="1"/>
  <c r="L41" i="1"/>
  <c r="N41" i="1" s="1"/>
  <c r="O51" i="1"/>
  <c r="O56" i="1"/>
  <c r="L14" i="1"/>
  <c r="M14" i="1" s="1"/>
  <c r="N14" i="1" s="1"/>
  <c r="O14" i="1" s="1"/>
  <c r="L16" i="1"/>
  <c r="M16" i="1" s="1"/>
  <c r="N16" i="1" s="1"/>
  <c r="O16" i="1" s="1"/>
  <c r="L15" i="1"/>
  <c r="M15" i="1" s="1"/>
  <c r="N15" i="1" s="1"/>
  <c r="O15" i="1" s="1"/>
  <c r="L17" i="1"/>
  <c r="M17" i="1" s="1"/>
  <c r="N17" i="1" s="1"/>
  <c r="O17" i="1" s="1"/>
  <c r="O52" i="1"/>
  <c r="L22" i="1"/>
  <c r="M22" i="1" s="1"/>
  <c r="N22" i="1" s="1"/>
  <c r="O22" i="1" s="1"/>
  <c r="O43" i="1"/>
  <c r="K43" i="1"/>
  <c r="M43" i="1" s="1"/>
  <c r="L43" i="1"/>
  <c r="N43" i="1" s="1"/>
  <c r="L21" i="1"/>
  <c r="M21" i="1" s="1"/>
  <c r="N21" i="1" s="1"/>
  <c r="O21" i="1" s="1"/>
  <c r="O42" i="1"/>
  <c r="L42" i="1"/>
  <c r="N42" i="1" s="1"/>
  <c r="K42" i="1"/>
  <c r="M42" i="1" s="1"/>
  <c r="L12" i="1"/>
  <c r="M12" i="1" s="1"/>
  <c r="N12" i="1" s="1"/>
  <c r="O12" i="1" s="1"/>
  <c r="L19" i="1"/>
  <c r="M19" i="1" s="1"/>
  <c r="N19" i="1" s="1"/>
  <c r="O19" i="1" s="1"/>
  <c r="F40" i="1"/>
  <c r="G40" i="1" s="1"/>
  <c r="L20" i="1"/>
  <c r="M20" i="1" s="1"/>
  <c r="N20" i="1" s="1"/>
  <c r="O20" i="1" s="1"/>
  <c r="L46" i="1" l="1"/>
  <c r="N46" i="1" s="1"/>
  <c r="O47" i="1"/>
  <c r="K52" i="1"/>
  <c r="M52" i="1" s="1"/>
  <c r="L52" i="1"/>
  <c r="N52" i="1" s="1"/>
  <c r="G61" i="1"/>
  <c r="K47" i="1"/>
  <c r="M47" i="1" s="1"/>
  <c r="K44" i="1"/>
  <c r="M44" i="1" s="1"/>
  <c r="L44" i="1"/>
  <c r="N44" i="1" s="1"/>
  <c r="L55" i="1"/>
  <c r="N55" i="1" s="1"/>
  <c r="K55" i="1"/>
  <c r="M55" i="1" s="1"/>
  <c r="L40" i="1"/>
  <c r="N40" i="1" s="1"/>
  <c r="L48" i="1"/>
  <c r="N48" i="1" s="1"/>
  <c r="K45" i="1"/>
  <c r="M45" i="1" s="1"/>
  <c r="L45" i="1"/>
  <c r="N45" i="1" s="1"/>
  <c r="K56" i="1"/>
  <c r="M56" i="1" s="1"/>
  <c r="L56" i="1"/>
  <c r="N56" i="1" s="1"/>
  <c r="K40" i="1"/>
  <c r="M40" i="1" s="1"/>
  <c r="O50" i="1"/>
  <c r="O46" i="1"/>
  <c r="K46" i="1"/>
  <c r="M46" i="1" s="1"/>
  <c r="K49" i="1"/>
  <c r="M49" i="1" s="1"/>
  <c r="G60" i="1"/>
  <c r="L49" i="1"/>
  <c r="N49" i="1" s="1"/>
  <c r="L51" i="1"/>
  <c r="N51" i="1" s="1"/>
  <c r="K54" i="1"/>
  <c r="M54" i="1" s="1"/>
  <c r="K53" i="1"/>
  <c r="M53" i="1" s="1"/>
  <c r="L54" i="1"/>
  <c r="N54" i="1" s="1"/>
  <c r="K51" i="1"/>
  <c r="M51" i="1" s="1"/>
  <c r="L53" i="1"/>
  <c r="N53" i="1" s="1"/>
  <c r="K50" i="1"/>
  <c r="M50" i="1" s="1"/>
  <c r="K48" i="1"/>
  <c r="M48" i="1" s="1"/>
  <c r="N57" i="1" l="1"/>
  <c r="K57" i="1"/>
  <c r="L57" i="1"/>
  <c r="M57" i="1"/>
  <c r="J64" i="1" s="1"/>
  <c r="F35" i="1" s="1"/>
  <c r="K64" i="1" l="1"/>
</calcChain>
</file>

<file path=xl/sharedStrings.xml><?xml version="1.0" encoding="utf-8"?>
<sst xmlns="http://schemas.openxmlformats.org/spreadsheetml/2006/main" count="113" uniqueCount="102">
  <si>
    <t>Участок</t>
  </si>
  <si>
    <t>Диаметр вала, мм</t>
  </si>
  <si>
    <t>Диаметр втулки, мм</t>
  </si>
  <si>
    <t>Масса вала, кг</t>
  </si>
  <si>
    <t>Масса втулки, кг</t>
  </si>
  <si>
    <t>Общая масса, кг</t>
  </si>
  <si>
    <t>Сила, Н</t>
  </si>
  <si>
    <t>Сумма</t>
  </si>
  <si>
    <t>Площадь сечения вала, м^2*10^6</t>
  </si>
  <si>
    <t>Площадь сечения втулки, мм^2*10^6</t>
  </si>
  <si>
    <t>Объем вала, мм^3*10^9</t>
  </si>
  <si>
    <t>Объем втулки, мм^3*10^9</t>
  </si>
  <si>
    <t>Сила в масштабе, м</t>
  </si>
  <si>
    <t>Сила в масштабе, мм</t>
  </si>
  <si>
    <t>Площадь на чертеже, мм*мм</t>
  </si>
  <si>
    <t>Приведенная площадь, Н*м*м</t>
  </si>
  <si>
    <t>Наибольший диаметра, мм</t>
  </si>
  <si>
    <t>Полюсное расстояние H1, м</t>
  </si>
  <si>
    <t>Площадь на чертеже, м*м * 10^4</t>
  </si>
  <si>
    <t>Масштаб экв. Сил, Н*м*м/м</t>
  </si>
  <si>
    <t>Приведенный момент инерции, м^4</t>
  </si>
  <si>
    <t>Второе полюсное расстояние, м</t>
  </si>
  <si>
    <t>Экв. Сила, м_черт</t>
  </si>
  <si>
    <t>Экв. Сила, мм_черт</t>
  </si>
  <si>
    <t>Max</t>
  </si>
  <si>
    <t>Коэффициент уменьшения, Kf</t>
  </si>
  <si>
    <t>Второе полюсное расстояние, м_черт</t>
  </si>
  <si>
    <t>Второе полюсное расстояние, мм_черт</t>
  </si>
  <si>
    <t>Прогибы, мм_черт</t>
  </si>
  <si>
    <t>Прогибы, м_черт</t>
  </si>
  <si>
    <t>Истинные прогибы, м</t>
  </si>
  <si>
    <t>m_i*y_i, кг*м</t>
  </si>
  <si>
    <t>m_i*y_i^2, кг*м*м</t>
  </si>
  <si>
    <t>G_i*y_i, Н*м</t>
  </si>
  <si>
    <t>G_i*y_i^2, Н*м*м</t>
  </si>
  <si>
    <t>1 метод</t>
  </si>
  <si>
    <t>2 метод</t>
  </si>
  <si>
    <t>Рабочая частота, мин^-1</t>
  </si>
  <si>
    <t>Прогибы, мкм</t>
  </si>
  <si>
    <t>Номер участка</t>
  </si>
  <si>
    <t>Длина участка, мм</t>
  </si>
  <si>
    <t>Опора</t>
  </si>
  <si>
    <t>Левая</t>
  </si>
  <si>
    <t>Правая</t>
  </si>
  <si>
    <t>ПИ()*D6*D6/4</t>
  </si>
  <si>
    <t>ПИ()*(E6*E6-D6*D6)/4</t>
  </si>
  <si>
    <t>F6*C6</t>
  </si>
  <si>
    <t>G6*C6</t>
  </si>
  <si>
    <t>-</t>
  </si>
  <si>
    <t>Формулы</t>
  </si>
  <si>
    <t>J6+K6</t>
  </si>
  <si>
    <t>N6*1000</t>
  </si>
  <si>
    <r>
      <t>M6/</t>
    </r>
    <r>
      <rPr>
        <sz val="14"/>
        <color rgb="FFFF0000"/>
        <rFont val="Times New Roman"/>
        <family val="1"/>
        <charset val="204"/>
      </rPr>
      <t>$C$35</t>
    </r>
  </si>
  <si>
    <r>
      <t>L6*</t>
    </r>
    <r>
      <rPr>
        <sz val="14"/>
        <color rgb="FFFFC000"/>
        <rFont val="Times New Roman"/>
        <family val="1"/>
        <charset val="204"/>
      </rPr>
      <t>$C$31</t>
    </r>
  </si>
  <si>
    <t>Плотность материала вала, кг/м^3</t>
  </si>
  <si>
    <t>Плотность материала втулки, кг/м^3</t>
  </si>
  <si>
    <t>Модуль упругости, Па</t>
  </si>
  <si>
    <t>Ускорение свободного падения, м/с^2</t>
  </si>
  <si>
    <t>Масштаб чертежа, м_натуры/м_чертежа</t>
  </si>
  <si>
    <t>Масштаб силы, Н/м_чертежа</t>
  </si>
  <si>
    <t>Постоянные или задаваемые единожды величины</t>
  </si>
  <si>
    <r>
      <t>H6*</t>
    </r>
    <r>
      <rPr>
        <sz val="14"/>
        <color rgb="FF00B050"/>
        <rFont val="Times New Roman"/>
        <family val="1"/>
        <charset val="204"/>
      </rPr>
      <t>$C$26</t>
    </r>
    <r>
      <rPr>
        <sz val="14"/>
        <color theme="1"/>
        <rFont val="Times New Roman"/>
        <family val="1"/>
        <charset val="204"/>
      </rPr>
      <t>/10^9</t>
    </r>
  </si>
  <si>
    <r>
      <t>(I6*</t>
    </r>
    <r>
      <rPr>
        <sz val="14"/>
        <color rgb="FF7030A0"/>
        <rFont val="Times New Roman"/>
        <family val="1"/>
        <charset val="204"/>
      </rPr>
      <t>$C$27</t>
    </r>
    <r>
      <rPr>
        <sz val="14"/>
        <color theme="1"/>
        <rFont val="Times New Roman"/>
        <family val="1"/>
        <charset val="204"/>
      </rPr>
      <t>)/10^9</t>
    </r>
  </si>
  <si>
    <t>МАКС(E6:E22)</t>
  </si>
  <si>
    <t>Формула</t>
  </si>
  <si>
    <t>Задается</t>
  </si>
  <si>
    <r>
      <t>(ПИ()/64)*(</t>
    </r>
    <r>
      <rPr>
        <sz val="14"/>
        <color rgb="FF00B050"/>
        <rFont val="Times New Roman"/>
        <family val="1"/>
        <charset val="204"/>
      </rPr>
      <t>F26</t>
    </r>
    <r>
      <rPr>
        <sz val="14"/>
        <color theme="1"/>
        <rFont val="Times New Roman"/>
        <family val="1"/>
        <charset val="204"/>
      </rPr>
      <t>/1000)^4</t>
    </r>
  </si>
  <si>
    <t>C29*F29/F28</t>
  </si>
  <si>
    <t>F30/F31</t>
  </si>
  <si>
    <t>F32*1000</t>
  </si>
  <si>
    <t>J61/F34</t>
  </si>
  <si>
    <t>Запас по
частоте</t>
  </si>
  <si>
    <t>C39/10^2</t>
  </si>
  <si>
    <t>D40/10^4*($F$26/E6)^4*$C$33^2*$C$35*$F$27</t>
  </si>
  <si>
    <t>E40/$F$28</t>
  </si>
  <si>
    <t>F40*1000</t>
  </si>
  <si>
    <t>H40/1000</t>
  </si>
  <si>
    <t>I40*$C$33/$F$31</t>
  </si>
  <si>
    <t>J40*L6</t>
  </si>
  <si>
    <t>J40^2*L6</t>
  </si>
  <si>
    <t>K40*$C$31</t>
  </si>
  <si>
    <t>L40*$C$31</t>
  </si>
  <si>
    <t>J40*10^6</t>
  </si>
  <si>
    <t>МАКС(G40:G56)</t>
  </si>
  <si>
    <t>СУММ(G40:G56)</t>
  </si>
  <si>
    <t>(30/ПИ())*(C31*M57/N57)^(1/2)</t>
  </si>
  <si>
    <t>29,9*(K57/L57)^(1/2)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</si>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</sst>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FFC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11" fontId="1" fillId="3" borderId="7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1" fontId="1" fillId="3" borderId="8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1" fontId="1" fillId="3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5"/>
  <sheetViews>
    <sheetView tabSelected="1" zoomScale="85" zoomScaleNormal="85" workbookViewId="0">
      <selection activeCell="R15" sqref="R15"/>
    </sheetView>
  </sheetViews>
  <sheetFormatPr defaultRowHeight="18" x14ac:dyDescent="0.35"/>
  <cols>
    <col min="1" max="1" width="8.7265625" style="1"/>
    <col min="2" max="2" width="17.26953125" style="1" customWidth="1"/>
    <col min="3" max="3" width="15.6328125" style="1" customWidth="1"/>
    <col min="4" max="4" width="14.90625" style="1" customWidth="1"/>
    <col min="5" max="5" width="20.7265625" style="1" customWidth="1"/>
    <col min="6" max="6" width="19.26953125" style="1" customWidth="1"/>
    <col min="7" max="7" width="27.1796875" style="1" customWidth="1"/>
    <col min="8" max="8" width="20.90625" style="1" customWidth="1"/>
    <col min="9" max="9" width="13.6328125" style="1" customWidth="1"/>
    <col min="10" max="10" width="19.7265625" style="1" customWidth="1"/>
    <col min="11" max="11" width="20.26953125" style="1" customWidth="1"/>
    <col min="12" max="12" width="15" style="1" customWidth="1"/>
    <col min="13" max="13" width="16.54296875" style="1" customWidth="1"/>
    <col min="14" max="14" width="13.08984375" style="1" customWidth="1"/>
    <col min="15" max="15" width="13.7265625" style="1" customWidth="1"/>
    <col min="16" max="16" width="15.7265625" style="1" customWidth="1"/>
    <col min="17" max="18" width="12" style="1" bestFit="1" customWidth="1"/>
    <col min="19" max="19" width="11.453125" style="1" customWidth="1"/>
    <col min="20" max="20" width="8.7265625" style="1"/>
    <col min="21" max="21" width="11" style="1" bestFit="1" customWidth="1"/>
    <col min="22" max="22" width="13.7265625" style="1" customWidth="1"/>
    <col min="23" max="23" width="11.81640625" style="1" bestFit="1" customWidth="1"/>
    <col min="24" max="16384" width="8.7265625" style="1"/>
  </cols>
  <sheetData>
    <row r="1" spans="1:16" ht="18.5" thickBot="1" x14ac:dyDescent="0.4">
      <c r="A1" s="37" t="s">
        <v>87</v>
      </c>
      <c r="B1" s="38" t="s">
        <v>88</v>
      </c>
      <c r="C1" s="38" t="s">
        <v>89</v>
      </c>
      <c r="D1" s="38" t="s">
        <v>90</v>
      </c>
      <c r="E1" s="38" t="s">
        <v>91</v>
      </c>
      <c r="F1" s="38" t="s">
        <v>92</v>
      </c>
      <c r="G1" s="38" t="s">
        <v>93</v>
      </c>
      <c r="H1" s="38" t="s">
        <v>94</v>
      </c>
      <c r="I1" s="38" t="s">
        <v>95</v>
      </c>
      <c r="J1" s="38" t="s">
        <v>96</v>
      </c>
      <c r="K1" s="38" t="s">
        <v>97</v>
      </c>
      <c r="L1" s="38" t="s">
        <v>98</v>
      </c>
      <c r="M1" s="38" t="s">
        <v>99</v>
      </c>
      <c r="N1" s="38" t="s">
        <v>100</v>
      </c>
      <c r="O1" s="38" t="s">
        <v>101</v>
      </c>
      <c r="P1" s="28">
        <v>1</v>
      </c>
    </row>
    <row r="2" spans="1:16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26">
        <v>2</v>
      </c>
    </row>
    <row r="3" spans="1:16" ht="18.5" thickBot="1" x14ac:dyDescent="0.4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26">
        <v>3</v>
      </c>
    </row>
    <row r="4" spans="1:16" ht="18.5" thickBot="1" x14ac:dyDescent="0.4">
      <c r="A4" s="63" t="s">
        <v>49</v>
      </c>
      <c r="B4" s="75"/>
      <c r="C4" s="9" t="s">
        <v>48</v>
      </c>
      <c r="D4" s="9" t="s">
        <v>48</v>
      </c>
      <c r="E4" s="9" t="s">
        <v>48</v>
      </c>
      <c r="F4" s="8" t="s">
        <v>44</v>
      </c>
      <c r="G4" s="9" t="s">
        <v>45</v>
      </c>
      <c r="H4" s="9" t="s">
        <v>46</v>
      </c>
      <c r="I4" s="9" t="s">
        <v>47</v>
      </c>
      <c r="J4" s="9" t="s">
        <v>61</v>
      </c>
      <c r="K4" s="9" t="s">
        <v>62</v>
      </c>
      <c r="L4" s="17" t="s">
        <v>50</v>
      </c>
      <c r="M4" s="9" t="s">
        <v>53</v>
      </c>
      <c r="N4" s="9" t="s">
        <v>52</v>
      </c>
      <c r="O4" s="8" t="s">
        <v>51</v>
      </c>
      <c r="P4" s="26">
        <v>4</v>
      </c>
    </row>
    <row r="5" spans="1:16" ht="70.5" thickBot="1" x14ac:dyDescent="0.4">
      <c r="A5" s="28" t="s">
        <v>41</v>
      </c>
      <c r="B5" s="29" t="s">
        <v>39</v>
      </c>
      <c r="C5" s="30" t="s">
        <v>40</v>
      </c>
      <c r="D5" s="29" t="s">
        <v>1</v>
      </c>
      <c r="E5" s="29" t="s">
        <v>2</v>
      </c>
      <c r="F5" s="31" t="s">
        <v>8</v>
      </c>
      <c r="G5" s="29" t="s">
        <v>9</v>
      </c>
      <c r="H5" s="29" t="s">
        <v>10</v>
      </c>
      <c r="I5" s="29" t="s">
        <v>11</v>
      </c>
      <c r="J5" s="29" t="s">
        <v>3</v>
      </c>
      <c r="K5" s="29" t="s">
        <v>4</v>
      </c>
      <c r="L5" s="29" t="s">
        <v>5</v>
      </c>
      <c r="M5" s="29" t="s">
        <v>6</v>
      </c>
      <c r="N5" s="29" t="s">
        <v>12</v>
      </c>
      <c r="O5" s="61" t="s">
        <v>13</v>
      </c>
      <c r="P5" s="26">
        <v>5</v>
      </c>
    </row>
    <row r="6" spans="1:16" x14ac:dyDescent="0.35">
      <c r="A6" s="11"/>
      <c r="B6" s="25">
        <v>1</v>
      </c>
      <c r="C6" s="11">
        <v>51.2</v>
      </c>
      <c r="D6" s="11">
        <v>57.5</v>
      </c>
      <c r="E6" s="11">
        <v>57.5</v>
      </c>
      <c r="F6" s="19">
        <f>PI()*D6*D6/4</f>
        <v>2596.7226777328137</v>
      </c>
      <c r="G6" s="20">
        <f>PI()*(E6*E6-D6*D6)/4</f>
        <v>0</v>
      </c>
      <c r="H6" s="20">
        <f>F6*C6</f>
        <v>132952.20109992006</v>
      </c>
      <c r="I6" s="20">
        <f>G6*C6</f>
        <v>0</v>
      </c>
      <c r="J6" s="20">
        <f>H6*$C$26/10^9</f>
        <v>1.0370271685793764</v>
      </c>
      <c r="K6" s="20">
        <f>(I6*$C$27)/10^9</f>
        <v>0</v>
      </c>
      <c r="L6" s="20">
        <f>J6+K6</f>
        <v>1.0370271685793764</v>
      </c>
      <c r="M6" s="20">
        <f>L6*$C$31</f>
        <v>10.173236523763682</v>
      </c>
      <c r="N6" s="21">
        <f>M6/$C$35</f>
        <v>5.0866182618818411E-3</v>
      </c>
      <c r="O6" s="71">
        <f>N6*1000</f>
        <v>5.0866182618818412</v>
      </c>
      <c r="P6" s="26">
        <v>6</v>
      </c>
    </row>
    <row r="7" spans="1:16" x14ac:dyDescent="0.35">
      <c r="A7" s="10"/>
      <c r="B7" s="26">
        <v>2</v>
      </c>
      <c r="C7" s="13">
        <v>17.3</v>
      </c>
      <c r="D7" s="10">
        <v>65.3</v>
      </c>
      <c r="E7" s="10">
        <v>65.3</v>
      </c>
      <c r="F7" s="16">
        <f t="shared" ref="F7:F22" si="0">PI()*D7*D7/4</f>
        <v>3349.008454561425</v>
      </c>
      <c r="G7" s="14">
        <f t="shared" ref="G7:G22" si="1">PI()*(E7*E7-D7*D7)/4</f>
        <v>0</v>
      </c>
      <c r="H7" s="14">
        <f t="shared" ref="H7:H22" si="2">F7*C7</f>
        <v>57937.846263912652</v>
      </c>
      <c r="I7" s="14">
        <f t="shared" ref="I7:I22" si="3">G7*C7</f>
        <v>0</v>
      </c>
      <c r="J7" s="14">
        <f>H7*$C$26/10^9</f>
        <v>0.45191520085851866</v>
      </c>
      <c r="K7" s="14">
        <f>(I7*$C$27)/10^9</f>
        <v>0</v>
      </c>
      <c r="L7" s="14">
        <f t="shared" ref="L7:L22" si="4">J7+K7</f>
        <v>0.45191520085851866</v>
      </c>
      <c r="M7" s="14">
        <f>L7*$C$31</f>
        <v>4.433288120422068</v>
      </c>
      <c r="N7" s="18">
        <f>M7/$C$35</f>
        <v>2.2166440602110339E-3</v>
      </c>
      <c r="O7" s="49">
        <f t="shared" ref="O7:O22" si="5">N7*1000</f>
        <v>2.216644060211034</v>
      </c>
      <c r="P7" s="26">
        <v>7</v>
      </c>
    </row>
    <row r="8" spans="1:16" x14ac:dyDescent="0.35">
      <c r="A8" s="11"/>
      <c r="B8" s="25">
        <v>3</v>
      </c>
      <c r="C8" s="11">
        <v>82.8</v>
      </c>
      <c r="D8" s="11">
        <v>36</v>
      </c>
      <c r="E8" s="11">
        <v>200</v>
      </c>
      <c r="F8" s="19">
        <f t="shared" si="0"/>
        <v>1017.8760197630929</v>
      </c>
      <c r="G8" s="20">
        <f t="shared" si="1"/>
        <v>30398.050516134837</v>
      </c>
      <c r="H8" s="20">
        <f t="shared" si="2"/>
        <v>84280.134436384091</v>
      </c>
      <c r="I8" s="20">
        <f t="shared" si="3"/>
        <v>2516958.5827359646</v>
      </c>
      <c r="J8" s="20">
        <f>H8*$C$26/10^9</f>
        <v>0.65738504860379587</v>
      </c>
      <c r="K8" s="20">
        <f>(I8*$C$27)/10^9</f>
        <v>6.7957881733871037</v>
      </c>
      <c r="L8" s="20">
        <f t="shared" si="4"/>
        <v>7.4531732219908999</v>
      </c>
      <c r="M8" s="20">
        <f>L8*$C$31</f>
        <v>73.115629307730728</v>
      </c>
      <c r="N8" s="21">
        <f>M8/$C$35</f>
        <v>3.6557814653865366E-2</v>
      </c>
      <c r="O8" s="71">
        <f t="shared" si="5"/>
        <v>36.557814653865364</v>
      </c>
      <c r="P8" s="26">
        <v>8</v>
      </c>
    </row>
    <row r="9" spans="1:16" x14ac:dyDescent="0.35">
      <c r="A9" s="10"/>
      <c r="B9" s="26">
        <v>4</v>
      </c>
      <c r="C9" s="13">
        <v>17.5</v>
      </c>
      <c r="D9" s="10">
        <v>94</v>
      </c>
      <c r="E9" s="10">
        <v>94</v>
      </c>
      <c r="F9" s="16">
        <f t="shared" si="0"/>
        <v>6939.7781717798534</v>
      </c>
      <c r="G9" s="14">
        <f t="shared" si="1"/>
        <v>0</v>
      </c>
      <c r="H9" s="14">
        <f t="shared" si="2"/>
        <v>121446.11800614743</v>
      </c>
      <c r="I9" s="14">
        <f t="shared" si="3"/>
        <v>0</v>
      </c>
      <c r="J9" s="14">
        <f>H9*$C$26/10^9</f>
        <v>0.94727972044795006</v>
      </c>
      <c r="K9" s="14">
        <f>(I9*$C$27)/10^9</f>
        <v>0</v>
      </c>
      <c r="L9" s="14">
        <f t="shared" si="4"/>
        <v>0.94727972044795006</v>
      </c>
      <c r="M9" s="14">
        <f>L9*$C$31</f>
        <v>9.2928140575943914</v>
      </c>
      <c r="N9" s="18">
        <f>M9/$C$35</f>
        <v>4.6464070287971955E-3</v>
      </c>
      <c r="O9" s="49">
        <f t="shared" si="5"/>
        <v>4.6464070287971957</v>
      </c>
      <c r="P9" s="26">
        <v>9</v>
      </c>
    </row>
    <row r="10" spans="1:16" x14ac:dyDescent="0.35">
      <c r="A10" s="11"/>
      <c r="B10" s="25">
        <v>5</v>
      </c>
      <c r="C10" s="11">
        <v>32.200000000000003</v>
      </c>
      <c r="D10" s="11">
        <v>110</v>
      </c>
      <c r="E10" s="11">
        <v>110</v>
      </c>
      <c r="F10" s="19">
        <f t="shared" si="0"/>
        <v>9503.317777109125</v>
      </c>
      <c r="G10" s="20">
        <f t="shared" si="1"/>
        <v>0</v>
      </c>
      <c r="H10" s="20">
        <f t="shared" si="2"/>
        <v>306006.83242291387</v>
      </c>
      <c r="I10" s="20">
        <f t="shared" si="3"/>
        <v>0</v>
      </c>
      <c r="J10" s="20">
        <f>H10*$C$26/10^9</f>
        <v>2.3868532928987283</v>
      </c>
      <c r="K10" s="20">
        <f>(I10*$C$27)/10^9</f>
        <v>0</v>
      </c>
      <c r="L10" s="20">
        <f t="shared" si="4"/>
        <v>2.3868532928987283</v>
      </c>
      <c r="M10" s="20">
        <f>L10*$C$31</f>
        <v>23.415030803336524</v>
      </c>
      <c r="N10" s="21">
        <f>M10/$C$35</f>
        <v>1.1707515401668263E-2</v>
      </c>
      <c r="O10" s="71">
        <f t="shared" si="5"/>
        <v>11.707515401668262</v>
      </c>
      <c r="P10" s="26">
        <v>10</v>
      </c>
    </row>
    <row r="11" spans="1:16" x14ac:dyDescent="0.35">
      <c r="A11" s="10"/>
      <c r="B11" s="26">
        <v>6</v>
      </c>
      <c r="C11" s="13">
        <v>48.6</v>
      </c>
      <c r="D11" s="10">
        <v>110</v>
      </c>
      <c r="E11" s="10">
        <v>110</v>
      </c>
      <c r="F11" s="16">
        <f t="shared" si="0"/>
        <v>9503.317777109125</v>
      </c>
      <c r="G11" s="14">
        <f t="shared" si="1"/>
        <v>0</v>
      </c>
      <c r="H11" s="14">
        <f t="shared" si="2"/>
        <v>461861.24396750348</v>
      </c>
      <c r="I11" s="14">
        <f t="shared" si="3"/>
        <v>0</v>
      </c>
      <c r="J11" s="14">
        <f>H11*$C$26/10^9</f>
        <v>3.602517702946527</v>
      </c>
      <c r="K11" s="14">
        <f>(I11*$C$27)/10^9</f>
        <v>0</v>
      </c>
      <c r="L11" s="14">
        <f t="shared" si="4"/>
        <v>3.602517702946527</v>
      </c>
      <c r="M11" s="14">
        <f>L11*$C$31</f>
        <v>35.340698665905428</v>
      </c>
      <c r="N11" s="18">
        <f>M11/$C$35</f>
        <v>1.7670349332952716E-2</v>
      </c>
      <c r="O11" s="49">
        <f t="shared" si="5"/>
        <v>17.670349332952714</v>
      </c>
      <c r="P11" s="26">
        <v>11</v>
      </c>
    </row>
    <row r="12" spans="1:16" x14ac:dyDescent="0.35">
      <c r="A12" s="11" t="s">
        <v>42</v>
      </c>
      <c r="B12" s="25">
        <v>7</v>
      </c>
      <c r="C12" s="11">
        <v>24.5</v>
      </c>
      <c r="D12" s="11">
        <v>110</v>
      </c>
      <c r="E12" s="11">
        <v>110</v>
      </c>
      <c r="F12" s="19">
        <f t="shared" si="0"/>
        <v>9503.317777109125</v>
      </c>
      <c r="G12" s="20">
        <f t="shared" si="1"/>
        <v>0</v>
      </c>
      <c r="H12" s="20">
        <f t="shared" si="2"/>
        <v>232831.28553917355</v>
      </c>
      <c r="I12" s="20">
        <f t="shared" si="3"/>
        <v>0</v>
      </c>
      <c r="J12" s="20">
        <f>H12*$C$26/10^9</f>
        <v>1.8160840272055538</v>
      </c>
      <c r="K12" s="20">
        <f>(I12*$C$27)/10^9</f>
        <v>0</v>
      </c>
      <c r="L12" s="20">
        <f t="shared" si="4"/>
        <v>1.8160840272055538</v>
      </c>
      <c r="M12" s="20">
        <f>L12*$C$31</f>
        <v>17.815784306886485</v>
      </c>
      <c r="N12" s="21">
        <f>M12/$C$35</f>
        <v>8.9078921534432431E-3</v>
      </c>
      <c r="O12" s="71">
        <f t="shared" si="5"/>
        <v>8.9078921534432425</v>
      </c>
      <c r="P12" s="26">
        <v>12</v>
      </c>
    </row>
    <row r="13" spans="1:16" x14ac:dyDescent="0.35">
      <c r="A13" s="10" t="s">
        <v>42</v>
      </c>
      <c r="B13" s="26">
        <v>8</v>
      </c>
      <c r="C13" s="13">
        <v>24.5</v>
      </c>
      <c r="D13" s="10">
        <v>110</v>
      </c>
      <c r="E13" s="10">
        <v>110</v>
      </c>
      <c r="F13" s="16">
        <f t="shared" si="0"/>
        <v>9503.317777109125</v>
      </c>
      <c r="G13" s="14">
        <f t="shared" si="1"/>
        <v>0</v>
      </c>
      <c r="H13" s="14">
        <f t="shared" si="2"/>
        <v>232831.28553917355</v>
      </c>
      <c r="I13" s="14">
        <f t="shared" si="3"/>
        <v>0</v>
      </c>
      <c r="J13" s="14">
        <f>H13*$C$26/10^9</f>
        <v>1.8160840272055538</v>
      </c>
      <c r="K13" s="14">
        <f>(I13*$C$27)/10^9</f>
        <v>0</v>
      </c>
      <c r="L13" s="14">
        <f t="shared" si="4"/>
        <v>1.8160840272055538</v>
      </c>
      <c r="M13" s="14">
        <f>L13*$C$31</f>
        <v>17.815784306886485</v>
      </c>
      <c r="N13" s="18">
        <f>M13/$C$35</f>
        <v>8.9078921534432431E-3</v>
      </c>
      <c r="O13" s="49">
        <f t="shared" si="5"/>
        <v>8.9078921534432425</v>
      </c>
      <c r="P13" s="26">
        <v>13</v>
      </c>
    </row>
    <row r="14" spans="1:16" x14ac:dyDescent="0.35">
      <c r="A14" s="11"/>
      <c r="B14" s="25">
        <v>9</v>
      </c>
      <c r="C14" s="11">
        <v>41</v>
      </c>
      <c r="D14" s="11">
        <v>110</v>
      </c>
      <c r="E14" s="11">
        <v>110</v>
      </c>
      <c r="F14" s="19">
        <f t="shared" si="0"/>
        <v>9503.317777109125</v>
      </c>
      <c r="G14" s="20">
        <f t="shared" si="1"/>
        <v>0</v>
      </c>
      <c r="H14" s="20">
        <f t="shared" si="2"/>
        <v>389636.02886147413</v>
      </c>
      <c r="I14" s="20">
        <f t="shared" si="3"/>
        <v>0</v>
      </c>
      <c r="J14" s="20">
        <f>H14*$C$26/10^9</f>
        <v>3.039161025119498</v>
      </c>
      <c r="K14" s="20">
        <f>(I14*$C$27)/10^9</f>
        <v>0</v>
      </c>
      <c r="L14" s="20">
        <f t="shared" si="4"/>
        <v>3.039161025119498</v>
      </c>
      <c r="M14" s="20">
        <f>L14*$C$31</f>
        <v>29.814169656422276</v>
      </c>
      <c r="N14" s="21">
        <f>M14/$C$35</f>
        <v>1.4907084828211138E-2</v>
      </c>
      <c r="O14" s="71">
        <f t="shared" si="5"/>
        <v>14.907084828211138</v>
      </c>
      <c r="P14" s="26">
        <v>14</v>
      </c>
    </row>
    <row r="15" spans="1:16" x14ac:dyDescent="0.35">
      <c r="A15" s="10"/>
      <c r="B15" s="26">
        <v>10</v>
      </c>
      <c r="C15" s="13">
        <v>12</v>
      </c>
      <c r="D15" s="10">
        <v>200</v>
      </c>
      <c r="E15" s="10">
        <v>200</v>
      </c>
      <c r="F15" s="16">
        <f t="shared" si="0"/>
        <v>31415.926535897932</v>
      </c>
      <c r="G15" s="14">
        <f t="shared" si="1"/>
        <v>0</v>
      </c>
      <c r="H15" s="14">
        <f t="shared" si="2"/>
        <v>376991.11843077518</v>
      </c>
      <c r="I15" s="14">
        <f t="shared" si="3"/>
        <v>0</v>
      </c>
      <c r="J15" s="14">
        <f>H15*$C$26/10^9</f>
        <v>2.9405307237600464</v>
      </c>
      <c r="K15" s="14">
        <f>(I15*$C$27)/10^9</f>
        <v>0</v>
      </c>
      <c r="L15" s="14">
        <f t="shared" si="4"/>
        <v>2.9405307237600464</v>
      </c>
      <c r="M15" s="14">
        <f>L15*$C$31</f>
        <v>28.846606400086056</v>
      </c>
      <c r="N15" s="18">
        <f>M15/$C$35</f>
        <v>1.4423303200043027E-2</v>
      </c>
      <c r="O15" s="49">
        <f t="shared" si="5"/>
        <v>14.423303200043028</v>
      </c>
      <c r="P15" s="26">
        <v>15</v>
      </c>
    </row>
    <row r="16" spans="1:16" x14ac:dyDescent="0.35">
      <c r="A16" s="11"/>
      <c r="B16" s="25">
        <v>11</v>
      </c>
      <c r="C16" s="11">
        <v>56.4</v>
      </c>
      <c r="D16" s="11">
        <v>110</v>
      </c>
      <c r="E16" s="11">
        <v>110</v>
      </c>
      <c r="F16" s="19">
        <f t="shared" si="0"/>
        <v>9503.317777109125</v>
      </c>
      <c r="G16" s="20">
        <f t="shared" si="1"/>
        <v>0</v>
      </c>
      <c r="H16" s="20">
        <f t="shared" si="2"/>
        <v>535987.12262895459</v>
      </c>
      <c r="I16" s="20">
        <f t="shared" si="3"/>
        <v>0</v>
      </c>
      <c r="J16" s="20">
        <f>H16*$C$26/10^9</f>
        <v>4.1806995565058465</v>
      </c>
      <c r="K16" s="20">
        <f>(I16*$C$27)/10^9</f>
        <v>0</v>
      </c>
      <c r="L16" s="20">
        <f t="shared" si="4"/>
        <v>4.1806995565058465</v>
      </c>
      <c r="M16" s="20">
        <f>L16*$C$31</f>
        <v>41.012662649322358</v>
      </c>
      <c r="N16" s="21">
        <f>M16/$C$35</f>
        <v>2.0506331324661179E-2</v>
      </c>
      <c r="O16" s="71">
        <f t="shared" si="5"/>
        <v>20.506331324661179</v>
      </c>
      <c r="P16" s="26">
        <v>16</v>
      </c>
    </row>
    <row r="17" spans="1:16" x14ac:dyDescent="0.35">
      <c r="A17" s="10"/>
      <c r="B17" s="26">
        <v>12</v>
      </c>
      <c r="C17" s="13">
        <v>40</v>
      </c>
      <c r="D17" s="10">
        <v>262</v>
      </c>
      <c r="E17" s="10">
        <v>262</v>
      </c>
      <c r="F17" s="16">
        <f t="shared" si="0"/>
        <v>53912.871528254444</v>
      </c>
      <c r="G17" s="14">
        <f t="shared" si="1"/>
        <v>0</v>
      </c>
      <c r="H17" s="14">
        <f t="shared" si="2"/>
        <v>2156514.861130178</v>
      </c>
      <c r="I17" s="14">
        <f t="shared" si="3"/>
        <v>0</v>
      </c>
      <c r="J17" s="14">
        <f>H17*$C$26/10^9</f>
        <v>16.820815916815388</v>
      </c>
      <c r="K17" s="14">
        <f>(I17*$C$27)/10^9</f>
        <v>0</v>
      </c>
      <c r="L17" s="14">
        <f t="shared" si="4"/>
        <v>16.820815916815388</v>
      </c>
      <c r="M17" s="14">
        <f>L17*$C$31</f>
        <v>165.01220414395897</v>
      </c>
      <c r="N17" s="18">
        <f>M17/$C$35</f>
        <v>8.250610207197949E-2</v>
      </c>
      <c r="O17" s="49">
        <f t="shared" si="5"/>
        <v>82.506102071979484</v>
      </c>
      <c r="P17" s="26">
        <v>17</v>
      </c>
    </row>
    <row r="18" spans="1:16" x14ac:dyDescent="0.35">
      <c r="A18" s="11"/>
      <c r="B18" s="25">
        <v>13</v>
      </c>
      <c r="C18" s="11">
        <v>22.6</v>
      </c>
      <c r="D18" s="11">
        <v>102</v>
      </c>
      <c r="E18" s="11">
        <v>102</v>
      </c>
      <c r="F18" s="19">
        <f t="shared" si="0"/>
        <v>8171.2824919870518</v>
      </c>
      <c r="G18" s="20">
        <f t="shared" si="1"/>
        <v>0</v>
      </c>
      <c r="H18" s="20">
        <f t="shared" si="2"/>
        <v>184670.98431890737</v>
      </c>
      <c r="I18" s="20">
        <f t="shared" si="3"/>
        <v>0</v>
      </c>
      <c r="J18" s="20">
        <f>H18*$C$26/10^9</f>
        <v>1.4404336776874775</v>
      </c>
      <c r="K18" s="20">
        <f>(I18*$C$27)/10^9</f>
        <v>0</v>
      </c>
      <c r="L18" s="20">
        <f t="shared" si="4"/>
        <v>1.4404336776874775</v>
      </c>
      <c r="M18" s="20">
        <f>L18*$C$31</f>
        <v>14.130654378114155</v>
      </c>
      <c r="N18" s="21">
        <f>M18/$C$35</f>
        <v>7.0653271890570779E-3</v>
      </c>
      <c r="O18" s="71">
        <f t="shared" si="5"/>
        <v>7.0653271890570775</v>
      </c>
      <c r="P18" s="26">
        <v>18</v>
      </c>
    </row>
    <row r="19" spans="1:16" x14ac:dyDescent="0.35">
      <c r="A19" s="10" t="s">
        <v>43</v>
      </c>
      <c r="B19" s="26">
        <v>14</v>
      </c>
      <c r="C19" s="13">
        <v>24.5</v>
      </c>
      <c r="D19" s="10">
        <v>110</v>
      </c>
      <c r="E19" s="10">
        <v>110</v>
      </c>
      <c r="F19" s="16">
        <f t="shared" si="0"/>
        <v>9503.317777109125</v>
      </c>
      <c r="G19" s="14">
        <f t="shared" si="1"/>
        <v>0</v>
      </c>
      <c r="H19" s="14">
        <f t="shared" si="2"/>
        <v>232831.28553917355</v>
      </c>
      <c r="I19" s="14">
        <f t="shared" si="3"/>
        <v>0</v>
      </c>
      <c r="J19" s="14">
        <f>H19*$C$26/10^9</f>
        <v>1.8160840272055538</v>
      </c>
      <c r="K19" s="14">
        <f>(I19*$C$27)/10^9</f>
        <v>0</v>
      </c>
      <c r="L19" s="14">
        <f t="shared" si="4"/>
        <v>1.8160840272055538</v>
      </c>
      <c r="M19" s="14">
        <f>L19*$C$31</f>
        <v>17.815784306886485</v>
      </c>
      <c r="N19" s="18">
        <f>M19/$C$35</f>
        <v>8.9078921534432431E-3</v>
      </c>
      <c r="O19" s="49">
        <f t="shared" si="5"/>
        <v>8.9078921534432425</v>
      </c>
      <c r="P19" s="26">
        <v>19</v>
      </c>
    </row>
    <row r="20" spans="1:16" x14ac:dyDescent="0.35">
      <c r="A20" s="11" t="s">
        <v>43</v>
      </c>
      <c r="B20" s="25">
        <v>15</v>
      </c>
      <c r="C20" s="11">
        <v>24.5</v>
      </c>
      <c r="D20" s="11">
        <v>110</v>
      </c>
      <c r="E20" s="11">
        <v>110</v>
      </c>
      <c r="F20" s="19">
        <f t="shared" si="0"/>
        <v>9503.317777109125</v>
      </c>
      <c r="G20" s="20">
        <f t="shared" si="1"/>
        <v>0</v>
      </c>
      <c r="H20" s="20">
        <f t="shared" si="2"/>
        <v>232831.28553917355</v>
      </c>
      <c r="I20" s="20">
        <f t="shared" si="3"/>
        <v>0</v>
      </c>
      <c r="J20" s="20">
        <f>H20*$C$26/10^9</f>
        <v>1.8160840272055538</v>
      </c>
      <c r="K20" s="20">
        <f>(I20*$C$27)/10^9</f>
        <v>0</v>
      </c>
      <c r="L20" s="20">
        <f t="shared" si="4"/>
        <v>1.8160840272055538</v>
      </c>
      <c r="M20" s="20">
        <f>L20*$C$31</f>
        <v>17.815784306886485</v>
      </c>
      <c r="N20" s="21">
        <f>M20/$C$35</f>
        <v>8.9078921534432431E-3</v>
      </c>
      <c r="O20" s="71">
        <f t="shared" si="5"/>
        <v>8.9078921534432425</v>
      </c>
      <c r="P20" s="26">
        <v>20</v>
      </c>
    </row>
    <row r="21" spans="1:16" x14ac:dyDescent="0.35">
      <c r="A21" s="10"/>
      <c r="B21" s="26">
        <v>16</v>
      </c>
      <c r="C21" s="13">
        <v>10.3</v>
      </c>
      <c r="D21" s="10">
        <v>95.6</v>
      </c>
      <c r="E21" s="10">
        <v>95.6</v>
      </c>
      <c r="F21" s="16">
        <f t="shared" si="0"/>
        <v>7178.0365586281023</v>
      </c>
      <c r="G21" s="14">
        <f t="shared" si="1"/>
        <v>0</v>
      </c>
      <c r="H21" s="14">
        <f t="shared" si="2"/>
        <v>73933.776553869466</v>
      </c>
      <c r="I21" s="14">
        <f t="shared" si="3"/>
        <v>0</v>
      </c>
      <c r="J21" s="14">
        <f>H21*$C$26/10^9</f>
        <v>0.57668345712018176</v>
      </c>
      <c r="K21" s="14">
        <f>(I21*$C$27)/10^9</f>
        <v>0</v>
      </c>
      <c r="L21" s="14">
        <f t="shared" si="4"/>
        <v>0.57668345712018176</v>
      </c>
      <c r="M21" s="14">
        <f>L21*$C$31</f>
        <v>5.6572647143489831</v>
      </c>
      <c r="N21" s="18">
        <f>M21/$C$35</f>
        <v>2.8286323571744916E-3</v>
      </c>
      <c r="O21" s="49">
        <f t="shared" si="5"/>
        <v>2.8286323571744916</v>
      </c>
      <c r="P21" s="26">
        <v>21</v>
      </c>
    </row>
    <row r="22" spans="1:16" ht="18.5" thickBot="1" x14ac:dyDescent="0.4">
      <c r="A22" s="12"/>
      <c r="B22" s="27">
        <v>17</v>
      </c>
      <c r="C22" s="12">
        <v>23</v>
      </c>
      <c r="D22" s="12">
        <v>90</v>
      </c>
      <c r="E22" s="12">
        <v>90</v>
      </c>
      <c r="F22" s="22">
        <f t="shared" si="0"/>
        <v>6361.7251235193316</v>
      </c>
      <c r="G22" s="23">
        <f t="shared" si="1"/>
        <v>0</v>
      </c>
      <c r="H22" s="23">
        <f t="shared" si="2"/>
        <v>146319.67784094464</v>
      </c>
      <c r="I22" s="23">
        <f t="shared" si="3"/>
        <v>0</v>
      </c>
      <c r="J22" s="23">
        <f>H22*$C$26/10^9</f>
        <v>1.1412934871593683</v>
      </c>
      <c r="K22" s="23">
        <f>(I22*$C$27)/10^9</f>
        <v>0</v>
      </c>
      <c r="L22" s="23">
        <f t="shared" si="4"/>
        <v>1.1412934871593683</v>
      </c>
      <c r="M22" s="23">
        <f>L22*$C$31</f>
        <v>11.196089109033403</v>
      </c>
      <c r="N22" s="24">
        <f>M22/$C$35</f>
        <v>5.5980445545167016E-3</v>
      </c>
      <c r="O22" s="72">
        <f t="shared" si="5"/>
        <v>5.5980445545167017</v>
      </c>
      <c r="P22" s="26">
        <v>22</v>
      </c>
    </row>
    <row r="23" spans="1:16" x14ac:dyDescent="0.35">
      <c r="A23" s="40"/>
      <c r="B23" s="40"/>
      <c r="C23" s="40"/>
      <c r="D23" s="40"/>
      <c r="E23" s="40"/>
      <c r="F23" s="4"/>
      <c r="G23" s="4"/>
      <c r="H23" s="4"/>
      <c r="I23" s="4"/>
      <c r="J23" s="4"/>
      <c r="K23" s="4"/>
      <c r="L23" s="4"/>
      <c r="M23" s="4"/>
      <c r="N23" s="5"/>
      <c r="O23" s="4"/>
      <c r="P23" s="26">
        <v>23</v>
      </c>
    </row>
    <row r="24" spans="1:16" x14ac:dyDescent="0.35">
      <c r="A24" s="40"/>
      <c r="B24" s="2"/>
      <c r="C24" s="40"/>
      <c r="D24" s="40"/>
      <c r="E24" s="40"/>
      <c r="F24" s="4"/>
      <c r="G24" s="4"/>
      <c r="H24" s="4"/>
      <c r="I24" s="4"/>
      <c r="J24" s="4"/>
      <c r="K24" s="4"/>
      <c r="L24" s="4"/>
      <c r="M24" s="4"/>
      <c r="N24" s="5"/>
      <c r="O24" s="4"/>
      <c r="P24" s="26">
        <v>24</v>
      </c>
    </row>
    <row r="25" spans="1:16" ht="18.5" thickBot="1" x14ac:dyDescent="0.4">
      <c r="A25" s="40"/>
      <c r="B25" s="64" t="s">
        <v>60</v>
      </c>
      <c r="C25" s="65"/>
      <c r="D25" s="65"/>
      <c r="E25" s="65"/>
      <c r="F25" s="65"/>
      <c r="G25" s="39" t="s">
        <v>64</v>
      </c>
      <c r="H25" s="40"/>
      <c r="I25" s="40"/>
      <c r="J25" s="40"/>
      <c r="K25" s="40"/>
      <c r="L25" s="40"/>
      <c r="M25" s="40"/>
      <c r="N25" s="40"/>
      <c r="O25" s="40"/>
      <c r="P25" s="26">
        <v>25</v>
      </c>
    </row>
    <row r="26" spans="1:16" ht="54.5" thickBot="1" x14ac:dyDescent="0.4">
      <c r="A26" s="40"/>
      <c r="B26" s="15" t="s">
        <v>54</v>
      </c>
      <c r="C26" s="32">
        <v>7800</v>
      </c>
      <c r="D26" s="40"/>
      <c r="E26" s="15" t="s">
        <v>16</v>
      </c>
      <c r="F26" s="41">
        <f>MAX(E6:E22)</f>
        <v>262</v>
      </c>
      <c r="G26" s="9" t="s">
        <v>63</v>
      </c>
      <c r="H26" s="40"/>
      <c r="I26" s="40"/>
      <c r="J26" s="40"/>
      <c r="K26" s="40"/>
      <c r="L26" s="40"/>
      <c r="M26" s="40"/>
      <c r="N26" s="40"/>
      <c r="O26" s="40"/>
      <c r="P26" s="26">
        <v>26</v>
      </c>
    </row>
    <row r="27" spans="1:16" ht="54.5" thickBot="1" x14ac:dyDescent="0.4">
      <c r="A27" s="40"/>
      <c r="B27" s="15" t="s">
        <v>55</v>
      </c>
      <c r="C27" s="33">
        <v>2700</v>
      </c>
      <c r="D27" s="40"/>
      <c r="E27" s="15" t="s">
        <v>17</v>
      </c>
      <c r="F27" s="42">
        <v>0.1</v>
      </c>
      <c r="G27" s="9" t="s">
        <v>65</v>
      </c>
      <c r="H27" s="40"/>
      <c r="I27" s="40"/>
      <c r="J27" s="40"/>
      <c r="K27" s="40"/>
      <c r="L27" s="40"/>
      <c r="M27" s="40"/>
      <c r="N27" s="40"/>
      <c r="O27" s="40"/>
      <c r="P27" s="26">
        <v>27</v>
      </c>
    </row>
    <row r="28" spans="1:16" ht="36.5" thickBot="1" x14ac:dyDescent="0.4">
      <c r="A28" s="40"/>
      <c r="B28" s="2"/>
      <c r="C28" s="40"/>
      <c r="D28" s="40"/>
      <c r="E28" s="15" t="s">
        <v>19</v>
      </c>
      <c r="F28" s="42">
        <v>300</v>
      </c>
      <c r="G28" s="9" t="s">
        <v>65</v>
      </c>
      <c r="H28" s="40"/>
      <c r="I28" s="40"/>
      <c r="J28" s="40"/>
      <c r="K28" s="40"/>
      <c r="L28" s="40"/>
      <c r="M28" s="40"/>
      <c r="N28" s="40"/>
      <c r="O28" s="40"/>
      <c r="P28" s="26">
        <v>28</v>
      </c>
    </row>
    <row r="29" spans="1:16" ht="54.5" thickBot="1" x14ac:dyDescent="0.4">
      <c r="A29" s="40"/>
      <c r="B29" s="15" t="s">
        <v>56</v>
      </c>
      <c r="C29" s="34">
        <f>2.1*10^11</f>
        <v>210000000000</v>
      </c>
      <c r="D29" s="40"/>
      <c r="E29" s="15" t="s">
        <v>20</v>
      </c>
      <c r="F29" s="43">
        <f>(PI()/64)*(F26/1000)^4</f>
        <v>2.312996970740937E-4</v>
      </c>
      <c r="G29" s="9" t="s">
        <v>66</v>
      </c>
      <c r="H29" s="40"/>
      <c r="I29" s="40"/>
      <c r="J29" s="40"/>
      <c r="K29" s="40"/>
      <c r="L29" s="40"/>
      <c r="M29" s="40"/>
      <c r="N29" s="40"/>
      <c r="O29" s="40"/>
      <c r="P29" s="26">
        <v>29</v>
      </c>
    </row>
    <row r="30" spans="1:16" ht="36.5" thickBot="1" x14ac:dyDescent="0.4">
      <c r="A30" s="40"/>
      <c r="B30" s="40"/>
      <c r="C30" s="40"/>
      <c r="D30" s="40"/>
      <c r="E30" s="15" t="s">
        <v>21</v>
      </c>
      <c r="F30" s="44">
        <f>C29*F29/F28</f>
        <v>161909.78795186558</v>
      </c>
      <c r="G30" s="9" t="s">
        <v>67</v>
      </c>
      <c r="H30" s="40"/>
      <c r="I30" s="40"/>
      <c r="J30" s="40"/>
      <c r="K30" s="40"/>
      <c r="L30" s="40"/>
      <c r="M30" s="40"/>
      <c r="N30" s="40"/>
      <c r="O30" s="40"/>
      <c r="P30" s="26">
        <v>30</v>
      </c>
    </row>
    <row r="31" spans="1:16" ht="54.5" thickBot="1" x14ac:dyDescent="0.4">
      <c r="A31" s="40"/>
      <c r="B31" s="15" t="s">
        <v>57</v>
      </c>
      <c r="C31" s="35">
        <v>9.81</v>
      </c>
      <c r="D31" s="40"/>
      <c r="E31" s="15" t="s">
        <v>25</v>
      </c>
      <c r="F31" s="42">
        <f>1200*10^3</f>
        <v>1200000</v>
      </c>
      <c r="G31" s="9" t="s">
        <v>65</v>
      </c>
      <c r="H31" s="40"/>
      <c r="I31" s="40"/>
      <c r="J31" s="40"/>
      <c r="K31" s="40"/>
      <c r="L31" s="40"/>
      <c r="M31" s="40"/>
      <c r="N31" s="40"/>
      <c r="O31" s="40"/>
      <c r="P31" s="26">
        <v>31</v>
      </c>
    </row>
    <row r="32" spans="1:16" ht="54.5" thickBot="1" x14ac:dyDescent="0.4">
      <c r="A32" s="40"/>
      <c r="B32" s="40"/>
      <c r="C32" s="2"/>
      <c r="D32" s="40"/>
      <c r="E32" s="15" t="s">
        <v>26</v>
      </c>
      <c r="F32" s="45">
        <f>F30/F31</f>
        <v>0.13492482329322131</v>
      </c>
      <c r="G32" s="9" t="s">
        <v>68</v>
      </c>
      <c r="H32" s="40"/>
      <c r="I32" s="40"/>
      <c r="J32" s="40"/>
      <c r="K32" s="40"/>
      <c r="L32" s="40"/>
      <c r="M32" s="40"/>
      <c r="N32" s="40"/>
      <c r="O32" s="40"/>
      <c r="P32" s="26">
        <v>32</v>
      </c>
    </row>
    <row r="33" spans="1:16" ht="72.5" thickBot="1" x14ac:dyDescent="0.4">
      <c r="A33" s="40"/>
      <c r="B33" s="15" t="s">
        <v>58</v>
      </c>
      <c r="C33" s="34">
        <v>2</v>
      </c>
      <c r="D33" s="40"/>
      <c r="E33" s="15" t="s">
        <v>27</v>
      </c>
      <c r="F33" s="44">
        <f>F32*1000</f>
        <v>134.92482329322129</v>
      </c>
      <c r="G33" s="9" t="s">
        <v>69</v>
      </c>
      <c r="H33" s="40"/>
      <c r="I33" s="40"/>
      <c r="J33" s="40"/>
      <c r="K33" s="40"/>
      <c r="L33" s="40"/>
      <c r="M33" s="40"/>
      <c r="N33" s="40"/>
      <c r="O33" s="40"/>
      <c r="P33" s="26">
        <v>33</v>
      </c>
    </row>
    <row r="34" spans="1:16" ht="36.5" thickBot="1" x14ac:dyDescent="0.4">
      <c r="A34" s="40"/>
      <c r="B34" s="40"/>
      <c r="C34" s="2"/>
      <c r="D34" s="40"/>
      <c r="E34" s="15" t="s">
        <v>37</v>
      </c>
      <c r="F34" s="42">
        <v>25060</v>
      </c>
      <c r="G34" s="9" t="s">
        <v>65</v>
      </c>
      <c r="H34" s="40"/>
      <c r="I34" s="40"/>
      <c r="J34" s="40"/>
      <c r="K34" s="40"/>
      <c r="L34" s="40"/>
      <c r="M34" s="40"/>
      <c r="N34" s="40"/>
      <c r="O34" s="40"/>
      <c r="P34" s="26">
        <v>34</v>
      </c>
    </row>
    <row r="35" spans="1:16" ht="54.5" thickBot="1" x14ac:dyDescent="0.4">
      <c r="A35" s="40"/>
      <c r="B35" s="15" t="s">
        <v>59</v>
      </c>
      <c r="C35" s="36">
        <v>2000</v>
      </c>
      <c r="D35" s="40"/>
      <c r="E35" s="47" t="s">
        <v>71</v>
      </c>
      <c r="F35" s="46">
        <f>J64/F34</f>
        <v>2.5516685494040656</v>
      </c>
      <c r="G35" s="9" t="s">
        <v>70</v>
      </c>
      <c r="H35" s="40"/>
      <c r="I35" s="40"/>
      <c r="J35" s="40"/>
      <c r="K35" s="40"/>
      <c r="L35" s="40"/>
      <c r="M35" s="40"/>
      <c r="N35" s="40"/>
      <c r="O35" s="40"/>
      <c r="P35" s="26">
        <v>35</v>
      </c>
    </row>
    <row r="36" spans="1:16" s="3" customFormat="1" x14ac:dyDescent="0.35">
      <c r="A36"/>
      <c r="B36"/>
      <c r="C36"/>
      <c r="D36"/>
      <c r="E36"/>
      <c r="F36"/>
      <c r="G36"/>
      <c r="H36"/>
      <c r="I36" s="40"/>
      <c r="J36" s="40"/>
      <c r="K36" s="40"/>
      <c r="L36" s="40"/>
      <c r="M36" s="40"/>
      <c r="N36" s="40"/>
      <c r="O36" s="40"/>
      <c r="P36" s="26">
        <v>36</v>
      </c>
    </row>
    <row r="37" spans="1:16" s="3" customFormat="1" x14ac:dyDescent="0.4">
      <c r="A37"/>
      <c r="B37"/>
      <c r="C37"/>
      <c r="D37"/>
      <c r="E37" s="66" t="s">
        <v>73</v>
      </c>
      <c r="F37" s="66"/>
      <c r="G37" s="66"/>
      <c r="H37"/>
      <c r="I37" s="40"/>
      <c r="J37" s="40"/>
      <c r="K37" s="40"/>
      <c r="L37" s="40"/>
      <c r="M37" s="40"/>
      <c r="N37" s="40"/>
      <c r="O37" s="40"/>
      <c r="P37" s="26">
        <v>37</v>
      </c>
    </row>
    <row r="38" spans="1:16" ht="18.5" thickBot="1" x14ac:dyDescent="0.4">
      <c r="A38" s="40"/>
      <c r="B38" s="40" t="s">
        <v>64</v>
      </c>
      <c r="C38" s="40" t="s">
        <v>48</v>
      </c>
      <c r="D38" s="40" t="s">
        <v>72</v>
      </c>
      <c r="E38" s="40"/>
      <c r="F38" s="40" t="s">
        <v>74</v>
      </c>
      <c r="G38" s="40" t="s">
        <v>75</v>
      </c>
      <c r="H38" s="40" t="s">
        <v>48</v>
      </c>
      <c r="I38" s="40" t="s">
        <v>76</v>
      </c>
      <c r="J38" s="40" t="s">
        <v>77</v>
      </c>
      <c r="K38" s="40" t="s">
        <v>78</v>
      </c>
      <c r="L38" s="40" t="s">
        <v>79</v>
      </c>
      <c r="M38" s="40" t="s">
        <v>80</v>
      </c>
      <c r="N38" s="40" t="s">
        <v>81</v>
      </c>
      <c r="O38" s="40" t="s">
        <v>82</v>
      </c>
      <c r="P38" s="26">
        <v>38</v>
      </c>
    </row>
    <row r="39" spans="1:16" ht="53" thickBot="1" x14ac:dyDescent="0.4">
      <c r="A39" s="40"/>
      <c r="B39" s="37" t="s">
        <v>0</v>
      </c>
      <c r="C39" s="61" t="s">
        <v>14</v>
      </c>
      <c r="D39" s="61" t="s">
        <v>18</v>
      </c>
      <c r="E39" s="61" t="s">
        <v>15</v>
      </c>
      <c r="F39" s="61" t="s">
        <v>22</v>
      </c>
      <c r="G39" s="61" t="s">
        <v>23</v>
      </c>
      <c r="H39" s="61" t="s">
        <v>28</v>
      </c>
      <c r="I39" s="61" t="s">
        <v>29</v>
      </c>
      <c r="J39" s="61" t="s">
        <v>30</v>
      </c>
      <c r="K39" s="61" t="s">
        <v>31</v>
      </c>
      <c r="L39" s="61" t="s">
        <v>32</v>
      </c>
      <c r="M39" s="61" t="s">
        <v>33</v>
      </c>
      <c r="N39" s="61" t="s">
        <v>34</v>
      </c>
      <c r="O39" s="61" t="s">
        <v>38</v>
      </c>
      <c r="P39" s="26">
        <v>39</v>
      </c>
    </row>
    <row r="40" spans="1:16" x14ac:dyDescent="0.35">
      <c r="A40" s="40"/>
      <c r="B40" s="59">
        <v>1</v>
      </c>
      <c r="C40" s="48">
        <v>7.4749999999999996</v>
      </c>
      <c r="D40" s="48">
        <f>C40/10^2</f>
        <v>7.4749999999999997E-2</v>
      </c>
      <c r="E40" s="49">
        <f>D40/10^4*($F$26/E6)^4*$C$33^2*$C$35*$F$27</f>
        <v>2.577715425891018</v>
      </c>
      <c r="F40" s="50">
        <f>E40/$F$28</f>
        <v>8.5923847529700594E-3</v>
      </c>
      <c r="G40" s="51">
        <f>F40*1000</f>
        <v>8.5923847529700588</v>
      </c>
      <c r="H40" s="48">
        <v>279.60000000000002</v>
      </c>
      <c r="I40" s="52">
        <f>H40/1000</f>
        <v>0.27960000000000002</v>
      </c>
      <c r="J40" s="52">
        <f>I40*$C$33/$F$31</f>
        <v>4.6600000000000002E-7</v>
      </c>
      <c r="K40" s="52">
        <f t="shared" ref="K40:K56" si="6">J40*L6</f>
        <v>4.8325466055798937E-7</v>
      </c>
      <c r="L40" s="52">
        <f t="shared" ref="L40:L56" si="7">J40^2*L6</f>
        <v>2.2519667182002307E-13</v>
      </c>
      <c r="M40" s="52">
        <f>K40*$C$31</f>
        <v>4.7407282200738762E-6</v>
      </c>
      <c r="N40" s="52">
        <f>L40*$C$31</f>
        <v>2.2091793505544264E-12</v>
      </c>
      <c r="O40" s="62">
        <f>J40*10^6</f>
        <v>0.46600000000000003</v>
      </c>
      <c r="P40" s="26">
        <v>40</v>
      </c>
    </row>
    <row r="41" spans="1:16" x14ac:dyDescent="0.35">
      <c r="A41" s="40"/>
      <c r="B41" s="59">
        <v>2</v>
      </c>
      <c r="C41" s="48">
        <v>44.686999999999998</v>
      </c>
      <c r="D41" s="48">
        <f t="shared" ref="D41:D56" si="8">C41/10^2</f>
        <v>0.44686999999999999</v>
      </c>
      <c r="E41" s="49">
        <f>D41/10^4*($F$26/E7)^4*$C$33^2*$C$35*$F$27</f>
        <v>9.2645350148604564</v>
      </c>
      <c r="F41" s="50">
        <f>E41/$F$28</f>
        <v>3.0881783382868188E-2</v>
      </c>
      <c r="G41" s="51">
        <f t="shared" ref="G41:G56" si="9">F41*1000</f>
        <v>30.881783382868189</v>
      </c>
      <c r="H41" s="48">
        <v>233.11</v>
      </c>
      <c r="I41" s="52">
        <f t="shared" ref="I41:I56" si="10">H41/1000</f>
        <v>0.23311000000000001</v>
      </c>
      <c r="J41" s="52">
        <f>I41*$C$33/$F$31</f>
        <v>3.8851666666666667E-7</v>
      </c>
      <c r="K41" s="52">
        <f t="shared" si="6"/>
        <v>1.7557658745354882E-7</v>
      </c>
      <c r="L41" s="52">
        <f t="shared" si="7"/>
        <v>6.8214430502161265E-14</v>
      </c>
      <c r="M41" s="52">
        <f>K41*$C$31</f>
        <v>1.7224063229193139E-6</v>
      </c>
      <c r="N41" s="52">
        <f>L41*$C$31</f>
        <v>6.6918356322620209E-13</v>
      </c>
      <c r="O41" s="62">
        <f t="shared" ref="O41:O56" si="11">J41*10^6</f>
        <v>0.38851666666666668</v>
      </c>
      <c r="P41" s="26">
        <v>41</v>
      </c>
    </row>
    <row r="42" spans="1:16" x14ac:dyDescent="0.35">
      <c r="A42" s="40"/>
      <c r="B42" s="59">
        <v>3</v>
      </c>
      <c r="C42" s="48">
        <v>205.46799999999999</v>
      </c>
      <c r="D42" s="48">
        <f t="shared" si="8"/>
        <v>2.0546799999999998</v>
      </c>
      <c r="E42" s="49">
        <f>D42/10^4*($F$26/E8)^4*$C$33^2*$C$35*$F$27</f>
        <v>0.48408247814422412</v>
      </c>
      <c r="F42" s="50">
        <f>E42/$F$28</f>
        <v>1.6136082604807471E-3</v>
      </c>
      <c r="G42" s="51">
        <f t="shared" si="9"/>
        <v>1.6136082604807471</v>
      </c>
      <c r="H42" s="48">
        <v>168.71</v>
      </c>
      <c r="I42" s="52">
        <f t="shared" si="10"/>
        <v>0.16871</v>
      </c>
      <c r="J42" s="52">
        <f>I42*$C$33/$F$31</f>
        <v>2.8118333333333335E-7</v>
      </c>
      <c r="K42" s="52">
        <f t="shared" si="6"/>
        <v>2.0957080904701414E-6</v>
      </c>
      <c r="L42" s="52">
        <f t="shared" si="7"/>
        <v>5.8927818657202922E-13</v>
      </c>
      <c r="M42" s="52">
        <f>K42*$C$31</f>
        <v>2.0558896367512088E-5</v>
      </c>
      <c r="N42" s="52">
        <f>L42*$C$31</f>
        <v>5.7808190102716068E-12</v>
      </c>
      <c r="O42" s="62">
        <f t="shared" si="11"/>
        <v>0.28118333333333334</v>
      </c>
      <c r="P42" s="26">
        <v>42</v>
      </c>
    </row>
    <row r="43" spans="1:16" x14ac:dyDescent="0.35">
      <c r="A43" s="40"/>
      <c r="B43" s="59">
        <v>4</v>
      </c>
      <c r="C43" s="48">
        <v>207.87</v>
      </c>
      <c r="D43" s="48">
        <f t="shared" si="8"/>
        <v>2.0787</v>
      </c>
      <c r="E43" s="49">
        <f>D43/10^4*($F$26/E9)^4*$C$33^2*$C$35*$F$27</f>
        <v>10.036344355833096</v>
      </c>
      <c r="F43" s="50">
        <f>E43/$F$28</f>
        <v>3.3454481186110323E-2</v>
      </c>
      <c r="G43" s="51">
        <f t="shared" si="9"/>
        <v>33.454481186110321</v>
      </c>
      <c r="H43" s="48">
        <v>107.64</v>
      </c>
      <c r="I43" s="52">
        <f t="shared" si="10"/>
        <v>0.10764</v>
      </c>
      <c r="J43" s="52">
        <f>I43*$C$33/$F$31</f>
        <v>1.7940000000000001E-7</v>
      </c>
      <c r="K43" s="52">
        <f t="shared" si="6"/>
        <v>1.6994198184836224E-7</v>
      </c>
      <c r="L43" s="52">
        <f t="shared" si="7"/>
        <v>3.0487591543596183E-14</v>
      </c>
      <c r="M43" s="52">
        <f>K43*$C$31</f>
        <v>1.6671308419324336E-6</v>
      </c>
      <c r="N43" s="52">
        <f>L43*$C$31</f>
        <v>2.9908327304267857E-13</v>
      </c>
      <c r="O43" s="62">
        <f t="shared" si="11"/>
        <v>0.1794</v>
      </c>
      <c r="P43" s="26">
        <v>43</v>
      </c>
    </row>
    <row r="44" spans="1:16" x14ac:dyDescent="0.35">
      <c r="A44" s="40"/>
      <c r="B44" s="59">
        <v>5</v>
      </c>
      <c r="C44" s="48">
        <v>521.399</v>
      </c>
      <c r="D44" s="48">
        <f t="shared" si="8"/>
        <v>5.2139899999999999</v>
      </c>
      <c r="E44" s="49">
        <f>D44/10^4*($F$26/E10)^4*$C$33^2*$C$35*$F$27</f>
        <v>13.424391388302244</v>
      </c>
      <c r="F44" s="50">
        <f>E44/$F$28</f>
        <v>4.4747971294340813E-2</v>
      </c>
      <c r="G44" s="51">
        <f t="shared" si="9"/>
        <v>44.747971294340815</v>
      </c>
      <c r="H44" s="48">
        <v>78.88</v>
      </c>
      <c r="I44" s="52">
        <f t="shared" si="10"/>
        <v>7.8879999999999992E-2</v>
      </c>
      <c r="J44" s="52">
        <f>I44*$C$33/$F$31</f>
        <v>1.3146666666666665E-7</v>
      </c>
      <c r="K44" s="52">
        <f t="shared" si="6"/>
        <v>3.1379164623975278E-7</v>
      </c>
      <c r="L44" s="52">
        <f t="shared" si="7"/>
        <v>4.1253141758986159E-14</v>
      </c>
      <c r="M44" s="52">
        <f>K44*$C$31</f>
        <v>3.0782960496119747E-6</v>
      </c>
      <c r="N44" s="52">
        <f>L44*$C$31</f>
        <v>4.0469332065565425E-13</v>
      </c>
      <c r="O44" s="62">
        <f t="shared" si="11"/>
        <v>0.13146666666666665</v>
      </c>
      <c r="P44" s="26">
        <v>44</v>
      </c>
    </row>
    <row r="45" spans="1:16" x14ac:dyDescent="0.35">
      <c r="A45" s="40"/>
      <c r="B45" s="59">
        <v>6</v>
      </c>
      <c r="C45" s="48">
        <v>712.35299999999995</v>
      </c>
      <c r="D45" s="48">
        <f t="shared" si="8"/>
        <v>7.1235299999999997</v>
      </c>
      <c r="E45" s="49">
        <f>D45/10^4*($F$26/E11)^4*$C$33^2*$C$35*$F$27</f>
        <v>18.340858878960773</v>
      </c>
      <c r="F45" s="50">
        <f>E45/$F$28</f>
        <v>6.1136196263202575E-2</v>
      </c>
      <c r="G45" s="51">
        <f t="shared" si="9"/>
        <v>61.136196263202578</v>
      </c>
      <c r="H45" s="48">
        <v>37.74</v>
      </c>
      <c r="I45" s="52">
        <f t="shared" si="10"/>
        <v>3.7740000000000003E-2</v>
      </c>
      <c r="J45" s="52">
        <f>I45*$C$33/$F$31</f>
        <v>6.2900000000000001E-8</v>
      </c>
      <c r="K45" s="52">
        <f t="shared" si="6"/>
        <v>2.2659836351533656E-7</v>
      </c>
      <c r="L45" s="52">
        <f t="shared" si="7"/>
        <v>1.425303706511467E-14</v>
      </c>
      <c r="M45" s="52">
        <f>K45*$C$31</f>
        <v>2.2229299460854516E-6</v>
      </c>
      <c r="N45" s="52">
        <f>L45*$C$31</f>
        <v>1.3982229360877491E-13</v>
      </c>
      <c r="O45" s="62">
        <f t="shared" si="11"/>
        <v>6.2899999999999998E-2</v>
      </c>
      <c r="P45" s="26">
        <v>45</v>
      </c>
    </row>
    <row r="46" spans="1:16" x14ac:dyDescent="0.35">
      <c r="A46" s="40"/>
      <c r="B46" s="59">
        <v>7</v>
      </c>
      <c r="C46" s="48">
        <v>298.779</v>
      </c>
      <c r="D46" s="48">
        <f t="shared" si="8"/>
        <v>2.9877899999999999</v>
      </c>
      <c r="E46" s="49">
        <f>D46/10^4*($F$26/E12)^4*$C$33^2*$C$35*$F$27</f>
        <v>7.6926235658402806</v>
      </c>
      <c r="F46" s="50">
        <f>E46/$F$28</f>
        <v>2.5642078552800936E-2</v>
      </c>
      <c r="G46" s="51">
        <f t="shared" si="9"/>
        <v>25.642078552800935</v>
      </c>
      <c r="H46" s="48">
        <v>8.02</v>
      </c>
      <c r="I46" s="52">
        <f t="shared" si="10"/>
        <v>8.0199999999999994E-3</v>
      </c>
      <c r="J46" s="52">
        <f>I46*$C$33/$F$31</f>
        <v>1.3366666666666666E-8</v>
      </c>
      <c r="K46" s="52">
        <f t="shared" si="6"/>
        <v>2.4274989830314235E-8</v>
      </c>
      <c r="L46" s="52">
        <f t="shared" si="7"/>
        <v>3.2447569739853359E-16</v>
      </c>
      <c r="M46" s="52">
        <f>K46*$C$31</f>
        <v>2.3813765023538266E-7</v>
      </c>
      <c r="N46" s="52">
        <f>L46*$C$31</f>
        <v>3.1831065914796147E-15</v>
      </c>
      <c r="O46" s="62">
        <f t="shared" si="11"/>
        <v>1.3366666666666666E-2</v>
      </c>
      <c r="P46" s="26">
        <v>46</v>
      </c>
    </row>
    <row r="47" spans="1:16" x14ac:dyDescent="0.35">
      <c r="A47" s="40"/>
      <c r="B47" s="59">
        <v>8</v>
      </c>
      <c r="C47" s="48">
        <v>319.36200000000002</v>
      </c>
      <c r="D47" s="48">
        <f t="shared" si="8"/>
        <v>3.1936200000000001</v>
      </c>
      <c r="E47" s="49">
        <f>D47/10^4*($F$26/E13)^4*$C$33^2*$C$35*$F$27</f>
        <v>8.2225713561993441</v>
      </c>
      <c r="F47" s="50">
        <f>E47/$F$28</f>
        <v>2.7408571187331147E-2</v>
      </c>
      <c r="G47" s="51">
        <f t="shared" si="9"/>
        <v>27.408571187331148</v>
      </c>
      <c r="H47" s="48">
        <v>6.73</v>
      </c>
      <c r="I47" s="52">
        <f t="shared" si="10"/>
        <v>6.7300000000000007E-3</v>
      </c>
      <c r="J47" s="52">
        <f>I47*$C$33/$F$31</f>
        <v>1.1216666666666668E-8</v>
      </c>
      <c r="K47" s="52">
        <f t="shared" si="6"/>
        <v>2.0370409171822299E-8</v>
      </c>
      <c r="L47" s="52">
        <f t="shared" si="7"/>
        <v>2.2848808954394012E-16</v>
      </c>
      <c r="M47" s="52">
        <f>K47*$C$31</f>
        <v>1.9983371397557677E-7</v>
      </c>
      <c r="N47" s="52">
        <f>L47*$C$31</f>
        <v>2.2414681584260525E-15</v>
      </c>
      <c r="O47" s="62">
        <f t="shared" si="11"/>
        <v>1.1216666666666668E-2</v>
      </c>
      <c r="P47" s="26">
        <v>47</v>
      </c>
    </row>
    <row r="48" spans="1:16" x14ac:dyDescent="0.35">
      <c r="A48" s="40"/>
      <c r="B48" s="59">
        <v>9</v>
      </c>
      <c r="C48" s="48">
        <v>885.06399999999996</v>
      </c>
      <c r="D48" s="48">
        <f t="shared" si="8"/>
        <v>8.8506400000000003</v>
      </c>
      <c r="E48" s="49">
        <f>D48/10^4*($F$26/E14)^4*$C$33^2*$C$35*$F$27</f>
        <v>22.787626251098175</v>
      </c>
      <c r="F48" s="50">
        <f>E48/$F$28</f>
        <v>7.5958754170327256E-2</v>
      </c>
      <c r="G48" s="51">
        <f t="shared" si="9"/>
        <v>75.958754170327254</v>
      </c>
      <c r="H48" s="48">
        <v>18.59</v>
      </c>
      <c r="I48" s="52">
        <f t="shared" si="10"/>
        <v>1.8589999999999999E-2</v>
      </c>
      <c r="J48" s="52">
        <f>I48*$C$33/$F$31</f>
        <v>3.098333333333333E-8</v>
      </c>
      <c r="K48" s="52">
        <f t="shared" si="6"/>
        <v>9.4163339094952439E-8</v>
      </c>
      <c r="L48" s="52">
        <f t="shared" si="7"/>
        <v>2.9174941229586091E-15</v>
      </c>
      <c r="M48" s="52">
        <f>K48*$C$31</f>
        <v>9.2374235652148352E-7</v>
      </c>
      <c r="N48" s="52">
        <f>L48*$C$31</f>
        <v>2.8620617346223956E-14</v>
      </c>
      <c r="O48" s="62">
        <f t="shared" si="11"/>
        <v>3.0983333333333328E-2</v>
      </c>
      <c r="P48" s="26">
        <v>48</v>
      </c>
    </row>
    <row r="49" spans="2:16" x14ac:dyDescent="0.35">
      <c r="B49" s="59">
        <v>10</v>
      </c>
      <c r="C49" s="48">
        <v>730.78499999999997</v>
      </c>
      <c r="D49" s="48">
        <f t="shared" si="8"/>
        <v>7.3078499999999993</v>
      </c>
      <c r="E49" s="49">
        <f>D49/10^4*($F$26/E15)^4*$C$33^2*$C$35*$F$27</f>
        <v>1.7217289981438804</v>
      </c>
      <c r="F49" s="50">
        <f>E49/$F$28</f>
        <v>5.7390966604796015E-3</v>
      </c>
      <c r="G49" s="51">
        <f t="shared" si="9"/>
        <v>5.7390966604796017</v>
      </c>
      <c r="H49" s="48">
        <v>24.15</v>
      </c>
      <c r="I49" s="52">
        <f t="shared" si="10"/>
        <v>2.4149999999999998E-2</v>
      </c>
      <c r="J49" s="52">
        <f>I49*$C$33/$F$31</f>
        <v>4.0249999999999993E-8</v>
      </c>
      <c r="K49" s="52">
        <f t="shared" si="6"/>
        <v>1.1835636163134185E-7</v>
      </c>
      <c r="L49" s="52">
        <f t="shared" si="7"/>
        <v>4.7638435556615086E-15</v>
      </c>
      <c r="M49" s="52">
        <f>K49*$C$31</f>
        <v>1.1610759076034635E-6</v>
      </c>
      <c r="N49" s="52">
        <f>L49*$C$31</f>
        <v>4.6733305281039401E-14</v>
      </c>
      <c r="O49" s="62">
        <f t="shared" si="11"/>
        <v>4.0249999999999994E-2</v>
      </c>
      <c r="P49" s="26">
        <v>49</v>
      </c>
    </row>
    <row r="50" spans="2:16" x14ac:dyDescent="0.35">
      <c r="B50" s="59">
        <v>11</v>
      </c>
      <c r="C50" s="48">
        <v>919.08900000000006</v>
      </c>
      <c r="D50" s="48">
        <f t="shared" si="8"/>
        <v>9.1908900000000013</v>
      </c>
      <c r="E50" s="49">
        <f>D50/10^4*($F$26/E16)^4*$C$33^2*$C$35*$F$27</f>
        <v>23.663663445237376</v>
      </c>
      <c r="F50" s="50">
        <f>E50/$F$28</f>
        <v>7.8878878150791254E-2</v>
      </c>
      <c r="G50" s="51">
        <f t="shared" si="9"/>
        <v>78.878878150791252</v>
      </c>
      <c r="H50" s="48">
        <v>25.91</v>
      </c>
      <c r="I50" s="52">
        <f t="shared" si="10"/>
        <v>2.5909999999999999E-2</v>
      </c>
      <c r="J50" s="52">
        <f>I50*$C$33/$F$31</f>
        <v>4.3183333333333333E-8</v>
      </c>
      <c r="K50" s="52">
        <f t="shared" si="6"/>
        <v>1.8053654251511081E-7</v>
      </c>
      <c r="L50" s="52">
        <f t="shared" si="7"/>
        <v>7.7961696942775358E-15</v>
      </c>
      <c r="M50" s="52">
        <f>K50*$C$31</f>
        <v>1.7710634820732372E-6</v>
      </c>
      <c r="N50" s="52">
        <f>L50*$C$31</f>
        <v>7.6480424700862631E-14</v>
      </c>
      <c r="O50" s="62">
        <f t="shared" si="11"/>
        <v>4.3183333333333331E-2</v>
      </c>
      <c r="P50" s="26">
        <v>50</v>
      </c>
    </row>
    <row r="51" spans="2:16" x14ac:dyDescent="0.35">
      <c r="B51" s="59">
        <v>12</v>
      </c>
      <c r="C51" s="48">
        <v>1159.277</v>
      </c>
      <c r="D51" s="48">
        <f t="shared" si="8"/>
        <v>11.59277</v>
      </c>
      <c r="E51" s="49">
        <f>D51/10^4*($F$26/E17)^4*$C$33^2*$C$35*$F$27</f>
        <v>0.92742160000000018</v>
      </c>
      <c r="F51" s="50">
        <f>E51/$F$28</f>
        <v>3.0914053333333338E-3</v>
      </c>
      <c r="G51" s="51">
        <f t="shared" si="9"/>
        <v>3.0914053333333338</v>
      </c>
      <c r="H51" s="48">
        <v>21.11</v>
      </c>
      <c r="I51" s="52">
        <f t="shared" si="10"/>
        <v>2.111E-2</v>
      </c>
      <c r="J51" s="52">
        <f>I51*$C$33/$F$31</f>
        <v>3.5183333333333334E-8</v>
      </c>
      <c r="K51" s="52">
        <f t="shared" si="6"/>
        <v>5.9181237333995475E-7</v>
      </c>
      <c r="L51" s="52">
        <f t="shared" si="7"/>
        <v>2.0821932002010739E-14</v>
      </c>
      <c r="M51" s="52">
        <f>K51*$C$31</f>
        <v>5.805679382464956E-6</v>
      </c>
      <c r="N51" s="52">
        <f>L51*$C$31</f>
        <v>2.0426315293972536E-13</v>
      </c>
      <c r="O51" s="62">
        <f t="shared" si="11"/>
        <v>3.5183333333333337E-2</v>
      </c>
      <c r="P51" s="26">
        <v>51</v>
      </c>
    </row>
    <row r="52" spans="2:16" x14ac:dyDescent="0.35">
      <c r="B52" s="59">
        <v>13</v>
      </c>
      <c r="C52" s="48">
        <v>539.70000000000005</v>
      </c>
      <c r="D52" s="48">
        <f t="shared" si="8"/>
        <v>5.3970000000000002</v>
      </c>
      <c r="E52" s="49">
        <f>D52/10^4*($F$26/E18)^4*$C$33^2*$C$35*$F$27</f>
        <v>18.795197051936821</v>
      </c>
      <c r="F52" s="50">
        <f>E52/$F$28</f>
        <v>6.2650656839789404E-2</v>
      </c>
      <c r="G52" s="51">
        <f t="shared" si="9"/>
        <v>62.650656839789406</v>
      </c>
      <c r="H52" s="48">
        <v>13.87</v>
      </c>
      <c r="I52" s="52">
        <f t="shared" si="10"/>
        <v>1.3869999999999999E-2</v>
      </c>
      <c r="J52" s="52">
        <f>I52*$C$33/$F$31</f>
        <v>2.3116666666666665E-8</v>
      </c>
      <c r="K52" s="52">
        <f t="shared" si="6"/>
        <v>3.3298025182542187E-8</v>
      </c>
      <c r="L52" s="52">
        <f t="shared" si="7"/>
        <v>7.6973934880310018E-16</v>
      </c>
      <c r="M52" s="52">
        <f>K52*$C$31</f>
        <v>3.2665362704073885E-7</v>
      </c>
      <c r="N52" s="52">
        <f>L52*$C$31</f>
        <v>7.5511430117584129E-15</v>
      </c>
      <c r="O52" s="62">
        <f t="shared" si="11"/>
        <v>2.3116666666666664E-2</v>
      </c>
      <c r="P52" s="26">
        <v>52</v>
      </c>
    </row>
    <row r="53" spans="2:16" x14ac:dyDescent="0.35">
      <c r="B53" s="59">
        <v>14</v>
      </c>
      <c r="C53" s="48">
        <v>210.25700000000001</v>
      </c>
      <c r="D53" s="48">
        <f t="shared" si="8"/>
        <v>2.1025700000000001</v>
      </c>
      <c r="E53" s="49">
        <f>D53/10^4*($F$26/E19)^4*$C$33^2*$C$35*$F$27</f>
        <v>5.4134592895848774</v>
      </c>
      <c r="F53" s="50">
        <f>E53/$F$28</f>
        <v>1.8044864298616257E-2</v>
      </c>
      <c r="G53" s="51">
        <f t="shared" si="9"/>
        <v>18.044864298616258</v>
      </c>
      <c r="H53" s="48">
        <v>4.93</v>
      </c>
      <c r="I53" s="52">
        <f t="shared" si="10"/>
        <v>4.9299999999999995E-3</v>
      </c>
      <c r="J53" s="52">
        <f>I53*$C$33/$F$31</f>
        <v>8.2166666666666658E-9</v>
      </c>
      <c r="K53" s="52">
        <f t="shared" si="6"/>
        <v>1.4922157090205634E-8</v>
      </c>
      <c r="L53" s="52">
        <f t="shared" si="7"/>
        <v>1.2261039075785627E-16</v>
      </c>
      <c r="M53" s="52">
        <f>K53*$C$31</f>
        <v>1.4638636105491729E-7</v>
      </c>
      <c r="N53" s="52">
        <f>L53*$C$31</f>
        <v>1.20280793333457E-15</v>
      </c>
      <c r="O53" s="62">
        <f t="shared" si="11"/>
        <v>8.2166666666666655E-3</v>
      </c>
      <c r="P53" s="26">
        <v>53</v>
      </c>
    </row>
    <row r="54" spans="2:16" x14ac:dyDescent="0.35">
      <c r="B54" s="59">
        <v>15</v>
      </c>
      <c r="C54" s="48">
        <v>39.048999999999999</v>
      </c>
      <c r="D54" s="48">
        <f t="shared" si="8"/>
        <v>0.39049</v>
      </c>
      <c r="E54" s="49">
        <f>D54/10^4*($F$26/E20)^4*$C$33^2*$C$35*$F$27</f>
        <v>1.0053894605126101</v>
      </c>
      <c r="F54" s="50">
        <f>E54/$F$28</f>
        <v>3.3512982017087005E-3</v>
      </c>
      <c r="G54" s="51">
        <f t="shared" si="9"/>
        <v>3.3512982017087003</v>
      </c>
      <c r="H54" s="48">
        <v>5.14</v>
      </c>
      <c r="I54" s="52">
        <f t="shared" si="10"/>
        <v>5.1399999999999996E-3</v>
      </c>
      <c r="J54" s="52">
        <f>I54*$C$33/$F$31</f>
        <v>8.5666666666666656E-9</v>
      </c>
      <c r="K54" s="52">
        <f t="shared" si="6"/>
        <v>1.5557786499727576E-8</v>
      </c>
      <c r="L54" s="52">
        <f t="shared" si="7"/>
        <v>1.3327837101433287E-16</v>
      </c>
      <c r="M54" s="52">
        <f>K54*$C$31</f>
        <v>1.5262188556232753E-7</v>
      </c>
      <c r="N54" s="52">
        <f>L54*$C$31</f>
        <v>1.3074608196506056E-15</v>
      </c>
      <c r="O54" s="62">
        <f t="shared" si="11"/>
        <v>8.5666666666666651E-3</v>
      </c>
      <c r="P54" s="26">
        <v>54</v>
      </c>
    </row>
    <row r="55" spans="2:16" x14ac:dyDescent="0.35">
      <c r="B55" s="59">
        <v>16</v>
      </c>
      <c r="C55" s="48">
        <v>10.6</v>
      </c>
      <c r="D55" s="48">
        <f t="shared" si="8"/>
        <v>0.106</v>
      </c>
      <c r="E55" s="49">
        <f>D55/10^4*($F$26/E21)^4*$C$33^2*$C$35*$F$27</f>
        <v>0.47837607197877968</v>
      </c>
      <c r="F55" s="50">
        <f>E55/$F$28</f>
        <v>1.5945869065959323E-3</v>
      </c>
      <c r="G55" s="51">
        <f t="shared" si="9"/>
        <v>1.5945869065959322</v>
      </c>
      <c r="H55" s="48">
        <v>12.54</v>
      </c>
      <c r="I55" s="52">
        <f t="shared" si="10"/>
        <v>1.2539999999999999E-2</v>
      </c>
      <c r="J55" s="52">
        <f>I55*$C$33/$F$31</f>
        <v>2.0899999999999999E-8</v>
      </c>
      <c r="K55" s="52">
        <f t="shared" si="6"/>
        <v>1.2052684253811799E-8</v>
      </c>
      <c r="L55" s="52">
        <f t="shared" si="7"/>
        <v>2.5190110090466658E-16</v>
      </c>
      <c r="M55" s="52">
        <f>K55*$C$31</f>
        <v>1.1823683252989375E-7</v>
      </c>
      <c r="N55" s="52">
        <f>L55*$C$31</f>
        <v>2.4711497998747793E-15</v>
      </c>
      <c r="O55" s="62">
        <f t="shared" si="11"/>
        <v>2.0899999999999998E-2</v>
      </c>
      <c r="P55" s="26">
        <v>55</v>
      </c>
    </row>
    <row r="56" spans="2:16" ht="18.5" thickBot="1" x14ac:dyDescent="0.4">
      <c r="B56" s="60">
        <v>17</v>
      </c>
      <c r="C56" s="54">
        <v>7.2460000000000004</v>
      </c>
      <c r="D56" s="54">
        <f t="shared" si="8"/>
        <v>7.2460000000000011E-2</v>
      </c>
      <c r="E56" s="56">
        <f>D56/10^4*($F$26/E22)^4*$C$33^2*$C$35*$F$27</f>
        <v>0.41631632788972406</v>
      </c>
      <c r="F56" s="57">
        <f>E56/$F$28</f>
        <v>1.3877210929657468E-3</v>
      </c>
      <c r="G56" s="58">
        <f t="shared" si="9"/>
        <v>1.3877210929657469</v>
      </c>
      <c r="H56" s="54">
        <v>19.66</v>
      </c>
      <c r="I56" s="55">
        <f t="shared" si="10"/>
        <v>1.966E-2</v>
      </c>
      <c r="J56" s="55">
        <f>I56*$C$33/$F$31</f>
        <v>3.2766666666666669E-8</v>
      </c>
      <c r="K56" s="55">
        <f t="shared" si="6"/>
        <v>3.7396383262588637E-8</v>
      </c>
      <c r="L56" s="55">
        <f t="shared" si="7"/>
        <v>1.2253548249041544E-15</v>
      </c>
      <c r="M56" s="55">
        <f>K56*$C$31</f>
        <v>3.6685851980599454E-7</v>
      </c>
      <c r="N56" s="55">
        <f>L56*$C$31</f>
        <v>1.2020730832309755E-14</v>
      </c>
      <c r="O56" s="73">
        <f t="shared" si="11"/>
        <v>3.2766666666666666E-2</v>
      </c>
      <c r="P56" s="26">
        <v>56</v>
      </c>
    </row>
    <row r="57" spans="2:16" ht="18.5" thickBot="1" x14ac:dyDescent="0.4">
      <c r="B57" s="53"/>
      <c r="C57" s="54"/>
      <c r="D57" s="54"/>
      <c r="E57" s="54"/>
      <c r="F57" s="54"/>
      <c r="G57" s="54"/>
      <c r="H57" s="54"/>
      <c r="I57" s="54"/>
      <c r="J57" s="54"/>
      <c r="K57" s="55">
        <f>SUM(K40:K56)</f>
        <v>4.6076123819575052E-6</v>
      </c>
      <c r="L57" s="55">
        <f>SUM(L40:L56)</f>
        <v>1.0080383464601457E-12</v>
      </c>
      <c r="M57" s="55">
        <f>SUM(M40:M56)</f>
        <v>4.5200677467003111E-5</v>
      </c>
      <c r="N57" s="55">
        <f>SUM(N40:N56)</f>
        <v>9.8888561787740283E-12</v>
      </c>
      <c r="O57" s="73"/>
      <c r="P57" s="26">
        <v>57</v>
      </c>
    </row>
    <row r="58" spans="2:16" s="3" customFormat="1" ht="18.5" thickBot="1" x14ac:dyDescent="0.4">
      <c r="B58" s="48"/>
      <c r="C58" s="48"/>
      <c r="D58" s="48"/>
      <c r="E58" s="48"/>
      <c r="F58" s="48"/>
      <c r="G58" s="48"/>
      <c r="H58" s="48"/>
      <c r="I58" s="48"/>
      <c r="J58" s="48"/>
      <c r="K58" s="52"/>
      <c r="L58" s="52"/>
      <c r="M58" s="52"/>
      <c r="N58" s="52"/>
      <c r="O58" s="62"/>
      <c r="P58" s="26">
        <v>58</v>
      </c>
    </row>
    <row r="59" spans="2:16" ht="18.5" thickBot="1" x14ac:dyDescent="0.4">
      <c r="B59" s="40"/>
      <c r="C59" s="40"/>
      <c r="D59" s="40"/>
      <c r="E59" s="40"/>
      <c r="F59" s="40"/>
      <c r="G59" s="40"/>
      <c r="H59" s="70" t="s">
        <v>64</v>
      </c>
      <c r="I59" s="40"/>
      <c r="J59" s="40"/>
      <c r="K59" s="40"/>
      <c r="L59" s="40"/>
      <c r="M59" s="40"/>
      <c r="N59" s="40"/>
      <c r="O59" s="40"/>
      <c r="P59" s="26">
        <v>59</v>
      </c>
    </row>
    <row r="60" spans="2:16" x14ac:dyDescent="0.35">
      <c r="B60" s="40"/>
      <c r="C60" s="40"/>
      <c r="D60" s="40"/>
      <c r="E60" s="40"/>
      <c r="F60" s="68" t="s">
        <v>24</v>
      </c>
      <c r="G60" s="67">
        <f>MAX(G40:G56)</f>
        <v>78.878878150791252</v>
      </c>
      <c r="H60" s="68" t="s">
        <v>83</v>
      </c>
      <c r="I60" s="40"/>
      <c r="J60" s="40"/>
      <c r="K60" s="40"/>
      <c r="L60" s="40"/>
      <c r="M60" s="40"/>
      <c r="N60" s="40"/>
      <c r="O60" s="40"/>
      <c r="P60" s="26">
        <v>60</v>
      </c>
    </row>
    <row r="61" spans="2:16" ht="18.5" thickBot="1" x14ac:dyDescent="0.4">
      <c r="B61" s="40"/>
      <c r="C61" s="40"/>
      <c r="D61" s="40"/>
      <c r="E61" s="40"/>
      <c r="F61" s="69" t="s">
        <v>7</v>
      </c>
      <c r="G61" s="56">
        <f>SUM(G40:G56)</f>
        <v>484.17433653471227</v>
      </c>
      <c r="H61" s="69" t="s">
        <v>84</v>
      </c>
      <c r="I61" s="40"/>
      <c r="J61" s="40"/>
      <c r="K61" s="40"/>
      <c r="L61" s="40"/>
      <c r="M61" s="40"/>
      <c r="N61" s="40"/>
      <c r="O61" s="40"/>
      <c r="P61" s="26">
        <v>61</v>
      </c>
    </row>
    <row r="62" spans="2:16" x14ac:dyDescent="0.35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26">
        <v>62</v>
      </c>
    </row>
    <row r="63" spans="2:16" x14ac:dyDescent="0.35">
      <c r="B63" s="40"/>
      <c r="C63" s="40"/>
      <c r="D63" s="40"/>
      <c r="E63" s="40"/>
      <c r="F63" s="40"/>
      <c r="G63" s="40"/>
      <c r="H63" s="40"/>
      <c r="I63" s="40"/>
      <c r="J63" s="6" t="s">
        <v>35</v>
      </c>
      <c r="K63" s="40" t="s">
        <v>36</v>
      </c>
      <c r="L63" s="40"/>
      <c r="M63" s="40"/>
      <c r="N63" s="40"/>
      <c r="O63" s="40"/>
      <c r="P63" s="26">
        <v>63</v>
      </c>
    </row>
    <row r="64" spans="2:16" x14ac:dyDescent="0.35">
      <c r="B64" s="40"/>
      <c r="C64" s="40"/>
      <c r="D64" s="40"/>
      <c r="E64" s="40"/>
      <c r="F64" s="40"/>
      <c r="G64" s="40"/>
      <c r="H64" s="40"/>
      <c r="I64" s="40"/>
      <c r="J64" s="7">
        <f>(30/PI())*(C31*M57/N57)^(1/2)</f>
        <v>63944.813848065882</v>
      </c>
      <c r="K64" s="4">
        <f>29.9*(K57/L57)^(1/2)</f>
        <v>63924.984298316791</v>
      </c>
      <c r="L64" s="4"/>
      <c r="M64" s="40"/>
      <c r="N64" s="40"/>
      <c r="O64" s="40"/>
      <c r="P64" s="26">
        <v>64</v>
      </c>
    </row>
    <row r="65" spans="8:16" ht="18.5" thickBot="1" x14ac:dyDescent="0.4">
      <c r="H65" s="65" t="s">
        <v>85</v>
      </c>
      <c r="I65" s="65"/>
      <c r="J65" s="65"/>
      <c r="K65" s="65" t="s">
        <v>86</v>
      </c>
      <c r="L65" s="65"/>
      <c r="M65" s="65"/>
      <c r="N65" s="40"/>
      <c r="O65" s="40"/>
      <c r="P65" s="74">
        <v>65</v>
      </c>
    </row>
  </sheetData>
  <mergeCells count="5">
    <mergeCell ref="A4:B4"/>
    <mergeCell ref="B25:F25"/>
    <mergeCell ref="E37:G37"/>
    <mergeCell ref="H65:J65"/>
    <mergeCell ref="K65:M65"/>
  </mergeCells>
  <printOptions gridLines="1"/>
  <pageMargins left="0.25" right="0.25" top="0.75" bottom="0.75" header="0.3" footer="0.3"/>
  <pageSetup paperSize="12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2022-04-18T20:08:52Z</dcterms:modified>
</cp:coreProperties>
</file>