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330"/>
  <workbookPr codeName="ThisWorkbook" defaultThemeVersion="124226"/>
  <mc:AlternateContent xmlns:mc="http://schemas.openxmlformats.org/markup-compatibility/2006">
    <mc:Choice Requires="x15">
      <x15ac:absPath xmlns:x15ac="http://schemas.microsoft.com/office/spreadsheetml/2010/11/ac" url="C:\Users\Furness\Documents\Professional Initiatives\Project Drawdown\Integration\Transport Integration\"/>
    </mc:Choice>
  </mc:AlternateContent>
  <xr:revisionPtr revIDLastSave="0" documentId="13_ncr:1_{1C507F65-6FAE-4256-8E85-D9C40750065C}" xr6:coauthVersionLast="33" xr6:coauthVersionMax="33" xr10:uidLastSave="{00000000-0000-0000-0000-000000000000}"/>
  <bookViews>
    <workbookView xWindow="0" yWindow="34224" windowWidth="19200" windowHeight="6660" tabRatio="826" xr2:uid="{00000000-000D-0000-FFFF-FFFF00000000}"/>
  </bookViews>
  <sheets>
    <sheet name="Table of Contents" sheetId="21" r:id="rId1"/>
    <sheet name="Assumptions" sheetId="1" r:id="rId2"/>
    <sheet name="Private Car Analysis &amp; Split" sheetId="7" r:id="rId3"/>
    <sheet name="Private Car Variable Adjust" sheetId="24" r:id="rId4"/>
    <sheet name="Urban Pass Adoption" sheetId="8" r:id="rId5"/>
    <sheet name="Nonurban Pass Adoption" sheetId="9" r:id="rId6"/>
    <sheet name="Global Pass-Km ModeShare" sheetId="16" r:id="rId7"/>
    <sheet name="Grid Impacts" sheetId="22" r:id="rId8"/>
    <sheet name="Emssions Redux" sheetId="25" r:id="rId9"/>
    <sheet name="Financials&amp;Adoptions" sheetId="26" r:id="rId10"/>
    <sheet name="TAM Method Plots" sheetId="27" r:id="rId11"/>
    <sheet name="Passenger TAM Data" sheetId="6" r:id="rId12"/>
    <sheet name="Interp-URBAN" sheetId="11" r:id="rId13"/>
    <sheet name="Interp-NONURBAN" sheetId="12" r:id="rId14"/>
    <sheet name="Freight Adoption" sheetId="10" r:id="rId15"/>
    <sheet name="Freight TAM Data" sheetId="14" r:id="rId16"/>
    <sheet name="Interp-FREIGHT" sheetId="13" r:id="rId17"/>
    <sheet name="Carshare" sheetId="23" r:id="rId18"/>
    <sheet name="Modeshare URBAN" sheetId="17" r:id="rId19"/>
    <sheet name="Modeshare NONURBAN" sheetId="18" r:id="rId20"/>
    <sheet name="Modeshare URBAN+NONURBAN" sheetId="19" r:id="rId21"/>
    <sheet name="Modeshare FREIGHT" sheetId="20" r:id="rId22"/>
  </sheets>
  <definedNames>
    <definedName name="_xlchart.v1.0" hidden="1">'Emssions Redux'!$E$113</definedName>
    <definedName name="_xlchart.v1.1" hidden="1">'Emssions Redux'!$F$113:$R$113</definedName>
    <definedName name="_xlchart.v1.2" hidden="1">'Emssions Redux'!$F$61:$R$61</definedName>
    <definedName name="_xlchart.v1.3" hidden="1">'Emssions Redux'!$E$58</definedName>
    <definedName name="_xlchart.v1.4" hidden="1">'Emssions Redux'!$F$58:$R$58</definedName>
    <definedName name="_xlchart.v1.5" hidden="1">'Emssions Redux'!$F$6:$R$6</definedName>
    <definedName name="_xlchart.v1.6" hidden="1">'Emssions Redux'!$E$168</definedName>
    <definedName name="_xlchart.v1.7" hidden="1">'Emssions Redux'!$F$116:$R$116</definedName>
    <definedName name="_xlchart.v1.8" hidden="1">'Emssions Redux'!$F$168:$R$168</definedName>
    <definedName name="solver_adj" localSheetId="2" hidden="1">'Private Car Analysis &amp; Split'!$S$161:$S$173</definedName>
    <definedName name="solver_cvg" localSheetId="2" hidden="1">0.0001</definedName>
    <definedName name="solver_drv" localSheetId="2" hidden="1">2</definedName>
    <definedName name="solver_eng" localSheetId="2" hidden="1">1</definedName>
    <definedName name="solver_est" localSheetId="2" hidden="1">1</definedName>
    <definedName name="solver_itr" localSheetId="2" hidden="1">2147483647</definedName>
    <definedName name="solver_lhs1" localSheetId="2" hidden="1">'Private Car Analysis &amp; Split'!$S$161:$S$173</definedName>
    <definedName name="solver_lhs2" localSheetId="2" hidden="1">'Private Car Analysis &amp; Split'!$S$161:$S$173</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2</definedName>
    <definedName name="solver_nwt" localSheetId="2" hidden="1">1</definedName>
    <definedName name="solver_opt" localSheetId="2" hidden="1">'Private Car Analysis &amp; Split'!$L$177</definedName>
    <definedName name="solver_pre" localSheetId="2" hidden="1">0.000001</definedName>
    <definedName name="solver_rbv" localSheetId="2" hidden="1">2</definedName>
    <definedName name="solver_rel1" localSheetId="2" hidden="1">1</definedName>
    <definedName name="solver_rel2" localSheetId="2" hidden="1">3</definedName>
    <definedName name="solver_rhs1" localSheetId="2" hidden="1">1</definedName>
    <definedName name="solver_rhs2" localSheetId="2" hidden="1">0</definedName>
    <definedName name="solver_rlx" localSheetId="2" hidden="1">2</definedName>
    <definedName name="solver_rsd" localSheetId="2" hidden="1">0</definedName>
    <definedName name="solver_scl" localSheetId="2" hidden="1">2</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2</definedName>
    <definedName name="solver_val" localSheetId="2" hidden="1">0</definedName>
    <definedName name="solver_ver" localSheetId="2" hidden="1">3</definedName>
  </definedNames>
  <calcPr calcId="179017"/>
</workbook>
</file>

<file path=xl/calcChain.xml><?xml version="1.0" encoding="utf-8"?>
<calcChain xmlns="http://schemas.openxmlformats.org/spreadsheetml/2006/main">
  <c r="V22" i="24" l="1"/>
  <c r="Y17" i="24" a="1"/>
  <c r="Y17" i="24" s="1"/>
  <c r="Y133" i="24" l="1" a="1"/>
  <c r="S160" i="7" l="1"/>
  <c r="S159" i="7"/>
  <c r="S155" i="7"/>
  <c r="S156" i="7" s="1"/>
  <c r="S157" i="7" s="1"/>
  <c r="S154" i="7"/>
  <c r="AD12" i="7" l="1"/>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11" i="7"/>
  <c r="AD126" i="7"/>
  <c r="AD125" i="7"/>
  <c r="AD68" i="7"/>
  <c r="AD67" i="7"/>
  <c r="W11" i="9" l="1"/>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10" i="9"/>
  <c r="AF11" i="8" l="1"/>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2" i="8"/>
  <c r="AF53" i="8"/>
  <c r="AF54" i="8"/>
  <c r="AF55" i="8"/>
  <c r="AF56" i="8"/>
  <c r="AF10" i="8"/>
  <c r="C245" i="6" l="1"/>
  <c r="D245" i="6"/>
  <c r="E245" i="6"/>
  <c r="I245" i="6"/>
  <c r="C246" i="6"/>
  <c r="D246" i="6"/>
  <c r="E246" i="6"/>
  <c r="I246" i="6"/>
  <c r="C247" i="6"/>
  <c r="D247" i="6"/>
  <c r="E247" i="6"/>
  <c r="I247" i="6"/>
  <c r="C248" i="6"/>
  <c r="D248" i="6"/>
  <c r="E248" i="6"/>
  <c r="I248" i="6"/>
  <c r="C249" i="6"/>
  <c r="D249" i="6"/>
  <c r="E249" i="6"/>
  <c r="I249" i="6"/>
  <c r="C250" i="6"/>
  <c r="D250" i="6"/>
  <c r="E250" i="6"/>
  <c r="I250" i="6"/>
  <c r="C251" i="6"/>
  <c r="D251" i="6"/>
  <c r="E251" i="6"/>
  <c r="I251" i="6"/>
  <c r="C252" i="6"/>
  <c r="D252" i="6"/>
  <c r="E252" i="6"/>
  <c r="I252" i="6"/>
  <c r="C253" i="6"/>
  <c r="D253" i="6"/>
  <c r="E253" i="6"/>
  <c r="I253" i="6"/>
  <c r="C254" i="6"/>
  <c r="D254" i="6"/>
  <c r="E254" i="6"/>
  <c r="I254" i="6"/>
  <c r="C255" i="6"/>
  <c r="D255" i="6"/>
  <c r="E255" i="6"/>
  <c r="I255" i="6"/>
  <c r="C256" i="6"/>
  <c r="D256" i="6"/>
  <c r="E256" i="6"/>
  <c r="I256" i="6"/>
  <c r="C257" i="6"/>
  <c r="D257" i="6"/>
  <c r="E257" i="6"/>
  <c r="I257" i="6"/>
  <c r="C258" i="6"/>
  <c r="D258" i="6"/>
  <c r="E258" i="6"/>
  <c r="I258" i="6"/>
  <c r="C259" i="6"/>
  <c r="D259" i="6"/>
  <c r="E259" i="6"/>
  <c r="I259" i="6"/>
  <c r="C260" i="6"/>
  <c r="D260" i="6"/>
  <c r="E260" i="6"/>
  <c r="I260" i="6"/>
  <c r="C261" i="6"/>
  <c r="D261" i="6"/>
  <c r="E261" i="6"/>
  <c r="I261" i="6"/>
  <c r="C262" i="6"/>
  <c r="D262" i="6"/>
  <c r="E262" i="6"/>
  <c r="I262" i="6"/>
  <c r="C263" i="6"/>
  <c r="D263" i="6"/>
  <c r="E263" i="6"/>
  <c r="I263" i="6"/>
  <c r="C264" i="6"/>
  <c r="D264" i="6"/>
  <c r="E264" i="6"/>
  <c r="I264" i="6"/>
  <c r="C265" i="6"/>
  <c r="D265" i="6"/>
  <c r="E265" i="6"/>
  <c r="I265" i="6"/>
  <c r="C266" i="6"/>
  <c r="D266" i="6"/>
  <c r="E266" i="6"/>
  <c r="I266" i="6"/>
  <c r="C267" i="6"/>
  <c r="D267" i="6"/>
  <c r="E267" i="6"/>
  <c r="I267" i="6"/>
  <c r="C268" i="6"/>
  <c r="D268" i="6"/>
  <c r="E268" i="6"/>
  <c r="I268" i="6"/>
  <c r="C269" i="6"/>
  <c r="D269" i="6"/>
  <c r="E269" i="6"/>
  <c r="I269" i="6"/>
  <c r="C270" i="6"/>
  <c r="D270" i="6"/>
  <c r="E270" i="6"/>
  <c r="I270" i="6"/>
  <c r="C271" i="6"/>
  <c r="D271" i="6"/>
  <c r="E271" i="6"/>
  <c r="I271" i="6"/>
  <c r="C272" i="6"/>
  <c r="D272" i="6"/>
  <c r="E272" i="6"/>
  <c r="I272" i="6"/>
  <c r="C273" i="6"/>
  <c r="D273" i="6"/>
  <c r="E273" i="6"/>
  <c r="I273" i="6"/>
  <c r="C274" i="6"/>
  <c r="D274" i="6"/>
  <c r="E274" i="6"/>
  <c r="I274" i="6"/>
  <c r="C275" i="6"/>
  <c r="D275" i="6"/>
  <c r="E275" i="6"/>
  <c r="I275" i="6"/>
  <c r="C276" i="6"/>
  <c r="D276" i="6"/>
  <c r="E276" i="6"/>
  <c r="I276" i="6"/>
  <c r="C277" i="6"/>
  <c r="D277" i="6"/>
  <c r="E277" i="6"/>
  <c r="I277" i="6"/>
  <c r="C278" i="6"/>
  <c r="D278" i="6"/>
  <c r="E278" i="6"/>
  <c r="I278" i="6"/>
  <c r="C279" i="6"/>
  <c r="D279" i="6"/>
  <c r="E279" i="6"/>
  <c r="I279" i="6"/>
  <c r="C280" i="6"/>
  <c r="D280" i="6"/>
  <c r="E280" i="6"/>
  <c r="I280" i="6"/>
  <c r="C281" i="6"/>
  <c r="D281" i="6"/>
  <c r="E281" i="6"/>
  <c r="I281" i="6"/>
  <c r="C282" i="6"/>
  <c r="D282" i="6"/>
  <c r="E282" i="6"/>
  <c r="I282" i="6"/>
  <c r="C283" i="6"/>
  <c r="D283" i="6"/>
  <c r="E283" i="6"/>
  <c r="I283" i="6"/>
  <c r="C284" i="6"/>
  <c r="D284" i="6"/>
  <c r="E284" i="6"/>
  <c r="I284" i="6"/>
  <c r="C285" i="6"/>
  <c r="D285" i="6"/>
  <c r="E285" i="6"/>
  <c r="I285" i="6"/>
  <c r="C286" i="6"/>
  <c r="D286" i="6"/>
  <c r="E286" i="6"/>
  <c r="I286" i="6"/>
  <c r="C287" i="6"/>
  <c r="D287" i="6"/>
  <c r="E287" i="6"/>
  <c r="I287" i="6"/>
  <c r="C288" i="6"/>
  <c r="D288" i="6"/>
  <c r="E288" i="6"/>
  <c r="I288" i="6"/>
  <c r="C289" i="6"/>
  <c r="D289" i="6"/>
  <c r="E289" i="6"/>
  <c r="I289" i="6"/>
  <c r="C290" i="6"/>
  <c r="D290" i="6"/>
  <c r="E290" i="6"/>
  <c r="I290" i="6"/>
  <c r="C291" i="6"/>
  <c r="D291" i="6"/>
  <c r="E291" i="6"/>
  <c r="I291" i="6"/>
  <c r="I244" i="6"/>
  <c r="E244" i="6"/>
  <c r="D244" i="6"/>
  <c r="C244" i="6"/>
  <c r="I243" i="6"/>
  <c r="E243" i="6"/>
  <c r="D243" i="6"/>
  <c r="C243" i="6"/>
  <c r="C187" i="6"/>
  <c r="D187" i="6"/>
  <c r="I187" i="6"/>
  <c r="C188" i="6"/>
  <c r="D188" i="6"/>
  <c r="I188" i="6"/>
  <c r="C189" i="6"/>
  <c r="D189" i="6"/>
  <c r="I189" i="6"/>
  <c r="C190" i="6"/>
  <c r="D190" i="6"/>
  <c r="I190" i="6"/>
  <c r="C191" i="6"/>
  <c r="D191" i="6"/>
  <c r="I191" i="6"/>
  <c r="C192" i="6"/>
  <c r="D192" i="6"/>
  <c r="I192" i="6"/>
  <c r="C193" i="6"/>
  <c r="D193" i="6"/>
  <c r="I193" i="6"/>
  <c r="C194" i="6"/>
  <c r="D194" i="6"/>
  <c r="I194" i="6"/>
  <c r="C195" i="6"/>
  <c r="D195" i="6"/>
  <c r="I195" i="6"/>
  <c r="C196" i="6"/>
  <c r="D196" i="6"/>
  <c r="I196" i="6"/>
  <c r="C197" i="6"/>
  <c r="D197" i="6"/>
  <c r="I197" i="6"/>
  <c r="C198" i="6"/>
  <c r="D198" i="6"/>
  <c r="I198" i="6"/>
  <c r="C199" i="6"/>
  <c r="D199" i="6"/>
  <c r="I199" i="6"/>
  <c r="C200" i="6"/>
  <c r="D200" i="6"/>
  <c r="I200" i="6"/>
  <c r="C201" i="6"/>
  <c r="D201" i="6"/>
  <c r="I201" i="6"/>
  <c r="C202" i="6"/>
  <c r="D202" i="6"/>
  <c r="I202" i="6"/>
  <c r="C203" i="6"/>
  <c r="D203" i="6"/>
  <c r="I203" i="6"/>
  <c r="C204" i="6"/>
  <c r="D204" i="6"/>
  <c r="I204" i="6"/>
  <c r="C205" i="6"/>
  <c r="D205" i="6"/>
  <c r="I205" i="6"/>
  <c r="C206" i="6"/>
  <c r="D206" i="6"/>
  <c r="I206" i="6"/>
  <c r="C207" i="6"/>
  <c r="D207" i="6"/>
  <c r="I207" i="6"/>
  <c r="C208" i="6"/>
  <c r="D208" i="6"/>
  <c r="I208" i="6"/>
  <c r="C209" i="6"/>
  <c r="D209" i="6"/>
  <c r="I209" i="6"/>
  <c r="C210" i="6"/>
  <c r="D210" i="6"/>
  <c r="I210" i="6"/>
  <c r="C211" i="6"/>
  <c r="D211" i="6"/>
  <c r="I211" i="6"/>
  <c r="C212" i="6"/>
  <c r="D212" i="6"/>
  <c r="I212" i="6"/>
  <c r="C213" i="6"/>
  <c r="D213" i="6"/>
  <c r="I213" i="6"/>
  <c r="C214" i="6"/>
  <c r="D214" i="6"/>
  <c r="I214" i="6"/>
  <c r="C215" i="6"/>
  <c r="D215" i="6"/>
  <c r="I215" i="6"/>
  <c r="C216" i="6"/>
  <c r="D216" i="6"/>
  <c r="I216" i="6"/>
  <c r="C217" i="6"/>
  <c r="D217" i="6"/>
  <c r="I217" i="6"/>
  <c r="C218" i="6"/>
  <c r="D218" i="6"/>
  <c r="I218" i="6"/>
  <c r="C219" i="6"/>
  <c r="D219" i="6"/>
  <c r="I219" i="6"/>
  <c r="C220" i="6"/>
  <c r="D220" i="6"/>
  <c r="I220" i="6"/>
  <c r="C221" i="6"/>
  <c r="D221" i="6"/>
  <c r="I221" i="6"/>
  <c r="C222" i="6"/>
  <c r="D222" i="6"/>
  <c r="I222" i="6"/>
  <c r="C223" i="6"/>
  <c r="D223" i="6"/>
  <c r="I223" i="6"/>
  <c r="C224" i="6"/>
  <c r="D224" i="6"/>
  <c r="I224" i="6"/>
  <c r="C225" i="6"/>
  <c r="D225" i="6"/>
  <c r="I225" i="6"/>
  <c r="C226" i="6"/>
  <c r="D226" i="6"/>
  <c r="I226" i="6"/>
  <c r="C227" i="6"/>
  <c r="D227" i="6"/>
  <c r="I227" i="6"/>
  <c r="C228" i="6"/>
  <c r="D228" i="6"/>
  <c r="I228" i="6"/>
  <c r="C229" i="6"/>
  <c r="D229" i="6"/>
  <c r="I229" i="6"/>
  <c r="C230" i="6"/>
  <c r="D230" i="6"/>
  <c r="I230" i="6"/>
  <c r="C231" i="6"/>
  <c r="D231" i="6"/>
  <c r="I231" i="6"/>
  <c r="C232" i="6"/>
  <c r="D232" i="6"/>
  <c r="I232" i="6"/>
  <c r="C233" i="6"/>
  <c r="D233" i="6"/>
  <c r="I233" i="6"/>
  <c r="C234" i="6"/>
  <c r="D234" i="6"/>
  <c r="I234" i="6"/>
  <c r="I186" i="6"/>
  <c r="D186" i="6"/>
  <c r="C186" i="6"/>
  <c r="C72" i="6"/>
  <c r="D72" i="6"/>
  <c r="F72" i="6"/>
  <c r="I72" i="6"/>
  <c r="C73" i="6"/>
  <c r="D73" i="6"/>
  <c r="F73" i="6"/>
  <c r="I73" i="6"/>
  <c r="C74" i="6"/>
  <c r="D74" i="6"/>
  <c r="F74" i="6"/>
  <c r="I74" i="6"/>
  <c r="C75" i="6"/>
  <c r="D75" i="6"/>
  <c r="F75" i="6"/>
  <c r="I75" i="6"/>
  <c r="C76" i="6"/>
  <c r="D76" i="6"/>
  <c r="F76" i="6"/>
  <c r="I76" i="6"/>
  <c r="C77" i="6"/>
  <c r="D77" i="6"/>
  <c r="F77" i="6"/>
  <c r="I77" i="6"/>
  <c r="C78" i="6"/>
  <c r="D78" i="6"/>
  <c r="F78" i="6"/>
  <c r="I78" i="6"/>
  <c r="C79" i="6"/>
  <c r="D79" i="6"/>
  <c r="F79" i="6"/>
  <c r="I79" i="6"/>
  <c r="C80" i="6"/>
  <c r="D80" i="6"/>
  <c r="F80" i="6"/>
  <c r="I80" i="6"/>
  <c r="C81" i="6"/>
  <c r="D81" i="6"/>
  <c r="F81" i="6"/>
  <c r="I81" i="6"/>
  <c r="C82" i="6"/>
  <c r="D82" i="6"/>
  <c r="F82" i="6"/>
  <c r="I82" i="6"/>
  <c r="C83" i="6"/>
  <c r="D83" i="6"/>
  <c r="F83" i="6"/>
  <c r="I83" i="6"/>
  <c r="C84" i="6"/>
  <c r="D84" i="6"/>
  <c r="F84" i="6"/>
  <c r="I84" i="6"/>
  <c r="C85" i="6"/>
  <c r="D85" i="6"/>
  <c r="F85" i="6"/>
  <c r="I85" i="6"/>
  <c r="C86" i="6"/>
  <c r="D86" i="6"/>
  <c r="F86" i="6"/>
  <c r="I86" i="6"/>
  <c r="C87" i="6"/>
  <c r="D87" i="6"/>
  <c r="F87" i="6"/>
  <c r="I87" i="6"/>
  <c r="C88" i="6"/>
  <c r="D88" i="6"/>
  <c r="F88" i="6"/>
  <c r="I88" i="6"/>
  <c r="C89" i="6"/>
  <c r="D89" i="6"/>
  <c r="F89" i="6"/>
  <c r="I89" i="6"/>
  <c r="C90" i="6"/>
  <c r="D90" i="6"/>
  <c r="F90" i="6"/>
  <c r="I90" i="6"/>
  <c r="C91" i="6"/>
  <c r="D91" i="6"/>
  <c r="F91" i="6"/>
  <c r="I91" i="6"/>
  <c r="C92" i="6"/>
  <c r="D92" i="6"/>
  <c r="F92" i="6"/>
  <c r="I92" i="6"/>
  <c r="C93" i="6"/>
  <c r="D93" i="6"/>
  <c r="F93" i="6"/>
  <c r="I93" i="6"/>
  <c r="C94" i="6"/>
  <c r="D94" i="6"/>
  <c r="F94" i="6"/>
  <c r="I94" i="6"/>
  <c r="C95" i="6"/>
  <c r="D95" i="6"/>
  <c r="F95" i="6"/>
  <c r="I95" i="6"/>
  <c r="C96" i="6"/>
  <c r="D96" i="6"/>
  <c r="F96" i="6"/>
  <c r="I96" i="6"/>
  <c r="C97" i="6"/>
  <c r="D97" i="6"/>
  <c r="F97" i="6"/>
  <c r="I97" i="6"/>
  <c r="C98" i="6"/>
  <c r="D98" i="6"/>
  <c r="F98" i="6"/>
  <c r="I98" i="6"/>
  <c r="C99" i="6"/>
  <c r="D99" i="6"/>
  <c r="F99" i="6"/>
  <c r="I99" i="6"/>
  <c r="C100" i="6"/>
  <c r="D100" i="6"/>
  <c r="F100" i="6"/>
  <c r="I100" i="6"/>
  <c r="C101" i="6"/>
  <c r="D101" i="6"/>
  <c r="F101" i="6"/>
  <c r="I101" i="6"/>
  <c r="C102" i="6"/>
  <c r="D102" i="6"/>
  <c r="F102" i="6"/>
  <c r="I102" i="6"/>
  <c r="C103" i="6"/>
  <c r="D103" i="6"/>
  <c r="F103" i="6"/>
  <c r="I103" i="6"/>
  <c r="C104" i="6"/>
  <c r="D104" i="6"/>
  <c r="F104" i="6"/>
  <c r="I104" i="6"/>
  <c r="C105" i="6"/>
  <c r="D105" i="6"/>
  <c r="F105" i="6"/>
  <c r="I105" i="6"/>
  <c r="C106" i="6"/>
  <c r="D106" i="6"/>
  <c r="F106" i="6"/>
  <c r="I106" i="6"/>
  <c r="C107" i="6"/>
  <c r="D107" i="6"/>
  <c r="F107" i="6"/>
  <c r="I107" i="6"/>
  <c r="C108" i="6"/>
  <c r="D108" i="6"/>
  <c r="F108" i="6"/>
  <c r="I108" i="6"/>
  <c r="C109" i="6"/>
  <c r="D109" i="6"/>
  <c r="F109" i="6"/>
  <c r="I109" i="6"/>
  <c r="C110" i="6"/>
  <c r="D110" i="6"/>
  <c r="F110" i="6"/>
  <c r="I110" i="6"/>
  <c r="C111" i="6"/>
  <c r="D111" i="6"/>
  <c r="F111" i="6"/>
  <c r="I111" i="6"/>
  <c r="C112" i="6"/>
  <c r="D112" i="6"/>
  <c r="F112" i="6"/>
  <c r="I112" i="6"/>
  <c r="C113" i="6"/>
  <c r="D113" i="6"/>
  <c r="F113" i="6"/>
  <c r="I113" i="6"/>
  <c r="C114" i="6"/>
  <c r="D114" i="6"/>
  <c r="F114" i="6"/>
  <c r="I114" i="6"/>
  <c r="C115" i="6"/>
  <c r="D115" i="6"/>
  <c r="F115" i="6"/>
  <c r="I115" i="6"/>
  <c r="C116" i="6"/>
  <c r="D116" i="6"/>
  <c r="F116" i="6"/>
  <c r="I116" i="6"/>
  <c r="C117" i="6"/>
  <c r="D117" i="6"/>
  <c r="F117" i="6"/>
  <c r="I117" i="6"/>
  <c r="C118" i="6"/>
  <c r="D118" i="6"/>
  <c r="F118" i="6"/>
  <c r="I118" i="6"/>
  <c r="C119" i="6"/>
  <c r="D119" i="6"/>
  <c r="F119" i="6"/>
  <c r="I119" i="6"/>
  <c r="I71" i="6"/>
  <c r="F71" i="6"/>
  <c r="D71" i="6"/>
  <c r="C71" i="6"/>
  <c r="J59" i="6"/>
  <c r="I59" i="6"/>
  <c r="G59" i="6"/>
  <c r="F59" i="6"/>
  <c r="D59" i="6"/>
  <c r="C59" i="6"/>
  <c r="J58" i="6"/>
  <c r="I58" i="6"/>
  <c r="G58" i="6"/>
  <c r="F58" i="6"/>
  <c r="D58" i="6"/>
  <c r="C58" i="6"/>
  <c r="J57" i="6"/>
  <c r="I57" i="6"/>
  <c r="G57" i="6"/>
  <c r="F57" i="6"/>
  <c r="D57" i="6"/>
  <c r="C57" i="6"/>
  <c r="J56" i="6"/>
  <c r="I56" i="6"/>
  <c r="G56" i="6"/>
  <c r="F56" i="6"/>
  <c r="D56" i="6"/>
  <c r="C56" i="6"/>
  <c r="J55" i="6"/>
  <c r="I55" i="6"/>
  <c r="G55" i="6"/>
  <c r="F55" i="6"/>
  <c r="D55" i="6"/>
  <c r="C55" i="6"/>
  <c r="J54" i="6"/>
  <c r="I54" i="6"/>
  <c r="G54" i="6"/>
  <c r="F54" i="6"/>
  <c r="D54" i="6"/>
  <c r="C54" i="6"/>
  <c r="J53" i="6"/>
  <c r="I53" i="6"/>
  <c r="G53" i="6"/>
  <c r="F53" i="6"/>
  <c r="D53" i="6"/>
  <c r="C53" i="6"/>
  <c r="J52" i="6"/>
  <c r="I52" i="6"/>
  <c r="G52" i="6"/>
  <c r="F52" i="6"/>
  <c r="D52" i="6"/>
  <c r="C52" i="6"/>
  <c r="J51" i="6"/>
  <c r="I51" i="6"/>
  <c r="G51" i="6"/>
  <c r="F51" i="6"/>
  <c r="D51" i="6"/>
  <c r="C51" i="6"/>
  <c r="J50" i="6"/>
  <c r="I50" i="6"/>
  <c r="G50" i="6"/>
  <c r="F50" i="6"/>
  <c r="D50" i="6"/>
  <c r="C50" i="6"/>
  <c r="J49" i="6"/>
  <c r="I49" i="6"/>
  <c r="G49" i="6"/>
  <c r="F49" i="6"/>
  <c r="D49" i="6"/>
  <c r="C49" i="6"/>
  <c r="J48" i="6"/>
  <c r="I48" i="6"/>
  <c r="G48" i="6"/>
  <c r="F48" i="6"/>
  <c r="D48" i="6"/>
  <c r="C48" i="6"/>
  <c r="J47" i="6"/>
  <c r="I47" i="6"/>
  <c r="G47" i="6"/>
  <c r="F47" i="6"/>
  <c r="D47" i="6"/>
  <c r="C47" i="6"/>
  <c r="J46" i="6"/>
  <c r="I46" i="6"/>
  <c r="G46" i="6"/>
  <c r="F46" i="6"/>
  <c r="D46" i="6"/>
  <c r="C46" i="6"/>
  <c r="J45" i="6"/>
  <c r="I45" i="6"/>
  <c r="G45" i="6"/>
  <c r="F45" i="6"/>
  <c r="D45" i="6"/>
  <c r="C45" i="6"/>
  <c r="J44" i="6"/>
  <c r="I44" i="6"/>
  <c r="G44" i="6"/>
  <c r="F44" i="6"/>
  <c r="D44" i="6"/>
  <c r="C44" i="6"/>
  <c r="J43" i="6"/>
  <c r="I43" i="6"/>
  <c r="G43" i="6"/>
  <c r="F43" i="6"/>
  <c r="D43" i="6"/>
  <c r="C43" i="6"/>
  <c r="J42" i="6"/>
  <c r="I42" i="6"/>
  <c r="G42" i="6"/>
  <c r="F42" i="6"/>
  <c r="D42" i="6"/>
  <c r="C42" i="6"/>
  <c r="J41" i="6"/>
  <c r="I41" i="6"/>
  <c r="G41" i="6"/>
  <c r="F41" i="6"/>
  <c r="D41" i="6"/>
  <c r="C41" i="6"/>
  <c r="J40" i="6"/>
  <c r="I40" i="6"/>
  <c r="G40" i="6"/>
  <c r="F40" i="6"/>
  <c r="D40" i="6"/>
  <c r="C40" i="6"/>
  <c r="J39" i="6"/>
  <c r="I39" i="6"/>
  <c r="G39" i="6"/>
  <c r="F39" i="6"/>
  <c r="D39" i="6"/>
  <c r="C39" i="6"/>
  <c r="J38" i="6"/>
  <c r="I38" i="6"/>
  <c r="G38" i="6"/>
  <c r="F38" i="6"/>
  <c r="D38" i="6"/>
  <c r="C38" i="6"/>
  <c r="J37" i="6"/>
  <c r="I37" i="6"/>
  <c r="G37" i="6"/>
  <c r="F37" i="6"/>
  <c r="D37" i="6"/>
  <c r="C37" i="6"/>
  <c r="J36" i="6"/>
  <c r="I36" i="6"/>
  <c r="G36" i="6"/>
  <c r="F36" i="6"/>
  <c r="D36" i="6"/>
  <c r="C36" i="6"/>
  <c r="J35" i="6"/>
  <c r="I35" i="6"/>
  <c r="G35" i="6"/>
  <c r="F35" i="6"/>
  <c r="D35" i="6"/>
  <c r="C35" i="6"/>
  <c r="J34" i="6"/>
  <c r="I34" i="6"/>
  <c r="G34" i="6"/>
  <c r="F34" i="6"/>
  <c r="D34" i="6"/>
  <c r="C34" i="6"/>
  <c r="J33" i="6"/>
  <c r="I33" i="6"/>
  <c r="G33" i="6"/>
  <c r="F33" i="6"/>
  <c r="D33" i="6"/>
  <c r="C33" i="6"/>
  <c r="J32" i="6"/>
  <c r="I32" i="6"/>
  <c r="G32" i="6"/>
  <c r="F32" i="6"/>
  <c r="D32" i="6"/>
  <c r="C32" i="6"/>
  <c r="J31" i="6"/>
  <c r="I31" i="6"/>
  <c r="G31" i="6"/>
  <c r="F31" i="6"/>
  <c r="D31" i="6"/>
  <c r="C31" i="6"/>
  <c r="J30" i="6"/>
  <c r="I30" i="6"/>
  <c r="G30" i="6"/>
  <c r="F30" i="6"/>
  <c r="D30" i="6"/>
  <c r="C30" i="6"/>
  <c r="J29" i="6"/>
  <c r="I29" i="6"/>
  <c r="G29" i="6"/>
  <c r="F29" i="6"/>
  <c r="D29" i="6"/>
  <c r="C29" i="6"/>
  <c r="J28" i="6"/>
  <c r="I28" i="6"/>
  <c r="G28" i="6"/>
  <c r="F28" i="6"/>
  <c r="D28" i="6"/>
  <c r="C28" i="6"/>
  <c r="J27" i="6"/>
  <c r="I27" i="6"/>
  <c r="G27" i="6"/>
  <c r="F27" i="6"/>
  <c r="D27" i="6"/>
  <c r="C27" i="6"/>
  <c r="J26" i="6"/>
  <c r="I26" i="6"/>
  <c r="G26" i="6"/>
  <c r="F26" i="6"/>
  <c r="D26" i="6"/>
  <c r="C26" i="6"/>
  <c r="J25" i="6"/>
  <c r="I25" i="6"/>
  <c r="G25" i="6"/>
  <c r="F25" i="6"/>
  <c r="D25" i="6"/>
  <c r="C25" i="6"/>
  <c r="J24" i="6"/>
  <c r="I24" i="6"/>
  <c r="G24" i="6"/>
  <c r="F24" i="6"/>
  <c r="D24" i="6"/>
  <c r="C24" i="6"/>
  <c r="J23" i="6"/>
  <c r="I23" i="6"/>
  <c r="G23" i="6"/>
  <c r="F23" i="6"/>
  <c r="D23" i="6"/>
  <c r="C23" i="6"/>
  <c r="J22" i="6"/>
  <c r="I22" i="6"/>
  <c r="G22" i="6"/>
  <c r="F22" i="6"/>
  <c r="D22" i="6"/>
  <c r="C22" i="6"/>
  <c r="J21" i="6"/>
  <c r="I21" i="6"/>
  <c r="G21" i="6"/>
  <c r="F21" i="6"/>
  <c r="D21" i="6"/>
  <c r="C21" i="6"/>
  <c r="J20" i="6"/>
  <c r="I20" i="6"/>
  <c r="G20" i="6"/>
  <c r="F20" i="6"/>
  <c r="D20" i="6"/>
  <c r="C20" i="6"/>
  <c r="J19" i="6"/>
  <c r="I19" i="6"/>
  <c r="G19" i="6"/>
  <c r="F19" i="6"/>
  <c r="D19" i="6"/>
  <c r="C19" i="6"/>
  <c r="J18" i="6"/>
  <c r="I18" i="6"/>
  <c r="G18" i="6"/>
  <c r="F18" i="6"/>
  <c r="D18" i="6"/>
  <c r="C18" i="6"/>
  <c r="J17" i="6"/>
  <c r="I17" i="6"/>
  <c r="G17" i="6"/>
  <c r="F17" i="6"/>
  <c r="D17" i="6"/>
  <c r="C17" i="6"/>
  <c r="J16" i="6"/>
  <c r="I16" i="6"/>
  <c r="G16" i="6"/>
  <c r="F16" i="6"/>
  <c r="D16" i="6"/>
  <c r="C16" i="6"/>
  <c r="J15" i="6"/>
  <c r="I15" i="6"/>
  <c r="G15" i="6"/>
  <c r="F15" i="6"/>
  <c r="D15" i="6"/>
  <c r="C15" i="6"/>
  <c r="J14" i="6"/>
  <c r="I14" i="6"/>
  <c r="G14" i="6"/>
  <c r="F14" i="6"/>
  <c r="D14" i="6"/>
  <c r="C14" i="6"/>
  <c r="J13" i="6"/>
  <c r="I13" i="6"/>
  <c r="G13" i="6"/>
  <c r="F13" i="6"/>
  <c r="D13" i="6"/>
  <c r="C13" i="6"/>
  <c r="C12" i="6"/>
  <c r="J12" i="6"/>
  <c r="J11" i="6"/>
  <c r="I12" i="6"/>
  <c r="I11" i="6"/>
  <c r="F12" i="6"/>
  <c r="G12" i="6"/>
  <c r="G11" i="6"/>
  <c r="F11" i="6"/>
  <c r="D12" i="6"/>
  <c r="D11" i="6"/>
  <c r="C11" i="6"/>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V83" i="24" l="1" a="1"/>
  <c r="V141" i="24" a="1"/>
  <c r="V138" i="24" a="1"/>
  <c r="V94" i="7"/>
  <c r="V95" i="7"/>
  <c r="V96" i="7"/>
  <c r="V97" i="7"/>
  <c r="S105" i="7"/>
  <c r="S106" i="7"/>
  <c r="S107" i="7"/>
  <c r="S108" i="7"/>
  <c r="S109" i="7"/>
  <c r="S110" i="7"/>
  <c r="S111" i="7"/>
  <c r="S112" i="7"/>
  <c r="S113" i="7"/>
  <c r="V114" i="8"/>
  <c r="Y114" i="8"/>
  <c r="AA167" i="7"/>
  <c r="Y160" i="8" s="1"/>
  <c r="AA168" i="7"/>
  <c r="Y161" i="8" s="1"/>
  <c r="AA169" i="7"/>
  <c r="Y162" i="8" s="1"/>
  <c r="AA170" i="7"/>
  <c r="Y163" i="8"/>
  <c r="AA171" i="7"/>
  <c r="Y164" i="8" s="1"/>
  <c r="AA172" i="7"/>
  <c r="Y165" i="8" s="1"/>
  <c r="AA173" i="7"/>
  <c r="Y166" i="8" s="1"/>
  <c r="S114" i="8"/>
  <c r="AA138" i="7"/>
  <c r="Y131" i="8"/>
  <c r="S115" i="9"/>
  <c r="P115" i="9"/>
  <c r="AA127" i="7"/>
  <c r="S121" i="9"/>
  <c r="AA128" i="7"/>
  <c r="S122" i="9" s="1"/>
  <c r="AA129" i="7"/>
  <c r="S123" i="9"/>
  <c r="AA130" i="7"/>
  <c r="S124" i="9" s="1"/>
  <c r="AA131" i="7"/>
  <c r="S125" i="9"/>
  <c r="AA132" i="7"/>
  <c r="S126" i="9" s="1"/>
  <c r="AA133" i="7"/>
  <c r="S127" i="9" s="1"/>
  <c r="AA134" i="7"/>
  <c r="S128" i="9"/>
  <c r="AA135" i="7"/>
  <c r="S129" i="9" s="1"/>
  <c r="T129" i="9" s="1"/>
  <c r="AA136" i="7"/>
  <c r="S130" i="9" s="1"/>
  <c r="AA137" i="7"/>
  <c r="S131" i="9" s="1"/>
  <c r="S132" i="9"/>
  <c r="AA139" i="7"/>
  <c r="S133" i="9" s="1"/>
  <c r="AA140" i="7"/>
  <c r="S134" i="9" s="1"/>
  <c r="AA141" i="7"/>
  <c r="S135" i="9" s="1"/>
  <c r="AA142" i="7"/>
  <c r="S136" i="9" s="1"/>
  <c r="AA143" i="7"/>
  <c r="S137" i="9" s="1"/>
  <c r="T137" i="9" s="1"/>
  <c r="AA144" i="7"/>
  <c r="S138" i="9" s="1"/>
  <c r="T138" i="9" s="1"/>
  <c r="AA145" i="7"/>
  <c r="S139" i="9" s="1"/>
  <c r="AA146" i="7"/>
  <c r="S140" i="9" s="1"/>
  <c r="T140" i="9" s="1"/>
  <c r="AA147" i="7"/>
  <c r="S141" i="9" s="1"/>
  <c r="T141" i="9" s="1"/>
  <c r="AA148" i="7"/>
  <c r="S142" i="9" s="1"/>
  <c r="T142" i="9" s="1"/>
  <c r="AA149" i="7"/>
  <c r="S143" i="9" s="1"/>
  <c r="T143" i="9" s="1"/>
  <c r="AA150" i="7"/>
  <c r="S144" i="9" s="1"/>
  <c r="AA151" i="7"/>
  <c r="S145" i="9" s="1"/>
  <c r="AA152" i="7"/>
  <c r="S146" i="9" s="1"/>
  <c r="AA153" i="7"/>
  <c r="S147" i="9" s="1"/>
  <c r="T147" i="9" s="1"/>
  <c r="AA155" i="7"/>
  <c r="S149" i="9" s="1"/>
  <c r="T149" i="9" s="1"/>
  <c r="AA156" i="7"/>
  <c r="S150" i="9" s="1"/>
  <c r="AA157" i="7"/>
  <c r="S151" i="9" s="1"/>
  <c r="AA158" i="7"/>
  <c r="S152" i="9" s="1"/>
  <c r="T152" i="9" s="1"/>
  <c r="AA159" i="7"/>
  <c r="S153" i="9" s="1"/>
  <c r="AA160" i="7"/>
  <c r="S154" i="9" s="1"/>
  <c r="T154" i="9" s="1"/>
  <c r="AA161" i="7"/>
  <c r="S155" i="9" s="1"/>
  <c r="AA162" i="7"/>
  <c r="S156" i="9" s="1"/>
  <c r="AA163" i="7"/>
  <c r="S157" i="9" s="1"/>
  <c r="T157" i="9" s="1"/>
  <c r="AA164" i="7"/>
  <c r="S158" i="9" s="1"/>
  <c r="N159" i="9"/>
  <c r="AA165" i="7"/>
  <c r="S159" i="9" s="1"/>
  <c r="AA166" i="7"/>
  <c r="S160" i="9"/>
  <c r="S161" i="9"/>
  <c r="S162" i="9"/>
  <c r="S163" i="9"/>
  <c r="S164" i="9"/>
  <c r="S165" i="9"/>
  <c r="S166" i="9"/>
  <c r="S167" i="9"/>
  <c r="P4" i="9"/>
  <c r="S4" i="9"/>
  <c r="N21" i="9"/>
  <c r="N26" i="9"/>
  <c r="N29" i="9"/>
  <c r="N34" i="9"/>
  <c r="N37" i="9"/>
  <c r="N42" i="9"/>
  <c r="N50" i="9"/>
  <c r="N53" i="9"/>
  <c r="P59" i="9"/>
  <c r="S59" i="9"/>
  <c r="AA69" i="7"/>
  <c r="S65" i="9" s="1"/>
  <c r="T65" i="9" s="1"/>
  <c r="AA70" i="7"/>
  <c r="S66" i="9" s="1"/>
  <c r="AA71" i="7"/>
  <c r="S67" i="9" s="1"/>
  <c r="AA72" i="7"/>
  <c r="S68" i="9" s="1"/>
  <c r="AA73" i="7"/>
  <c r="S69" i="9" s="1"/>
  <c r="T69" i="9" s="1"/>
  <c r="AA74" i="7"/>
  <c r="S70" i="9" s="1"/>
  <c r="T70" i="9" s="1"/>
  <c r="AA75" i="7"/>
  <c r="S71" i="9" s="1"/>
  <c r="AA76" i="7"/>
  <c r="S72" i="9" s="1"/>
  <c r="T72" i="9" s="1"/>
  <c r="AA77" i="7"/>
  <c r="S73" i="9" s="1"/>
  <c r="AA78" i="7"/>
  <c r="S74" i="9" s="1"/>
  <c r="T74" i="9" s="1"/>
  <c r="AA79" i="7"/>
  <c r="S75" i="9" s="1"/>
  <c r="AA80" i="7"/>
  <c r="S76" i="9" s="1"/>
  <c r="AA81" i="7"/>
  <c r="S77" i="9" s="1"/>
  <c r="AA82" i="7"/>
  <c r="S78" i="9" s="1"/>
  <c r="AA83" i="7"/>
  <c r="S79" i="9" s="1"/>
  <c r="T79" i="9" s="1"/>
  <c r="AA84" i="7"/>
  <c r="S80" i="9" s="1"/>
  <c r="T80" i="9" s="1"/>
  <c r="AA85" i="7"/>
  <c r="S81" i="9" s="1"/>
  <c r="T81" i="9" s="1"/>
  <c r="AA86" i="7"/>
  <c r="S82" i="9" s="1"/>
  <c r="T82" i="9" s="1"/>
  <c r="AA87" i="7"/>
  <c r="S83" i="9" s="1"/>
  <c r="AA88" i="7"/>
  <c r="S84" i="9" s="1"/>
  <c r="T84" i="9" s="1"/>
  <c r="AA89" i="7"/>
  <c r="S85" i="9"/>
  <c r="N86" i="9"/>
  <c r="AA90" i="7"/>
  <c r="S86" i="9" s="1"/>
  <c r="T86" i="9" s="1"/>
  <c r="AA91" i="7"/>
  <c r="S87" i="9"/>
  <c r="AA92" i="7"/>
  <c r="S88" i="9" s="1"/>
  <c r="AA93" i="7"/>
  <c r="S89" i="9" s="1"/>
  <c r="AA94" i="7"/>
  <c r="S90" i="9" s="1"/>
  <c r="AA95" i="7"/>
  <c r="S91" i="9" s="1"/>
  <c r="T91" i="9" s="1"/>
  <c r="AA96" i="7"/>
  <c r="S92" i="9" s="1"/>
  <c r="AA97" i="7"/>
  <c r="S93" i="9" s="1"/>
  <c r="T93" i="9" s="1"/>
  <c r="AA98" i="7"/>
  <c r="S94" i="9" s="1"/>
  <c r="N95" i="9"/>
  <c r="AA99" i="7"/>
  <c r="S95" i="9" s="1"/>
  <c r="T95" i="9" s="1"/>
  <c r="AA100" i="7"/>
  <c r="S96" i="9" s="1"/>
  <c r="T96" i="9" s="1"/>
  <c r="AA101" i="7"/>
  <c r="S97" i="9" s="1"/>
  <c r="T97" i="9" s="1"/>
  <c r="AA102" i="7"/>
  <c r="S98" i="9"/>
  <c r="AA103" i="7"/>
  <c r="S99" i="9" s="1"/>
  <c r="T99" i="9" s="1"/>
  <c r="AA104" i="7"/>
  <c r="S100" i="9" s="1"/>
  <c r="X105" i="7"/>
  <c r="P101" i="9" s="1"/>
  <c r="Q101" i="9" s="1"/>
  <c r="AA105" i="7"/>
  <c r="S101" i="9"/>
  <c r="X106" i="7"/>
  <c r="P102" i="9" s="1"/>
  <c r="Q102" i="9" s="1"/>
  <c r="AA106" i="7"/>
  <c r="S102" i="9"/>
  <c r="X107" i="7"/>
  <c r="P103" i="9" s="1"/>
  <c r="Q103" i="9" s="1"/>
  <c r="AA107" i="7"/>
  <c r="S103" i="9" s="1"/>
  <c r="T103" i="9" s="1"/>
  <c r="X108" i="7"/>
  <c r="V104" i="8" s="1"/>
  <c r="AA108" i="7"/>
  <c r="S104" i="9" s="1"/>
  <c r="X109" i="7"/>
  <c r="P105" i="9" s="1"/>
  <c r="AA109" i="7"/>
  <c r="S105" i="9" s="1"/>
  <c r="X110" i="7"/>
  <c r="P106" i="9" s="1"/>
  <c r="Q106" i="9" s="1"/>
  <c r="AA110" i="7"/>
  <c r="S106" i="9" s="1"/>
  <c r="T106" i="9" s="1"/>
  <c r="X111" i="7"/>
  <c r="P107" i="9" s="1"/>
  <c r="AA111" i="7"/>
  <c r="S107" i="9" s="1"/>
  <c r="N108" i="9"/>
  <c r="X112" i="7"/>
  <c r="P108" i="9" s="1"/>
  <c r="Q108" i="9" s="1"/>
  <c r="AA112" i="7"/>
  <c r="S108" i="9" s="1"/>
  <c r="T108" i="9" s="1"/>
  <c r="X113" i="7"/>
  <c r="P109" i="9" s="1"/>
  <c r="Q109" i="9" s="1"/>
  <c r="AA113" i="7"/>
  <c r="S109" i="9" s="1"/>
  <c r="T109" i="9" s="1"/>
  <c r="S114" i="7"/>
  <c r="X114" i="7"/>
  <c r="P110" i="9" s="1"/>
  <c r="AA114" i="7"/>
  <c r="S110" i="9" s="1"/>
  <c r="N111" i="9"/>
  <c r="S115" i="7"/>
  <c r="X115" i="7"/>
  <c r="V111" i="8" s="1"/>
  <c r="AA115" i="7"/>
  <c r="S111" i="9" s="1"/>
  <c r="T111" i="9" s="1"/>
  <c r="S59" i="8"/>
  <c r="V59" i="8"/>
  <c r="Y59" i="8"/>
  <c r="Y120" i="8"/>
  <c r="Y121" i="8"/>
  <c r="Y122" i="8"/>
  <c r="Y123" i="8"/>
  <c r="Y124" i="8"/>
  <c r="Y125" i="8"/>
  <c r="Y126" i="8"/>
  <c r="Y127" i="8"/>
  <c r="Y128" i="8"/>
  <c r="Y129" i="8"/>
  <c r="Y130" i="8"/>
  <c r="Y132" i="8"/>
  <c r="Y133" i="8"/>
  <c r="Y134" i="8"/>
  <c r="Y135" i="8"/>
  <c r="Y136" i="8"/>
  <c r="Y137" i="8"/>
  <c r="Y138" i="8"/>
  <c r="Y139" i="8"/>
  <c r="Y140" i="8"/>
  <c r="Y141" i="8"/>
  <c r="Y142" i="8"/>
  <c r="Y143" i="8"/>
  <c r="Y144" i="8"/>
  <c r="Y145" i="8"/>
  <c r="Y146" i="8"/>
  <c r="Y148" i="8"/>
  <c r="Y149" i="8"/>
  <c r="Y150" i="8"/>
  <c r="Y151" i="8"/>
  <c r="Y152" i="8"/>
  <c r="Y153" i="8"/>
  <c r="Y154" i="8"/>
  <c r="Y155" i="8"/>
  <c r="Y156" i="8"/>
  <c r="Y157" i="8"/>
  <c r="Y158" i="8"/>
  <c r="Y159" i="8"/>
  <c r="S161" i="8"/>
  <c r="S4" i="8"/>
  <c r="V4" i="8"/>
  <c r="Y4" i="8"/>
  <c r="K15" i="18"/>
  <c r="Y86" i="8"/>
  <c r="H167" i="9"/>
  <c r="C168" i="7"/>
  <c r="H152" i="9"/>
  <c r="K141" i="9"/>
  <c r="C136" i="7"/>
  <c r="K111" i="9"/>
  <c r="C112" i="7"/>
  <c r="C103" i="7"/>
  <c r="K93" i="9"/>
  <c r="C95" i="7"/>
  <c r="H89" i="9"/>
  <c r="C86" i="7"/>
  <c r="H72" i="9"/>
  <c r="H12" i="9"/>
  <c r="K14" i="9"/>
  <c r="C18" i="7"/>
  <c r="H20" i="9"/>
  <c r="K22" i="9"/>
  <c r="K23" i="9"/>
  <c r="C26" i="7"/>
  <c r="C27" i="7"/>
  <c r="H27" i="9"/>
  <c r="K30" i="9"/>
  <c r="C34" i="7"/>
  <c r="C35" i="7"/>
  <c r="H36" i="9"/>
  <c r="K38" i="9"/>
  <c r="K39" i="9"/>
  <c r="C42" i="7"/>
  <c r="C43" i="7"/>
  <c r="H43" i="9"/>
  <c r="H44" i="9"/>
  <c r="K46" i="9"/>
  <c r="K47" i="9"/>
  <c r="C50" i="7"/>
  <c r="C51" i="7"/>
  <c r="H51" i="9"/>
  <c r="K54" i="9"/>
  <c r="K55" i="9"/>
  <c r="Y65" i="8"/>
  <c r="Y66" i="8"/>
  <c r="Y67" i="8"/>
  <c r="Y68" i="8"/>
  <c r="Y69" i="8"/>
  <c r="Y70" i="8"/>
  <c r="Y71" i="8"/>
  <c r="Y72" i="8"/>
  <c r="Y73" i="8"/>
  <c r="Y74" i="8"/>
  <c r="Y75" i="8"/>
  <c r="Y76" i="8"/>
  <c r="Y77" i="8"/>
  <c r="Y78" i="8"/>
  <c r="Y79" i="8"/>
  <c r="Y80" i="8"/>
  <c r="Y81" i="8"/>
  <c r="Y82" i="8"/>
  <c r="Y83" i="8"/>
  <c r="Y84" i="8"/>
  <c r="Y85" i="8"/>
  <c r="Y87" i="8"/>
  <c r="Y88" i="8"/>
  <c r="Y89" i="8"/>
  <c r="Y90" i="8"/>
  <c r="Y91" i="8"/>
  <c r="Y92" i="8"/>
  <c r="Y93" i="8"/>
  <c r="Y94" i="8"/>
  <c r="Y95" i="8"/>
  <c r="Y96" i="8"/>
  <c r="Y97" i="8"/>
  <c r="Y98" i="8"/>
  <c r="Y99" i="8"/>
  <c r="Y100" i="8"/>
  <c r="V101" i="8"/>
  <c r="Y101" i="8"/>
  <c r="V102" i="8"/>
  <c r="Y102" i="8"/>
  <c r="V103" i="8"/>
  <c r="Y103" i="8"/>
  <c r="Y104" i="8"/>
  <c r="V105" i="8"/>
  <c r="Y105" i="8"/>
  <c r="V106" i="8"/>
  <c r="Y106" i="8"/>
  <c r="V107" i="8"/>
  <c r="Y107" i="8"/>
  <c r="V108" i="8"/>
  <c r="Y108" i="8"/>
  <c r="V109" i="8"/>
  <c r="Y109" i="8"/>
  <c r="V110" i="8"/>
  <c r="N126" i="24"/>
  <c r="N127" i="24"/>
  <c r="N128" i="24"/>
  <c r="N129" i="24"/>
  <c r="N130" i="24"/>
  <c r="N131" i="24"/>
  <c r="N132" i="24"/>
  <c r="N133" i="24"/>
  <c r="N134" i="24"/>
  <c r="N135" i="24"/>
  <c r="N136" i="24"/>
  <c r="N137" i="24"/>
  <c r="N138" i="24"/>
  <c r="N139" i="24"/>
  <c r="N140" i="24"/>
  <c r="N141" i="24"/>
  <c r="N142" i="24"/>
  <c r="N143" i="24"/>
  <c r="N144" i="24"/>
  <c r="N145" i="24"/>
  <c r="N146" i="24"/>
  <c r="N147" i="24"/>
  <c r="N148" i="24"/>
  <c r="N149" i="24"/>
  <c r="N150" i="24"/>
  <c r="N151" i="24"/>
  <c r="N152" i="24"/>
  <c r="N153" i="24"/>
  <c r="N154" i="24"/>
  <c r="N155" i="24"/>
  <c r="N156" i="24"/>
  <c r="N157" i="24"/>
  <c r="N158" i="24"/>
  <c r="N159" i="24"/>
  <c r="N160" i="24"/>
  <c r="N161" i="24"/>
  <c r="N162" i="24"/>
  <c r="N163" i="24"/>
  <c r="N164" i="24"/>
  <c r="N165" i="24"/>
  <c r="N166" i="24"/>
  <c r="N167" i="24"/>
  <c r="N168" i="24"/>
  <c r="N169" i="24"/>
  <c r="N170" i="24"/>
  <c r="N171" i="24"/>
  <c r="N172" i="24"/>
  <c r="N173" i="24"/>
  <c r="N125" i="24"/>
  <c r="N68" i="24"/>
  <c r="N69" i="24"/>
  <c r="N70" i="24"/>
  <c r="N71" i="24"/>
  <c r="N72" i="24"/>
  <c r="N73" i="24"/>
  <c r="N74" i="24"/>
  <c r="N75" i="24"/>
  <c r="N76" i="24"/>
  <c r="N77" i="24"/>
  <c r="N78" i="24"/>
  <c r="N79" i="24"/>
  <c r="N80" i="24"/>
  <c r="N81" i="24"/>
  <c r="N82" i="24"/>
  <c r="N83" i="24"/>
  <c r="N84" i="24"/>
  <c r="N85" i="24"/>
  <c r="N86" i="24"/>
  <c r="N87" i="24"/>
  <c r="N88" i="24"/>
  <c r="N89" i="24"/>
  <c r="N90" i="24"/>
  <c r="N91" i="24"/>
  <c r="N92" i="24"/>
  <c r="N93" i="24"/>
  <c r="N94" i="24"/>
  <c r="N95" i="24"/>
  <c r="N96" i="24"/>
  <c r="N97" i="24"/>
  <c r="N98" i="24"/>
  <c r="N99" i="24"/>
  <c r="N100" i="24"/>
  <c r="N101" i="24"/>
  <c r="N102" i="24"/>
  <c r="N103" i="24"/>
  <c r="N104" i="24"/>
  <c r="N105" i="24"/>
  <c r="N106" i="24"/>
  <c r="N107" i="24"/>
  <c r="N108" i="24"/>
  <c r="N109" i="24"/>
  <c r="N110" i="24"/>
  <c r="N111" i="24"/>
  <c r="N112" i="24"/>
  <c r="N113" i="24"/>
  <c r="N114" i="24"/>
  <c r="N115" i="24"/>
  <c r="N67" i="24"/>
  <c r="N10" i="24"/>
  <c r="N11" i="24"/>
  <c r="N12" i="24"/>
  <c r="N13" i="24"/>
  <c r="N14" i="24"/>
  <c r="N15" i="24"/>
  <c r="N16" i="24"/>
  <c r="N17" i="24"/>
  <c r="N18" i="24"/>
  <c r="N19" i="24"/>
  <c r="N20" i="24"/>
  <c r="N21" i="24"/>
  <c r="N22" i="24"/>
  <c r="N23" i="24"/>
  <c r="N24" i="24"/>
  <c r="N25" i="24"/>
  <c r="N26" i="24"/>
  <c r="N27" i="24"/>
  <c r="N28" i="24"/>
  <c r="N29" i="24"/>
  <c r="N30" i="24"/>
  <c r="N31" i="24"/>
  <c r="N32" i="24"/>
  <c r="N33" i="24"/>
  <c r="N34" i="24"/>
  <c r="N35" i="24"/>
  <c r="N36" i="24"/>
  <c r="N37" i="24"/>
  <c r="N38" i="24"/>
  <c r="N39" i="24"/>
  <c r="N40" i="24"/>
  <c r="N41" i="24"/>
  <c r="N42" i="24"/>
  <c r="N43" i="24"/>
  <c r="N44" i="24"/>
  <c r="N45" i="24"/>
  <c r="N46" i="24"/>
  <c r="N47" i="24"/>
  <c r="N48" i="24"/>
  <c r="N49" i="24"/>
  <c r="N50" i="24"/>
  <c r="N51" i="24"/>
  <c r="N52" i="24"/>
  <c r="N53" i="24"/>
  <c r="N54" i="24"/>
  <c r="N55" i="24"/>
  <c r="N56" i="24"/>
  <c r="N57" i="24"/>
  <c r="N9" i="24"/>
  <c r="AC114" i="8"/>
  <c r="AC59" i="8"/>
  <c r="X127" i="7"/>
  <c r="P121" i="9" s="1"/>
  <c r="Q121" i="9" s="1"/>
  <c r="P120" i="9"/>
  <c r="S120" i="9"/>
  <c r="X128" i="7"/>
  <c r="P122" i="9" s="1"/>
  <c r="X129" i="7"/>
  <c r="P123" i="9" s="1"/>
  <c r="X130" i="7"/>
  <c r="P124" i="9" s="1"/>
  <c r="X131" i="7"/>
  <c r="P125" i="9" s="1"/>
  <c r="Q125" i="9" s="1"/>
  <c r="X132" i="7"/>
  <c r="P126" i="9" s="1"/>
  <c r="X133" i="7"/>
  <c r="P127" i="9" s="1"/>
  <c r="X134" i="7"/>
  <c r="P128" i="9" s="1"/>
  <c r="X135" i="7"/>
  <c r="P129" i="9" s="1"/>
  <c r="X136" i="7"/>
  <c r="P130" i="9" s="1"/>
  <c r="Q130" i="9" s="1"/>
  <c r="X137" i="7"/>
  <c r="P131" i="9" s="1"/>
  <c r="X138" i="7"/>
  <c r="P132" i="9" s="1"/>
  <c r="X139" i="7"/>
  <c r="P133" i="9" s="1"/>
  <c r="X140" i="7"/>
  <c r="P134" i="9" s="1"/>
  <c r="X141" i="7"/>
  <c r="P135" i="9" s="1"/>
  <c r="Q135" i="9" s="1"/>
  <c r="X142" i="7"/>
  <c r="P136" i="9" s="1"/>
  <c r="X143" i="7"/>
  <c r="P137" i="9" s="1"/>
  <c r="Q137" i="9" s="1"/>
  <c r="X144" i="7"/>
  <c r="P138" i="9" s="1"/>
  <c r="Q138" i="9" s="1"/>
  <c r="X145" i="7"/>
  <c r="P139" i="9" s="1"/>
  <c r="X146" i="7"/>
  <c r="P140" i="9" s="1"/>
  <c r="Q140" i="9" s="1"/>
  <c r="X147" i="7"/>
  <c r="P141" i="9" s="1"/>
  <c r="X148" i="7"/>
  <c r="P142" i="9" s="1"/>
  <c r="Q142" i="9" s="1"/>
  <c r="X149" i="7"/>
  <c r="P143" i="9" s="1"/>
  <c r="Q143" i="9" s="1"/>
  <c r="X150" i="7"/>
  <c r="P144" i="9" s="1"/>
  <c r="X151" i="7"/>
  <c r="P145" i="9" s="1"/>
  <c r="X152" i="7"/>
  <c r="P146" i="9" s="1"/>
  <c r="X153" i="7"/>
  <c r="P147" i="9" s="1"/>
  <c r="Q147" i="9" s="1"/>
  <c r="X154" i="7"/>
  <c r="P148" i="9" s="1"/>
  <c r="X162" i="7"/>
  <c r="P156" i="9" s="1"/>
  <c r="P119" i="9"/>
  <c r="S119" i="9"/>
  <c r="AC4" i="8"/>
  <c r="AA2" i="7"/>
  <c r="E22" i="24"/>
  <c r="H22" i="24"/>
  <c r="P65" i="7"/>
  <c r="R65" i="7"/>
  <c r="U65" i="7"/>
  <c r="P123" i="7"/>
  <c r="R123" i="7"/>
  <c r="U123" i="7"/>
  <c r="A528" i="13"/>
  <c r="A463" i="13"/>
  <c r="A398" i="13"/>
  <c r="A333" i="13"/>
  <c r="A268" i="13"/>
  <c r="A203" i="13"/>
  <c r="A138" i="13"/>
  <c r="A73" i="13"/>
  <c r="A983" i="13"/>
  <c r="A918" i="13"/>
  <c r="A853" i="13"/>
  <c r="A788" i="13"/>
  <c r="A723" i="13"/>
  <c r="A658" i="13"/>
  <c r="A596" i="13"/>
  <c r="A661" i="13"/>
  <c r="A726" i="13"/>
  <c r="A791" i="13"/>
  <c r="A856" i="13"/>
  <c r="A921" i="13"/>
  <c r="A531" i="13"/>
  <c r="M51" i="23"/>
  <c r="M53" i="23"/>
  <c r="K61" i="17"/>
  <c r="K33" i="19"/>
  <c r="M52" i="23"/>
  <c r="K60" i="17"/>
  <c r="K32" i="19"/>
  <c r="M54" i="23"/>
  <c r="K62" i="17"/>
  <c r="K34" i="19"/>
  <c r="M62" i="23"/>
  <c r="M55" i="23"/>
  <c r="K63" i="17"/>
  <c r="K35" i="19"/>
  <c r="M56" i="23"/>
  <c r="K64" i="17"/>
  <c r="K36" i="19"/>
  <c r="M57" i="23"/>
  <c r="K65" i="17"/>
  <c r="K37" i="19"/>
  <c r="M58" i="23"/>
  <c r="K66" i="17"/>
  <c r="K38" i="19"/>
  <c r="L33" i="19"/>
  <c r="L32" i="19"/>
  <c r="M33" i="19"/>
  <c r="M32" i="19"/>
  <c r="D25" i="27"/>
  <c r="D24" i="27"/>
  <c r="D23" i="27"/>
  <c r="D22" i="27"/>
  <c r="E23" i="27"/>
  <c r="E24" i="27"/>
  <c r="E25" i="27"/>
  <c r="E22" i="27"/>
  <c r="C25" i="27"/>
  <c r="C24" i="27"/>
  <c r="C23" i="27"/>
  <c r="C22" i="27"/>
  <c r="R59" i="25"/>
  <c r="Q59" i="25"/>
  <c r="P59" i="25"/>
  <c r="O59" i="25"/>
  <c r="N59" i="25"/>
  <c r="M59" i="25"/>
  <c r="L59" i="25"/>
  <c r="K59" i="25"/>
  <c r="J59" i="25"/>
  <c r="I59" i="25"/>
  <c r="H59" i="25"/>
  <c r="G59" i="25"/>
  <c r="F59" i="25"/>
  <c r="R169" i="25"/>
  <c r="Q169" i="25"/>
  <c r="P169" i="25"/>
  <c r="O169" i="25"/>
  <c r="N169" i="25"/>
  <c r="M169" i="25"/>
  <c r="L169" i="25"/>
  <c r="K169" i="25"/>
  <c r="J169" i="25"/>
  <c r="I169" i="25"/>
  <c r="H169" i="25"/>
  <c r="G169" i="25"/>
  <c r="F169" i="25"/>
  <c r="G114" i="25"/>
  <c r="H114" i="25"/>
  <c r="I114" i="25"/>
  <c r="J114" i="25"/>
  <c r="K114" i="25"/>
  <c r="L114" i="25"/>
  <c r="M114" i="25"/>
  <c r="N114" i="25"/>
  <c r="O114" i="25"/>
  <c r="P114" i="25"/>
  <c r="Q114" i="25"/>
  <c r="R114" i="25"/>
  <c r="F114" i="25"/>
  <c r="J66" i="26"/>
  <c r="I66" i="26"/>
  <c r="H66" i="26"/>
  <c r="G66" i="26"/>
  <c r="F66" i="26"/>
  <c r="J45" i="26"/>
  <c r="I45" i="26"/>
  <c r="H45" i="26"/>
  <c r="G45" i="26"/>
  <c r="F45" i="26"/>
  <c r="G24" i="26"/>
  <c r="H24" i="26"/>
  <c r="I24" i="26"/>
  <c r="J24" i="26"/>
  <c r="F24" i="26"/>
  <c r="AA60" i="7"/>
  <c r="E83" i="24"/>
  <c r="H83" i="24"/>
  <c r="V25" i="24" a="1"/>
  <c r="S124" i="24"/>
  <c r="S66" i="24"/>
  <c r="S8" i="24"/>
  <c r="P34" i="18"/>
  <c r="L5" i="17"/>
  <c r="L6" i="17"/>
  <c r="B6" i="17"/>
  <c r="B61" i="17"/>
  <c r="F61" i="17"/>
  <c r="B8" i="19"/>
  <c r="D10" i="18"/>
  <c r="D11" i="18"/>
  <c r="E24" i="18"/>
  <c r="L35" i="19"/>
  <c r="L36" i="19"/>
  <c r="L37" i="19"/>
  <c r="M46" i="23"/>
  <c r="M45" i="23"/>
  <c r="M44" i="23"/>
  <c r="M68" i="23"/>
  <c r="M67" i="23"/>
  <c r="M66" i="23"/>
  <c r="W8" i="23" a="1"/>
  <c r="M6" i="23"/>
  <c r="W8" i="23"/>
  <c r="AB9" i="16"/>
  <c r="AE9" i="16"/>
  <c r="AH9" i="16"/>
  <c r="G9" i="16"/>
  <c r="J9" i="16"/>
  <c r="M9" i="16"/>
  <c r="P9" i="16"/>
  <c r="V9" i="16"/>
  <c r="Y9" i="16"/>
  <c r="G10" i="16"/>
  <c r="J10" i="16"/>
  <c r="M10" i="16"/>
  <c r="AL14" i="16" s="1"/>
  <c r="P10" i="16"/>
  <c r="AB10" i="16"/>
  <c r="AE10" i="16"/>
  <c r="AL20" i="16" s="1"/>
  <c r="AH10" i="16"/>
  <c r="V10" i="16"/>
  <c r="Y10" i="16"/>
  <c r="G11" i="16"/>
  <c r="J11" i="16"/>
  <c r="M11" i="16"/>
  <c r="P11" i="16"/>
  <c r="AB11" i="16"/>
  <c r="AE11" i="16"/>
  <c r="AH11" i="16"/>
  <c r="V11" i="16"/>
  <c r="Y11" i="16"/>
  <c r="G12" i="16"/>
  <c r="J12" i="16"/>
  <c r="M12" i="16"/>
  <c r="P12" i="16"/>
  <c r="AB12" i="16"/>
  <c r="AE12" i="16"/>
  <c r="AH12" i="16"/>
  <c r="V12" i="16"/>
  <c r="Y12" i="16"/>
  <c r="G13" i="16"/>
  <c r="J13" i="16"/>
  <c r="M13" i="16"/>
  <c r="P13" i="16"/>
  <c r="AB13" i="16"/>
  <c r="AE13" i="16"/>
  <c r="AH13" i="16"/>
  <c r="V13" i="16"/>
  <c r="Y13" i="16"/>
  <c r="G14" i="16"/>
  <c r="J14" i="16"/>
  <c r="M14" i="16"/>
  <c r="P14" i="16"/>
  <c r="AB14" i="16"/>
  <c r="AE14" i="16"/>
  <c r="AH14" i="16"/>
  <c r="V14" i="16"/>
  <c r="Y14" i="16"/>
  <c r="G15" i="16"/>
  <c r="J15" i="16"/>
  <c r="M15" i="16"/>
  <c r="P15" i="16"/>
  <c r="AB15" i="16"/>
  <c r="AE15" i="16"/>
  <c r="AH15" i="16"/>
  <c r="V15" i="16"/>
  <c r="Y15" i="16"/>
  <c r="G16" i="16"/>
  <c r="J16" i="16"/>
  <c r="M16" i="16"/>
  <c r="P16" i="16"/>
  <c r="AB16" i="16"/>
  <c r="AE16" i="16"/>
  <c r="AH16" i="16"/>
  <c r="V16" i="16"/>
  <c r="Y16" i="16"/>
  <c r="G17" i="16"/>
  <c r="J17" i="16"/>
  <c r="M17" i="16"/>
  <c r="P17" i="16"/>
  <c r="AB17" i="16"/>
  <c r="AE17" i="16"/>
  <c r="AH17" i="16"/>
  <c r="V17" i="16"/>
  <c r="Y17" i="16"/>
  <c r="G18" i="16"/>
  <c r="J18" i="16"/>
  <c r="M18" i="16"/>
  <c r="P18" i="16"/>
  <c r="AB18" i="16"/>
  <c r="AE18" i="16"/>
  <c r="AF18" i="16" s="1"/>
  <c r="AH18" i="16"/>
  <c r="V18" i="16"/>
  <c r="Y18" i="16"/>
  <c r="G19" i="16"/>
  <c r="J19" i="16"/>
  <c r="M19" i="16"/>
  <c r="P19" i="16"/>
  <c r="AB19" i="16"/>
  <c r="AE19" i="16"/>
  <c r="AH19" i="16"/>
  <c r="V19" i="16"/>
  <c r="Y19" i="16"/>
  <c r="G20" i="16"/>
  <c r="J20" i="16"/>
  <c r="M20" i="16"/>
  <c r="P20" i="16"/>
  <c r="AB20" i="16"/>
  <c r="AE20" i="16"/>
  <c r="AH20" i="16"/>
  <c r="V20" i="16"/>
  <c r="Y20" i="16"/>
  <c r="G21" i="16"/>
  <c r="J21" i="16"/>
  <c r="M21" i="16"/>
  <c r="P21" i="16"/>
  <c r="AB21" i="16"/>
  <c r="AE21" i="16"/>
  <c r="AH21" i="16"/>
  <c r="V21" i="16"/>
  <c r="Y21" i="16"/>
  <c r="G22" i="16"/>
  <c r="J22" i="16"/>
  <c r="M22" i="16"/>
  <c r="P22" i="16"/>
  <c r="AB22" i="16"/>
  <c r="AE22" i="16"/>
  <c r="AH22" i="16"/>
  <c r="V22" i="16"/>
  <c r="Y22" i="16"/>
  <c r="G23" i="16"/>
  <c r="J23" i="16"/>
  <c r="M23" i="16"/>
  <c r="P23" i="16"/>
  <c r="AB23" i="16"/>
  <c r="AE23" i="16"/>
  <c r="AH23" i="16"/>
  <c r="V23" i="16"/>
  <c r="Y23" i="16"/>
  <c r="G24" i="16"/>
  <c r="J24" i="16"/>
  <c r="M24" i="16"/>
  <c r="P24" i="16"/>
  <c r="AB24" i="16"/>
  <c r="AE24" i="16"/>
  <c r="AH24" i="16"/>
  <c r="AI24" i="16" s="1"/>
  <c r="V24" i="16"/>
  <c r="Y24" i="16"/>
  <c r="G25" i="16"/>
  <c r="J25" i="16"/>
  <c r="M25" i="16"/>
  <c r="P25" i="16"/>
  <c r="AB25" i="16"/>
  <c r="AE25" i="16"/>
  <c r="AH25" i="16"/>
  <c r="V25" i="16"/>
  <c r="Y25" i="16"/>
  <c r="G26" i="16"/>
  <c r="J26" i="16"/>
  <c r="M26" i="16"/>
  <c r="N26" i="16" s="1"/>
  <c r="P26" i="16"/>
  <c r="AB26" i="16"/>
  <c r="AE26" i="16"/>
  <c r="AF26" i="16" s="1"/>
  <c r="AH26" i="16"/>
  <c r="V26" i="16"/>
  <c r="Y26" i="16"/>
  <c r="G27" i="16"/>
  <c r="J27" i="16"/>
  <c r="M27" i="16"/>
  <c r="P27" i="16"/>
  <c r="AB27" i="16"/>
  <c r="AE27" i="16"/>
  <c r="AH27" i="16"/>
  <c r="V27" i="16"/>
  <c r="Y27" i="16"/>
  <c r="G28" i="16"/>
  <c r="J28" i="16"/>
  <c r="M28" i="16"/>
  <c r="P28" i="16"/>
  <c r="AB28" i="16"/>
  <c r="AE28" i="16"/>
  <c r="AH28" i="16"/>
  <c r="V28" i="16"/>
  <c r="Y28" i="16"/>
  <c r="G29" i="16"/>
  <c r="J29" i="16"/>
  <c r="M29" i="16"/>
  <c r="P29" i="16"/>
  <c r="AB29" i="16"/>
  <c r="AE29" i="16"/>
  <c r="AH29" i="16"/>
  <c r="V29" i="16"/>
  <c r="Y29" i="16"/>
  <c r="G30" i="16"/>
  <c r="J30" i="16"/>
  <c r="M30" i="16"/>
  <c r="P30" i="16"/>
  <c r="AB30" i="16"/>
  <c r="AE30" i="16"/>
  <c r="AH30" i="16"/>
  <c r="V30" i="16"/>
  <c r="Y30" i="16"/>
  <c r="G31" i="16"/>
  <c r="J31" i="16"/>
  <c r="M31" i="16"/>
  <c r="P31" i="16"/>
  <c r="AB31" i="16"/>
  <c r="AE31" i="16"/>
  <c r="AH31" i="16"/>
  <c r="V31" i="16"/>
  <c r="Y31" i="16"/>
  <c r="G32" i="16"/>
  <c r="J32" i="16"/>
  <c r="M32" i="16"/>
  <c r="P32" i="16"/>
  <c r="AB32" i="16"/>
  <c r="AE32" i="16"/>
  <c r="AH32" i="16"/>
  <c r="V32" i="16"/>
  <c r="Y32" i="16"/>
  <c r="G33" i="16"/>
  <c r="J33" i="16"/>
  <c r="M33" i="16"/>
  <c r="P33" i="16"/>
  <c r="AB33" i="16"/>
  <c r="AE33" i="16"/>
  <c r="AH33" i="16"/>
  <c r="V33" i="16"/>
  <c r="Y33" i="16"/>
  <c r="G34" i="16"/>
  <c r="J34" i="16"/>
  <c r="M34" i="16"/>
  <c r="P34" i="16"/>
  <c r="AB34" i="16"/>
  <c r="AE34" i="16"/>
  <c r="AH34" i="16"/>
  <c r="V34" i="16"/>
  <c r="Y34" i="16"/>
  <c r="G35" i="16"/>
  <c r="J35" i="16"/>
  <c r="M35" i="16"/>
  <c r="P35" i="16"/>
  <c r="AB35" i="16"/>
  <c r="AE35" i="16"/>
  <c r="AH35" i="16"/>
  <c r="V35" i="16"/>
  <c r="Y35" i="16"/>
  <c r="G36" i="16"/>
  <c r="J36" i="16"/>
  <c r="M36" i="16"/>
  <c r="P36" i="16"/>
  <c r="AB36" i="16"/>
  <c r="AE36" i="16"/>
  <c r="AH36" i="16"/>
  <c r="V36" i="16"/>
  <c r="Y36" i="16"/>
  <c r="G37" i="16"/>
  <c r="J37" i="16"/>
  <c r="M37" i="16"/>
  <c r="P37" i="16"/>
  <c r="AB37" i="16"/>
  <c r="AE37" i="16"/>
  <c r="AH37" i="16"/>
  <c r="V37" i="16"/>
  <c r="Y37" i="16"/>
  <c r="G38" i="16"/>
  <c r="J38" i="16"/>
  <c r="M38" i="16"/>
  <c r="P38" i="16"/>
  <c r="AB38" i="16"/>
  <c r="AE38" i="16"/>
  <c r="AH38" i="16"/>
  <c r="V38" i="16"/>
  <c r="Y38" i="16"/>
  <c r="G39" i="16"/>
  <c r="J39" i="16"/>
  <c r="M39" i="16"/>
  <c r="P39" i="16"/>
  <c r="AB39" i="16"/>
  <c r="AE39" i="16"/>
  <c r="AH39" i="16"/>
  <c r="V39" i="16"/>
  <c r="Y39" i="16"/>
  <c r="G40" i="16"/>
  <c r="J40" i="16"/>
  <c r="M40" i="16"/>
  <c r="P40" i="16"/>
  <c r="AB40" i="16"/>
  <c r="AE40" i="16"/>
  <c r="AH40" i="16"/>
  <c r="AI40" i="16" s="1"/>
  <c r="V40" i="16"/>
  <c r="Y40" i="16"/>
  <c r="G41" i="16"/>
  <c r="J41" i="16"/>
  <c r="M41" i="16"/>
  <c r="P41" i="16"/>
  <c r="AB41" i="16"/>
  <c r="AE41" i="16"/>
  <c r="AH41" i="16"/>
  <c r="V41" i="16"/>
  <c r="Y41" i="16"/>
  <c r="G42" i="16"/>
  <c r="J42" i="16"/>
  <c r="M42" i="16"/>
  <c r="P42" i="16"/>
  <c r="AB42" i="16"/>
  <c r="AE42" i="16"/>
  <c r="AH42" i="16"/>
  <c r="V42" i="16"/>
  <c r="Y42" i="16"/>
  <c r="G43" i="16"/>
  <c r="J43" i="16"/>
  <c r="M43" i="16"/>
  <c r="P43" i="16"/>
  <c r="AB43" i="16"/>
  <c r="AE43" i="16"/>
  <c r="AH43" i="16"/>
  <c r="V43" i="16"/>
  <c r="Y43" i="16"/>
  <c r="G44" i="16"/>
  <c r="J44" i="16"/>
  <c r="M44" i="16"/>
  <c r="P44" i="16"/>
  <c r="AB44" i="16"/>
  <c r="AE44" i="16"/>
  <c r="AH44" i="16"/>
  <c r="V44" i="16"/>
  <c r="Y44" i="16"/>
  <c r="G45" i="16"/>
  <c r="J45" i="16"/>
  <c r="M45" i="16"/>
  <c r="P45" i="16"/>
  <c r="AB45" i="16"/>
  <c r="AE45" i="16"/>
  <c r="AH45" i="16"/>
  <c r="V45" i="16"/>
  <c r="Y45" i="16"/>
  <c r="G46" i="16"/>
  <c r="J46" i="16"/>
  <c r="M46" i="16"/>
  <c r="P46" i="16"/>
  <c r="AB46" i="16"/>
  <c r="AE46" i="16"/>
  <c r="AH46" i="16"/>
  <c r="V46" i="16"/>
  <c r="Y46" i="16"/>
  <c r="G47" i="16"/>
  <c r="J47" i="16"/>
  <c r="M47" i="16"/>
  <c r="P47" i="16"/>
  <c r="AB47" i="16"/>
  <c r="AE47" i="16"/>
  <c r="AH47" i="16"/>
  <c r="V47" i="16"/>
  <c r="Y47" i="16"/>
  <c r="G48" i="16"/>
  <c r="J48" i="16"/>
  <c r="M48" i="16"/>
  <c r="P48" i="16"/>
  <c r="AB48" i="16"/>
  <c r="AE48" i="16"/>
  <c r="AH48" i="16"/>
  <c r="V48" i="16"/>
  <c r="Y48" i="16"/>
  <c r="G49" i="16"/>
  <c r="J49" i="16"/>
  <c r="M49" i="16"/>
  <c r="P49" i="16"/>
  <c r="AB49" i="16"/>
  <c r="AE49" i="16"/>
  <c r="AH49" i="16"/>
  <c r="V49" i="16"/>
  <c r="Y49" i="16"/>
  <c r="G50" i="16"/>
  <c r="J50" i="16"/>
  <c r="M50" i="16"/>
  <c r="P50" i="16"/>
  <c r="AB50" i="16"/>
  <c r="AE50" i="16"/>
  <c r="AH50" i="16"/>
  <c r="V50" i="16"/>
  <c r="Y50" i="16"/>
  <c r="G51" i="16"/>
  <c r="J51" i="16"/>
  <c r="M51" i="16"/>
  <c r="P51" i="16"/>
  <c r="AB51" i="16"/>
  <c r="AE51" i="16"/>
  <c r="AH51" i="16"/>
  <c r="V51" i="16"/>
  <c r="Y51" i="16"/>
  <c r="G52" i="16"/>
  <c r="J52" i="16"/>
  <c r="M52" i="16"/>
  <c r="P52" i="16"/>
  <c r="AB52" i="16"/>
  <c r="AE52" i="16"/>
  <c r="AH52" i="16"/>
  <c r="V52" i="16"/>
  <c r="Y52" i="16"/>
  <c r="G53" i="16"/>
  <c r="J53" i="16"/>
  <c r="M53" i="16"/>
  <c r="P53" i="16"/>
  <c r="AB53" i="16"/>
  <c r="AE53" i="16"/>
  <c r="AH53" i="16"/>
  <c r="V53" i="16"/>
  <c r="Y53" i="16"/>
  <c r="G54" i="16"/>
  <c r="J54" i="16"/>
  <c r="M54" i="16"/>
  <c r="P54" i="16"/>
  <c r="AB54" i="16"/>
  <c r="AE54" i="16"/>
  <c r="AH54" i="16"/>
  <c r="V54" i="16"/>
  <c r="Y54" i="16"/>
  <c r="G55" i="16"/>
  <c r="J55" i="16"/>
  <c r="M55" i="16"/>
  <c r="P55" i="16"/>
  <c r="AB55" i="16"/>
  <c r="AE55" i="16"/>
  <c r="AH55" i="16"/>
  <c r="V55" i="16"/>
  <c r="Y55" i="16"/>
  <c r="G56" i="16"/>
  <c r="J56" i="16"/>
  <c r="M56" i="16"/>
  <c r="P56" i="16"/>
  <c r="AB56" i="16"/>
  <c r="AE56" i="16"/>
  <c r="AH56" i="16"/>
  <c r="V56" i="16"/>
  <c r="Y56" i="16"/>
  <c r="AB8" i="16"/>
  <c r="AE8" i="16"/>
  <c r="AH8" i="16"/>
  <c r="G8" i="16"/>
  <c r="J8" i="16"/>
  <c r="M8" i="16"/>
  <c r="P8" i="16"/>
  <c r="V8" i="16"/>
  <c r="Y8" i="16"/>
  <c r="AB64" i="16"/>
  <c r="AE64" i="16"/>
  <c r="AH64" i="16"/>
  <c r="G64" i="16"/>
  <c r="J64" i="16"/>
  <c r="M64" i="16"/>
  <c r="P64" i="16"/>
  <c r="V64" i="16"/>
  <c r="Y64" i="16"/>
  <c r="G65" i="16"/>
  <c r="J65" i="16"/>
  <c r="AL68" i="16" s="1"/>
  <c r="M65" i="16"/>
  <c r="P65" i="16"/>
  <c r="AL70" i="16" s="1"/>
  <c r="AB65" i="16"/>
  <c r="AE65" i="16"/>
  <c r="AH65" i="16"/>
  <c r="V65" i="16"/>
  <c r="Y65" i="16"/>
  <c r="G66" i="16"/>
  <c r="J66" i="16"/>
  <c r="M66" i="16"/>
  <c r="P66" i="16"/>
  <c r="AB66" i="16"/>
  <c r="AE66" i="16"/>
  <c r="AH66" i="16"/>
  <c r="V66" i="16"/>
  <c r="Y66" i="16"/>
  <c r="G67" i="16"/>
  <c r="J67" i="16"/>
  <c r="M67" i="16"/>
  <c r="P67" i="16"/>
  <c r="AB67" i="16"/>
  <c r="AE67" i="16"/>
  <c r="AH67" i="16"/>
  <c r="V67" i="16"/>
  <c r="Y67" i="16"/>
  <c r="G68" i="16"/>
  <c r="J68" i="16"/>
  <c r="M68" i="16"/>
  <c r="P68" i="16"/>
  <c r="AB68" i="16"/>
  <c r="AE68" i="16"/>
  <c r="AH68" i="16"/>
  <c r="V68" i="16"/>
  <c r="Y68" i="16"/>
  <c r="G69" i="16"/>
  <c r="J69" i="16"/>
  <c r="M69" i="16"/>
  <c r="P69" i="16"/>
  <c r="AB69" i="16"/>
  <c r="AE69" i="16"/>
  <c r="AH69" i="16"/>
  <c r="V69" i="16"/>
  <c r="Y69" i="16"/>
  <c r="G70" i="16"/>
  <c r="J70" i="16"/>
  <c r="M70" i="16"/>
  <c r="P70" i="16"/>
  <c r="AB70" i="16"/>
  <c r="AE70" i="16"/>
  <c r="AH70" i="16"/>
  <c r="V70" i="16"/>
  <c r="Y70" i="16"/>
  <c r="G71" i="16"/>
  <c r="J71" i="16"/>
  <c r="M71" i="16"/>
  <c r="P71" i="16"/>
  <c r="AB71" i="16"/>
  <c r="AE71" i="16"/>
  <c r="AH71" i="16"/>
  <c r="V71" i="16"/>
  <c r="Y71" i="16"/>
  <c r="G72" i="16"/>
  <c r="J72" i="16"/>
  <c r="M72" i="16"/>
  <c r="P72" i="16"/>
  <c r="AB72" i="16"/>
  <c r="AE72" i="16"/>
  <c r="AH72" i="16"/>
  <c r="V72" i="16"/>
  <c r="Y72" i="16"/>
  <c r="G73" i="16"/>
  <c r="J73" i="16"/>
  <c r="M73" i="16"/>
  <c r="P73" i="16"/>
  <c r="AB73" i="16"/>
  <c r="AE73" i="16"/>
  <c r="AH73" i="16"/>
  <c r="V73" i="16"/>
  <c r="Y73" i="16"/>
  <c r="G74" i="16"/>
  <c r="J74" i="16"/>
  <c r="M74" i="16"/>
  <c r="P74" i="16"/>
  <c r="AB74" i="16"/>
  <c r="AE74" i="16"/>
  <c r="AH74" i="16"/>
  <c r="V74" i="16"/>
  <c r="Y74" i="16"/>
  <c r="G75" i="16"/>
  <c r="J75" i="16"/>
  <c r="M75" i="16"/>
  <c r="P75" i="16"/>
  <c r="AB75" i="16"/>
  <c r="AE75" i="16"/>
  <c r="AH75" i="16"/>
  <c r="V75" i="16"/>
  <c r="Y75" i="16"/>
  <c r="G76" i="16"/>
  <c r="J76" i="16"/>
  <c r="M76" i="16"/>
  <c r="P76" i="16"/>
  <c r="AB76" i="16"/>
  <c r="AE76" i="16"/>
  <c r="AH76" i="16"/>
  <c r="V76" i="16"/>
  <c r="Y76" i="16"/>
  <c r="G77" i="16"/>
  <c r="J77" i="16"/>
  <c r="M77" i="16"/>
  <c r="P77" i="16"/>
  <c r="AB77" i="16"/>
  <c r="AE77" i="16"/>
  <c r="AH77" i="16"/>
  <c r="V77" i="16"/>
  <c r="Y77" i="16"/>
  <c r="G78" i="16"/>
  <c r="J78" i="16"/>
  <c r="M78" i="16"/>
  <c r="P78" i="16"/>
  <c r="AB78" i="16"/>
  <c r="AE78" i="16"/>
  <c r="AH78" i="16"/>
  <c r="V78" i="16"/>
  <c r="Y78" i="16"/>
  <c r="G79" i="16"/>
  <c r="J79" i="16"/>
  <c r="M79" i="16"/>
  <c r="P79" i="16"/>
  <c r="AB79" i="16"/>
  <c r="AE79" i="16"/>
  <c r="AH79" i="16"/>
  <c r="V79" i="16"/>
  <c r="Y79" i="16"/>
  <c r="G80" i="16"/>
  <c r="J80" i="16"/>
  <c r="M80" i="16"/>
  <c r="P80" i="16"/>
  <c r="AB80" i="16"/>
  <c r="AE80" i="16"/>
  <c r="AH80" i="16"/>
  <c r="V80" i="16"/>
  <c r="Y80" i="16"/>
  <c r="G81" i="16"/>
  <c r="J81" i="16"/>
  <c r="M81" i="16"/>
  <c r="P81" i="16"/>
  <c r="AB81" i="16"/>
  <c r="AE81" i="16"/>
  <c r="AH81" i="16"/>
  <c r="V81" i="16"/>
  <c r="Y81" i="16"/>
  <c r="G82" i="16"/>
  <c r="J82" i="16"/>
  <c r="M82" i="16"/>
  <c r="P82" i="16"/>
  <c r="AB82" i="16"/>
  <c r="AE82" i="16"/>
  <c r="AH82" i="16"/>
  <c r="V82" i="16"/>
  <c r="Y82" i="16"/>
  <c r="G83" i="16"/>
  <c r="J83" i="16"/>
  <c r="M83" i="16"/>
  <c r="P83" i="16"/>
  <c r="AB83" i="16"/>
  <c r="AE83" i="16"/>
  <c r="AH83" i="16"/>
  <c r="V83" i="16"/>
  <c r="Y83" i="16"/>
  <c r="G84" i="16"/>
  <c r="J84" i="16"/>
  <c r="M84" i="16"/>
  <c r="P84" i="16"/>
  <c r="AB84" i="16"/>
  <c r="AE84" i="16"/>
  <c r="AH84" i="16"/>
  <c r="V84" i="16"/>
  <c r="Y84" i="16"/>
  <c r="G85" i="16"/>
  <c r="J85" i="16"/>
  <c r="M85" i="16"/>
  <c r="P85" i="16"/>
  <c r="AB85" i="16"/>
  <c r="AE85" i="16"/>
  <c r="AH85" i="16"/>
  <c r="V85" i="16"/>
  <c r="Y85" i="16"/>
  <c r="G86" i="16"/>
  <c r="J86" i="16"/>
  <c r="M86" i="16"/>
  <c r="P86" i="16"/>
  <c r="AB86" i="16"/>
  <c r="AE86" i="16"/>
  <c r="AH86" i="16"/>
  <c r="V86" i="16"/>
  <c r="Y86" i="16"/>
  <c r="G87" i="16"/>
  <c r="J87" i="16"/>
  <c r="M87" i="16"/>
  <c r="P87" i="16"/>
  <c r="AB87" i="16"/>
  <c r="AE87" i="16"/>
  <c r="AH87" i="16"/>
  <c r="V87" i="16"/>
  <c r="Y87" i="16"/>
  <c r="G88" i="16"/>
  <c r="J88" i="16"/>
  <c r="M88" i="16"/>
  <c r="P88" i="16"/>
  <c r="AB88" i="16"/>
  <c r="AE88" i="16"/>
  <c r="AH88" i="16"/>
  <c r="V88" i="16"/>
  <c r="Y88" i="16"/>
  <c r="G89" i="16"/>
  <c r="J89" i="16"/>
  <c r="M89" i="16"/>
  <c r="P89" i="16"/>
  <c r="AB89" i="16"/>
  <c r="AE89" i="16"/>
  <c r="AH89" i="16"/>
  <c r="V89" i="16"/>
  <c r="Y89" i="16"/>
  <c r="G90" i="16"/>
  <c r="J90" i="16"/>
  <c r="M90" i="16"/>
  <c r="P90" i="16"/>
  <c r="AB90" i="16"/>
  <c r="AE90" i="16"/>
  <c r="AH90" i="16"/>
  <c r="V90" i="16"/>
  <c r="Y90" i="16"/>
  <c r="G91" i="16"/>
  <c r="J91" i="16"/>
  <c r="M91" i="16"/>
  <c r="P91" i="16"/>
  <c r="AB91" i="16"/>
  <c r="AE91" i="16"/>
  <c r="AH91" i="16"/>
  <c r="V91" i="16"/>
  <c r="Y91" i="16"/>
  <c r="G92" i="16"/>
  <c r="J92" i="16"/>
  <c r="M92" i="16"/>
  <c r="P92" i="16"/>
  <c r="AB92" i="16"/>
  <c r="AE92" i="16"/>
  <c r="AH92" i="16"/>
  <c r="V92" i="16"/>
  <c r="Y92" i="16"/>
  <c r="G93" i="16"/>
  <c r="J93" i="16"/>
  <c r="M93" i="16"/>
  <c r="P93" i="16"/>
  <c r="AB93" i="16"/>
  <c r="AE93" i="16"/>
  <c r="AH93" i="16"/>
  <c r="V93" i="16"/>
  <c r="Y93" i="16"/>
  <c r="G94" i="16"/>
  <c r="J94" i="16"/>
  <c r="M94" i="16"/>
  <c r="P94" i="16"/>
  <c r="AB94" i="16"/>
  <c r="AE94" i="16"/>
  <c r="AH94" i="16"/>
  <c r="V94" i="16"/>
  <c r="Y94" i="16"/>
  <c r="G95" i="16"/>
  <c r="J95" i="16"/>
  <c r="M95" i="16"/>
  <c r="P95" i="16"/>
  <c r="AB95" i="16"/>
  <c r="AE95" i="16"/>
  <c r="AH95" i="16"/>
  <c r="V95" i="16"/>
  <c r="Y95" i="16"/>
  <c r="G96" i="16"/>
  <c r="J96" i="16"/>
  <c r="M96" i="16"/>
  <c r="P96" i="16"/>
  <c r="AB96" i="16"/>
  <c r="AE96" i="16"/>
  <c r="AH96" i="16"/>
  <c r="V96" i="16"/>
  <c r="Y96" i="16"/>
  <c r="G97" i="16"/>
  <c r="J97" i="16"/>
  <c r="M97" i="16"/>
  <c r="P97" i="16"/>
  <c r="AB97" i="16"/>
  <c r="AE97" i="16"/>
  <c r="AH97" i="16"/>
  <c r="V97" i="16"/>
  <c r="Y97" i="16"/>
  <c r="G98" i="16"/>
  <c r="J98" i="16"/>
  <c r="M98" i="16"/>
  <c r="P98" i="16"/>
  <c r="AB98" i="16"/>
  <c r="AE98" i="16"/>
  <c r="AH98" i="16"/>
  <c r="V98" i="16"/>
  <c r="Y98" i="16"/>
  <c r="G99" i="16"/>
  <c r="J99" i="16"/>
  <c r="M99" i="16"/>
  <c r="P99" i="16"/>
  <c r="AB99" i="16"/>
  <c r="AE99" i="16"/>
  <c r="AH99" i="16"/>
  <c r="V99" i="16"/>
  <c r="Y99" i="16"/>
  <c r="G100" i="16"/>
  <c r="J100" i="16"/>
  <c r="M100" i="16"/>
  <c r="P100" i="16"/>
  <c r="AB100" i="16"/>
  <c r="AE100" i="16"/>
  <c r="AH100" i="16"/>
  <c r="V100" i="16"/>
  <c r="Y100" i="16"/>
  <c r="G101" i="16"/>
  <c r="J101" i="16"/>
  <c r="M101" i="16"/>
  <c r="P101" i="16"/>
  <c r="AB101" i="16"/>
  <c r="AE101" i="16"/>
  <c r="AH101" i="16"/>
  <c r="V101" i="16"/>
  <c r="Y101" i="16"/>
  <c r="G102" i="16"/>
  <c r="J102" i="16"/>
  <c r="M102" i="16"/>
  <c r="P102" i="16"/>
  <c r="AB102" i="16"/>
  <c r="AE102" i="16"/>
  <c r="AH102" i="16"/>
  <c r="V102" i="16"/>
  <c r="Y102" i="16"/>
  <c r="G103" i="16"/>
  <c r="J103" i="16"/>
  <c r="M103" i="16"/>
  <c r="P103" i="16"/>
  <c r="AB103" i="16"/>
  <c r="AE103" i="16"/>
  <c r="AH103" i="16"/>
  <c r="V103" i="16"/>
  <c r="Y103" i="16"/>
  <c r="G104" i="16"/>
  <c r="J104" i="16"/>
  <c r="M104" i="16"/>
  <c r="P104" i="16"/>
  <c r="AB104" i="16"/>
  <c r="AE104" i="16"/>
  <c r="AH104" i="16"/>
  <c r="V104" i="16"/>
  <c r="Y104" i="16"/>
  <c r="G105" i="16"/>
  <c r="J105" i="16"/>
  <c r="M105" i="16"/>
  <c r="P105" i="16"/>
  <c r="AB105" i="16"/>
  <c r="AE105" i="16"/>
  <c r="AH105" i="16"/>
  <c r="V105" i="16"/>
  <c r="Y105" i="16"/>
  <c r="G106" i="16"/>
  <c r="J106" i="16"/>
  <c r="M106" i="16"/>
  <c r="P106" i="16"/>
  <c r="AB106" i="16"/>
  <c r="AE106" i="16"/>
  <c r="AH106" i="16"/>
  <c r="V106" i="16"/>
  <c r="Y106" i="16"/>
  <c r="G107" i="16"/>
  <c r="J107" i="16"/>
  <c r="M107" i="16"/>
  <c r="P107" i="16"/>
  <c r="AB107" i="16"/>
  <c r="AE107" i="16"/>
  <c r="AH107" i="16"/>
  <c r="V107" i="16"/>
  <c r="Y107" i="16"/>
  <c r="G108" i="16"/>
  <c r="J108" i="16"/>
  <c r="M108" i="16"/>
  <c r="P108" i="16"/>
  <c r="AB108" i="16"/>
  <c r="AE108" i="16"/>
  <c r="AH108" i="16"/>
  <c r="V108" i="16"/>
  <c r="Y108" i="16"/>
  <c r="G109" i="16"/>
  <c r="J109" i="16"/>
  <c r="M109" i="16"/>
  <c r="P109" i="16"/>
  <c r="AB109" i="16"/>
  <c r="AE109" i="16"/>
  <c r="AH109" i="16"/>
  <c r="V109" i="16"/>
  <c r="Y109" i="16"/>
  <c r="G110" i="16"/>
  <c r="J110" i="16"/>
  <c r="M110" i="16"/>
  <c r="P110" i="16"/>
  <c r="AB110" i="16"/>
  <c r="AE110" i="16"/>
  <c r="AH110" i="16"/>
  <c r="V110" i="16"/>
  <c r="Y110" i="16"/>
  <c r="G111" i="16"/>
  <c r="J111" i="16"/>
  <c r="M111" i="16"/>
  <c r="P111" i="16"/>
  <c r="AB111" i="16"/>
  <c r="AE111" i="16"/>
  <c r="AH111" i="16"/>
  <c r="V111" i="16"/>
  <c r="Y111" i="16"/>
  <c r="AB63" i="16"/>
  <c r="AE63" i="16"/>
  <c r="AH63" i="16"/>
  <c r="G63" i="16"/>
  <c r="J63" i="16"/>
  <c r="M63" i="16"/>
  <c r="P63" i="16"/>
  <c r="V63" i="16"/>
  <c r="Y63" i="16"/>
  <c r="S64" i="8"/>
  <c r="S64" i="16"/>
  <c r="S65" i="8"/>
  <c r="S65" i="16"/>
  <c r="S66" i="8"/>
  <c r="S66" i="16" s="1"/>
  <c r="S67" i="8"/>
  <c r="S67" i="16" s="1"/>
  <c r="S68" i="8"/>
  <c r="S68" i="16" s="1"/>
  <c r="S69" i="8"/>
  <c r="S69" i="16"/>
  <c r="S70" i="8"/>
  <c r="S70" i="16" s="1"/>
  <c r="S71" i="8"/>
  <c r="S71" i="16" s="1"/>
  <c r="S72" i="8"/>
  <c r="S72" i="16" s="1"/>
  <c r="S73" i="8"/>
  <c r="S73" i="16"/>
  <c r="S74" i="8"/>
  <c r="S74" i="16" s="1"/>
  <c r="S75" i="8"/>
  <c r="S75" i="16"/>
  <c r="S76" i="8"/>
  <c r="S76" i="16"/>
  <c r="S77" i="8"/>
  <c r="S77" i="16"/>
  <c r="S78" i="8"/>
  <c r="S78" i="16"/>
  <c r="S79" i="8"/>
  <c r="S79" i="16"/>
  <c r="S80" i="8"/>
  <c r="S80" i="16"/>
  <c r="S81" i="8"/>
  <c r="S81" i="16"/>
  <c r="S82" i="8"/>
  <c r="S82" i="16"/>
  <c r="S83" i="8"/>
  <c r="S83" i="16"/>
  <c r="S84" i="8"/>
  <c r="S84" i="16"/>
  <c r="S85" i="8"/>
  <c r="S85" i="16"/>
  <c r="S86" i="8"/>
  <c r="S86" i="16"/>
  <c r="S87" i="8"/>
  <c r="S87" i="16"/>
  <c r="S88" i="8"/>
  <c r="S88" i="16"/>
  <c r="S89" i="8"/>
  <c r="S89" i="16"/>
  <c r="S90" i="8"/>
  <c r="S90" i="16"/>
  <c r="S91" i="8"/>
  <c r="S91" i="16"/>
  <c r="S92" i="8"/>
  <c r="S92" i="16"/>
  <c r="S93" i="8"/>
  <c r="S93" i="16"/>
  <c r="S94" i="8"/>
  <c r="S94" i="16"/>
  <c r="S95" i="8"/>
  <c r="S95" i="16"/>
  <c r="S96" i="8"/>
  <c r="S96" i="16"/>
  <c r="S97" i="8"/>
  <c r="S97" i="16"/>
  <c r="S98" i="8"/>
  <c r="S98" i="16"/>
  <c r="S99" i="8"/>
  <c r="S99" i="16"/>
  <c r="S100" i="8"/>
  <c r="S100" i="16"/>
  <c r="S101" i="8"/>
  <c r="S101" i="16"/>
  <c r="S102" i="8"/>
  <c r="S102" i="16"/>
  <c r="S103" i="8"/>
  <c r="S103" i="16"/>
  <c r="S104" i="8"/>
  <c r="S104" i="16"/>
  <c r="S105" i="8"/>
  <c r="S105" i="16"/>
  <c r="S106" i="8"/>
  <c r="S106" i="16"/>
  <c r="S107" i="8"/>
  <c r="S107" i="16"/>
  <c r="S108" i="8"/>
  <c r="S108" i="16"/>
  <c r="S109" i="8"/>
  <c r="S109" i="16"/>
  <c r="S110" i="8"/>
  <c r="S110" i="16"/>
  <c r="S111" i="8"/>
  <c r="S111" i="16"/>
  <c r="V149" i="7"/>
  <c r="L7" i="17"/>
  <c r="B7" i="17"/>
  <c r="B62" i="17"/>
  <c r="F62" i="17"/>
  <c r="L8" i="17"/>
  <c r="B8" i="17"/>
  <c r="B63" i="17"/>
  <c r="L9" i="17"/>
  <c r="B9" i="17"/>
  <c r="C63" i="17"/>
  <c r="L10" i="17"/>
  <c r="B10" i="17"/>
  <c r="D63" i="17"/>
  <c r="F63" i="17"/>
  <c r="B64" i="17"/>
  <c r="C64" i="17"/>
  <c r="D64" i="17"/>
  <c r="F64" i="17"/>
  <c r="B65" i="17"/>
  <c r="D65" i="17"/>
  <c r="F65" i="17"/>
  <c r="L11" i="17"/>
  <c r="B11" i="17"/>
  <c r="B66" i="17"/>
  <c r="L12" i="17"/>
  <c r="B12" i="17"/>
  <c r="L13" i="17"/>
  <c r="B13" i="17"/>
  <c r="C66" i="17"/>
  <c r="D66" i="17"/>
  <c r="F66" i="17"/>
  <c r="B67" i="17"/>
  <c r="C67" i="17"/>
  <c r="D67" i="17"/>
  <c r="F67" i="17"/>
  <c r="B68" i="17"/>
  <c r="C68" i="17"/>
  <c r="D68" i="17"/>
  <c r="F68" i="17"/>
  <c r="L14" i="17"/>
  <c r="B14" i="17"/>
  <c r="B69" i="17"/>
  <c r="F69" i="17"/>
  <c r="L15" i="17"/>
  <c r="B15" i="17"/>
  <c r="B70" i="17"/>
  <c r="F70" i="17"/>
  <c r="L16" i="17"/>
  <c r="B16" i="17"/>
  <c r="B71" i="17"/>
  <c r="F71" i="17"/>
  <c r="G62" i="17"/>
  <c r="B83" i="17"/>
  <c r="G80" i="17"/>
  <c r="P33" i="18"/>
  <c r="B36" i="18"/>
  <c r="B44" i="18"/>
  <c r="D14" i="18"/>
  <c r="C44" i="18"/>
  <c r="E28" i="18"/>
  <c r="D12" i="18"/>
  <c r="D13" i="18"/>
  <c r="E25" i="18"/>
  <c r="D44" i="18"/>
  <c r="D15" i="18"/>
  <c r="E29" i="18"/>
  <c r="X155" i="7"/>
  <c r="S153" i="7"/>
  <c r="R58" i="25"/>
  <c r="Q58" i="25"/>
  <c r="P58" i="25"/>
  <c r="O58" i="25"/>
  <c r="N58" i="25"/>
  <c r="M58" i="25"/>
  <c r="L58" i="25"/>
  <c r="K58" i="25"/>
  <c r="J58" i="25"/>
  <c r="I58" i="25"/>
  <c r="H58" i="25"/>
  <c r="G58" i="25"/>
  <c r="F58" i="25"/>
  <c r="R168" i="25"/>
  <c r="Q168" i="25"/>
  <c r="P168" i="25"/>
  <c r="O168" i="25"/>
  <c r="N168" i="25"/>
  <c r="M168" i="25"/>
  <c r="L168" i="25"/>
  <c r="K168" i="25"/>
  <c r="J168" i="25"/>
  <c r="I168" i="25"/>
  <c r="H168" i="25"/>
  <c r="G168" i="25"/>
  <c r="F168" i="25"/>
  <c r="G113" i="25"/>
  <c r="H113" i="25"/>
  <c r="I113" i="25"/>
  <c r="J113" i="25"/>
  <c r="K113" i="25"/>
  <c r="L113" i="25"/>
  <c r="M113" i="25"/>
  <c r="N113" i="25"/>
  <c r="O113" i="25"/>
  <c r="P113" i="25"/>
  <c r="Q113" i="25"/>
  <c r="R113" i="25"/>
  <c r="F113"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66" i="25"/>
  <c r="D67" i="25"/>
  <c r="D68" i="25"/>
  <c r="D69" i="25"/>
  <c r="D70" i="25"/>
  <c r="D102" i="25"/>
  <c r="D103" i="25"/>
  <c r="D104" i="25"/>
  <c r="D105" i="25"/>
  <c r="D106" i="25"/>
  <c r="D107" i="25"/>
  <c r="D108" i="25"/>
  <c r="D109" i="25"/>
  <c r="D110" i="25"/>
  <c r="D111" i="25"/>
  <c r="D65" i="25"/>
  <c r="D121" i="25"/>
  <c r="D122" i="25"/>
  <c r="D123" i="25"/>
  <c r="D124" i="25"/>
  <c r="D125" i="25"/>
  <c r="D157" i="25"/>
  <c r="D158" i="25"/>
  <c r="D159" i="25"/>
  <c r="D160" i="25"/>
  <c r="D161" i="25"/>
  <c r="D162" i="25"/>
  <c r="D163" i="25"/>
  <c r="D164" i="25"/>
  <c r="D165" i="25"/>
  <c r="D166" i="25"/>
  <c r="D120" i="25"/>
  <c r="D11" i="25"/>
  <c r="D12" i="25"/>
  <c r="D13" i="25"/>
  <c r="D14" i="25"/>
  <c r="D15" i="25"/>
  <c r="D47" i="25"/>
  <c r="D48" i="25"/>
  <c r="D49" i="25"/>
  <c r="D50" i="25"/>
  <c r="D51" i="25"/>
  <c r="D52" i="25"/>
  <c r="D53" i="25"/>
  <c r="D54" i="25"/>
  <c r="D55" i="25"/>
  <c r="D56" i="25"/>
  <c r="D10" i="25"/>
  <c r="L9" i="22"/>
  <c r="L62" i="22"/>
  <c r="L64" i="22"/>
  <c r="L117" i="22"/>
  <c r="L119" i="22"/>
  <c r="V80" i="24" a="1"/>
  <c r="Y75" i="24" a="1"/>
  <c r="V75" i="24" a="1"/>
  <c r="V133" i="24" a="1"/>
  <c r="S173" i="24"/>
  <c r="S172" i="24"/>
  <c r="S171" i="24"/>
  <c r="S170" i="24"/>
  <c r="S169" i="24"/>
  <c r="S168" i="24"/>
  <c r="S167" i="24"/>
  <c r="S166" i="24"/>
  <c r="S165" i="24"/>
  <c r="S164"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29" i="24"/>
  <c r="S128" i="24"/>
  <c r="S126" i="24"/>
  <c r="S125" i="24"/>
  <c r="S115" i="24"/>
  <c r="S114" i="24"/>
  <c r="S113" i="24"/>
  <c r="S112" i="24"/>
  <c r="S111" i="24"/>
  <c r="S110" i="24"/>
  <c r="S109" i="24"/>
  <c r="S108" i="24"/>
  <c r="S107" i="24"/>
  <c r="S106"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71" i="24"/>
  <c r="S70" i="24"/>
  <c r="S68" i="24"/>
  <c r="S67" i="24"/>
  <c r="V17" i="24" a="1"/>
  <c r="AA118" i="7"/>
  <c r="H173" i="24"/>
  <c r="E173" i="24"/>
  <c r="H172" i="24"/>
  <c r="E172" i="24"/>
  <c r="H171" i="24"/>
  <c r="E171" i="24"/>
  <c r="H170" i="24"/>
  <c r="E170" i="24"/>
  <c r="H169" i="24"/>
  <c r="E169" i="24"/>
  <c r="H168" i="24"/>
  <c r="E168" i="24"/>
  <c r="H167" i="24"/>
  <c r="E167" i="24"/>
  <c r="H166" i="24"/>
  <c r="E166" i="24"/>
  <c r="H165" i="24"/>
  <c r="E165" i="24"/>
  <c r="H164" i="24"/>
  <c r="E164" i="24"/>
  <c r="H163" i="24"/>
  <c r="E163" i="24"/>
  <c r="H162" i="24"/>
  <c r="E162" i="24"/>
  <c r="H161" i="24"/>
  <c r="E161" i="24"/>
  <c r="H160" i="24"/>
  <c r="E160" i="24"/>
  <c r="H159" i="24"/>
  <c r="E159" i="24"/>
  <c r="H158" i="24"/>
  <c r="E158" i="24"/>
  <c r="H157" i="24"/>
  <c r="E157" i="24"/>
  <c r="H156" i="24"/>
  <c r="E156" i="24"/>
  <c r="H155" i="24"/>
  <c r="E155" i="24"/>
  <c r="H154" i="24"/>
  <c r="E154" i="24"/>
  <c r="H153" i="24"/>
  <c r="E153" i="24"/>
  <c r="H152" i="24"/>
  <c r="E152" i="24"/>
  <c r="H151" i="24"/>
  <c r="E151" i="24"/>
  <c r="H150" i="24"/>
  <c r="E150" i="24"/>
  <c r="H149" i="24"/>
  <c r="E149" i="24"/>
  <c r="H148" i="24"/>
  <c r="E148" i="24"/>
  <c r="H147" i="24"/>
  <c r="E147" i="24"/>
  <c r="H146" i="24"/>
  <c r="E146" i="24"/>
  <c r="H145" i="24"/>
  <c r="E145" i="24"/>
  <c r="H144" i="24"/>
  <c r="E144" i="24"/>
  <c r="H143" i="24"/>
  <c r="E143" i="24"/>
  <c r="H142" i="24"/>
  <c r="E142" i="24"/>
  <c r="H141" i="24"/>
  <c r="E141" i="24"/>
  <c r="H140" i="24"/>
  <c r="E140" i="24"/>
  <c r="H139" i="24"/>
  <c r="E139" i="24"/>
  <c r="H138" i="24"/>
  <c r="E138" i="24"/>
  <c r="H137" i="24"/>
  <c r="E137" i="24"/>
  <c r="H136" i="24"/>
  <c r="E136" i="24"/>
  <c r="H135" i="24"/>
  <c r="E135" i="24"/>
  <c r="H134" i="24"/>
  <c r="E134"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H133" i="24"/>
  <c r="E133" i="24"/>
  <c r="H132" i="24"/>
  <c r="E132" i="24"/>
  <c r="H131" i="24"/>
  <c r="E131" i="24"/>
  <c r="H130" i="24"/>
  <c r="E130" i="24"/>
  <c r="H129" i="24"/>
  <c r="E129" i="24"/>
  <c r="H128" i="24"/>
  <c r="E128" i="24"/>
  <c r="H127" i="24"/>
  <c r="E127" i="24"/>
  <c r="H126" i="24"/>
  <c r="E126" i="24"/>
  <c r="H125" i="24"/>
  <c r="E125" i="24"/>
  <c r="H115" i="24"/>
  <c r="E115" i="24"/>
  <c r="H114" i="24"/>
  <c r="E114" i="24"/>
  <c r="H113" i="24"/>
  <c r="E113" i="24"/>
  <c r="H112" i="24"/>
  <c r="E112" i="24"/>
  <c r="H111" i="24"/>
  <c r="E111" i="24"/>
  <c r="H110" i="24"/>
  <c r="E110" i="24"/>
  <c r="H109" i="24"/>
  <c r="E109" i="24"/>
  <c r="H108" i="24"/>
  <c r="E108" i="24"/>
  <c r="H107" i="24"/>
  <c r="E107" i="24"/>
  <c r="H106" i="24"/>
  <c r="E106" i="24"/>
  <c r="H105" i="24"/>
  <c r="E105" i="24"/>
  <c r="H104" i="24"/>
  <c r="E104" i="24"/>
  <c r="H103" i="24"/>
  <c r="E103" i="24"/>
  <c r="H102" i="24"/>
  <c r="E102" i="24"/>
  <c r="H101" i="24"/>
  <c r="E101" i="24"/>
  <c r="H100" i="24"/>
  <c r="E100" i="24"/>
  <c r="H99" i="24"/>
  <c r="E99" i="24"/>
  <c r="H98" i="24"/>
  <c r="E98" i="24"/>
  <c r="H97" i="24"/>
  <c r="E97" i="24"/>
  <c r="H96" i="24"/>
  <c r="E96" i="24"/>
  <c r="H95" i="24"/>
  <c r="E95" i="24"/>
  <c r="H94" i="24"/>
  <c r="E94" i="24"/>
  <c r="H93" i="24"/>
  <c r="E93" i="24"/>
  <c r="H92" i="24"/>
  <c r="E92" i="24"/>
  <c r="H91" i="24"/>
  <c r="E91" i="24"/>
  <c r="H90" i="24"/>
  <c r="E90" i="24"/>
  <c r="H89" i="24"/>
  <c r="E89" i="24"/>
  <c r="H88" i="24"/>
  <c r="E88" i="24"/>
  <c r="H87" i="24"/>
  <c r="E87" i="24"/>
  <c r="H86" i="24"/>
  <c r="E86" i="24"/>
  <c r="H85" i="24"/>
  <c r="E85" i="24"/>
  <c r="H84" i="24"/>
  <c r="E84" i="24"/>
  <c r="H82" i="24"/>
  <c r="E82" i="24"/>
  <c r="H81" i="24"/>
  <c r="E81" i="24"/>
  <c r="H80" i="24"/>
  <c r="E80" i="24"/>
  <c r="H79" i="24"/>
  <c r="E79" i="24"/>
  <c r="H78" i="24"/>
  <c r="E78" i="24"/>
  <c r="H77" i="24"/>
  <c r="E77" i="24"/>
  <c r="H76" i="24"/>
  <c r="E76" i="24"/>
  <c r="H75" i="24"/>
  <c r="E75" i="24"/>
  <c r="H74" i="24"/>
  <c r="E74" i="24"/>
  <c r="H73" i="24"/>
  <c r="E73" i="24"/>
  <c r="H72" i="24"/>
  <c r="E72" i="24"/>
  <c r="H71" i="24"/>
  <c r="E71" i="24"/>
  <c r="H70" i="24"/>
  <c r="E70" i="24"/>
  <c r="H69" i="24"/>
  <c r="E69" i="24"/>
  <c r="H68" i="24"/>
  <c r="E68" i="24"/>
  <c r="H67" i="24"/>
  <c r="E67" i="24"/>
  <c r="S57" i="24"/>
  <c r="S56" i="24"/>
  <c r="S55" i="24"/>
  <c r="S54" i="24"/>
  <c r="S53" i="24"/>
  <c r="S52" i="24"/>
  <c r="S51" i="24"/>
  <c r="S50" i="24"/>
  <c r="S49" i="24"/>
  <c r="S48" i="24"/>
  <c r="S10" i="24"/>
  <c r="S9" i="24"/>
  <c r="H10" i="24"/>
  <c r="H11" i="24"/>
  <c r="H12" i="24"/>
  <c r="H13" i="24"/>
  <c r="H14" i="24"/>
  <c r="H15" i="24"/>
  <c r="H16" i="24"/>
  <c r="H17" i="24"/>
  <c r="H18" i="24"/>
  <c r="H19" i="24"/>
  <c r="H20" i="24"/>
  <c r="H21"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9" i="24"/>
  <c r="E10" i="24"/>
  <c r="E11" i="24"/>
  <c r="E12" i="24"/>
  <c r="E13" i="24"/>
  <c r="E14" i="24"/>
  <c r="E15" i="24"/>
  <c r="E16" i="24"/>
  <c r="E17" i="24"/>
  <c r="E18" i="24"/>
  <c r="E19" i="24"/>
  <c r="E20" i="24"/>
  <c r="E21"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9" i="24"/>
  <c r="D177" i="6"/>
  <c r="AG177" i="6" s="1"/>
  <c r="A17" i="20"/>
  <c r="M55" i="20"/>
  <c r="M54" i="20"/>
  <c r="M53" i="20"/>
  <c r="M52" i="20"/>
  <c r="M51" i="20"/>
  <c r="M50" i="20"/>
  <c r="N55" i="20"/>
  <c r="N54" i="20"/>
  <c r="N53" i="20"/>
  <c r="N52" i="20"/>
  <c r="N51" i="20"/>
  <c r="N50" i="20"/>
  <c r="M49" i="20"/>
  <c r="F54" i="20"/>
  <c r="F55" i="20"/>
  <c r="L41" i="20"/>
  <c r="N41" i="20"/>
  <c r="B42" i="20"/>
  <c r="D52" i="20"/>
  <c r="N7" i="20"/>
  <c r="N9" i="20"/>
  <c r="B9" i="20"/>
  <c r="B52" i="20"/>
  <c r="N18" i="20"/>
  <c r="N19" i="20"/>
  <c r="C20" i="20"/>
  <c r="N20" i="20"/>
  <c r="C21" i="20"/>
  <c r="N21" i="20"/>
  <c r="C22" i="20"/>
  <c r="B19" i="20"/>
  <c r="C52" i="20"/>
  <c r="E52" i="20"/>
  <c r="N10" i="20"/>
  <c r="B10" i="20"/>
  <c r="B53" i="20"/>
  <c r="N22" i="20"/>
  <c r="B23" i="20"/>
  <c r="C53" i="20"/>
  <c r="O41" i="20"/>
  <c r="B43" i="20"/>
  <c r="D53" i="20"/>
  <c r="E53" i="20"/>
  <c r="P41" i="20"/>
  <c r="B44" i="20"/>
  <c r="D54" i="20"/>
  <c r="E54" i="20"/>
  <c r="B34" i="20"/>
  <c r="C34" i="20"/>
  <c r="B55" i="20"/>
  <c r="C55" i="20"/>
  <c r="M41" i="20"/>
  <c r="B46" i="20"/>
  <c r="D55" i="20"/>
  <c r="E55" i="20"/>
  <c r="B28" i="20"/>
  <c r="B56" i="20"/>
  <c r="C56" i="20"/>
  <c r="Q41" i="20"/>
  <c r="B45" i="20"/>
  <c r="D56" i="20"/>
  <c r="E56" i="20"/>
  <c r="N8" i="20"/>
  <c r="B8" i="20"/>
  <c r="B51" i="20"/>
  <c r="E51" i="20"/>
  <c r="D57" i="20"/>
  <c r="B47" i="20"/>
  <c r="C43" i="20"/>
  <c r="C44" i="20"/>
  <c r="C45" i="20"/>
  <c r="C46" i="20"/>
  <c r="C47" i="20"/>
  <c r="C42" i="20"/>
  <c r="A46" i="20"/>
  <c r="A45" i="20"/>
  <c r="A44" i="20"/>
  <c r="A43" i="20"/>
  <c r="A42" i="20"/>
  <c r="A39" i="20"/>
  <c r="B11" i="20"/>
  <c r="C57" i="20"/>
  <c r="N23" i="20"/>
  <c r="O23" i="20"/>
  <c r="M23" i="20"/>
  <c r="A5" i="20"/>
  <c r="K44" i="18"/>
  <c r="K45" i="18"/>
  <c r="W55" i="23"/>
  <c r="K43" i="18"/>
  <c r="K40" i="18"/>
  <c r="K41" i="18"/>
  <c r="K42" i="18"/>
  <c r="K46" i="18"/>
  <c r="L40" i="18"/>
  <c r="L41" i="18"/>
  <c r="L43" i="18"/>
  <c r="L44" i="18"/>
  <c r="L45" i="18"/>
  <c r="L42" i="18"/>
  <c r="L46" i="18"/>
  <c r="K50" i="18"/>
  <c r="G50" i="18"/>
  <c r="B50" i="18"/>
  <c r="K75" i="17"/>
  <c r="G75" i="17"/>
  <c r="B75" i="17"/>
  <c r="A40" i="18"/>
  <c r="K11" i="18"/>
  <c r="B35" i="18"/>
  <c r="B17" i="17"/>
  <c r="C17" i="17"/>
  <c r="B18" i="17"/>
  <c r="C18" i="17"/>
  <c r="B5" i="17"/>
  <c r="L17" i="17"/>
  <c r="K17" i="17"/>
  <c r="M17" i="17"/>
  <c r="N17" i="17"/>
  <c r="O17" i="17"/>
  <c r="P17" i="17"/>
  <c r="Q17" i="17"/>
  <c r="R17" i="17"/>
  <c r="S17" i="17"/>
  <c r="J17" i="17"/>
  <c r="K31" i="19"/>
  <c r="K39" i="18"/>
  <c r="K59" i="17"/>
  <c r="M64" i="23"/>
  <c r="M65" i="23"/>
  <c r="M69" i="23"/>
  <c r="M63" i="23"/>
  <c r="M70" i="23"/>
  <c r="M59" i="23"/>
  <c r="X58" i="23"/>
  <c r="W58" i="23"/>
  <c r="V58" i="23"/>
  <c r="X57" i="23"/>
  <c r="W57" i="23"/>
  <c r="V57" i="23"/>
  <c r="X56" i="23"/>
  <c r="W56" i="23"/>
  <c r="V56" i="23"/>
  <c r="X55" i="23"/>
  <c r="V55" i="23"/>
  <c r="X54" i="23"/>
  <c r="W54" i="23"/>
  <c r="V54" i="23"/>
  <c r="X53" i="23"/>
  <c r="W53" i="23"/>
  <c r="V53" i="23"/>
  <c r="X52" i="23"/>
  <c r="W52" i="23"/>
  <c r="V52" i="23"/>
  <c r="X51" i="23"/>
  <c r="W51" i="23"/>
  <c r="V51" i="23"/>
  <c r="X69" i="23"/>
  <c r="W69" i="23"/>
  <c r="V69" i="23"/>
  <c r="X68" i="23"/>
  <c r="W68" i="23"/>
  <c r="V68" i="23"/>
  <c r="X67" i="23"/>
  <c r="W67" i="23"/>
  <c r="V67" i="23"/>
  <c r="X66" i="23"/>
  <c r="W66" i="23"/>
  <c r="V66" i="23"/>
  <c r="X65" i="23"/>
  <c r="W65" i="23"/>
  <c r="V65" i="23"/>
  <c r="X64" i="23"/>
  <c r="W64" i="23"/>
  <c r="V64" i="23"/>
  <c r="X63" i="23"/>
  <c r="W63" i="23"/>
  <c r="V63" i="23"/>
  <c r="X62" i="23"/>
  <c r="W62" i="23"/>
  <c r="V62" i="23"/>
  <c r="X47" i="23"/>
  <c r="W47" i="23"/>
  <c r="V47" i="23"/>
  <c r="X46" i="23"/>
  <c r="W46" i="23"/>
  <c r="V46" i="23"/>
  <c r="X45" i="23"/>
  <c r="W45" i="23"/>
  <c r="V45" i="23"/>
  <c r="X44" i="23"/>
  <c r="W44" i="23"/>
  <c r="V44" i="23"/>
  <c r="X43" i="23"/>
  <c r="W43" i="23"/>
  <c r="V43" i="23"/>
  <c r="X42" i="23"/>
  <c r="W42" i="23"/>
  <c r="V42" i="23"/>
  <c r="X41" i="23"/>
  <c r="W41" i="23"/>
  <c r="V41" i="23"/>
  <c r="X40" i="23"/>
  <c r="W40" i="23"/>
  <c r="V40" i="23"/>
  <c r="M29" i="23"/>
  <c r="M30" i="23"/>
  <c r="M31" i="23"/>
  <c r="M32" i="23"/>
  <c r="M33" i="23"/>
  <c r="M34" i="23"/>
  <c r="M35" i="23"/>
  <c r="M36" i="23"/>
  <c r="M18" i="23"/>
  <c r="M19" i="23"/>
  <c r="M20" i="23"/>
  <c r="M21" i="23"/>
  <c r="M22" i="23"/>
  <c r="M23" i="23"/>
  <c r="M24" i="23"/>
  <c r="M25" i="23"/>
  <c r="M40" i="23"/>
  <c r="M41" i="23"/>
  <c r="M42" i="23"/>
  <c r="M43" i="23"/>
  <c r="M47" i="23"/>
  <c r="M48" i="23"/>
  <c r="M7" i="23"/>
  <c r="M8" i="23"/>
  <c r="M9" i="23"/>
  <c r="M10" i="23"/>
  <c r="M11" i="23"/>
  <c r="M12" i="23"/>
  <c r="M13" i="23"/>
  <c r="M14" i="23"/>
  <c r="M28" i="23"/>
  <c r="M17" i="23"/>
  <c r="T70" i="23"/>
  <c r="S70" i="23"/>
  <c r="R70" i="23"/>
  <c r="Q70" i="23"/>
  <c r="P70" i="23"/>
  <c r="O70" i="23"/>
  <c r="N70" i="23"/>
  <c r="L70" i="23"/>
  <c r="K70" i="23"/>
  <c r="J70" i="23"/>
  <c r="I70" i="23"/>
  <c r="H70" i="23"/>
  <c r="G70" i="23"/>
  <c r="F70" i="23"/>
  <c r="E70" i="23"/>
  <c r="D70" i="23"/>
  <c r="C70" i="23"/>
  <c r="B70" i="23"/>
  <c r="T59" i="23"/>
  <c r="S59" i="23"/>
  <c r="R59" i="23"/>
  <c r="Q59" i="23"/>
  <c r="P59" i="23"/>
  <c r="O59" i="23"/>
  <c r="N59" i="23"/>
  <c r="L59" i="23"/>
  <c r="K59" i="23"/>
  <c r="J59" i="23"/>
  <c r="I59" i="23"/>
  <c r="H59" i="23"/>
  <c r="G59" i="23"/>
  <c r="F59" i="23"/>
  <c r="E59" i="23"/>
  <c r="D59" i="23"/>
  <c r="C59" i="23"/>
  <c r="B59" i="23"/>
  <c r="T48" i="23"/>
  <c r="S48" i="23"/>
  <c r="R48" i="23"/>
  <c r="Q48" i="23"/>
  <c r="P48" i="23"/>
  <c r="O48" i="23"/>
  <c r="N48" i="23"/>
  <c r="L48" i="23"/>
  <c r="K41" i="23"/>
  <c r="K42" i="23"/>
  <c r="K43" i="23"/>
  <c r="K47" i="23"/>
  <c r="K48" i="23"/>
  <c r="J48" i="23"/>
  <c r="I48" i="23"/>
  <c r="H48" i="23"/>
  <c r="G48" i="23"/>
  <c r="F48" i="23"/>
  <c r="E48" i="23"/>
  <c r="D48" i="23"/>
  <c r="C48" i="23"/>
  <c r="B48" i="23"/>
  <c r="T36" i="23"/>
  <c r="S36" i="23"/>
  <c r="R36" i="23"/>
  <c r="Q36" i="23"/>
  <c r="P36" i="23"/>
  <c r="O36" i="23"/>
  <c r="N36" i="23"/>
  <c r="L36" i="23"/>
  <c r="G36" i="23"/>
  <c r="T35" i="23"/>
  <c r="S35" i="23"/>
  <c r="R35" i="23"/>
  <c r="Q35" i="23"/>
  <c r="P35" i="23"/>
  <c r="O35" i="23"/>
  <c r="N35" i="23"/>
  <c r="L35" i="23"/>
  <c r="T34" i="23"/>
  <c r="S34" i="23"/>
  <c r="R34" i="23"/>
  <c r="Q34" i="23"/>
  <c r="P34" i="23"/>
  <c r="O34" i="23"/>
  <c r="N34" i="23"/>
  <c r="L34" i="23"/>
  <c r="G34" i="23"/>
  <c r="T33" i="23"/>
  <c r="S33" i="23"/>
  <c r="R33" i="23"/>
  <c r="Q33" i="23"/>
  <c r="P33" i="23"/>
  <c r="O33" i="23"/>
  <c r="N33" i="23"/>
  <c r="L33" i="23"/>
  <c r="G33" i="23"/>
  <c r="T32" i="23"/>
  <c r="S32" i="23"/>
  <c r="R32" i="23"/>
  <c r="Q32" i="23"/>
  <c r="P32" i="23"/>
  <c r="O32" i="23"/>
  <c r="N32" i="23"/>
  <c r="L32" i="23"/>
  <c r="G32" i="23"/>
  <c r="T31" i="23"/>
  <c r="S31" i="23"/>
  <c r="R31" i="23"/>
  <c r="Q31" i="23"/>
  <c r="P31" i="23"/>
  <c r="O31" i="23"/>
  <c r="N31" i="23"/>
  <c r="L31" i="23"/>
  <c r="G31" i="23"/>
  <c r="T30" i="23"/>
  <c r="S30" i="23"/>
  <c r="R30" i="23"/>
  <c r="Q30" i="23"/>
  <c r="P30" i="23"/>
  <c r="O30" i="23"/>
  <c r="N30" i="23"/>
  <c r="L30" i="23"/>
  <c r="G30" i="23"/>
  <c r="T29" i="23"/>
  <c r="S29" i="23"/>
  <c r="R29" i="23"/>
  <c r="Q29" i="23"/>
  <c r="P29" i="23"/>
  <c r="O29" i="23"/>
  <c r="N29" i="23"/>
  <c r="L29" i="23"/>
  <c r="G29" i="23"/>
  <c r="T25" i="23"/>
  <c r="S25" i="23"/>
  <c r="R25" i="23"/>
  <c r="Q25" i="23"/>
  <c r="P25" i="23"/>
  <c r="O25" i="23"/>
  <c r="N25" i="23"/>
  <c r="L25" i="23"/>
  <c r="G25" i="23"/>
  <c r="T24" i="23"/>
  <c r="S24" i="23"/>
  <c r="R24" i="23"/>
  <c r="Q24" i="23"/>
  <c r="P24" i="23"/>
  <c r="O24" i="23"/>
  <c r="N24" i="23"/>
  <c r="L24" i="23"/>
  <c r="T23" i="23"/>
  <c r="S23" i="23"/>
  <c r="R23" i="23"/>
  <c r="Q23" i="23"/>
  <c r="P23" i="23"/>
  <c r="O23" i="23"/>
  <c r="N23" i="23"/>
  <c r="L23" i="23"/>
  <c r="G23" i="23"/>
  <c r="T22" i="23"/>
  <c r="S22" i="23"/>
  <c r="R22" i="23"/>
  <c r="Q22" i="23"/>
  <c r="P22" i="23"/>
  <c r="O22" i="23"/>
  <c r="N22" i="23"/>
  <c r="L22" i="23"/>
  <c r="G22" i="23"/>
  <c r="T21" i="23"/>
  <c r="S21" i="23"/>
  <c r="R21" i="23"/>
  <c r="Q21" i="23"/>
  <c r="P21" i="23"/>
  <c r="O21" i="23"/>
  <c r="N21" i="23"/>
  <c r="L21" i="23"/>
  <c r="G21" i="23"/>
  <c r="T20" i="23"/>
  <c r="S20" i="23"/>
  <c r="R20" i="23"/>
  <c r="Q20" i="23"/>
  <c r="P20" i="23"/>
  <c r="O20" i="23"/>
  <c r="N20" i="23"/>
  <c r="L20" i="23"/>
  <c r="G20" i="23"/>
  <c r="T19" i="23"/>
  <c r="S19" i="23"/>
  <c r="R19" i="23"/>
  <c r="Q19" i="23"/>
  <c r="P19" i="23"/>
  <c r="O19" i="23"/>
  <c r="N19" i="23"/>
  <c r="L19" i="23"/>
  <c r="G19" i="23"/>
  <c r="T18" i="23"/>
  <c r="S18" i="23"/>
  <c r="R18" i="23"/>
  <c r="Q18" i="23"/>
  <c r="P18" i="23"/>
  <c r="O18" i="23"/>
  <c r="N18" i="23"/>
  <c r="L18" i="23"/>
  <c r="G18" i="23"/>
  <c r="T14" i="23"/>
  <c r="S14" i="23"/>
  <c r="R14" i="23"/>
  <c r="Q14" i="23"/>
  <c r="P14" i="23"/>
  <c r="O14" i="23"/>
  <c r="N14" i="23"/>
  <c r="L14" i="23"/>
  <c r="G14" i="23"/>
  <c r="T13" i="23"/>
  <c r="S13" i="23"/>
  <c r="R13" i="23"/>
  <c r="Q13" i="23"/>
  <c r="P13" i="23"/>
  <c r="O13" i="23"/>
  <c r="N13" i="23"/>
  <c r="L13" i="23"/>
  <c r="T12" i="23"/>
  <c r="S12" i="23"/>
  <c r="R12" i="23"/>
  <c r="Q12" i="23"/>
  <c r="P12" i="23"/>
  <c r="O12" i="23"/>
  <c r="N12" i="23"/>
  <c r="L12" i="23"/>
  <c r="G12" i="23"/>
  <c r="T11" i="23"/>
  <c r="S11" i="23"/>
  <c r="R11" i="23"/>
  <c r="Q11" i="23"/>
  <c r="P11" i="23"/>
  <c r="O11" i="23"/>
  <c r="N11" i="23"/>
  <c r="L11" i="23"/>
  <c r="G11" i="23"/>
  <c r="T10" i="23"/>
  <c r="S10" i="23"/>
  <c r="R10" i="23"/>
  <c r="Q10" i="23"/>
  <c r="P10" i="23"/>
  <c r="O10" i="23"/>
  <c r="N10" i="23"/>
  <c r="L10" i="23"/>
  <c r="G10" i="23"/>
  <c r="T9" i="23"/>
  <c r="S9" i="23"/>
  <c r="R9" i="23"/>
  <c r="Q9" i="23"/>
  <c r="P9" i="23"/>
  <c r="O9" i="23"/>
  <c r="N9" i="23"/>
  <c r="L9" i="23"/>
  <c r="G9" i="23"/>
  <c r="T8" i="23"/>
  <c r="S8" i="23"/>
  <c r="R8" i="23"/>
  <c r="Q8" i="23"/>
  <c r="P8" i="23"/>
  <c r="O8" i="23"/>
  <c r="N8" i="23"/>
  <c r="L8" i="23"/>
  <c r="G8" i="23"/>
  <c r="T7" i="23"/>
  <c r="S7" i="23"/>
  <c r="R7" i="23"/>
  <c r="Q7" i="23"/>
  <c r="P7" i="23"/>
  <c r="O7" i="23"/>
  <c r="N7" i="23"/>
  <c r="L7" i="23"/>
  <c r="G7" i="23"/>
  <c r="F9" i="22"/>
  <c r="G9" i="22"/>
  <c r="H9" i="22"/>
  <c r="I9" i="22"/>
  <c r="J9" i="22"/>
  <c r="K9" i="22"/>
  <c r="M9" i="22"/>
  <c r="M62" i="22"/>
  <c r="M117" i="22"/>
  <c r="M119" i="22"/>
  <c r="F62" i="22"/>
  <c r="F117" i="22"/>
  <c r="F119" i="22"/>
  <c r="G62" i="22"/>
  <c r="G117" i="22"/>
  <c r="G119" i="22"/>
  <c r="H62" i="22"/>
  <c r="H117" i="22"/>
  <c r="H119" i="22"/>
  <c r="I62" i="22"/>
  <c r="I117" i="22"/>
  <c r="I119" i="22"/>
  <c r="J62" i="22"/>
  <c r="J117" i="22"/>
  <c r="J119" i="22"/>
  <c r="K62" i="22"/>
  <c r="K117" i="22"/>
  <c r="K119" i="22"/>
  <c r="D121" i="22"/>
  <c r="D122" i="22"/>
  <c r="D123" i="22"/>
  <c r="D124" i="22"/>
  <c r="D125" i="22"/>
  <c r="D126" i="22"/>
  <c r="D127" i="22"/>
  <c r="D128" i="22"/>
  <c r="D129" i="22"/>
  <c r="D130" i="22"/>
  <c r="D131" i="22"/>
  <c r="D132" i="22"/>
  <c r="D133" i="22"/>
  <c r="D134" i="22"/>
  <c r="D135" i="22"/>
  <c r="D136" i="22"/>
  <c r="D137" i="22"/>
  <c r="D138" i="22"/>
  <c r="D139" i="22"/>
  <c r="D140" i="22"/>
  <c r="D141" i="22"/>
  <c r="D142" i="22"/>
  <c r="D143" i="22"/>
  <c r="D144" i="22"/>
  <c r="D145" i="22"/>
  <c r="D146" i="22"/>
  <c r="D147" i="22"/>
  <c r="D148" i="22"/>
  <c r="D149" i="22"/>
  <c r="D150" i="22"/>
  <c r="D151" i="22"/>
  <c r="D152" i="22"/>
  <c r="D153" i="22"/>
  <c r="D154" i="22"/>
  <c r="D155" i="22"/>
  <c r="D156" i="22"/>
  <c r="D157" i="22"/>
  <c r="D158" i="22"/>
  <c r="D159" i="22"/>
  <c r="D160" i="22"/>
  <c r="D161" i="22"/>
  <c r="D162" i="22"/>
  <c r="D163" i="22"/>
  <c r="D164" i="22"/>
  <c r="D165" i="22"/>
  <c r="D166" i="22"/>
  <c r="D120" i="22"/>
  <c r="M64" i="22"/>
  <c r="F64" i="22"/>
  <c r="G64" i="22"/>
  <c r="H64" i="22"/>
  <c r="I64" i="22"/>
  <c r="J64" i="22"/>
  <c r="K64" i="22"/>
  <c r="D66" i="22"/>
  <c r="D67" i="22"/>
  <c r="D68" i="22"/>
  <c r="D69" i="22"/>
  <c r="D70" i="22"/>
  <c r="D71" i="22"/>
  <c r="D72" i="22"/>
  <c r="D73" i="22"/>
  <c r="D74" i="22"/>
  <c r="D75" i="22"/>
  <c r="D76" i="22"/>
  <c r="D77" i="22"/>
  <c r="D78" i="22"/>
  <c r="D79" i="22"/>
  <c r="D80" i="22"/>
  <c r="D81" i="22"/>
  <c r="D82" i="22"/>
  <c r="D83" i="22"/>
  <c r="D84" i="22"/>
  <c r="D85" i="22"/>
  <c r="D86" i="22"/>
  <c r="D87" i="22"/>
  <c r="D88" i="22"/>
  <c r="D89" i="22"/>
  <c r="D90" i="22"/>
  <c r="D91" i="22"/>
  <c r="D92" i="22"/>
  <c r="D93" i="22"/>
  <c r="D94" i="22"/>
  <c r="D95" i="22"/>
  <c r="D96" i="22"/>
  <c r="D97" i="22"/>
  <c r="D98" i="22"/>
  <c r="D99" i="22"/>
  <c r="D100" i="22"/>
  <c r="D101" i="22"/>
  <c r="D102" i="22"/>
  <c r="D103" i="22"/>
  <c r="D104" i="22"/>
  <c r="D105" i="22"/>
  <c r="D106" i="22"/>
  <c r="D107" i="22"/>
  <c r="D108" i="22"/>
  <c r="D109" i="22"/>
  <c r="D110" i="22"/>
  <c r="D111" i="22"/>
  <c r="D65" i="22"/>
  <c r="D11" i="22"/>
  <c r="D12" i="22"/>
  <c r="D13" i="22"/>
  <c r="D14" i="22"/>
  <c r="D15" i="22"/>
  <c r="D16" i="22"/>
  <c r="D17" i="22"/>
  <c r="D18" i="22"/>
  <c r="D19" i="22"/>
  <c r="D20" i="22"/>
  <c r="D21" i="22"/>
  <c r="D22" i="22"/>
  <c r="D23" i="22"/>
  <c r="D24" i="22"/>
  <c r="D25" i="22"/>
  <c r="D26" i="22"/>
  <c r="D27" i="22"/>
  <c r="D28" i="22"/>
  <c r="D29" i="22"/>
  <c r="D30" i="22"/>
  <c r="D31" i="22"/>
  <c r="D32" i="22"/>
  <c r="D33" i="22"/>
  <c r="D34" i="22"/>
  <c r="D35" i="22"/>
  <c r="D36" i="22"/>
  <c r="D37" i="22"/>
  <c r="D38" i="22"/>
  <c r="D39" i="22"/>
  <c r="D40" i="22"/>
  <c r="D41" i="22"/>
  <c r="D42" i="22"/>
  <c r="D43" i="22"/>
  <c r="D44" i="22"/>
  <c r="D45" i="22"/>
  <c r="D46" i="22"/>
  <c r="D47" i="22"/>
  <c r="D48" i="22"/>
  <c r="D49" i="22"/>
  <c r="D50" i="22"/>
  <c r="D51" i="22"/>
  <c r="D52" i="22"/>
  <c r="D53" i="22"/>
  <c r="D54" i="22"/>
  <c r="D55" i="22"/>
  <c r="D56" i="22"/>
  <c r="D10" i="22"/>
  <c r="S24" i="7"/>
  <c r="S25" i="7"/>
  <c r="S26" i="7"/>
  <c r="S27" i="7"/>
  <c r="S152" i="7"/>
  <c r="F51" i="20"/>
  <c r="F52" i="20"/>
  <c r="F53" i="20"/>
  <c r="F56" i="20"/>
  <c r="F57" i="20"/>
  <c r="E57" i="20"/>
  <c r="B57" i="20"/>
  <c r="B24" i="20"/>
  <c r="D24" i="20"/>
  <c r="D23" i="20"/>
  <c r="E22" i="20"/>
  <c r="E21" i="20"/>
  <c r="E20" i="20"/>
  <c r="D19" i="20"/>
  <c r="C11" i="20"/>
  <c r="C10" i="20"/>
  <c r="C9" i="20"/>
  <c r="C8" i="20"/>
  <c r="C61" i="17"/>
  <c r="E39" i="17"/>
  <c r="D61" i="17"/>
  <c r="L34" i="19"/>
  <c r="L38" i="19"/>
  <c r="C62" i="17"/>
  <c r="E41" i="17"/>
  <c r="E42" i="17"/>
  <c r="D62" i="17"/>
  <c r="B9" i="19"/>
  <c r="C41" i="19"/>
  <c r="D29" i="17"/>
  <c r="E40" i="17"/>
  <c r="B10" i="19"/>
  <c r="C42" i="19"/>
  <c r="B11" i="19"/>
  <c r="C43" i="19"/>
  <c r="C65" i="17"/>
  <c r="B12" i="19"/>
  <c r="C44" i="19"/>
  <c r="D30" i="17"/>
  <c r="E43" i="17"/>
  <c r="B13" i="19"/>
  <c r="C46" i="19"/>
  <c r="B14" i="19"/>
  <c r="C47" i="19"/>
  <c r="B15" i="19"/>
  <c r="C48" i="19"/>
  <c r="B26" i="19"/>
  <c r="C49" i="19"/>
  <c r="E52" i="17"/>
  <c r="E69" i="17"/>
  <c r="B16" i="19"/>
  <c r="C52" i="19"/>
  <c r="B17" i="19"/>
  <c r="C53" i="19"/>
  <c r="B18" i="19"/>
  <c r="C54" i="19"/>
  <c r="G38" i="19"/>
  <c r="K47" i="19"/>
  <c r="G39" i="19"/>
  <c r="K48" i="19"/>
  <c r="G41" i="19"/>
  <c r="G44" i="19"/>
  <c r="G45" i="19"/>
  <c r="G46" i="19"/>
  <c r="K50" i="19"/>
  <c r="C18" i="19"/>
  <c r="C17" i="19"/>
  <c r="C16" i="19"/>
  <c r="C15" i="19"/>
  <c r="C14" i="19"/>
  <c r="C13" i="19"/>
  <c r="C12" i="19"/>
  <c r="C11" i="19"/>
  <c r="C10" i="19"/>
  <c r="C9" i="19"/>
  <c r="C8" i="19"/>
  <c r="C59" i="18"/>
  <c r="H56" i="18"/>
  <c r="E26" i="18"/>
  <c r="E27" i="18"/>
  <c r="E30" i="18"/>
  <c r="B30" i="18"/>
  <c r="C29" i="18"/>
  <c r="F28" i="18"/>
  <c r="C28" i="18"/>
  <c r="F27" i="18"/>
  <c r="C27" i="18"/>
  <c r="F26" i="18"/>
  <c r="C26" i="18"/>
  <c r="F25" i="18"/>
  <c r="C25" i="18"/>
  <c r="F24" i="18"/>
  <c r="C24" i="18"/>
  <c r="C16" i="18"/>
  <c r="G16" i="18"/>
  <c r="B16" i="18"/>
  <c r="F16" i="18"/>
  <c r="D8" i="18"/>
  <c r="D9" i="18"/>
  <c r="D16" i="18"/>
  <c r="E16" i="18"/>
  <c r="G15" i="18"/>
  <c r="F15" i="18"/>
  <c r="E15" i="18"/>
  <c r="G14" i="18"/>
  <c r="F14" i="18"/>
  <c r="E14" i="18"/>
  <c r="G13" i="18"/>
  <c r="F13" i="18"/>
  <c r="E13" i="18"/>
  <c r="G12" i="18"/>
  <c r="F12" i="18"/>
  <c r="E12" i="18"/>
  <c r="G11" i="18"/>
  <c r="F11" i="18"/>
  <c r="E11" i="18"/>
  <c r="G10" i="18"/>
  <c r="F10" i="18"/>
  <c r="E10" i="18"/>
  <c r="G9" i="18"/>
  <c r="F9" i="18"/>
  <c r="E9" i="18"/>
  <c r="G8" i="18"/>
  <c r="F8" i="18"/>
  <c r="E8" i="18"/>
  <c r="L60" i="17"/>
  <c r="C76" i="17"/>
  <c r="L61" i="17"/>
  <c r="C77" i="17"/>
  <c r="L62" i="17"/>
  <c r="C78" i="17"/>
  <c r="L63" i="17"/>
  <c r="C79" i="17"/>
  <c r="L64" i="17"/>
  <c r="C80" i="17"/>
  <c r="L65" i="17"/>
  <c r="C81" i="17"/>
  <c r="L66" i="17"/>
  <c r="C82" i="17"/>
  <c r="C83" i="17"/>
  <c r="C84" i="17"/>
  <c r="C85" i="17"/>
  <c r="C86" i="17"/>
  <c r="C87" i="17"/>
  <c r="C88" i="17"/>
  <c r="C89" i="17"/>
  <c r="C90" i="17"/>
  <c r="C91" i="17"/>
  <c r="C92" i="17"/>
  <c r="C93" i="17"/>
  <c r="G61" i="17"/>
  <c r="B76" i="17"/>
  <c r="B77" i="17"/>
  <c r="B78" i="17"/>
  <c r="B79" i="17"/>
  <c r="B80" i="17"/>
  <c r="B81" i="17"/>
  <c r="B82" i="17"/>
  <c r="G63" i="17"/>
  <c r="B84" i="17"/>
  <c r="G64" i="17"/>
  <c r="B85" i="17"/>
  <c r="G65" i="17"/>
  <c r="B86" i="17"/>
  <c r="G66" i="17"/>
  <c r="B87" i="17"/>
  <c r="G67" i="17"/>
  <c r="B88" i="17"/>
  <c r="G68" i="17"/>
  <c r="B89" i="17"/>
  <c r="G69" i="17"/>
  <c r="B90" i="17"/>
  <c r="G70" i="17"/>
  <c r="B91" i="17"/>
  <c r="G71" i="17"/>
  <c r="B92" i="17"/>
  <c r="B93" i="17"/>
  <c r="H76" i="17"/>
  <c r="H77" i="17"/>
  <c r="H78" i="17"/>
  <c r="H79" i="17"/>
  <c r="H80" i="17"/>
  <c r="H81" i="17"/>
  <c r="H82" i="17"/>
  <c r="H83" i="17"/>
  <c r="H84" i="17"/>
  <c r="H85" i="17"/>
  <c r="G76" i="17"/>
  <c r="G77" i="17"/>
  <c r="G78" i="17"/>
  <c r="G79" i="17"/>
  <c r="G81" i="17"/>
  <c r="G82" i="17"/>
  <c r="G83" i="17"/>
  <c r="G84" i="17"/>
  <c r="G85" i="17"/>
  <c r="L76" i="17"/>
  <c r="L77" i="17"/>
  <c r="L78" i="17"/>
  <c r="L79" i="17"/>
  <c r="L80" i="17"/>
  <c r="L81" i="17"/>
  <c r="L82" i="17"/>
  <c r="K76" i="17"/>
  <c r="K77" i="17"/>
  <c r="K78" i="17"/>
  <c r="K79" i="17"/>
  <c r="K80" i="17"/>
  <c r="K81" i="17"/>
  <c r="K82" i="17"/>
  <c r="F72" i="17"/>
  <c r="G72" i="17"/>
  <c r="E45" i="17"/>
  <c r="B45" i="17"/>
  <c r="C44" i="17"/>
  <c r="F43" i="17"/>
  <c r="C43" i="17"/>
  <c r="F42" i="17"/>
  <c r="C42" i="17"/>
  <c r="F41" i="17"/>
  <c r="C41" i="17"/>
  <c r="F40" i="17"/>
  <c r="C40" i="17"/>
  <c r="F39" i="17"/>
  <c r="C39" i="17"/>
  <c r="C31" i="17"/>
  <c r="G31" i="17"/>
  <c r="B31" i="17"/>
  <c r="F31" i="17"/>
  <c r="D24" i="17"/>
  <c r="D25" i="17"/>
  <c r="D26" i="17"/>
  <c r="D27" i="17"/>
  <c r="D28" i="17"/>
  <c r="D31" i="17"/>
  <c r="E31" i="17"/>
  <c r="G30" i="17"/>
  <c r="F30" i="17"/>
  <c r="E30" i="17"/>
  <c r="G29" i="17"/>
  <c r="F29" i="17"/>
  <c r="E29" i="17"/>
  <c r="G28" i="17"/>
  <c r="F28" i="17"/>
  <c r="E28" i="17"/>
  <c r="G27" i="17"/>
  <c r="F27" i="17"/>
  <c r="E27" i="17"/>
  <c r="G26" i="17"/>
  <c r="F26" i="17"/>
  <c r="E26" i="17"/>
  <c r="G25" i="17"/>
  <c r="F25" i="17"/>
  <c r="E25" i="17"/>
  <c r="G24" i="17"/>
  <c r="F24" i="17"/>
  <c r="E24" i="17"/>
  <c r="C16" i="17"/>
  <c r="C15" i="17"/>
  <c r="C14" i="17"/>
  <c r="C13" i="17"/>
  <c r="C12" i="17"/>
  <c r="C11" i="17"/>
  <c r="C10" i="17"/>
  <c r="C9" i="17"/>
  <c r="C8" i="17"/>
  <c r="C7" i="17"/>
  <c r="C6" i="17"/>
  <c r="A526" i="12"/>
  <c r="I596" i="12"/>
  <c r="I597" i="12"/>
  <c r="I598" i="12"/>
  <c r="I599" i="12"/>
  <c r="I600" i="12"/>
  <c r="I601" i="12"/>
  <c r="I602" i="12"/>
  <c r="I603" i="12"/>
  <c r="I604" i="12"/>
  <c r="I605" i="12"/>
  <c r="I606" i="12"/>
  <c r="I607" i="12"/>
  <c r="I608" i="12"/>
  <c r="I609" i="12"/>
  <c r="I610" i="12"/>
  <c r="I611" i="12"/>
  <c r="I612" i="12"/>
  <c r="I613" i="12"/>
  <c r="I614" i="12"/>
  <c r="I615" i="12"/>
  <c r="I616" i="12"/>
  <c r="I617" i="12"/>
  <c r="I618" i="12"/>
  <c r="I619" i="12"/>
  <c r="I620" i="12"/>
  <c r="I621" i="12"/>
  <c r="I622" i="12"/>
  <c r="I623" i="12"/>
  <c r="I624" i="12"/>
  <c r="I625" i="12"/>
  <c r="I626" i="12"/>
  <c r="I627" i="12"/>
  <c r="I628" i="12"/>
  <c r="I629" i="12"/>
  <c r="I630" i="12"/>
  <c r="I631" i="12"/>
  <c r="I632" i="12"/>
  <c r="I633" i="12"/>
  <c r="I634" i="12"/>
  <c r="I635" i="12"/>
  <c r="I636" i="12"/>
  <c r="I637" i="12"/>
  <c r="I638" i="12"/>
  <c r="I639" i="12"/>
  <c r="I640" i="12"/>
  <c r="I641" i="12"/>
  <c r="I642" i="12"/>
  <c r="I643" i="12"/>
  <c r="I644" i="12"/>
  <c r="I645" i="12"/>
  <c r="I646" i="12"/>
  <c r="I647" i="12"/>
  <c r="I648" i="12"/>
  <c r="I649" i="12"/>
  <c r="I650" i="12"/>
  <c r="I595" i="12"/>
  <c r="I661" i="12"/>
  <c r="I662" i="12"/>
  <c r="I663" i="12"/>
  <c r="I664" i="12"/>
  <c r="I665" i="12"/>
  <c r="I666" i="12"/>
  <c r="I667" i="12"/>
  <c r="I668" i="12"/>
  <c r="I669" i="12"/>
  <c r="I670" i="12"/>
  <c r="I671" i="12"/>
  <c r="I672" i="12"/>
  <c r="I673" i="12"/>
  <c r="I674" i="12"/>
  <c r="I675" i="12"/>
  <c r="I676" i="12"/>
  <c r="I677" i="12"/>
  <c r="I678" i="12"/>
  <c r="I679" i="12"/>
  <c r="I680" i="12"/>
  <c r="I681" i="12"/>
  <c r="I682" i="12"/>
  <c r="I683" i="12"/>
  <c r="I684" i="12"/>
  <c r="I685" i="12"/>
  <c r="I686" i="12"/>
  <c r="I687" i="12"/>
  <c r="I688" i="12"/>
  <c r="I689" i="12"/>
  <c r="I690" i="12"/>
  <c r="I691" i="12"/>
  <c r="I692" i="12"/>
  <c r="I693" i="12"/>
  <c r="I694" i="12"/>
  <c r="I695" i="12"/>
  <c r="I696" i="12"/>
  <c r="I697" i="12"/>
  <c r="I698" i="12"/>
  <c r="I699" i="12"/>
  <c r="I700" i="12"/>
  <c r="I701" i="12"/>
  <c r="I702" i="12"/>
  <c r="I703" i="12"/>
  <c r="I704" i="12"/>
  <c r="I705" i="12"/>
  <c r="I706" i="12"/>
  <c r="I707" i="12"/>
  <c r="I708" i="12"/>
  <c r="I709" i="12"/>
  <c r="I710" i="12"/>
  <c r="I711" i="12"/>
  <c r="I712" i="12"/>
  <c r="I713" i="12"/>
  <c r="I714" i="12"/>
  <c r="I715" i="12"/>
  <c r="I660" i="12"/>
  <c r="I585" i="12"/>
  <c r="I584" i="12"/>
  <c r="I583" i="12"/>
  <c r="I582" i="12"/>
  <c r="I581" i="12"/>
  <c r="I580" i="12"/>
  <c r="I579" i="12"/>
  <c r="I578" i="12"/>
  <c r="I577" i="12"/>
  <c r="I576" i="12"/>
  <c r="I575" i="12"/>
  <c r="I574" i="12"/>
  <c r="I573" i="12"/>
  <c r="I572" i="12"/>
  <c r="I571" i="12"/>
  <c r="I570" i="12"/>
  <c r="I569" i="12"/>
  <c r="I568" i="12"/>
  <c r="I567" i="12"/>
  <c r="I566" i="12"/>
  <c r="I565" i="12"/>
  <c r="I564" i="12"/>
  <c r="I563" i="12"/>
  <c r="I562" i="12"/>
  <c r="I561" i="12"/>
  <c r="I560" i="12"/>
  <c r="I559" i="12"/>
  <c r="I558" i="12"/>
  <c r="I557" i="12"/>
  <c r="I556" i="12"/>
  <c r="I555" i="12"/>
  <c r="I554" i="12"/>
  <c r="I553" i="12"/>
  <c r="I552" i="12"/>
  <c r="I551" i="12"/>
  <c r="I550" i="12"/>
  <c r="I549" i="12"/>
  <c r="I548" i="12"/>
  <c r="I547" i="12"/>
  <c r="I546" i="12"/>
  <c r="I545" i="12"/>
  <c r="I544" i="12"/>
  <c r="I543" i="12"/>
  <c r="I542" i="12"/>
  <c r="I541" i="12"/>
  <c r="I540" i="12"/>
  <c r="I539" i="12"/>
  <c r="I538" i="12"/>
  <c r="I537" i="12"/>
  <c r="I536" i="12"/>
  <c r="I535" i="12"/>
  <c r="I534" i="12"/>
  <c r="I533" i="12"/>
  <c r="I532" i="12"/>
  <c r="I531" i="12"/>
  <c r="I530" i="12"/>
  <c r="A591" i="12"/>
  <c r="A656" i="12"/>
  <c r="AP291" i="6"/>
  <c r="AO291" i="6"/>
  <c r="AN291" i="6"/>
  <c r="AM291" i="6"/>
  <c r="AL291" i="6"/>
  <c r="AK291" i="6"/>
  <c r="AJ291" i="6"/>
  <c r="AI291" i="6"/>
  <c r="AH291" i="6"/>
  <c r="AG291" i="6"/>
  <c r="AF291" i="6"/>
  <c r="AP290" i="6"/>
  <c r="AO290" i="6"/>
  <c r="AN290" i="6"/>
  <c r="AM290" i="6"/>
  <c r="AL290" i="6"/>
  <c r="AK290" i="6"/>
  <c r="AJ290" i="6"/>
  <c r="AI290" i="6"/>
  <c r="AH290" i="6"/>
  <c r="AG290" i="6"/>
  <c r="AF290" i="6"/>
  <c r="AP289" i="6"/>
  <c r="AO289" i="6"/>
  <c r="AN289" i="6"/>
  <c r="AM289" i="6"/>
  <c r="AL289" i="6"/>
  <c r="AK289" i="6"/>
  <c r="AJ289" i="6"/>
  <c r="AI289" i="6"/>
  <c r="AH289" i="6"/>
  <c r="AG289" i="6"/>
  <c r="AF289" i="6"/>
  <c r="AP288" i="6"/>
  <c r="AO288" i="6"/>
  <c r="AN288" i="6"/>
  <c r="AM288" i="6"/>
  <c r="AL288" i="6"/>
  <c r="AK288" i="6"/>
  <c r="AJ288" i="6"/>
  <c r="AI288" i="6"/>
  <c r="AH288" i="6"/>
  <c r="AG288" i="6"/>
  <c r="AF288" i="6"/>
  <c r="AP287" i="6"/>
  <c r="AO287" i="6"/>
  <c r="AN287" i="6"/>
  <c r="AM287" i="6"/>
  <c r="AL287" i="6"/>
  <c r="AK287" i="6"/>
  <c r="AJ287" i="6"/>
  <c r="AI287" i="6"/>
  <c r="AH287" i="6"/>
  <c r="AG287" i="6"/>
  <c r="AF287" i="6"/>
  <c r="AP286" i="6"/>
  <c r="AO286" i="6"/>
  <c r="AN286" i="6"/>
  <c r="AM286" i="6"/>
  <c r="AL286" i="6"/>
  <c r="AK286" i="6"/>
  <c r="AJ286" i="6"/>
  <c r="AI286" i="6"/>
  <c r="AH286" i="6"/>
  <c r="AG286" i="6"/>
  <c r="AF286" i="6"/>
  <c r="AP285" i="6"/>
  <c r="AO285" i="6"/>
  <c r="AN285" i="6"/>
  <c r="AM285" i="6"/>
  <c r="AL285" i="6"/>
  <c r="AK285" i="6"/>
  <c r="AJ285" i="6"/>
  <c r="AI285" i="6"/>
  <c r="AH285" i="6"/>
  <c r="AG285" i="6"/>
  <c r="AF285" i="6"/>
  <c r="AP284" i="6"/>
  <c r="AO284" i="6"/>
  <c r="AN284" i="6"/>
  <c r="AM284" i="6"/>
  <c r="AL284" i="6"/>
  <c r="AK284" i="6"/>
  <c r="AJ284" i="6"/>
  <c r="AI284" i="6"/>
  <c r="AH284" i="6"/>
  <c r="AG284" i="6"/>
  <c r="AF284" i="6"/>
  <c r="AP283" i="6"/>
  <c r="AO283" i="6"/>
  <c r="AN283" i="6"/>
  <c r="AM283" i="6"/>
  <c r="AL283" i="6"/>
  <c r="AK283" i="6"/>
  <c r="AJ283" i="6"/>
  <c r="AI283" i="6"/>
  <c r="AH283" i="6"/>
  <c r="AG283" i="6"/>
  <c r="AF283" i="6"/>
  <c r="AP282" i="6"/>
  <c r="AO282" i="6"/>
  <c r="AN282" i="6"/>
  <c r="AM282" i="6"/>
  <c r="AL282" i="6"/>
  <c r="AK282" i="6"/>
  <c r="AJ282" i="6"/>
  <c r="AI282" i="6"/>
  <c r="AH282" i="6"/>
  <c r="AG282" i="6"/>
  <c r="AF282" i="6"/>
  <c r="AP281" i="6"/>
  <c r="AO281" i="6"/>
  <c r="AN281" i="6"/>
  <c r="AM281" i="6"/>
  <c r="AL281" i="6"/>
  <c r="AK281" i="6"/>
  <c r="AJ281" i="6"/>
  <c r="AI281" i="6"/>
  <c r="AH281" i="6"/>
  <c r="AG281" i="6"/>
  <c r="AF281" i="6"/>
  <c r="AP280" i="6"/>
  <c r="AO280" i="6"/>
  <c r="AN280" i="6"/>
  <c r="AM280" i="6"/>
  <c r="AL280" i="6"/>
  <c r="AK280" i="6"/>
  <c r="AJ280" i="6"/>
  <c r="AI280" i="6"/>
  <c r="AH280" i="6"/>
  <c r="AG280" i="6"/>
  <c r="AF280" i="6"/>
  <c r="AP279" i="6"/>
  <c r="AO279" i="6"/>
  <c r="AN279" i="6"/>
  <c r="AM279" i="6"/>
  <c r="AL279" i="6"/>
  <c r="AK279" i="6"/>
  <c r="AJ279" i="6"/>
  <c r="AI279" i="6"/>
  <c r="AH279" i="6"/>
  <c r="AG279" i="6"/>
  <c r="AF279" i="6"/>
  <c r="AP278" i="6"/>
  <c r="AO278" i="6"/>
  <c r="AN278" i="6"/>
  <c r="AM278" i="6"/>
  <c r="AL278" i="6"/>
  <c r="AK278" i="6"/>
  <c r="AJ278" i="6"/>
  <c r="AI278" i="6"/>
  <c r="AH278" i="6"/>
  <c r="AG278" i="6"/>
  <c r="AF278" i="6"/>
  <c r="AP277" i="6"/>
  <c r="AO277" i="6"/>
  <c r="AN277" i="6"/>
  <c r="AM277" i="6"/>
  <c r="AL277" i="6"/>
  <c r="AK277" i="6"/>
  <c r="AJ277" i="6"/>
  <c r="AI277" i="6"/>
  <c r="AH277" i="6"/>
  <c r="AG277" i="6"/>
  <c r="AF277" i="6"/>
  <c r="AP276" i="6"/>
  <c r="AO276" i="6"/>
  <c r="AN276" i="6"/>
  <c r="AM276" i="6"/>
  <c r="AL276" i="6"/>
  <c r="AK276" i="6"/>
  <c r="AJ276" i="6"/>
  <c r="AI276" i="6"/>
  <c r="AH276" i="6"/>
  <c r="AG276" i="6"/>
  <c r="AF276" i="6"/>
  <c r="AP275" i="6"/>
  <c r="AO275" i="6"/>
  <c r="AN275" i="6"/>
  <c r="AM275" i="6"/>
  <c r="AL275" i="6"/>
  <c r="AK275" i="6"/>
  <c r="AJ275" i="6"/>
  <c r="AI275" i="6"/>
  <c r="AH275" i="6"/>
  <c r="AG275" i="6"/>
  <c r="AF275" i="6"/>
  <c r="AP274" i="6"/>
  <c r="AO274" i="6"/>
  <c r="AN274" i="6"/>
  <c r="AM274" i="6"/>
  <c r="AL274" i="6"/>
  <c r="AK274" i="6"/>
  <c r="AJ274" i="6"/>
  <c r="AI274" i="6"/>
  <c r="AH274" i="6"/>
  <c r="AG274" i="6"/>
  <c r="AF274" i="6"/>
  <c r="AP273" i="6"/>
  <c r="AO273" i="6"/>
  <c r="AN273" i="6"/>
  <c r="AM273" i="6"/>
  <c r="AL273" i="6"/>
  <c r="AK273" i="6"/>
  <c r="AJ273" i="6"/>
  <c r="AI273" i="6"/>
  <c r="AH273" i="6"/>
  <c r="AG273" i="6"/>
  <c r="AF273" i="6"/>
  <c r="AP272" i="6"/>
  <c r="AO272" i="6"/>
  <c r="AN272" i="6"/>
  <c r="AM272" i="6"/>
  <c r="AL272" i="6"/>
  <c r="AK272" i="6"/>
  <c r="AJ272" i="6"/>
  <c r="AI272" i="6"/>
  <c r="AH272" i="6"/>
  <c r="AG272" i="6"/>
  <c r="AF272" i="6"/>
  <c r="AP271" i="6"/>
  <c r="AO271" i="6"/>
  <c r="AN271" i="6"/>
  <c r="AM271" i="6"/>
  <c r="AL271" i="6"/>
  <c r="AK271" i="6"/>
  <c r="AJ271" i="6"/>
  <c r="AI271" i="6"/>
  <c r="AH271" i="6"/>
  <c r="AG271" i="6"/>
  <c r="AF271" i="6"/>
  <c r="AP270" i="6"/>
  <c r="AO270" i="6"/>
  <c r="AN270" i="6"/>
  <c r="AM270" i="6"/>
  <c r="AL270" i="6"/>
  <c r="AK270" i="6"/>
  <c r="AJ270" i="6"/>
  <c r="AI270" i="6"/>
  <c r="AH270" i="6"/>
  <c r="AG270" i="6"/>
  <c r="AF270" i="6"/>
  <c r="AP269" i="6"/>
  <c r="AO269" i="6"/>
  <c r="AN269" i="6"/>
  <c r="AM269" i="6"/>
  <c r="AL269" i="6"/>
  <c r="AK269" i="6"/>
  <c r="AJ269" i="6"/>
  <c r="AI269" i="6"/>
  <c r="AH269" i="6"/>
  <c r="AG269" i="6"/>
  <c r="AF269" i="6"/>
  <c r="AP268" i="6"/>
  <c r="AO268" i="6"/>
  <c r="AN268" i="6"/>
  <c r="AM268" i="6"/>
  <c r="AL268" i="6"/>
  <c r="AK268" i="6"/>
  <c r="AJ268" i="6"/>
  <c r="AI268" i="6"/>
  <c r="AH268" i="6"/>
  <c r="AG268" i="6"/>
  <c r="AF268" i="6"/>
  <c r="AP267" i="6"/>
  <c r="AO267" i="6"/>
  <c r="AN267" i="6"/>
  <c r="AM267" i="6"/>
  <c r="AL267" i="6"/>
  <c r="AK267" i="6"/>
  <c r="AJ267" i="6"/>
  <c r="AI267" i="6"/>
  <c r="AH267" i="6"/>
  <c r="AG267" i="6"/>
  <c r="AF267" i="6"/>
  <c r="AP266" i="6"/>
  <c r="AO266" i="6"/>
  <c r="AN266" i="6"/>
  <c r="AM266" i="6"/>
  <c r="AL266" i="6"/>
  <c r="AK266" i="6"/>
  <c r="AJ266" i="6"/>
  <c r="AI266" i="6"/>
  <c r="AH266" i="6"/>
  <c r="AG266" i="6"/>
  <c r="AF266" i="6"/>
  <c r="AP265" i="6"/>
  <c r="AO265" i="6"/>
  <c r="AN265" i="6"/>
  <c r="AM265" i="6"/>
  <c r="AL265" i="6"/>
  <c r="AK265" i="6"/>
  <c r="AJ265" i="6"/>
  <c r="AI265" i="6"/>
  <c r="AH265" i="6"/>
  <c r="AG265" i="6"/>
  <c r="AF265" i="6"/>
  <c r="AP264" i="6"/>
  <c r="AO264" i="6"/>
  <c r="AN264" i="6"/>
  <c r="AM264" i="6"/>
  <c r="AL264" i="6"/>
  <c r="AK264" i="6"/>
  <c r="AJ264" i="6"/>
  <c r="AI264" i="6"/>
  <c r="AH264" i="6"/>
  <c r="AG264" i="6"/>
  <c r="AF264" i="6"/>
  <c r="AP263" i="6"/>
  <c r="AO263" i="6"/>
  <c r="AN263" i="6"/>
  <c r="AM263" i="6"/>
  <c r="AL263" i="6"/>
  <c r="AK263" i="6"/>
  <c r="AJ263" i="6"/>
  <c r="AI263" i="6"/>
  <c r="AH263" i="6"/>
  <c r="AG263" i="6"/>
  <c r="AF263" i="6"/>
  <c r="AP262" i="6"/>
  <c r="AO262" i="6"/>
  <c r="AN262" i="6"/>
  <c r="AM262" i="6"/>
  <c r="AL262" i="6"/>
  <c r="AK262" i="6"/>
  <c r="AJ262" i="6"/>
  <c r="AI262" i="6"/>
  <c r="AH262" i="6"/>
  <c r="AG262" i="6"/>
  <c r="AF262" i="6"/>
  <c r="AP261" i="6"/>
  <c r="AO261" i="6"/>
  <c r="AN261" i="6"/>
  <c r="AM261" i="6"/>
  <c r="AL261" i="6"/>
  <c r="AK261" i="6"/>
  <c r="AJ261" i="6"/>
  <c r="AI261" i="6"/>
  <c r="AH261" i="6"/>
  <c r="AG261" i="6"/>
  <c r="AF261" i="6"/>
  <c r="AP260" i="6"/>
  <c r="AO260" i="6"/>
  <c r="AN260" i="6"/>
  <c r="AM260" i="6"/>
  <c r="AL260" i="6"/>
  <c r="AK260" i="6"/>
  <c r="AJ260" i="6"/>
  <c r="AI260" i="6"/>
  <c r="AH260" i="6"/>
  <c r="AG260" i="6"/>
  <c r="AF260" i="6"/>
  <c r="AP259" i="6"/>
  <c r="AO259" i="6"/>
  <c r="AN259" i="6"/>
  <c r="AM259" i="6"/>
  <c r="AL259" i="6"/>
  <c r="AK259" i="6"/>
  <c r="AJ259" i="6"/>
  <c r="AI259" i="6"/>
  <c r="AH259" i="6"/>
  <c r="AG259" i="6"/>
  <c r="AF259" i="6"/>
  <c r="AP258" i="6"/>
  <c r="AO258" i="6"/>
  <c r="AN258" i="6"/>
  <c r="AM258" i="6"/>
  <c r="AL258" i="6"/>
  <c r="AK258" i="6"/>
  <c r="AJ258" i="6"/>
  <c r="AI258" i="6"/>
  <c r="AH258" i="6"/>
  <c r="AG258" i="6"/>
  <c r="AF258" i="6"/>
  <c r="AP257" i="6"/>
  <c r="AO257" i="6"/>
  <c r="AN257" i="6"/>
  <c r="AM257" i="6"/>
  <c r="AL257" i="6"/>
  <c r="AK257" i="6"/>
  <c r="AJ257" i="6"/>
  <c r="AI257" i="6"/>
  <c r="AH257" i="6"/>
  <c r="AG257" i="6"/>
  <c r="AF257" i="6"/>
  <c r="AP256" i="6"/>
  <c r="AO256" i="6"/>
  <c r="AN256" i="6"/>
  <c r="AM256" i="6"/>
  <c r="AL256" i="6"/>
  <c r="AK256" i="6"/>
  <c r="AJ256" i="6"/>
  <c r="AI256" i="6"/>
  <c r="AH256" i="6"/>
  <c r="AG256" i="6"/>
  <c r="AF256" i="6"/>
  <c r="AP255" i="6"/>
  <c r="AO255" i="6"/>
  <c r="AN255" i="6"/>
  <c r="AM255" i="6"/>
  <c r="AL255" i="6"/>
  <c r="AK255" i="6"/>
  <c r="AJ255" i="6"/>
  <c r="AI255" i="6"/>
  <c r="AH255" i="6"/>
  <c r="AG255" i="6"/>
  <c r="AF255" i="6"/>
  <c r="AP254" i="6"/>
  <c r="AO254" i="6"/>
  <c r="AN254" i="6"/>
  <c r="AM254" i="6"/>
  <c r="AL254" i="6"/>
  <c r="AK254" i="6"/>
  <c r="AJ254" i="6"/>
  <c r="AI254" i="6"/>
  <c r="AH254" i="6"/>
  <c r="AG254" i="6"/>
  <c r="AF254" i="6"/>
  <c r="AP253" i="6"/>
  <c r="AO253" i="6"/>
  <c r="AN253" i="6"/>
  <c r="AM253" i="6"/>
  <c r="AL253" i="6"/>
  <c r="AK253" i="6"/>
  <c r="AJ253" i="6"/>
  <c r="AI253" i="6"/>
  <c r="AH253" i="6"/>
  <c r="AG253" i="6"/>
  <c r="AF253" i="6"/>
  <c r="AP252" i="6"/>
  <c r="AO252" i="6"/>
  <c r="AN252" i="6"/>
  <c r="AM252" i="6"/>
  <c r="AL252" i="6"/>
  <c r="AK252" i="6"/>
  <c r="AJ252" i="6"/>
  <c r="AI252" i="6"/>
  <c r="AH252" i="6"/>
  <c r="AG252" i="6"/>
  <c r="AF252" i="6"/>
  <c r="AP251" i="6"/>
  <c r="AO251" i="6"/>
  <c r="AN251" i="6"/>
  <c r="AM251" i="6"/>
  <c r="AL251" i="6"/>
  <c r="AK251" i="6"/>
  <c r="AJ251" i="6"/>
  <c r="AI251" i="6"/>
  <c r="AH251" i="6"/>
  <c r="AG251" i="6"/>
  <c r="AF251" i="6"/>
  <c r="AP250" i="6"/>
  <c r="AO250" i="6"/>
  <c r="AN250" i="6"/>
  <c r="AM250" i="6"/>
  <c r="AL250" i="6"/>
  <c r="AK250" i="6"/>
  <c r="AJ250" i="6"/>
  <c r="AI250" i="6"/>
  <c r="AH250" i="6"/>
  <c r="AG250" i="6"/>
  <c r="AF250" i="6"/>
  <c r="AP249" i="6"/>
  <c r="AO249" i="6"/>
  <c r="AN249" i="6"/>
  <c r="AM249" i="6"/>
  <c r="AL249" i="6"/>
  <c r="AK249" i="6"/>
  <c r="AJ249" i="6"/>
  <c r="AI249" i="6"/>
  <c r="AH249" i="6"/>
  <c r="AG249" i="6"/>
  <c r="AF249" i="6"/>
  <c r="AP248" i="6"/>
  <c r="AO248" i="6"/>
  <c r="AN248" i="6"/>
  <c r="AM248" i="6"/>
  <c r="AL248" i="6"/>
  <c r="AK248" i="6"/>
  <c r="AJ248" i="6"/>
  <c r="AI248" i="6"/>
  <c r="AH248" i="6"/>
  <c r="AG248" i="6"/>
  <c r="AF248" i="6"/>
  <c r="AP247" i="6"/>
  <c r="AO247" i="6"/>
  <c r="AN247" i="6"/>
  <c r="AM247" i="6"/>
  <c r="AL247" i="6"/>
  <c r="AK247" i="6"/>
  <c r="AJ247" i="6"/>
  <c r="AI247" i="6"/>
  <c r="AH247" i="6"/>
  <c r="AG247" i="6"/>
  <c r="AF247" i="6"/>
  <c r="AP246" i="6"/>
  <c r="AO246" i="6"/>
  <c r="AN246" i="6"/>
  <c r="AM246" i="6"/>
  <c r="AL246" i="6"/>
  <c r="AK246" i="6"/>
  <c r="AJ246" i="6"/>
  <c r="AI246" i="6"/>
  <c r="AH246" i="6"/>
  <c r="AG246" i="6"/>
  <c r="AF246" i="6"/>
  <c r="AP245" i="6"/>
  <c r="AO245" i="6"/>
  <c r="AN245" i="6"/>
  <c r="AM245" i="6"/>
  <c r="AL245" i="6"/>
  <c r="AK245" i="6"/>
  <c r="AJ245" i="6"/>
  <c r="AI245" i="6"/>
  <c r="AH245" i="6"/>
  <c r="AG245" i="6"/>
  <c r="AF245" i="6"/>
  <c r="AP244" i="6"/>
  <c r="AO244" i="6"/>
  <c r="AN244" i="6"/>
  <c r="AM244" i="6"/>
  <c r="AL244" i="6"/>
  <c r="AK244" i="6"/>
  <c r="AJ244" i="6"/>
  <c r="AI244" i="6"/>
  <c r="AH244" i="6"/>
  <c r="AG244" i="6"/>
  <c r="AF244" i="6"/>
  <c r="AP243" i="6"/>
  <c r="AO243" i="6"/>
  <c r="AN243" i="6"/>
  <c r="AM243" i="6"/>
  <c r="AL243" i="6"/>
  <c r="AK243" i="6"/>
  <c r="AJ243" i="6"/>
  <c r="AI243" i="6"/>
  <c r="AH243" i="6"/>
  <c r="AG243" i="6"/>
  <c r="AF243" i="6"/>
  <c r="C242" i="6" a="1"/>
  <c r="M242" i="6"/>
  <c r="AP242" i="6"/>
  <c r="L242" i="6"/>
  <c r="AO242" i="6"/>
  <c r="K242" i="6"/>
  <c r="AN242" i="6"/>
  <c r="J242" i="6"/>
  <c r="AM242" i="6"/>
  <c r="I242" i="6"/>
  <c r="AL242" i="6"/>
  <c r="H242" i="6"/>
  <c r="AK242" i="6"/>
  <c r="G242" i="6"/>
  <c r="AJ242" i="6"/>
  <c r="F242" i="6"/>
  <c r="AI242" i="6"/>
  <c r="E242" i="6"/>
  <c r="AH242" i="6"/>
  <c r="D242" i="6"/>
  <c r="AG242" i="6"/>
  <c r="C242" i="6"/>
  <c r="AF242" i="6"/>
  <c r="S9" i="8"/>
  <c r="B9" i="8"/>
  <c r="N9" i="8" s="1"/>
  <c r="S10" i="8"/>
  <c r="B10" i="8"/>
  <c r="B11" i="7" s="1"/>
  <c r="X11" i="7"/>
  <c r="V10" i="8" s="1"/>
  <c r="W10" i="8" s="1"/>
  <c r="AA11" i="7"/>
  <c r="Y10" i="8" s="1"/>
  <c r="Z10" i="8" s="1"/>
  <c r="S11" i="8"/>
  <c r="B11" i="8"/>
  <c r="X12" i="7"/>
  <c r="V11" i="8" s="1"/>
  <c r="W11" i="8" s="1"/>
  <c r="AA12" i="7"/>
  <c r="Y11" i="8" s="1"/>
  <c r="Z11" i="8" s="1"/>
  <c r="S12" i="8"/>
  <c r="B12" i="8"/>
  <c r="X13" i="7"/>
  <c r="V12" i="8" s="1"/>
  <c r="W12" i="8" s="1"/>
  <c r="AA13" i="7"/>
  <c r="Y12" i="8" s="1"/>
  <c r="S13" i="8"/>
  <c r="B13" i="8"/>
  <c r="X14" i="7"/>
  <c r="V13" i="8" s="1"/>
  <c r="W13" i="8" s="1"/>
  <c r="AA14" i="7"/>
  <c r="Y13" i="8" s="1"/>
  <c r="Z13" i="8" s="1"/>
  <c r="S14" i="8"/>
  <c r="B14" i="8"/>
  <c r="X15" i="7"/>
  <c r="V14" i="8" s="1"/>
  <c r="W14" i="8" s="1"/>
  <c r="AA15" i="7"/>
  <c r="Y14" i="8" s="1"/>
  <c r="Z14" i="8" s="1"/>
  <c r="S15" i="8"/>
  <c r="B15" i="8"/>
  <c r="B16" i="7" s="1"/>
  <c r="AB16" i="7" s="1"/>
  <c r="X16" i="7"/>
  <c r="V15" i="8" s="1"/>
  <c r="W15" i="8" s="1"/>
  <c r="AA16" i="7"/>
  <c r="Y15" i="8" s="1"/>
  <c r="Z15" i="8" s="1"/>
  <c r="S16" i="8"/>
  <c r="B16" i="8"/>
  <c r="B17" i="7" s="1"/>
  <c r="X17" i="7"/>
  <c r="V16" i="8" s="1"/>
  <c r="W16" i="8" s="1"/>
  <c r="AA17" i="7"/>
  <c r="Y16" i="8"/>
  <c r="S17" i="8"/>
  <c r="B17" i="8"/>
  <c r="X18" i="7"/>
  <c r="V17" i="8" s="1"/>
  <c r="W17" i="8" s="1"/>
  <c r="AA18" i="7"/>
  <c r="Y17" i="8" s="1"/>
  <c r="Z17" i="8" s="1"/>
  <c r="S18" i="8"/>
  <c r="B18" i="8"/>
  <c r="X19" i="7"/>
  <c r="V18" i="8" s="1"/>
  <c r="W18" i="8" s="1"/>
  <c r="AA19" i="7"/>
  <c r="Y18" i="8" s="1"/>
  <c r="Z18" i="8" s="1"/>
  <c r="S19" i="8"/>
  <c r="B19" i="8"/>
  <c r="X20" i="7"/>
  <c r="V19" i="8"/>
  <c r="AA20" i="7"/>
  <c r="Y19" i="8" s="1"/>
  <c r="Z19" i="8" s="1"/>
  <c r="S20" i="8"/>
  <c r="B20" i="8"/>
  <c r="X21" i="7"/>
  <c r="V20" i="8" s="1"/>
  <c r="W20" i="8" s="1"/>
  <c r="AA21" i="7"/>
  <c r="Y20" i="8" s="1"/>
  <c r="Z20" i="8" s="1"/>
  <c r="S21" i="8"/>
  <c r="B21" i="8"/>
  <c r="X22" i="7"/>
  <c r="V21" i="8" s="1"/>
  <c r="W21" i="8" s="1"/>
  <c r="AA22" i="7"/>
  <c r="Y21" i="8" s="1"/>
  <c r="Z21" i="8" s="1"/>
  <c r="S22" i="8"/>
  <c r="B22" i="8"/>
  <c r="X23" i="7"/>
  <c r="V22" i="8" s="1"/>
  <c r="W22" i="8" s="1"/>
  <c r="AA23" i="7"/>
  <c r="Y22" i="8" s="1"/>
  <c r="Z22" i="8" s="1"/>
  <c r="S23" i="8"/>
  <c r="X24" i="7"/>
  <c r="V23" i="8" s="1"/>
  <c r="W23" i="8" s="1"/>
  <c r="B23" i="8"/>
  <c r="AA24" i="7"/>
  <c r="Y23" i="8" s="1"/>
  <c r="Z23" i="8" s="1"/>
  <c r="S24" i="8"/>
  <c r="X25" i="7"/>
  <c r="V24" i="8" s="1"/>
  <c r="W24" i="8" s="1"/>
  <c r="B24" i="8"/>
  <c r="AA25" i="7"/>
  <c r="Y24" i="8" s="1"/>
  <c r="Z24" i="8" s="1"/>
  <c r="S25" i="8"/>
  <c r="X26" i="7"/>
  <c r="V25" i="8" s="1"/>
  <c r="W25" i="8" s="1"/>
  <c r="B25" i="8"/>
  <c r="AA26" i="7"/>
  <c r="Y25" i="8" s="1"/>
  <c r="S26" i="8"/>
  <c r="X27" i="7"/>
  <c r="V26" i="8" s="1"/>
  <c r="W26" i="8" s="1"/>
  <c r="B26" i="8"/>
  <c r="B27" i="7" s="1"/>
  <c r="AA27" i="7"/>
  <c r="Y26" i="8" s="1"/>
  <c r="Z26" i="8" s="1"/>
  <c r="S27" i="8"/>
  <c r="S28" i="7"/>
  <c r="X28" i="7"/>
  <c r="V27" i="8"/>
  <c r="B27" i="8"/>
  <c r="B28" i="7" s="1"/>
  <c r="AA28" i="7"/>
  <c r="Y27" i="8"/>
  <c r="Z27" i="8" s="1"/>
  <c r="S28" i="8"/>
  <c r="S29" i="7"/>
  <c r="X29" i="7"/>
  <c r="V28" i="8" s="1"/>
  <c r="W28" i="8" s="1"/>
  <c r="B28" i="8"/>
  <c r="AA29" i="7"/>
  <c r="Y28" i="8" s="1"/>
  <c r="Z28" i="8" s="1"/>
  <c r="S29" i="8"/>
  <c r="S30" i="7"/>
  <c r="X30" i="7"/>
  <c r="V29" i="8" s="1"/>
  <c r="W29" i="8" s="1"/>
  <c r="B29" i="8"/>
  <c r="AA30" i="7"/>
  <c r="Y29" i="8" s="1"/>
  <c r="Z29" i="8" s="1"/>
  <c r="S30" i="8"/>
  <c r="S31" i="7"/>
  <c r="X31" i="7"/>
  <c r="P30" i="9" s="1"/>
  <c r="Q30" i="9" s="1"/>
  <c r="B30" i="8"/>
  <c r="B31" i="7" s="1"/>
  <c r="AA31" i="7"/>
  <c r="AB31" i="7" s="1"/>
  <c r="S31" i="8"/>
  <c r="S32" i="7"/>
  <c r="X32" i="7"/>
  <c r="V31" i="8" s="1"/>
  <c r="B31" i="8"/>
  <c r="AA32" i="7"/>
  <c r="Y31" i="8" s="1"/>
  <c r="S32" i="8"/>
  <c r="S33" i="7"/>
  <c r="X33" i="7"/>
  <c r="V32" i="8"/>
  <c r="B32" i="8"/>
  <c r="AA33" i="7"/>
  <c r="Y32" i="8" s="1"/>
  <c r="S33" i="8"/>
  <c r="S34" i="7"/>
  <c r="X34" i="7"/>
  <c r="V33" i="8" s="1"/>
  <c r="W33" i="8" s="1"/>
  <c r="B33" i="8"/>
  <c r="B34" i="7" s="1"/>
  <c r="AA34" i="7"/>
  <c r="Y33" i="8" s="1"/>
  <c r="Z33" i="8" s="1"/>
  <c r="S34" i="8"/>
  <c r="S35" i="7"/>
  <c r="X35" i="7"/>
  <c r="V34" i="8" s="1"/>
  <c r="W34" i="8" s="1"/>
  <c r="B34" i="8"/>
  <c r="AA35" i="7"/>
  <c r="Y34" i="8" s="1"/>
  <c r="Z34" i="8" s="1"/>
  <c r="S35" i="8"/>
  <c r="S36" i="7"/>
  <c r="X36" i="7"/>
  <c r="V35" i="8"/>
  <c r="B35" i="8"/>
  <c r="AA36" i="7"/>
  <c r="Y35" i="8" s="1"/>
  <c r="Z35" i="8" s="1"/>
  <c r="S36" i="8"/>
  <c r="S37" i="7"/>
  <c r="X37" i="7"/>
  <c r="V36" i="8" s="1"/>
  <c r="W36" i="8" s="1"/>
  <c r="B36" i="8"/>
  <c r="B91" i="8" s="1"/>
  <c r="AA37" i="7"/>
  <c r="Y36" i="8" s="1"/>
  <c r="Z36" i="8" s="1"/>
  <c r="S37" i="8"/>
  <c r="S38" i="7"/>
  <c r="X38" i="7"/>
  <c r="V37" i="8"/>
  <c r="B37" i="8"/>
  <c r="AA38" i="7"/>
  <c r="Y37" i="8" s="1"/>
  <c r="Z37" i="8" s="1"/>
  <c r="S38" i="8"/>
  <c r="S39" i="7"/>
  <c r="X39" i="7"/>
  <c r="P38" i="9" s="1"/>
  <c r="Q38" i="9" s="1"/>
  <c r="B38" i="8"/>
  <c r="B93" i="8" s="1"/>
  <c r="AA39" i="7"/>
  <c r="Y38" i="8" s="1"/>
  <c r="Z38" i="8" s="1"/>
  <c r="S39" i="8"/>
  <c r="S40" i="7"/>
  <c r="X40" i="7"/>
  <c r="V39" i="8"/>
  <c r="B39" i="8"/>
  <c r="AA40" i="7"/>
  <c r="Y39" i="8" s="1"/>
  <c r="S40" i="8"/>
  <c r="S41" i="7"/>
  <c r="X41" i="7"/>
  <c r="V40" i="8"/>
  <c r="B40" i="8"/>
  <c r="AA41" i="7"/>
  <c r="Y40" i="8" s="1"/>
  <c r="S41" i="8"/>
  <c r="S42" i="7"/>
  <c r="X42" i="7"/>
  <c r="V41" i="8" s="1"/>
  <c r="W41" i="8" s="1"/>
  <c r="B41" i="8"/>
  <c r="B42" i="7" s="1"/>
  <c r="AA42" i="7"/>
  <c r="Y41" i="8"/>
  <c r="S42" i="8"/>
  <c r="S43" i="7"/>
  <c r="X43" i="7"/>
  <c r="V42" i="8" s="1"/>
  <c r="W42" i="8" s="1"/>
  <c r="B42" i="8"/>
  <c r="B43" i="7" s="1"/>
  <c r="AA43" i="7"/>
  <c r="Y42" i="8" s="1"/>
  <c r="Z42" i="8" s="1"/>
  <c r="S43" i="8"/>
  <c r="S44" i="7"/>
  <c r="X44" i="7"/>
  <c r="V43" i="8"/>
  <c r="B43" i="8"/>
  <c r="B44" i="7" s="1"/>
  <c r="AA44" i="7"/>
  <c r="Y43" i="8"/>
  <c r="S44" i="8"/>
  <c r="S45" i="7"/>
  <c r="X45" i="7"/>
  <c r="V44" i="8" s="1"/>
  <c r="W44" i="8" s="1"/>
  <c r="B44" i="8"/>
  <c r="C44" i="8" s="1"/>
  <c r="D44" i="8" s="1"/>
  <c r="AA45" i="7"/>
  <c r="S44" i="9" s="1"/>
  <c r="T44" i="9" s="1"/>
  <c r="S45" i="8"/>
  <c r="S46" i="7"/>
  <c r="X46" i="7"/>
  <c r="V45" i="8" s="1"/>
  <c r="W45" i="8" s="1"/>
  <c r="B45" i="8"/>
  <c r="AA46" i="7"/>
  <c r="Y45" i="8" s="1"/>
  <c r="Z45" i="8" s="1"/>
  <c r="S46" i="8"/>
  <c r="S47" i="7"/>
  <c r="X47" i="7"/>
  <c r="P46" i="9" s="1"/>
  <c r="Q46" i="9" s="1"/>
  <c r="B46" i="8"/>
  <c r="B101" i="8" s="1"/>
  <c r="AA47" i="7"/>
  <c r="Y46" i="8"/>
  <c r="Z46" i="8" s="1"/>
  <c r="S47" i="8"/>
  <c r="S48" i="7"/>
  <c r="X48" i="7"/>
  <c r="V47" i="8" s="1"/>
  <c r="B47" i="8"/>
  <c r="AA48" i="7"/>
  <c r="Y47" i="8" s="1"/>
  <c r="Z47" i="8" s="1"/>
  <c r="S48" i="8"/>
  <c r="S49" i="7"/>
  <c r="X49" i="7"/>
  <c r="V48" i="8" s="1"/>
  <c r="W48" i="8" s="1"/>
  <c r="B48" i="8"/>
  <c r="AA49" i="7"/>
  <c r="Y48" i="8"/>
  <c r="S49" i="8"/>
  <c r="S50" i="7"/>
  <c r="X50" i="7"/>
  <c r="V49" i="8" s="1"/>
  <c r="W49" i="8" s="1"/>
  <c r="B49" i="8"/>
  <c r="B104" i="8" s="1"/>
  <c r="AA50" i="7"/>
  <c r="Y49" i="8" s="1"/>
  <c r="Z49" i="8" s="1"/>
  <c r="S50" i="8"/>
  <c r="S51" i="7"/>
  <c r="X51" i="7"/>
  <c r="V50" i="8" s="1"/>
  <c r="W50" i="8" s="1"/>
  <c r="B50" i="8"/>
  <c r="B105" i="8" s="1"/>
  <c r="AA51" i="7"/>
  <c r="Y50" i="8" s="1"/>
  <c r="Z50" i="8" s="1"/>
  <c r="S51" i="8"/>
  <c r="S52" i="7"/>
  <c r="X52" i="7"/>
  <c r="V51" i="8" s="1"/>
  <c r="W51" i="8" s="1"/>
  <c r="B51" i="8"/>
  <c r="B52" i="7" s="1"/>
  <c r="AA52" i="7"/>
  <c r="Y51" i="8"/>
  <c r="S52" i="8"/>
  <c r="S53" i="7"/>
  <c r="X53" i="7"/>
  <c r="V52" i="8" s="1"/>
  <c r="W52" i="8" s="1"/>
  <c r="B52" i="8"/>
  <c r="B107" i="8" s="1"/>
  <c r="AA53" i="7"/>
  <c r="Y52" i="8" s="1"/>
  <c r="Z52" i="8" s="1"/>
  <c r="S53" i="8"/>
  <c r="S54" i="7"/>
  <c r="X54" i="7"/>
  <c r="V53" i="8"/>
  <c r="B53" i="8"/>
  <c r="AA54" i="7"/>
  <c r="Y53" i="8" s="1"/>
  <c r="Z53" i="8" s="1"/>
  <c r="S54" i="8"/>
  <c r="S54" i="16" s="1"/>
  <c r="S55" i="7"/>
  <c r="X55" i="7"/>
  <c r="Y55" i="7" s="1"/>
  <c r="B54" i="8"/>
  <c r="B55" i="7" s="1"/>
  <c r="AA55" i="7"/>
  <c r="Y54" i="8" s="1"/>
  <c r="Z54" i="8" s="1"/>
  <c r="S55" i="8"/>
  <c r="S56" i="7"/>
  <c r="X56" i="7"/>
  <c r="V55" i="8"/>
  <c r="B55" i="8"/>
  <c r="Q55" i="8" s="1"/>
  <c r="AA56" i="7"/>
  <c r="Y55" i="8" s="1"/>
  <c r="S56" i="8"/>
  <c r="S57" i="7"/>
  <c r="X57" i="7"/>
  <c r="V56" i="8" s="1"/>
  <c r="W56" i="8" s="1"/>
  <c r="B56" i="8"/>
  <c r="AA57" i="7"/>
  <c r="Y56" i="8"/>
  <c r="Z56" i="8" s="1"/>
  <c r="S8" i="8"/>
  <c r="B8" i="8"/>
  <c r="B9" i="7" s="1"/>
  <c r="V64" i="8"/>
  <c r="Y64" i="8"/>
  <c r="B65" i="8"/>
  <c r="B120" i="8" s="1"/>
  <c r="X69" i="7"/>
  <c r="V65" i="8" s="1"/>
  <c r="W65" i="8" s="1"/>
  <c r="X70" i="7"/>
  <c r="V66" i="8" s="1"/>
  <c r="X71" i="7"/>
  <c r="V67" i="8" s="1"/>
  <c r="B68" i="8"/>
  <c r="X72" i="7"/>
  <c r="V68" i="8" s="1"/>
  <c r="W68" i="8" s="1"/>
  <c r="B69" i="8"/>
  <c r="B124" i="8" s="1"/>
  <c r="X73" i="7"/>
  <c r="V69" i="8" s="1"/>
  <c r="B70" i="8"/>
  <c r="H70" i="8" s="1"/>
  <c r="X74" i="7"/>
  <c r="V70" i="8" s="1"/>
  <c r="W70" i="8" s="1"/>
  <c r="B71" i="8"/>
  <c r="X75" i="7"/>
  <c r="V71" i="8" s="1"/>
  <c r="X76" i="7"/>
  <c r="V72" i="8" s="1"/>
  <c r="X77" i="7"/>
  <c r="V73" i="8" s="1"/>
  <c r="B74" i="8"/>
  <c r="B129" i="8" s="1"/>
  <c r="X78" i="7"/>
  <c r="P74" i="9" s="1"/>
  <c r="Q74" i="9" s="1"/>
  <c r="B75" i="8"/>
  <c r="X79" i="7"/>
  <c r="V75" i="8" s="1"/>
  <c r="B76" i="8"/>
  <c r="X80" i="7"/>
  <c r="V76" i="8" s="1"/>
  <c r="B77" i="8"/>
  <c r="B132" i="8" s="1"/>
  <c r="X81" i="7"/>
  <c r="V77" i="8" s="1"/>
  <c r="X82" i="7"/>
  <c r="V78" i="8" s="1"/>
  <c r="B79" i="8"/>
  <c r="X83" i="7"/>
  <c r="V79" i="8" s="1"/>
  <c r="X84" i="7"/>
  <c r="V80" i="8" s="1"/>
  <c r="B81" i="8"/>
  <c r="T81" i="8" s="1"/>
  <c r="X85" i="7"/>
  <c r="V81" i="8" s="1"/>
  <c r="B82" i="8"/>
  <c r="B137" i="8" s="1"/>
  <c r="X86" i="7"/>
  <c r="V82" i="8" s="1"/>
  <c r="B83" i="8"/>
  <c r="B138" i="8" s="1"/>
  <c r="X87" i="7"/>
  <c r="V83" i="8" s="1"/>
  <c r="W83" i="8" s="1"/>
  <c r="B84" i="8"/>
  <c r="X88" i="7"/>
  <c r="V84" i="8" s="1"/>
  <c r="W84" i="8" s="1"/>
  <c r="X89" i="7"/>
  <c r="V85" i="8" s="1"/>
  <c r="X90" i="7"/>
  <c r="V86" i="8" s="1"/>
  <c r="X91" i="7"/>
  <c r="V87" i="8" s="1"/>
  <c r="B88" i="8"/>
  <c r="B143" i="8" s="1"/>
  <c r="X92" i="7"/>
  <c r="V88" i="8" s="1"/>
  <c r="W88" i="8" s="1"/>
  <c r="B89" i="8"/>
  <c r="B144" i="8" s="1"/>
  <c r="X93" i="7"/>
  <c r="V89" i="8" s="1"/>
  <c r="W89" i="8" s="1"/>
  <c r="B90" i="8"/>
  <c r="X94" i="7"/>
  <c r="V90" i="8" s="1"/>
  <c r="W90" i="8" s="1"/>
  <c r="X95" i="7"/>
  <c r="V91" i="8" s="1"/>
  <c r="B92" i="8"/>
  <c r="X96" i="7"/>
  <c r="V92" i="8" s="1"/>
  <c r="W92" i="8" s="1"/>
  <c r="X97" i="7"/>
  <c r="V93" i="8" s="1"/>
  <c r="X98" i="7"/>
  <c r="V94" i="8" s="1"/>
  <c r="X99" i="7"/>
  <c r="V95" i="8" s="1"/>
  <c r="X100" i="7"/>
  <c r="V96" i="8" s="1"/>
  <c r="X101" i="7"/>
  <c r="V97" i="8" s="1"/>
  <c r="B98" i="8"/>
  <c r="H98" i="8" s="1"/>
  <c r="X102" i="7"/>
  <c r="V98" i="8" s="1"/>
  <c r="W98" i="8" s="1"/>
  <c r="B99" i="8"/>
  <c r="X103" i="7"/>
  <c r="V99" i="8" s="1"/>
  <c r="W99" i="8" s="1"/>
  <c r="X104" i="7"/>
  <c r="V100" i="8" s="1"/>
  <c r="B106" i="8"/>
  <c r="T106" i="8" s="1"/>
  <c r="B108" i="8"/>
  <c r="S63" i="8"/>
  <c r="V63" i="8"/>
  <c r="Y63" i="8"/>
  <c r="S119" i="8"/>
  <c r="V119" i="8"/>
  <c r="Y119" i="8"/>
  <c r="S120" i="8"/>
  <c r="V120" i="8"/>
  <c r="S121" i="8"/>
  <c r="V121" i="8"/>
  <c r="S122" i="8"/>
  <c r="V122" i="8"/>
  <c r="S123" i="8"/>
  <c r="V123" i="8"/>
  <c r="S124" i="8"/>
  <c r="V124" i="8"/>
  <c r="S125" i="8"/>
  <c r="V125" i="8"/>
  <c r="S126" i="8"/>
  <c r="V126" i="8"/>
  <c r="S127" i="8"/>
  <c r="V127" i="8"/>
  <c r="S128" i="8"/>
  <c r="S129" i="8"/>
  <c r="S130" i="8"/>
  <c r="V130" i="8"/>
  <c r="S131" i="8"/>
  <c r="V131" i="8"/>
  <c r="S132" i="8"/>
  <c r="V132" i="8"/>
  <c r="S133" i="8"/>
  <c r="V133" i="8"/>
  <c r="S134" i="8"/>
  <c r="V134" i="8"/>
  <c r="S135" i="8"/>
  <c r="V135" i="8"/>
  <c r="S136" i="8"/>
  <c r="S137" i="8"/>
  <c r="S138" i="8"/>
  <c r="V138" i="8"/>
  <c r="S139" i="8"/>
  <c r="V139" i="8"/>
  <c r="S140" i="8"/>
  <c r="V140" i="8"/>
  <c r="S141" i="8"/>
  <c r="V141" i="8"/>
  <c r="S142" i="8"/>
  <c r="V142" i="8"/>
  <c r="S143" i="8"/>
  <c r="V143" i="8"/>
  <c r="S144" i="8"/>
  <c r="S145" i="8"/>
  <c r="B145" i="8"/>
  <c r="S146" i="8"/>
  <c r="V146" i="8"/>
  <c r="S147" i="8"/>
  <c r="V147" i="8"/>
  <c r="AA154" i="7"/>
  <c r="S148" i="8"/>
  <c r="S149" i="8"/>
  <c r="S150" i="8"/>
  <c r="S151" i="8"/>
  <c r="S152" i="8"/>
  <c r="S153" i="8"/>
  <c r="B153" i="8"/>
  <c r="S154" i="8"/>
  <c r="B154" i="8"/>
  <c r="S155" i="8"/>
  <c r="V155" i="8"/>
  <c r="S156" i="8"/>
  <c r="S157" i="8"/>
  <c r="S158" i="8"/>
  <c r="S159" i="8"/>
  <c r="S160" i="8"/>
  <c r="S162" i="8"/>
  <c r="S163" i="8"/>
  <c r="B163" i="8"/>
  <c r="S164" i="8"/>
  <c r="S165" i="8"/>
  <c r="S166" i="8"/>
  <c r="S118" i="8"/>
  <c r="V118" i="8"/>
  <c r="Y118" i="8"/>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N8" i="8"/>
  <c r="S9" i="7"/>
  <c r="S10" i="7"/>
  <c r="S11" i="7"/>
  <c r="V9" i="7"/>
  <c r="V10" i="7"/>
  <c r="V11" i="7"/>
  <c r="S12" i="7"/>
  <c r="V12" i="7"/>
  <c r="S13" i="7"/>
  <c r="V13" i="7"/>
  <c r="S14" i="7"/>
  <c r="V14" i="7"/>
  <c r="S15" i="7"/>
  <c r="V15" i="7"/>
  <c r="S16" i="7"/>
  <c r="V16" i="7"/>
  <c r="S17" i="7"/>
  <c r="V17" i="7"/>
  <c r="S18" i="7"/>
  <c r="V18" i="7"/>
  <c r="S19" i="7"/>
  <c r="V19" i="7"/>
  <c r="S20" i="7"/>
  <c r="V20" i="7"/>
  <c r="S21" i="7"/>
  <c r="S22" i="7"/>
  <c r="S23" i="7"/>
  <c r="S125" i="7"/>
  <c r="V67" i="7"/>
  <c r="V68" i="7"/>
  <c r="V69" i="7"/>
  <c r="V70" i="7"/>
  <c r="V71" i="7"/>
  <c r="V72" i="7"/>
  <c r="V73" i="7"/>
  <c r="V74" i="7"/>
  <c r="V75" i="7"/>
  <c r="V76" i="7"/>
  <c r="V77" i="7"/>
  <c r="V78" i="7"/>
  <c r="V79" i="7"/>
  <c r="V80" i="7"/>
  <c r="S67" i="7"/>
  <c r="S68" i="7"/>
  <c r="S69" i="7"/>
  <c r="S70" i="7"/>
  <c r="S71" i="7"/>
  <c r="S72" i="7"/>
  <c r="S73" i="7"/>
  <c r="S74" i="7"/>
  <c r="S75" i="7"/>
  <c r="S76" i="7"/>
  <c r="P72" i="9"/>
  <c r="S77" i="7"/>
  <c r="S78" i="7"/>
  <c r="S79" i="7"/>
  <c r="P75" i="9"/>
  <c r="S117" i="8"/>
  <c r="S62" i="8"/>
  <c r="S62" i="16" s="1"/>
  <c r="S7" i="8"/>
  <c r="S126" i="7"/>
  <c r="S127" i="7"/>
  <c r="S128" i="7"/>
  <c r="S129" i="7"/>
  <c r="S130" i="7"/>
  <c r="S131" i="7"/>
  <c r="I177" i="6"/>
  <c r="I176" i="6"/>
  <c r="I175" i="6"/>
  <c r="I174" i="6"/>
  <c r="I173" i="6"/>
  <c r="I172" i="6"/>
  <c r="I171" i="6"/>
  <c r="I170" i="6"/>
  <c r="AL170" i="6" s="1"/>
  <c r="I169" i="6"/>
  <c r="I168" i="6"/>
  <c r="AL168" i="6" s="1"/>
  <c r="I167" i="6"/>
  <c r="I166" i="6"/>
  <c r="I165" i="6"/>
  <c r="I164" i="6"/>
  <c r="I163" i="6"/>
  <c r="I162" i="6"/>
  <c r="AL162" i="6" s="1"/>
  <c r="I161" i="6"/>
  <c r="I160" i="6"/>
  <c r="AL160" i="6" s="1"/>
  <c r="I159" i="6"/>
  <c r="I158" i="6"/>
  <c r="I157" i="6"/>
  <c r="I156" i="6"/>
  <c r="I155" i="6"/>
  <c r="I154" i="6"/>
  <c r="AL154" i="6" s="1"/>
  <c r="I153" i="6"/>
  <c r="I152" i="6"/>
  <c r="AL152" i="6" s="1"/>
  <c r="I151" i="6"/>
  <c r="I150" i="6"/>
  <c r="I149" i="6"/>
  <c r="I148" i="6"/>
  <c r="I147" i="6"/>
  <c r="I146" i="6"/>
  <c r="I145" i="6"/>
  <c r="I144" i="6"/>
  <c r="AL144" i="6" s="1"/>
  <c r="I143" i="6"/>
  <c r="I142" i="6"/>
  <c r="AL142" i="6" s="1"/>
  <c r="I141" i="6"/>
  <c r="I140" i="6"/>
  <c r="I139" i="6"/>
  <c r="I138" i="6"/>
  <c r="AL138" i="6" s="1"/>
  <c r="I137" i="6"/>
  <c r="I136" i="6"/>
  <c r="AL136" i="6" s="1"/>
  <c r="I135" i="6"/>
  <c r="I134" i="6"/>
  <c r="AL134" i="6" s="1"/>
  <c r="I133" i="6"/>
  <c r="I132" i="6"/>
  <c r="I131" i="6"/>
  <c r="I130" i="6"/>
  <c r="I129" i="6"/>
  <c r="AL129" i="6" s="1"/>
  <c r="F177" i="6"/>
  <c r="AI177" i="6" s="1"/>
  <c r="F176" i="6"/>
  <c r="F175" i="6"/>
  <c r="AI175" i="6" s="1"/>
  <c r="F174" i="6"/>
  <c r="F173" i="6"/>
  <c r="F172" i="6"/>
  <c r="F171" i="6"/>
  <c r="AI171" i="6" s="1"/>
  <c r="F170" i="6"/>
  <c r="F169" i="6"/>
  <c r="AI169" i="6" s="1"/>
  <c r="F168" i="6"/>
  <c r="F167" i="6"/>
  <c r="AI167" i="6" s="1"/>
  <c r="F166" i="6"/>
  <c r="F165" i="6"/>
  <c r="F164" i="6"/>
  <c r="F163" i="6"/>
  <c r="AI163" i="6" s="1"/>
  <c r="F162" i="6"/>
  <c r="F161" i="6"/>
  <c r="AI161" i="6" s="1"/>
  <c r="F160" i="6"/>
  <c r="F159" i="6"/>
  <c r="F158" i="6"/>
  <c r="F157" i="6"/>
  <c r="F156" i="6"/>
  <c r="F155" i="6"/>
  <c r="AI155" i="6" s="1"/>
  <c r="F154" i="6"/>
  <c r="F153" i="6"/>
  <c r="AI153" i="6" s="1"/>
  <c r="F152" i="6"/>
  <c r="F151" i="6"/>
  <c r="F150" i="6"/>
  <c r="F149" i="6"/>
  <c r="F148" i="6"/>
  <c r="F147" i="6"/>
  <c r="F146" i="6"/>
  <c r="F145" i="6"/>
  <c r="AI145" i="6" s="1"/>
  <c r="F144" i="6"/>
  <c r="F143" i="6"/>
  <c r="AI143" i="6" s="1"/>
  <c r="F142" i="6"/>
  <c r="F141" i="6"/>
  <c r="F140" i="6"/>
  <c r="F139" i="6"/>
  <c r="AI139" i="6" s="1"/>
  <c r="F138" i="6"/>
  <c r="F137" i="6"/>
  <c r="AI137" i="6" s="1"/>
  <c r="F136" i="6"/>
  <c r="F135" i="6"/>
  <c r="AI135" i="6" s="1"/>
  <c r="F134" i="6"/>
  <c r="F133" i="6"/>
  <c r="F132" i="6"/>
  <c r="F131" i="6"/>
  <c r="AI131" i="6" s="1"/>
  <c r="F130" i="6"/>
  <c r="F129" i="6"/>
  <c r="D135" i="6"/>
  <c r="D136" i="6"/>
  <c r="D137" i="6"/>
  <c r="D138" i="6"/>
  <c r="D139" i="6"/>
  <c r="D140" i="6"/>
  <c r="D141" i="6"/>
  <c r="D142" i="6"/>
  <c r="D143" i="6"/>
  <c r="D144" i="6"/>
  <c r="AG144" i="6" s="1"/>
  <c r="D145" i="6"/>
  <c r="D146" i="6"/>
  <c r="D147" i="6"/>
  <c r="D148" i="6"/>
  <c r="D149" i="6"/>
  <c r="D150" i="6"/>
  <c r="AG150" i="6" s="1"/>
  <c r="D151" i="6"/>
  <c r="D152" i="6"/>
  <c r="D153" i="6"/>
  <c r="D154" i="6"/>
  <c r="D155" i="6"/>
  <c r="D156" i="6"/>
  <c r="D157" i="6"/>
  <c r="D158" i="6"/>
  <c r="D159" i="6"/>
  <c r="D160" i="6"/>
  <c r="D161" i="6"/>
  <c r="D162" i="6"/>
  <c r="D163" i="6"/>
  <c r="D164" i="6"/>
  <c r="AG164" i="6" s="1"/>
  <c r="D165" i="6"/>
  <c r="D166" i="6"/>
  <c r="D167" i="6"/>
  <c r="D168" i="6"/>
  <c r="AG168" i="6" s="1"/>
  <c r="D169" i="6"/>
  <c r="D170" i="6"/>
  <c r="D171" i="6"/>
  <c r="AG171" i="6" s="1"/>
  <c r="D172" i="6"/>
  <c r="AG172" i="6" s="1"/>
  <c r="D173" i="6"/>
  <c r="B52" i="16" s="1"/>
  <c r="D174" i="6"/>
  <c r="D175" i="6"/>
  <c r="D176" i="6"/>
  <c r="AG176" i="6" s="1"/>
  <c r="D130" i="6"/>
  <c r="D131" i="6"/>
  <c r="D132" i="6"/>
  <c r="D133" i="6"/>
  <c r="D134" i="6"/>
  <c r="B13" i="16" s="1"/>
  <c r="D129" i="6"/>
  <c r="C139" i="6"/>
  <c r="C140" i="6"/>
  <c r="AF140" i="6" s="1"/>
  <c r="C141" i="6"/>
  <c r="C142" i="6"/>
  <c r="C143" i="6"/>
  <c r="C144" i="6"/>
  <c r="C145" i="6"/>
  <c r="B24" i="16" s="1"/>
  <c r="C146" i="6"/>
  <c r="C147" i="6"/>
  <c r="C148" i="6"/>
  <c r="AF148" i="6" s="1"/>
  <c r="C149" i="6"/>
  <c r="C150" i="6"/>
  <c r="C151" i="6"/>
  <c r="B30" i="16" s="1"/>
  <c r="C30" i="16" s="1"/>
  <c r="D30" i="16" s="1"/>
  <c r="C152" i="6"/>
  <c r="C153" i="6"/>
  <c r="B32" i="16" s="1"/>
  <c r="C154" i="6"/>
  <c r="AF154" i="6" s="1"/>
  <c r="C155" i="6"/>
  <c r="C156" i="6"/>
  <c r="AF156" i="6" s="1"/>
  <c r="C157" i="6"/>
  <c r="C158" i="6"/>
  <c r="C159" i="6"/>
  <c r="B38" i="16" s="1"/>
  <c r="B93" i="16" s="1"/>
  <c r="C160" i="6"/>
  <c r="C161" i="6"/>
  <c r="B40" i="16" s="1"/>
  <c r="C162" i="6"/>
  <c r="C163" i="6"/>
  <c r="C164" i="6"/>
  <c r="AF164" i="6" s="1"/>
  <c r="C165" i="6"/>
  <c r="C166" i="6"/>
  <c r="C167" i="6"/>
  <c r="AF167" i="6" s="1"/>
  <c r="C168" i="6"/>
  <c r="C169" i="6"/>
  <c r="C170" i="6"/>
  <c r="C171" i="6"/>
  <c r="C172" i="6"/>
  <c r="AF172" i="6" s="1"/>
  <c r="C173" i="6"/>
  <c r="C174" i="6"/>
  <c r="C175" i="6"/>
  <c r="C176" i="6"/>
  <c r="AF176" i="6" s="1"/>
  <c r="C177" i="6"/>
  <c r="AF177" i="6" s="1"/>
  <c r="C131" i="6"/>
  <c r="AF131" i="6" s="1"/>
  <c r="C132" i="6"/>
  <c r="C133" i="6"/>
  <c r="AF133" i="6" s="1"/>
  <c r="C134" i="6"/>
  <c r="C135" i="6"/>
  <c r="C136" i="6"/>
  <c r="C137" i="6"/>
  <c r="B16" i="16" s="1"/>
  <c r="Z16" i="16" s="1"/>
  <c r="C138" i="6"/>
  <c r="B17" i="16" s="1"/>
  <c r="C130" i="6"/>
  <c r="C129" i="6"/>
  <c r="AP234" i="6"/>
  <c r="AO234" i="6"/>
  <c r="AN234" i="6"/>
  <c r="AM234" i="6"/>
  <c r="AL234" i="6"/>
  <c r="AK234" i="6"/>
  <c r="AJ234" i="6"/>
  <c r="AI234" i="6"/>
  <c r="AH234" i="6"/>
  <c r="AG234" i="6"/>
  <c r="AF234" i="6"/>
  <c r="AP233" i="6"/>
  <c r="AO233" i="6"/>
  <c r="AN233" i="6"/>
  <c r="AM233" i="6"/>
  <c r="AL233" i="6"/>
  <c r="AK233" i="6"/>
  <c r="AJ233" i="6"/>
  <c r="AI233" i="6"/>
  <c r="AH233" i="6"/>
  <c r="AG233" i="6"/>
  <c r="AF233" i="6"/>
  <c r="AP232" i="6"/>
  <c r="AO232" i="6"/>
  <c r="AN232" i="6"/>
  <c r="AM232" i="6"/>
  <c r="AL232" i="6"/>
  <c r="AK232" i="6"/>
  <c r="AJ232" i="6"/>
  <c r="AI232" i="6"/>
  <c r="AH232" i="6"/>
  <c r="AG232" i="6"/>
  <c r="AF232" i="6"/>
  <c r="AP231" i="6"/>
  <c r="AO231" i="6"/>
  <c r="AN231" i="6"/>
  <c r="AM231" i="6"/>
  <c r="AL231" i="6"/>
  <c r="AK231" i="6"/>
  <c r="AJ231" i="6"/>
  <c r="AI231" i="6"/>
  <c r="AH231" i="6"/>
  <c r="AG231" i="6"/>
  <c r="AF231" i="6"/>
  <c r="AP230" i="6"/>
  <c r="AO230" i="6"/>
  <c r="AN230" i="6"/>
  <c r="AM230" i="6"/>
  <c r="AL230" i="6"/>
  <c r="AK230" i="6"/>
  <c r="AJ230" i="6"/>
  <c r="AI230" i="6"/>
  <c r="AH230" i="6"/>
  <c r="AG230" i="6"/>
  <c r="AF230" i="6"/>
  <c r="AP229" i="6"/>
  <c r="AO229" i="6"/>
  <c r="AN229" i="6"/>
  <c r="AM229" i="6"/>
  <c r="AL229" i="6"/>
  <c r="AK229" i="6"/>
  <c r="AJ229" i="6"/>
  <c r="AI229" i="6"/>
  <c r="AH229" i="6"/>
  <c r="AG229" i="6"/>
  <c r="AF229" i="6"/>
  <c r="AP228" i="6"/>
  <c r="AO228" i="6"/>
  <c r="AN228" i="6"/>
  <c r="AM228" i="6"/>
  <c r="AL228" i="6"/>
  <c r="AK228" i="6"/>
  <c r="AJ228" i="6"/>
  <c r="AI228" i="6"/>
  <c r="AH228" i="6"/>
  <c r="AG228" i="6"/>
  <c r="AF228" i="6"/>
  <c r="AP227" i="6"/>
  <c r="AO227" i="6"/>
  <c r="AN227" i="6"/>
  <c r="AM227" i="6"/>
  <c r="AL227" i="6"/>
  <c r="AK227" i="6"/>
  <c r="AJ227" i="6"/>
  <c r="AI227" i="6"/>
  <c r="AH227" i="6"/>
  <c r="AG227" i="6"/>
  <c r="AF227" i="6"/>
  <c r="AP226" i="6"/>
  <c r="AO226" i="6"/>
  <c r="AN226" i="6"/>
  <c r="AM226" i="6"/>
  <c r="AL226" i="6"/>
  <c r="AK226" i="6"/>
  <c r="AJ226" i="6"/>
  <c r="AI226" i="6"/>
  <c r="AH226" i="6"/>
  <c r="AG226" i="6"/>
  <c r="AF226" i="6"/>
  <c r="AP225" i="6"/>
  <c r="AO225" i="6"/>
  <c r="AN225" i="6"/>
  <c r="AM225" i="6"/>
  <c r="AL225" i="6"/>
  <c r="AK225" i="6"/>
  <c r="AJ225" i="6"/>
  <c r="AI225" i="6"/>
  <c r="AH225" i="6"/>
  <c r="AG225" i="6"/>
  <c r="AF225" i="6"/>
  <c r="AP224" i="6"/>
  <c r="AO224" i="6"/>
  <c r="AN224" i="6"/>
  <c r="AM224" i="6"/>
  <c r="AL224" i="6"/>
  <c r="AK224" i="6"/>
  <c r="AJ224" i="6"/>
  <c r="AI224" i="6"/>
  <c r="AH224" i="6"/>
  <c r="AG224" i="6"/>
  <c r="AF224" i="6"/>
  <c r="AP223" i="6"/>
  <c r="AO223" i="6"/>
  <c r="AN223" i="6"/>
  <c r="AM223" i="6"/>
  <c r="AL223" i="6"/>
  <c r="AK223" i="6"/>
  <c r="AJ223" i="6"/>
  <c r="AI223" i="6"/>
  <c r="AH223" i="6"/>
  <c r="AG223" i="6"/>
  <c r="AF223" i="6"/>
  <c r="AP222" i="6"/>
  <c r="AO222" i="6"/>
  <c r="AN222" i="6"/>
  <c r="AM222" i="6"/>
  <c r="AL222" i="6"/>
  <c r="AK222" i="6"/>
  <c r="AJ222" i="6"/>
  <c r="AI222" i="6"/>
  <c r="AH222" i="6"/>
  <c r="AG222" i="6"/>
  <c r="AF222" i="6"/>
  <c r="AP221" i="6"/>
  <c r="AO221" i="6"/>
  <c r="AN221" i="6"/>
  <c r="AM221" i="6"/>
  <c r="AL221" i="6"/>
  <c r="AK221" i="6"/>
  <c r="AJ221" i="6"/>
  <c r="AI221" i="6"/>
  <c r="AH221" i="6"/>
  <c r="AG221" i="6"/>
  <c r="AF221" i="6"/>
  <c r="AP220" i="6"/>
  <c r="AO220" i="6"/>
  <c r="AN220" i="6"/>
  <c r="AM220" i="6"/>
  <c r="AL220" i="6"/>
  <c r="AK220" i="6"/>
  <c r="AJ220" i="6"/>
  <c r="AI220" i="6"/>
  <c r="AH220" i="6"/>
  <c r="AG220" i="6"/>
  <c r="AF220" i="6"/>
  <c r="AP219" i="6"/>
  <c r="AO219" i="6"/>
  <c r="AN219" i="6"/>
  <c r="AM219" i="6"/>
  <c r="AL219" i="6"/>
  <c r="AK219" i="6"/>
  <c r="AJ219" i="6"/>
  <c r="AI219" i="6"/>
  <c r="AH219" i="6"/>
  <c r="AG219" i="6"/>
  <c r="AF219" i="6"/>
  <c r="AP218" i="6"/>
  <c r="AO218" i="6"/>
  <c r="AN218" i="6"/>
  <c r="AM218" i="6"/>
  <c r="AL218" i="6"/>
  <c r="AK218" i="6"/>
  <c r="AJ218" i="6"/>
  <c r="AI218" i="6"/>
  <c r="AH218" i="6"/>
  <c r="AG218" i="6"/>
  <c r="AF218" i="6"/>
  <c r="AP217" i="6"/>
  <c r="AO217" i="6"/>
  <c r="AN217" i="6"/>
  <c r="AM217" i="6"/>
  <c r="AL217" i="6"/>
  <c r="AK217" i="6"/>
  <c r="AJ217" i="6"/>
  <c r="AI217" i="6"/>
  <c r="AH217" i="6"/>
  <c r="AG217" i="6"/>
  <c r="AF217" i="6"/>
  <c r="AP216" i="6"/>
  <c r="AO216" i="6"/>
  <c r="AN216" i="6"/>
  <c r="AM216" i="6"/>
  <c r="AL216" i="6"/>
  <c r="AK216" i="6"/>
  <c r="AJ216" i="6"/>
  <c r="AI216" i="6"/>
  <c r="AH216" i="6"/>
  <c r="AG216" i="6"/>
  <c r="AF216" i="6"/>
  <c r="AP215" i="6"/>
  <c r="AO215" i="6"/>
  <c r="AN215" i="6"/>
  <c r="AM215" i="6"/>
  <c r="AL215" i="6"/>
  <c r="AK215" i="6"/>
  <c r="AJ215" i="6"/>
  <c r="AI215" i="6"/>
  <c r="AH215" i="6"/>
  <c r="AG215" i="6"/>
  <c r="AF215" i="6"/>
  <c r="AP214" i="6"/>
  <c r="AO214" i="6"/>
  <c r="AN214" i="6"/>
  <c r="AM214" i="6"/>
  <c r="AL214" i="6"/>
  <c r="AK214" i="6"/>
  <c r="AJ214" i="6"/>
  <c r="AI214" i="6"/>
  <c r="AH214" i="6"/>
  <c r="AG214" i="6"/>
  <c r="AF214" i="6"/>
  <c r="AP213" i="6"/>
  <c r="AO213" i="6"/>
  <c r="AN213" i="6"/>
  <c r="AM213" i="6"/>
  <c r="AL213" i="6"/>
  <c r="AK213" i="6"/>
  <c r="AJ213" i="6"/>
  <c r="AI213" i="6"/>
  <c r="AH213" i="6"/>
  <c r="AG213" i="6"/>
  <c r="AF213" i="6"/>
  <c r="AP212" i="6"/>
  <c r="AO212" i="6"/>
  <c r="AN212" i="6"/>
  <c r="AM212" i="6"/>
  <c r="AL212" i="6"/>
  <c r="AK212" i="6"/>
  <c r="AJ212" i="6"/>
  <c r="AI212" i="6"/>
  <c r="AH212" i="6"/>
  <c r="AG212" i="6"/>
  <c r="AF212" i="6"/>
  <c r="AP211" i="6"/>
  <c r="AO211" i="6"/>
  <c r="AN211" i="6"/>
  <c r="AM211" i="6"/>
  <c r="AL211" i="6"/>
  <c r="AK211" i="6"/>
  <c r="AJ211" i="6"/>
  <c r="AI211" i="6"/>
  <c r="AH211" i="6"/>
  <c r="AG211" i="6"/>
  <c r="AF211" i="6"/>
  <c r="AP210" i="6"/>
  <c r="AO210" i="6"/>
  <c r="AN210" i="6"/>
  <c r="AM210" i="6"/>
  <c r="AL210" i="6"/>
  <c r="AK210" i="6"/>
  <c r="AJ210" i="6"/>
  <c r="AI210" i="6"/>
  <c r="AH210" i="6"/>
  <c r="AG210" i="6"/>
  <c r="AF210" i="6"/>
  <c r="AP209" i="6"/>
  <c r="AO209" i="6"/>
  <c r="AN209" i="6"/>
  <c r="AM209" i="6"/>
  <c r="AL209" i="6"/>
  <c r="AK209" i="6"/>
  <c r="AJ209" i="6"/>
  <c r="AI209" i="6"/>
  <c r="AH209" i="6"/>
  <c r="AG209" i="6"/>
  <c r="AF209" i="6"/>
  <c r="AP208" i="6"/>
  <c r="AO208" i="6"/>
  <c r="AN208" i="6"/>
  <c r="AM208" i="6"/>
  <c r="AL208" i="6"/>
  <c r="AK208" i="6"/>
  <c r="AJ208" i="6"/>
  <c r="AI208" i="6"/>
  <c r="AH208" i="6"/>
  <c r="AG208" i="6"/>
  <c r="AF208" i="6"/>
  <c r="AP207" i="6"/>
  <c r="AO207" i="6"/>
  <c r="AN207" i="6"/>
  <c r="AM207" i="6"/>
  <c r="AL207" i="6"/>
  <c r="AK207" i="6"/>
  <c r="AJ207" i="6"/>
  <c r="AI207" i="6"/>
  <c r="AH207" i="6"/>
  <c r="AG207" i="6"/>
  <c r="AF207" i="6"/>
  <c r="AP206" i="6"/>
  <c r="AO206" i="6"/>
  <c r="AN206" i="6"/>
  <c r="AM206" i="6"/>
  <c r="AL206" i="6"/>
  <c r="AK206" i="6"/>
  <c r="AJ206" i="6"/>
  <c r="AI206" i="6"/>
  <c r="AH206" i="6"/>
  <c r="AG206" i="6"/>
  <c r="AF206" i="6"/>
  <c r="AP205" i="6"/>
  <c r="AO205" i="6"/>
  <c r="AN205" i="6"/>
  <c r="AM205" i="6"/>
  <c r="AL205" i="6"/>
  <c r="AK205" i="6"/>
  <c r="AJ205" i="6"/>
  <c r="AI205" i="6"/>
  <c r="AH205" i="6"/>
  <c r="AG205" i="6"/>
  <c r="AF205" i="6"/>
  <c r="AP204" i="6"/>
  <c r="AO204" i="6"/>
  <c r="AN204" i="6"/>
  <c r="AM204" i="6"/>
  <c r="AL204" i="6"/>
  <c r="AK204" i="6"/>
  <c r="AJ204" i="6"/>
  <c r="AI204" i="6"/>
  <c r="AH204" i="6"/>
  <c r="AG204" i="6"/>
  <c r="AF204" i="6"/>
  <c r="AP203" i="6"/>
  <c r="AO203" i="6"/>
  <c r="AN203" i="6"/>
  <c r="AM203" i="6"/>
  <c r="AL203" i="6"/>
  <c r="AK203" i="6"/>
  <c r="AJ203" i="6"/>
  <c r="AI203" i="6"/>
  <c r="AH203" i="6"/>
  <c r="AG203" i="6"/>
  <c r="AF203" i="6"/>
  <c r="AP202" i="6"/>
  <c r="AO202" i="6"/>
  <c r="AN202" i="6"/>
  <c r="AM202" i="6"/>
  <c r="AL202" i="6"/>
  <c r="AK202" i="6"/>
  <c r="AJ202" i="6"/>
  <c r="AI202" i="6"/>
  <c r="AH202" i="6"/>
  <c r="AG202" i="6"/>
  <c r="AF202" i="6"/>
  <c r="AP201" i="6"/>
  <c r="AO201" i="6"/>
  <c r="AN201" i="6"/>
  <c r="AM201" i="6"/>
  <c r="AL201" i="6"/>
  <c r="AK201" i="6"/>
  <c r="AJ201" i="6"/>
  <c r="AI201" i="6"/>
  <c r="AH201" i="6"/>
  <c r="AG201" i="6"/>
  <c r="AF201" i="6"/>
  <c r="AP200" i="6"/>
  <c r="AO200" i="6"/>
  <c r="AN200" i="6"/>
  <c r="AM200" i="6"/>
  <c r="AL200" i="6"/>
  <c r="AK200" i="6"/>
  <c r="AJ200" i="6"/>
  <c r="AI200" i="6"/>
  <c r="AH200" i="6"/>
  <c r="AG200" i="6"/>
  <c r="AF200" i="6"/>
  <c r="AP199" i="6"/>
  <c r="AO199" i="6"/>
  <c r="AN199" i="6"/>
  <c r="AM199" i="6"/>
  <c r="AL199" i="6"/>
  <c r="AK199" i="6"/>
  <c r="AJ199" i="6"/>
  <c r="AI199" i="6"/>
  <c r="AH199" i="6"/>
  <c r="AG199" i="6"/>
  <c r="AF199" i="6"/>
  <c r="AP198" i="6"/>
  <c r="AO198" i="6"/>
  <c r="AN198" i="6"/>
  <c r="AM198" i="6"/>
  <c r="AL198" i="6"/>
  <c r="AK198" i="6"/>
  <c r="AJ198" i="6"/>
  <c r="AI198" i="6"/>
  <c r="AH198" i="6"/>
  <c r="AG198" i="6"/>
  <c r="AF198" i="6"/>
  <c r="AP197" i="6"/>
  <c r="AO197" i="6"/>
  <c r="AN197" i="6"/>
  <c r="AM197" i="6"/>
  <c r="AL197" i="6"/>
  <c r="AK197" i="6"/>
  <c r="AJ197" i="6"/>
  <c r="AI197" i="6"/>
  <c r="AH197" i="6"/>
  <c r="AG197" i="6"/>
  <c r="AF197" i="6"/>
  <c r="AP196" i="6"/>
  <c r="AO196" i="6"/>
  <c r="AN196" i="6"/>
  <c r="AM196" i="6"/>
  <c r="AL196" i="6"/>
  <c r="AK196" i="6"/>
  <c r="AJ196" i="6"/>
  <c r="AI196" i="6"/>
  <c r="AH196" i="6"/>
  <c r="AG196" i="6"/>
  <c r="AF196" i="6"/>
  <c r="AP195" i="6"/>
  <c r="AO195" i="6"/>
  <c r="AN195" i="6"/>
  <c r="AM195" i="6"/>
  <c r="AL195" i="6"/>
  <c r="AK195" i="6"/>
  <c r="AJ195" i="6"/>
  <c r="AI195" i="6"/>
  <c r="AH195" i="6"/>
  <c r="AG195" i="6"/>
  <c r="AF195" i="6"/>
  <c r="AP194" i="6"/>
  <c r="AO194" i="6"/>
  <c r="AN194" i="6"/>
  <c r="AM194" i="6"/>
  <c r="AL194" i="6"/>
  <c r="AK194" i="6"/>
  <c r="AJ194" i="6"/>
  <c r="AI194" i="6"/>
  <c r="AH194" i="6"/>
  <c r="AG194" i="6"/>
  <c r="AF194" i="6"/>
  <c r="AP193" i="6"/>
  <c r="AO193" i="6"/>
  <c r="AN193" i="6"/>
  <c r="AM193" i="6"/>
  <c r="AL193" i="6"/>
  <c r="AK193" i="6"/>
  <c r="AJ193" i="6"/>
  <c r="AI193" i="6"/>
  <c r="AH193" i="6"/>
  <c r="AG193" i="6"/>
  <c r="AF193" i="6"/>
  <c r="AP192" i="6"/>
  <c r="AO192" i="6"/>
  <c r="AN192" i="6"/>
  <c r="AM192" i="6"/>
  <c r="AL192" i="6"/>
  <c r="AK192" i="6"/>
  <c r="AJ192" i="6"/>
  <c r="AI192" i="6"/>
  <c r="AH192" i="6"/>
  <c r="AG192" i="6"/>
  <c r="AF192" i="6"/>
  <c r="AP191" i="6"/>
  <c r="AO191" i="6"/>
  <c r="AN191" i="6"/>
  <c r="AM191" i="6"/>
  <c r="AL191" i="6"/>
  <c r="AK191" i="6"/>
  <c r="AJ191" i="6"/>
  <c r="AI191" i="6"/>
  <c r="AH191" i="6"/>
  <c r="AG191" i="6"/>
  <c r="AF191" i="6"/>
  <c r="AP190" i="6"/>
  <c r="AO190" i="6"/>
  <c r="AN190" i="6"/>
  <c r="AM190" i="6"/>
  <c r="AL190" i="6"/>
  <c r="AK190" i="6"/>
  <c r="AJ190" i="6"/>
  <c r="AI190" i="6"/>
  <c r="AH190" i="6"/>
  <c r="AG190" i="6"/>
  <c r="AF190" i="6"/>
  <c r="AP189" i="6"/>
  <c r="AO189" i="6"/>
  <c r="AN189" i="6"/>
  <c r="AM189" i="6"/>
  <c r="AL189" i="6"/>
  <c r="AK189" i="6"/>
  <c r="AJ189" i="6"/>
  <c r="AI189" i="6"/>
  <c r="AH189" i="6"/>
  <c r="AG189" i="6"/>
  <c r="AF189" i="6"/>
  <c r="AP188" i="6"/>
  <c r="AO188" i="6"/>
  <c r="AN188" i="6"/>
  <c r="AM188" i="6"/>
  <c r="AL188" i="6"/>
  <c r="AK188" i="6"/>
  <c r="AJ188" i="6"/>
  <c r="AI188" i="6"/>
  <c r="AH188" i="6"/>
  <c r="AG188" i="6"/>
  <c r="AF188" i="6"/>
  <c r="AP187" i="6"/>
  <c r="AO187" i="6"/>
  <c r="AN187" i="6"/>
  <c r="AM187" i="6"/>
  <c r="AL187" i="6"/>
  <c r="AK187" i="6"/>
  <c r="AJ187" i="6"/>
  <c r="AI187" i="6"/>
  <c r="AH187" i="6"/>
  <c r="AG187" i="6"/>
  <c r="AF187" i="6"/>
  <c r="AP186" i="6"/>
  <c r="AO186" i="6"/>
  <c r="AN186" i="6"/>
  <c r="AM186" i="6"/>
  <c r="AL186" i="6"/>
  <c r="AK186" i="6"/>
  <c r="AJ186" i="6"/>
  <c r="AI186" i="6"/>
  <c r="AH186" i="6"/>
  <c r="AG186" i="6"/>
  <c r="AF186" i="6"/>
  <c r="C185" i="6" a="1"/>
  <c r="M185" i="6"/>
  <c r="AP185" i="6"/>
  <c r="L185" i="6"/>
  <c r="AO185" i="6"/>
  <c r="K185" i="6"/>
  <c r="AN185" i="6"/>
  <c r="J185" i="6"/>
  <c r="AM185" i="6"/>
  <c r="I185" i="6"/>
  <c r="AL185" i="6"/>
  <c r="H185" i="6"/>
  <c r="AK185" i="6"/>
  <c r="G185" i="6"/>
  <c r="AJ185" i="6"/>
  <c r="F185" i="6"/>
  <c r="AI185" i="6"/>
  <c r="E185" i="6"/>
  <c r="AH185" i="6"/>
  <c r="D185" i="6"/>
  <c r="AG185" i="6"/>
  <c r="C185" i="6"/>
  <c r="AF185" i="6"/>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35" i="12"/>
  <c r="I455" i="12"/>
  <c r="I454" i="12"/>
  <c r="I453" i="12"/>
  <c r="I452" i="12"/>
  <c r="I451" i="12"/>
  <c r="I450" i="12"/>
  <c r="I449" i="12"/>
  <c r="I448" i="12"/>
  <c r="I447" i="12"/>
  <c r="I446" i="12"/>
  <c r="I445" i="12"/>
  <c r="I444" i="12"/>
  <c r="I443" i="12"/>
  <c r="I442" i="12"/>
  <c r="I441" i="12"/>
  <c r="I440" i="12"/>
  <c r="I439" i="12"/>
  <c r="I438" i="12"/>
  <c r="I437" i="12"/>
  <c r="I436" i="12"/>
  <c r="I435" i="12"/>
  <c r="I434" i="12"/>
  <c r="I433" i="12"/>
  <c r="I432" i="12"/>
  <c r="I431" i="12"/>
  <c r="I430" i="12"/>
  <c r="I429" i="12"/>
  <c r="I428" i="12"/>
  <c r="I427" i="12"/>
  <c r="I426" i="12"/>
  <c r="I425" i="12"/>
  <c r="I424" i="12"/>
  <c r="I423" i="12"/>
  <c r="I422" i="12"/>
  <c r="I421" i="12"/>
  <c r="I420" i="12"/>
  <c r="I419" i="12"/>
  <c r="I418" i="12"/>
  <c r="I417" i="12"/>
  <c r="I416" i="12"/>
  <c r="I415" i="12"/>
  <c r="I414" i="12"/>
  <c r="I413" i="12"/>
  <c r="I412" i="12"/>
  <c r="I411" i="12"/>
  <c r="I410" i="12"/>
  <c r="I409" i="12"/>
  <c r="I408" i="12"/>
  <c r="I407" i="12"/>
  <c r="I406" i="12"/>
  <c r="I405" i="12"/>
  <c r="I404" i="12"/>
  <c r="I403" i="12"/>
  <c r="I402" i="12"/>
  <c r="I401" i="12"/>
  <c r="I400" i="12"/>
  <c r="I466" i="12"/>
  <c r="I467" i="12"/>
  <c r="I468" i="12"/>
  <c r="I469" i="12"/>
  <c r="I470" i="12"/>
  <c r="I471" i="12"/>
  <c r="I472" i="12"/>
  <c r="I473" i="12"/>
  <c r="I474" i="12"/>
  <c r="I475" i="12"/>
  <c r="I476" i="12"/>
  <c r="I477" i="12"/>
  <c r="I478" i="12"/>
  <c r="I479" i="12"/>
  <c r="I480" i="12"/>
  <c r="I481" i="12"/>
  <c r="I482" i="12"/>
  <c r="I483" i="12"/>
  <c r="I484" i="12"/>
  <c r="I485" i="12"/>
  <c r="I486" i="12"/>
  <c r="I487" i="12"/>
  <c r="I488" i="12"/>
  <c r="I489" i="12"/>
  <c r="I490" i="12"/>
  <c r="I491" i="12"/>
  <c r="I492" i="12"/>
  <c r="I493" i="12"/>
  <c r="I494" i="12"/>
  <c r="I495" i="12"/>
  <c r="I496" i="12"/>
  <c r="I497" i="12"/>
  <c r="I498" i="12"/>
  <c r="I499" i="12"/>
  <c r="I500" i="12"/>
  <c r="I501" i="12"/>
  <c r="I502" i="12"/>
  <c r="I503" i="12"/>
  <c r="I504" i="12"/>
  <c r="I505" i="12"/>
  <c r="I506" i="12"/>
  <c r="I507" i="12"/>
  <c r="I508" i="12"/>
  <c r="I509" i="12"/>
  <c r="I510" i="12"/>
  <c r="I511" i="12"/>
  <c r="I512" i="12"/>
  <c r="I513" i="12"/>
  <c r="I514" i="12"/>
  <c r="I515" i="12"/>
  <c r="I516" i="12"/>
  <c r="I517" i="12"/>
  <c r="I518" i="12"/>
  <c r="I519" i="12"/>
  <c r="I520" i="12"/>
  <c r="I465" i="12"/>
  <c r="A266" i="12"/>
  <c r="A331" i="12"/>
  <c r="A396" i="12"/>
  <c r="A461" i="12"/>
  <c r="B14" i="16"/>
  <c r="B18" i="16"/>
  <c r="B22" i="16"/>
  <c r="B26" i="16"/>
  <c r="B81" i="16" s="1"/>
  <c r="B33" i="16"/>
  <c r="H33" i="16" s="1"/>
  <c r="B36" i="16"/>
  <c r="B42" i="16"/>
  <c r="B97" i="16" s="1"/>
  <c r="B46" i="16"/>
  <c r="AF46" i="16" s="1"/>
  <c r="B50" i="16"/>
  <c r="B8" i="16"/>
  <c r="C8" i="16" s="1"/>
  <c r="D8" i="16" s="1"/>
  <c r="M118" i="16"/>
  <c r="AE151" i="16"/>
  <c r="AE118" i="16"/>
  <c r="AB151" i="16"/>
  <c r="AB166" i="16"/>
  <c r="AB118" i="16"/>
  <c r="AH156" i="16"/>
  <c r="AL167" i="16" s="1"/>
  <c r="AE156" i="16"/>
  <c r="AL166" i="16" s="1"/>
  <c r="AB156" i="16"/>
  <c r="AL165" i="16" s="1"/>
  <c r="Y156" i="16"/>
  <c r="AL164" i="16" s="1"/>
  <c r="V156" i="16"/>
  <c r="AL163" i="16" s="1"/>
  <c r="S156" i="16"/>
  <c r="AL162" i="16" s="1"/>
  <c r="P156" i="16"/>
  <c r="AL161" i="16" s="1"/>
  <c r="M156" i="16"/>
  <c r="AL160" i="16" s="1"/>
  <c r="J156" i="16"/>
  <c r="AL159" i="16" s="1"/>
  <c r="G156" i="16"/>
  <c r="AL158" i="16" s="1"/>
  <c r="AK157" i="16"/>
  <c r="AH120" i="16"/>
  <c r="AL131" i="16" s="1"/>
  <c r="AK131" i="16"/>
  <c r="AK167" i="16" s="1"/>
  <c r="AE120" i="16"/>
  <c r="AL130" i="16"/>
  <c r="AK130" i="16"/>
  <c r="AK166" i="16" s="1"/>
  <c r="AB120" i="16"/>
  <c r="AL129" i="16"/>
  <c r="AK129" i="16"/>
  <c r="AK165" i="16" s="1"/>
  <c r="Y120" i="16"/>
  <c r="AL128" i="16" s="1"/>
  <c r="AK128" i="16"/>
  <c r="AK164" i="16"/>
  <c r="V120" i="16"/>
  <c r="AL127" i="16" s="1"/>
  <c r="AK127" i="16"/>
  <c r="AK163" i="16"/>
  <c r="S120" i="16"/>
  <c r="AL126" i="16" s="1"/>
  <c r="AK126" i="16"/>
  <c r="AK162" i="16" s="1"/>
  <c r="P120" i="16"/>
  <c r="AL125" i="16" s="1"/>
  <c r="AK125" i="16"/>
  <c r="AK161" i="16"/>
  <c r="M120" i="16"/>
  <c r="AL124" i="16" s="1"/>
  <c r="AK124" i="16"/>
  <c r="AK160" i="16" s="1"/>
  <c r="J120" i="16"/>
  <c r="AL123" i="16" s="1"/>
  <c r="AK123" i="16"/>
  <c r="AK159" i="16"/>
  <c r="G120" i="16"/>
  <c r="AL122" i="16" s="1"/>
  <c r="AK122" i="16"/>
  <c r="AK158" i="16" s="1"/>
  <c r="AL112" i="16"/>
  <c r="AL111" i="16"/>
  <c r="AL110" i="16"/>
  <c r="AL109" i="16"/>
  <c r="AK73" i="16"/>
  <c r="AK109" i="16" s="1"/>
  <c r="AL108" i="16"/>
  <c r="AL107" i="16"/>
  <c r="AK71" i="16"/>
  <c r="AK107" i="16" s="1"/>
  <c r="AL106" i="16"/>
  <c r="AL105" i="16"/>
  <c r="AL104" i="16"/>
  <c r="AL103" i="16"/>
  <c r="AK67" i="16"/>
  <c r="AK103" i="16"/>
  <c r="AK102" i="16"/>
  <c r="AL76" i="16"/>
  <c r="AK76" i="16"/>
  <c r="AK112" i="16"/>
  <c r="AL75" i="16"/>
  <c r="AK75" i="16"/>
  <c r="AK111" i="16" s="1"/>
  <c r="AL74" i="16"/>
  <c r="AK74" i="16"/>
  <c r="AK110" i="16" s="1"/>
  <c r="AL73" i="16"/>
  <c r="AL72" i="16"/>
  <c r="AK72" i="16"/>
  <c r="AK108" i="16" s="1"/>
  <c r="AL71" i="16"/>
  <c r="AK70" i="16"/>
  <c r="AK106" i="16" s="1"/>
  <c r="AL69" i="16"/>
  <c r="AK69" i="16"/>
  <c r="AK105" i="16" s="1"/>
  <c r="AK68" i="16"/>
  <c r="AK104" i="16"/>
  <c r="AL67" i="16"/>
  <c r="AL57" i="16"/>
  <c r="AL56" i="16"/>
  <c r="AL55" i="16"/>
  <c r="AL54" i="16"/>
  <c r="AL53" i="16"/>
  <c r="S46" i="16"/>
  <c r="AL52" i="16" s="1"/>
  <c r="AL51" i="16"/>
  <c r="AL50" i="16"/>
  <c r="AL49" i="16"/>
  <c r="AL48" i="16"/>
  <c r="AK12" i="16"/>
  <c r="AK48" i="16"/>
  <c r="AK13" i="16"/>
  <c r="AK49" i="16" s="1"/>
  <c r="AK14" i="16"/>
  <c r="AK50" i="16"/>
  <c r="AK16" i="16"/>
  <c r="AK52" i="16" s="1"/>
  <c r="AK17" i="16"/>
  <c r="AK53" i="16" s="1"/>
  <c r="AK18" i="16"/>
  <c r="AK54" i="16" s="1"/>
  <c r="AK19" i="16"/>
  <c r="AK55" i="16" s="1"/>
  <c r="AK20" i="16"/>
  <c r="AK56" i="16"/>
  <c r="AK21" i="16"/>
  <c r="AK57" i="16" s="1"/>
  <c r="AK47" i="16"/>
  <c r="AL21" i="16"/>
  <c r="AL19" i="16"/>
  <c r="AL18" i="16"/>
  <c r="AL17" i="16"/>
  <c r="S10" i="16"/>
  <c r="AL16" i="16" s="1"/>
  <c r="AL15" i="16"/>
  <c r="AL13" i="16"/>
  <c r="AL12" i="16"/>
  <c r="AK15" i="16"/>
  <c r="AK51" i="16" s="1"/>
  <c r="Y127" i="16"/>
  <c r="Y128" i="16"/>
  <c r="Y129" i="16"/>
  <c r="Y130" i="16"/>
  <c r="Y131" i="16"/>
  <c r="Y132" i="16"/>
  <c r="Y133" i="16"/>
  <c r="Y134" i="16"/>
  <c r="Y135" i="16"/>
  <c r="Y136" i="16"/>
  <c r="Y137" i="16"/>
  <c r="Y138" i="16"/>
  <c r="Y139" i="16"/>
  <c r="Y140" i="16"/>
  <c r="Y141" i="16"/>
  <c r="Y142" i="16"/>
  <c r="Y143" i="16"/>
  <c r="Y144" i="16"/>
  <c r="Y145" i="16"/>
  <c r="Y146" i="16"/>
  <c r="Y147" i="16"/>
  <c r="Y148" i="16"/>
  <c r="Y149" i="16"/>
  <c r="Y150" i="16"/>
  <c r="Y151" i="16"/>
  <c r="Y152" i="16"/>
  <c r="Y153" i="16"/>
  <c r="Y154" i="16"/>
  <c r="Y155" i="16"/>
  <c r="Y157" i="16"/>
  <c r="Y158" i="16"/>
  <c r="Y159" i="16"/>
  <c r="Y160" i="16"/>
  <c r="Y161" i="16"/>
  <c r="Y162" i="16"/>
  <c r="Y163" i="16"/>
  <c r="Y164" i="16"/>
  <c r="Y165" i="16"/>
  <c r="Y166" i="16"/>
  <c r="Y119" i="16"/>
  <c r="Y121" i="16"/>
  <c r="Y122" i="16"/>
  <c r="Y123" i="16"/>
  <c r="Y124" i="16"/>
  <c r="Y125" i="16"/>
  <c r="Y126" i="16"/>
  <c r="Y118" i="16"/>
  <c r="V127" i="16"/>
  <c r="V128" i="16"/>
  <c r="V129" i="16"/>
  <c r="V130" i="16"/>
  <c r="V131" i="16"/>
  <c r="V132" i="16"/>
  <c r="V133" i="16"/>
  <c r="V134" i="16"/>
  <c r="V135" i="16"/>
  <c r="V136" i="16"/>
  <c r="V137" i="16"/>
  <c r="V138" i="16"/>
  <c r="V139" i="16"/>
  <c r="V140" i="16"/>
  <c r="V141" i="16"/>
  <c r="V142" i="16"/>
  <c r="V143" i="16"/>
  <c r="V144" i="16"/>
  <c r="V145" i="16"/>
  <c r="V146" i="16"/>
  <c r="V147" i="16"/>
  <c r="V148" i="16"/>
  <c r="V149" i="16"/>
  <c r="V150" i="16"/>
  <c r="V151" i="16"/>
  <c r="V152" i="16"/>
  <c r="V153" i="16"/>
  <c r="V154" i="16"/>
  <c r="V155" i="16"/>
  <c r="V157" i="16"/>
  <c r="V158" i="16"/>
  <c r="V159" i="16"/>
  <c r="V160" i="16"/>
  <c r="V161" i="16"/>
  <c r="V162" i="16"/>
  <c r="V163" i="16"/>
  <c r="V164" i="16"/>
  <c r="V165" i="16"/>
  <c r="V166" i="16"/>
  <c r="V119" i="16"/>
  <c r="V121" i="16"/>
  <c r="V122" i="16"/>
  <c r="V123" i="16"/>
  <c r="V124" i="16"/>
  <c r="V125" i="16"/>
  <c r="V126" i="16"/>
  <c r="V118" i="16"/>
  <c r="AH166" i="16"/>
  <c r="AH165" i="16"/>
  <c r="AH164" i="16"/>
  <c r="AH163" i="16"/>
  <c r="AH162" i="16"/>
  <c r="AH161" i="16"/>
  <c r="AH160" i="16"/>
  <c r="AH159" i="16"/>
  <c r="AH158" i="16"/>
  <c r="AH157" i="16"/>
  <c r="AH155" i="16"/>
  <c r="AH154" i="16"/>
  <c r="AH153" i="16"/>
  <c r="AH152" i="16"/>
  <c r="AH151" i="16"/>
  <c r="AH150" i="16"/>
  <c r="AH149" i="16"/>
  <c r="AH148" i="16"/>
  <c r="AH147" i="16"/>
  <c r="AH146" i="16"/>
  <c r="AH145" i="16"/>
  <c r="AH144" i="16"/>
  <c r="AH143" i="16"/>
  <c r="AH142" i="16"/>
  <c r="AH141" i="16"/>
  <c r="AH140" i="16"/>
  <c r="AH139" i="16"/>
  <c r="AH138" i="16"/>
  <c r="AH137" i="16"/>
  <c r="AH136" i="16"/>
  <c r="AH135" i="16"/>
  <c r="AH134" i="16"/>
  <c r="AH133" i="16"/>
  <c r="AH132" i="16"/>
  <c r="AH131" i="16"/>
  <c r="AH130" i="16"/>
  <c r="AH129" i="16"/>
  <c r="AH128" i="16"/>
  <c r="AH127" i="16"/>
  <c r="AH126" i="16"/>
  <c r="AH125" i="16"/>
  <c r="AH124" i="16"/>
  <c r="AH123" i="16"/>
  <c r="AH122" i="16"/>
  <c r="AH121" i="16"/>
  <c r="AH119" i="16"/>
  <c r="AH118" i="16"/>
  <c r="AE166" i="16"/>
  <c r="AE165" i="16"/>
  <c r="AE164" i="16"/>
  <c r="AE163" i="16"/>
  <c r="AE162" i="16"/>
  <c r="AE161" i="16"/>
  <c r="AE160" i="16"/>
  <c r="AE159" i="16"/>
  <c r="AE158" i="16"/>
  <c r="AE157" i="16"/>
  <c r="AE155" i="16"/>
  <c r="AE154" i="16"/>
  <c r="AE153" i="16"/>
  <c r="AE152" i="16"/>
  <c r="AE150" i="16"/>
  <c r="AE149" i="16"/>
  <c r="AE148" i="16"/>
  <c r="AE147" i="16"/>
  <c r="AE146" i="16"/>
  <c r="AE145" i="16"/>
  <c r="AE144" i="16"/>
  <c r="AE143" i="16"/>
  <c r="AE142" i="16"/>
  <c r="AE141" i="16"/>
  <c r="AE140" i="16"/>
  <c r="AE139" i="16"/>
  <c r="AE138" i="16"/>
  <c r="AE137" i="16"/>
  <c r="AE136" i="16"/>
  <c r="AE135" i="16"/>
  <c r="AE134" i="16"/>
  <c r="AE133" i="16"/>
  <c r="AE132" i="16"/>
  <c r="AE131" i="16"/>
  <c r="AE130" i="16"/>
  <c r="AE129" i="16"/>
  <c r="AE128" i="16"/>
  <c r="AE127" i="16"/>
  <c r="AE126" i="16"/>
  <c r="AE125" i="16"/>
  <c r="AE124" i="16"/>
  <c r="AE123" i="16"/>
  <c r="AE122" i="16"/>
  <c r="AE121" i="16"/>
  <c r="AE119" i="16"/>
  <c r="AB119" i="16"/>
  <c r="AB121" i="16"/>
  <c r="AB122" i="16"/>
  <c r="AB123" i="16"/>
  <c r="AB124" i="16"/>
  <c r="AB125" i="16"/>
  <c r="AB126" i="16"/>
  <c r="AB127" i="16"/>
  <c r="AB128" i="16"/>
  <c r="AB129" i="16"/>
  <c r="AB130" i="16"/>
  <c r="AB131" i="16"/>
  <c r="AB132" i="16"/>
  <c r="AB133" i="16"/>
  <c r="AB134" i="16"/>
  <c r="AB135" i="16"/>
  <c r="AB136" i="16"/>
  <c r="AB137" i="16"/>
  <c r="AB138" i="16"/>
  <c r="AB139" i="16"/>
  <c r="AB140" i="16"/>
  <c r="AB141" i="16"/>
  <c r="AB142" i="16"/>
  <c r="AB143" i="16"/>
  <c r="AB144" i="16"/>
  <c r="AB145" i="16"/>
  <c r="AB146" i="16"/>
  <c r="AB147" i="16"/>
  <c r="AB148" i="16"/>
  <c r="AB149" i="16"/>
  <c r="AB150" i="16"/>
  <c r="AB152" i="16"/>
  <c r="AB153" i="16"/>
  <c r="AB154" i="16"/>
  <c r="AB155" i="16"/>
  <c r="AB157" i="16"/>
  <c r="AB158" i="16"/>
  <c r="AB159" i="16"/>
  <c r="AB160" i="16"/>
  <c r="AB161" i="16"/>
  <c r="AB162" i="16"/>
  <c r="AB163" i="16"/>
  <c r="AB164" i="16"/>
  <c r="AB165" i="16"/>
  <c r="S166" i="16"/>
  <c r="S165" i="16"/>
  <c r="S164" i="16"/>
  <c r="S163" i="16"/>
  <c r="S162" i="16"/>
  <c r="S161" i="16"/>
  <c r="S160" i="16"/>
  <c r="S159" i="16"/>
  <c r="S158" i="16"/>
  <c r="S157" i="16"/>
  <c r="S155" i="16"/>
  <c r="S154" i="16"/>
  <c r="S153" i="16"/>
  <c r="S152" i="16"/>
  <c r="S151" i="16"/>
  <c r="S150" i="16"/>
  <c r="S149" i="16"/>
  <c r="S148" i="16"/>
  <c r="S147" i="16"/>
  <c r="S146" i="16"/>
  <c r="S145" i="16"/>
  <c r="S144" i="16"/>
  <c r="S143" i="16"/>
  <c r="S142" i="16"/>
  <c r="S141" i="16"/>
  <c r="S140" i="16"/>
  <c r="S139" i="16"/>
  <c r="S138" i="16"/>
  <c r="S137" i="16"/>
  <c r="S136" i="16"/>
  <c r="S135" i="16"/>
  <c r="S134" i="16"/>
  <c r="S133" i="16"/>
  <c r="S132" i="16"/>
  <c r="S131" i="16"/>
  <c r="S130" i="16"/>
  <c r="S129" i="16"/>
  <c r="S128" i="16"/>
  <c r="S127" i="16"/>
  <c r="S126" i="16"/>
  <c r="S125" i="16"/>
  <c r="S124" i="16"/>
  <c r="S123" i="16"/>
  <c r="S122" i="16"/>
  <c r="S121" i="16"/>
  <c r="S119" i="16"/>
  <c r="S118" i="16"/>
  <c r="P166" i="16"/>
  <c r="P165" i="16"/>
  <c r="P164" i="16"/>
  <c r="P163" i="16"/>
  <c r="P162" i="16"/>
  <c r="P161" i="16"/>
  <c r="P160" i="16"/>
  <c r="P159" i="16"/>
  <c r="P158" i="16"/>
  <c r="P157" i="16"/>
  <c r="P155" i="16"/>
  <c r="P154" i="16"/>
  <c r="P153" i="16"/>
  <c r="P152" i="16"/>
  <c r="P151" i="16"/>
  <c r="P150" i="16"/>
  <c r="P149" i="16"/>
  <c r="P148" i="16"/>
  <c r="P147" i="16"/>
  <c r="P146" i="16"/>
  <c r="P145" i="16"/>
  <c r="P144" i="16"/>
  <c r="P143" i="16"/>
  <c r="P142" i="16"/>
  <c r="P141" i="16"/>
  <c r="P140" i="16"/>
  <c r="P139" i="16"/>
  <c r="P138" i="16"/>
  <c r="P137" i="16"/>
  <c r="P136" i="16"/>
  <c r="P135" i="16"/>
  <c r="P134" i="16"/>
  <c r="P133" i="16"/>
  <c r="P132" i="16"/>
  <c r="P131" i="16"/>
  <c r="P130" i="16"/>
  <c r="P129" i="16"/>
  <c r="P128" i="16"/>
  <c r="P127" i="16"/>
  <c r="P126" i="16"/>
  <c r="P125" i="16"/>
  <c r="P124" i="16"/>
  <c r="P123" i="16"/>
  <c r="P122" i="16"/>
  <c r="P121" i="16"/>
  <c r="P119" i="16"/>
  <c r="P118" i="16"/>
  <c r="M166" i="16"/>
  <c r="M165" i="16"/>
  <c r="M164" i="16"/>
  <c r="M163" i="16"/>
  <c r="M162" i="16"/>
  <c r="M161" i="16"/>
  <c r="M160" i="16"/>
  <c r="M159" i="16"/>
  <c r="M158" i="16"/>
  <c r="M157" i="16"/>
  <c r="M155" i="16"/>
  <c r="M154" i="16"/>
  <c r="M153" i="16"/>
  <c r="M152" i="16"/>
  <c r="M151" i="16"/>
  <c r="M150" i="16"/>
  <c r="M149" i="16"/>
  <c r="M148" i="16"/>
  <c r="M147" i="16"/>
  <c r="M146" i="16"/>
  <c r="M145" i="16"/>
  <c r="M144" i="16"/>
  <c r="M143" i="16"/>
  <c r="M142" i="16"/>
  <c r="M141" i="16"/>
  <c r="M140" i="16"/>
  <c r="M139" i="16"/>
  <c r="M138" i="16"/>
  <c r="M137" i="16"/>
  <c r="M136" i="16"/>
  <c r="M135" i="16"/>
  <c r="M134" i="16"/>
  <c r="M133" i="16"/>
  <c r="M132" i="16"/>
  <c r="M131" i="16"/>
  <c r="M130" i="16"/>
  <c r="M129" i="16"/>
  <c r="M128" i="16"/>
  <c r="M127" i="16"/>
  <c r="M126" i="16"/>
  <c r="M125" i="16"/>
  <c r="M124" i="16"/>
  <c r="M123" i="16"/>
  <c r="M122" i="16"/>
  <c r="M121" i="16"/>
  <c r="M119" i="16"/>
  <c r="J166" i="16"/>
  <c r="J165" i="16"/>
  <c r="J164" i="16"/>
  <c r="J163" i="16"/>
  <c r="J162" i="16"/>
  <c r="J161" i="16"/>
  <c r="J160" i="16"/>
  <c r="J159" i="16"/>
  <c r="J158" i="16"/>
  <c r="J157" i="16"/>
  <c r="J155" i="16"/>
  <c r="J154" i="16"/>
  <c r="J153" i="16"/>
  <c r="J152" i="16"/>
  <c r="J151" i="16"/>
  <c r="J150" i="16"/>
  <c r="J149" i="16"/>
  <c r="J148" i="16"/>
  <c r="J147" i="16"/>
  <c r="J146" i="16"/>
  <c r="J145" i="16"/>
  <c r="J144" i="16"/>
  <c r="J143" i="16"/>
  <c r="J142" i="16"/>
  <c r="J141" i="16"/>
  <c r="J140" i="16"/>
  <c r="J139" i="16"/>
  <c r="J138" i="16"/>
  <c r="J137" i="16"/>
  <c r="J136" i="16"/>
  <c r="J135" i="16"/>
  <c r="J134" i="16"/>
  <c r="J133" i="16"/>
  <c r="J132" i="16"/>
  <c r="J131" i="16"/>
  <c r="J130" i="16"/>
  <c r="J129" i="16"/>
  <c r="J128" i="16"/>
  <c r="J127" i="16"/>
  <c r="J126" i="16"/>
  <c r="J125" i="16"/>
  <c r="J124" i="16"/>
  <c r="J123" i="16"/>
  <c r="J122" i="16"/>
  <c r="J121" i="16"/>
  <c r="J119" i="16"/>
  <c r="J118"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7" i="16"/>
  <c r="G158" i="16"/>
  <c r="G159" i="16"/>
  <c r="G160" i="16"/>
  <c r="G161" i="16"/>
  <c r="G162" i="16"/>
  <c r="G163" i="16"/>
  <c r="G164" i="16"/>
  <c r="G165" i="16"/>
  <c r="G166" i="16"/>
  <c r="G119" i="16"/>
  <c r="G118" i="16"/>
  <c r="S63" i="16"/>
  <c r="S16" i="16"/>
  <c r="S32" i="16"/>
  <c r="S21" i="16"/>
  <c r="S56" i="16"/>
  <c r="S55" i="16"/>
  <c r="S53" i="16"/>
  <c r="S52" i="16"/>
  <c r="S51" i="16"/>
  <c r="S50" i="16"/>
  <c r="S49" i="16"/>
  <c r="S48" i="16"/>
  <c r="S47" i="16"/>
  <c r="S45" i="16"/>
  <c r="S44" i="16"/>
  <c r="S43" i="16"/>
  <c r="S42" i="16"/>
  <c r="S41" i="16"/>
  <c r="S40" i="16"/>
  <c r="S39" i="16"/>
  <c r="S38" i="16"/>
  <c r="S37" i="16"/>
  <c r="S36" i="16"/>
  <c r="S35" i="16"/>
  <c r="S34" i="16"/>
  <c r="S33" i="16"/>
  <c r="S31" i="16"/>
  <c r="S30" i="16"/>
  <c r="S29" i="16"/>
  <c r="S28" i="16"/>
  <c r="S27" i="16"/>
  <c r="S26" i="16"/>
  <c r="S25" i="16"/>
  <c r="S24" i="16"/>
  <c r="S23" i="16"/>
  <c r="S22" i="16"/>
  <c r="S20" i="16"/>
  <c r="S19" i="16"/>
  <c r="S18" i="16"/>
  <c r="S17" i="16"/>
  <c r="S15" i="16"/>
  <c r="S14" i="16"/>
  <c r="S13" i="16"/>
  <c r="S12" i="16"/>
  <c r="S11" i="16"/>
  <c r="S9" i="16"/>
  <c r="S8" i="16"/>
  <c r="T8" i="16" s="1"/>
  <c r="AH117" i="16"/>
  <c r="AE117" i="16"/>
  <c r="AB117" i="16"/>
  <c r="Y117" i="8"/>
  <c r="Y117" i="16" s="1"/>
  <c r="V117" i="8"/>
  <c r="V117" i="16" s="1"/>
  <c r="S117" i="16"/>
  <c r="P117" i="16"/>
  <c r="M117" i="16"/>
  <c r="J117" i="16"/>
  <c r="G117" i="16"/>
  <c r="AH62" i="16"/>
  <c r="AE62" i="16"/>
  <c r="AB62" i="16"/>
  <c r="AA66" i="7"/>
  <c r="Y62" i="8" s="1"/>
  <c r="Y62" i="16" s="1"/>
  <c r="X66" i="7"/>
  <c r="V62" i="8" s="1"/>
  <c r="V62" i="16" s="1"/>
  <c r="P62" i="16"/>
  <c r="M62" i="16"/>
  <c r="J62" i="16"/>
  <c r="G62" i="16"/>
  <c r="AH7" i="16"/>
  <c r="AE7" i="16"/>
  <c r="AB7" i="16"/>
  <c r="AA8" i="7"/>
  <c r="Y7" i="8" s="1"/>
  <c r="Y7" i="16" s="1"/>
  <c r="X8" i="7"/>
  <c r="V7" i="8" s="1"/>
  <c r="V7" i="16" s="1"/>
  <c r="S7" i="16"/>
  <c r="P7" i="16"/>
  <c r="M7" i="16"/>
  <c r="J7" i="16"/>
  <c r="G7" i="16"/>
  <c r="S80" i="7"/>
  <c r="S81" i="7"/>
  <c r="S82" i="7"/>
  <c r="S83" i="7"/>
  <c r="S84" i="7"/>
  <c r="S85" i="7"/>
  <c r="S86" i="7"/>
  <c r="S87" i="7"/>
  <c r="S88" i="7"/>
  <c r="S89" i="7"/>
  <c r="S90" i="7"/>
  <c r="S91" i="7"/>
  <c r="S92" i="7"/>
  <c r="S93" i="7"/>
  <c r="S94" i="7"/>
  <c r="S95" i="7"/>
  <c r="S96" i="7"/>
  <c r="S97" i="7"/>
  <c r="S98" i="7"/>
  <c r="S99" i="7"/>
  <c r="S100" i="7"/>
  <c r="S101" i="7"/>
  <c r="S102" i="7"/>
  <c r="S103" i="7"/>
  <c r="S104" i="7"/>
  <c r="AI30" i="16"/>
  <c r="Z14" i="16"/>
  <c r="AF24" i="16"/>
  <c r="AC8" i="16"/>
  <c r="AI8" i="16"/>
  <c r="Q8" i="16"/>
  <c r="AF8" i="16"/>
  <c r="W8" i="16"/>
  <c r="Z8" i="16"/>
  <c r="H8" i="16"/>
  <c r="K8" i="16"/>
  <c r="K14" i="16"/>
  <c r="H30" i="16"/>
  <c r="N8" i="16"/>
  <c r="N14" i="16"/>
  <c r="Z42" i="16"/>
  <c r="K24" i="16"/>
  <c r="K52" i="16"/>
  <c r="A336" i="13"/>
  <c r="A401" i="13"/>
  <c r="A466" i="13"/>
  <c r="A76" i="13"/>
  <c r="A141" i="13"/>
  <c r="A206" i="13"/>
  <c r="B9" i="10"/>
  <c r="B119" i="10" s="1"/>
  <c r="B10" i="10"/>
  <c r="B120" i="10" s="1"/>
  <c r="N120" i="10" s="1"/>
  <c r="B11" i="10"/>
  <c r="B121" i="10"/>
  <c r="N121" i="10" s="1"/>
  <c r="B12" i="10"/>
  <c r="B122" i="10" s="1"/>
  <c r="B13" i="10"/>
  <c r="B123" i="10" s="1"/>
  <c r="B14" i="10"/>
  <c r="B124" i="10" s="1"/>
  <c r="N124" i="10" s="1"/>
  <c r="B15" i="10"/>
  <c r="B125" i="10"/>
  <c r="H125" i="10" s="1"/>
  <c r="B16" i="10"/>
  <c r="B17" i="10"/>
  <c r="B127" i="10" s="1"/>
  <c r="B18" i="10"/>
  <c r="B128" i="10" s="1"/>
  <c r="B19" i="10"/>
  <c r="B129" i="10"/>
  <c r="N129" i="10" s="1"/>
  <c r="B20" i="10"/>
  <c r="B130" i="10" s="1"/>
  <c r="B21" i="10"/>
  <c r="B131" i="10" s="1"/>
  <c r="C131" i="10" s="1"/>
  <c r="D131" i="10" s="1"/>
  <c r="B22" i="10"/>
  <c r="B132" i="10" s="1"/>
  <c r="B23" i="10"/>
  <c r="B133" i="10" s="1"/>
  <c r="B24" i="10"/>
  <c r="B25" i="10"/>
  <c r="B135" i="10" s="1"/>
  <c r="B26" i="10"/>
  <c r="B136" i="10" s="1"/>
  <c r="N136" i="10" s="1"/>
  <c r="B27" i="10"/>
  <c r="C27" i="10" s="1"/>
  <c r="D27" i="10" s="1"/>
  <c r="B28" i="10"/>
  <c r="B138" i="10" s="1"/>
  <c r="K138" i="10" s="1"/>
  <c r="B29" i="10"/>
  <c r="B139" i="10" s="1"/>
  <c r="B30" i="10"/>
  <c r="B85" i="10" s="1"/>
  <c r="B31" i="10"/>
  <c r="B141" i="10"/>
  <c r="B32" i="10"/>
  <c r="K32" i="10" s="1"/>
  <c r="B33" i="10"/>
  <c r="B143" i="10" s="1"/>
  <c r="K143" i="10" s="1"/>
  <c r="B34" i="10"/>
  <c r="B144" i="10" s="1"/>
  <c r="C144" i="10" s="1"/>
  <c r="B35" i="10"/>
  <c r="B145" i="10"/>
  <c r="C145" i="10" s="1"/>
  <c r="D145" i="10" s="1"/>
  <c r="B36" i="10"/>
  <c r="B37" i="10"/>
  <c r="B147" i="10" s="1"/>
  <c r="N147" i="10" s="1"/>
  <c r="B38" i="10"/>
  <c r="B93" i="10" s="1"/>
  <c r="C93" i="10" s="1"/>
  <c r="D93" i="10" s="1"/>
  <c r="B39" i="10"/>
  <c r="B149" i="10"/>
  <c r="B40" i="10"/>
  <c r="B41" i="10"/>
  <c r="B151" i="10" s="1"/>
  <c r="K151" i="10" s="1"/>
  <c r="B42" i="10"/>
  <c r="B152" i="10" s="1"/>
  <c r="B43" i="10"/>
  <c r="B153" i="10"/>
  <c r="N153" i="10" s="1"/>
  <c r="B44" i="10"/>
  <c r="B45" i="10"/>
  <c r="B155" i="10" s="1"/>
  <c r="H155" i="10" s="1"/>
  <c r="B46" i="10"/>
  <c r="B101" i="10" s="1"/>
  <c r="B47" i="10"/>
  <c r="B102" i="10" s="1"/>
  <c r="N102" i="10" s="1"/>
  <c r="B157" i="10"/>
  <c r="B48" i="10"/>
  <c r="B49" i="10"/>
  <c r="B159" i="10" s="1"/>
  <c r="B50" i="10"/>
  <c r="B160" i="10" s="1"/>
  <c r="N160" i="10" s="1"/>
  <c r="B51" i="10"/>
  <c r="C51" i="10" s="1"/>
  <c r="B161" i="10"/>
  <c r="K161" i="10" s="1"/>
  <c r="B52" i="10"/>
  <c r="B162" i="10" s="1"/>
  <c r="H162" i="10" s="1"/>
  <c r="B53" i="10"/>
  <c r="B163" i="10" s="1"/>
  <c r="B54" i="10"/>
  <c r="B109" i="10" s="1"/>
  <c r="H109" i="10" s="1"/>
  <c r="B55" i="10"/>
  <c r="B165" i="10" s="1"/>
  <c r="B56" i="10"/>
  <c r="B8" i="10"/>
  <c r="B118" i="10" s="1"/>
  <c r="B64" i="10"/>
  <c r="B65" i="10"/>
  <c r="B66" i="10"/>
  <c r="B68" i="10"/>
  <c r="B69" i="10"/>
  <c r="B72" i="10"/>
  <c r="B73" i="10"/>
  <c r="B74" i="10"/>
  <c r="C74" i="10" s="1"/>
  <c r="D74" i="10" s="1"/>
  <c r="B75" i="10"/>
  <c r="C75" i="10" s="1"/>
  <c r="D75" i="10" s="1"/>
  <c r="B76" i="10"/>
  <c r="B77" i="10"/>
  <c r="B80" i="10"/>
  <c r="B83" i="10"/>
  <c r="N83" i="10" s="1"/>
  <c r="B84" i="10"/>
  <c r="K84" i="10" s="1"/>
  <c r="B88" i="10"/>
  <c r="B90" i="10"/>
  <c r="B91" i="10"/>
  <c r="N91" i="10" s="1"/>
  <c r="B92" i="10"/>
  <c r="B96" i="10"/>
  <c r="B98" i="10"/>
  <c r="C98" i="10" s="1"/>
  <c r="B100" i="10"/>
  <c r="N100" i="10" s="1"/>
  <c r="B104" i="10"/>
  <c r="B106" i="10"/>
  <c r="C106" i="10" s="1"/>
  <c r="D106" i="10" s="1"/>
  <c r="B108" i="10"/>
  <c r="C108" i="10" s="1"/>
  <c r="D108" i="10" s="1"/>
  <c r="B63" i="10"/>
  <c r="L119" i="14"/>
  <c r="K119" i="14"/>
  <c r="J119" i="14"/>
  <c r="I119" i="14"/>
  <c r="E119" i="14"/>
  <c r="D119" i="14"/>
  <c r="L118" i="14"/>
  <c r="K118" i="14"/>
  <c r="J118" i="14"/>
  <c r="I118" i="14"/>
  <c r="E118" i="14"/>
  <c r="D118" i="14"/>
  <c r="L117" i="14"/>
  <c r="K117" i="14"/>
  <c r="J117" i="14"/>
  <c r="I117" i="14"/>
  <c r="E117" i="14"/>
  <c r="D117" i="14"/>
  <c r="L116" i="14"/>
  <c r="K116" i="14"/>
  <c r="J116" i="14"/>
  <c r="I116" i="14"/>
  <c r="E116" i="14"/>
  <c r="D116" i="14"/>
  <c r="L115" i="14"/>
  <c r="K115" i="14"/>
  <c r="J115" i="14"/>
  <c r="I115" i="14"/>
  <c r="E115" i="14"/>
  <c r="D115" i="14"/>
  <c r="L114" i="14"/>
  <c r="K114" i="14"/>
  <c r="J114" i="14"/>
  <c r="I114" i="14"/>
  <c r="E114" i="14"/>
  <c r="D114" i="14"/>
  <c r="L113" i="14"/>
  <c r="K113" i="14"/>
  <c r="J113" i="14"/>
  <c r="I113" i="14"/>
  <c r="E113" i="14"/>
  <c r="D113" i="14"/>
  <c r="L112" i="14"/>
  <c r="K112" i="14"/>
  <c r="J112" i="14"/>
  <c r="I112" i="14"/>
  <c r="E112" i="14"/>
  <c r="D112" i="14"/>
  <c r="L111" i="14"/>
  <c r="K111" i="14"/>
  <c r="J111" i="14"/>
  <c r="I111" i="14"/>
  <c r="E111" i="14"/>
  <c r="D111" i="14"/>
  <c r="L110" i="14"/>
  <c r="K110" i="14"/>
  <c r="J110" i="14"/>
  <c r="I110" i="14"/>
  <c r="E110" i="14"/>
  <c r="D110" i="14"/>
  <c r="L109" i="14"/>
  <c r="K109" i="14"/>
  <c r="J109" i="14"/>
  <c r="I109" i="14"/>
  <c r="E109" i="14"/>
  <c r="D109" i="14"/>
  <c r="L108" i="14"/>
  <c r="K108" i="14"/>
  <c r="J108" i="14"/>
  <c r="I108" i="14"/>
  <c r="E108" i="14"/>
  <c r="D108" i="14"/>
  <c r="L107" i="14"/>
  <c r="K107" i="14"/>
  <c r="J107" i="14"/>
  <c r="I107" i="14"/>
  <c r="E107" i="14"/>
  <c r="D107" i="14"/>
  <c r="L106" i="14"/>
  <c r="K106" i="14"/>
  <c r="J106" i="14"/>
  <c r="I106" i="14"/>
  <c r="E106" i="14"/>
  <c r="D106" i="14"/>
  <c r="L105" i="14"/>
  <c r="K105" i="14"/>
  <c r="J105" i="14"/>
  <c r="I105" i="14"/>
  <c r="E105" i="14"/>
  <c r="D105" i="14"/>
  <c r="L104" i="14"/>
  <c r="K104" i="14"/>
  <c r="J104" i="14"/>
  <c r="I104" i="14"/>
  <c r="E104" i="14"/>
  <c r="D104" i="14"/>
  <c r="L103" i="14"/>
  <c r="K103" i="14"/>
  <c r="J103" i="14"/>
  <c r="I103" i="14"/>
  <c r="E103" i="14"/>
  <c r="D103" i="14"/>
  <c r="L102" i="14"/>
  <c r="K102" i="14"/>
  <c r="J102" i="14"/>
  <c r="I102" i="14"/>
  <c r="E102" i="14"/>
  <c r="D102" i="14"/>
  <c r="L101" i="14"/>
  <c r="K101" i="14"/>
  <c r="J101" i="14"/>
  <c r="I101" i="14"/>
  <c r="E101" i="14"/>
  <c r="D101" i="14"/>
  <c r="L100" i="14"/>
  <c r="K100" i="14"/>
  <c r="J100" i="14"/>
  <c r="I100" i="14"/>
  <c r="E100" i="14"/>
  <c r="D100" i="14"/>
  <c r="L99" i="14"/>
  <c r="K99" i="14"/>
  <c r="J99" i="14"/>
  <c r="I99" i="14"/>
  <c r="E99" i="14"/>
  <c r="D99" i="14"/>
  <c r="L98" i="14"/>
  <c r="K98" i="14"/>
  <c r="J98" i="14"/>
  <c r="I98" i="14"/>
  <c r="E98" i="14"/>
  <c r="D98" i="14"/>
  <c r="L97" i="14"/>
  <c r="K97" i="14"/>
  <c r="J97" i="14"/>
  <c r="I97" i="14"/>
  <c r="E97" i="14"/>
  <c r="D97" i="14"/>
  <c r="L96" i="14"/>
  <c r="K96" i="14"/>
  <c r="J96" i="14"/>
  <c r="I96" i="14"/>
  <c r="E96" i="14"/>
  <c r="D96" i="14"/>
  <c r="L95" i="14"/>
  <c r="K95" i="14"/>
  <c r="J95" i="14"/>
  <c r="I95" i="14"/>
  <c r="E95" i="14"/>
  <c r="D95" i="14"/>
  <c r="L94" i="14"/>
  <c r="K94" i="14"/>
  <c r="J94" i="14"/>
  <c r="I94" i="14"/>
  <c r="E94" i="14"/>
  <c r="D94" i="14"/>
  <c r="L93" i="14"/>
  <c r="K93" i="14"/>
  <c r="J93" i="14"/>
  <c r="I93" i="14"/>
  <c r="E93" i="14"/>
  <c r="D93" i="14"/>
  <c r="L92" i="14"/>
  <c r="K92" i="14"/>
  <c r="J92" i="14"/>
  <c r="I92" i="14"/>
  <c r="E92" i="14"/>
  <c r="D92" i="14"/>
  <c r="L91" i="14"/>
  <c r="K91" i="14"/>
  <c r="J91" i="14"/>
  <c r="I91" i="14"/>
  <c r="E91" i="14"/>
  <c r="D91" i="14"/>
  <c r="L90" i="14"/>
  <c r="K90" i="14"/>
  <c r="J90" i="14"/>
  <c r="I90" i="14"/>
  <c r="E90" i="14"/>
  <c r="D90" i="14"/>
  <c r="L89" i="14"/>
  <c r="K89" i="14"/>
  <c r="J89" i="14"/>
  <c r="I89" i="14"/>
  <c r="E89" i="14"/>
  <c r="D89" i="14"/>
  <c r="L88" i="14"/>
  <c r="K88" i="14"/>
  <c r="J88" i="14"/>
  <c r="I88" i="14"/>
  <c r="E88" i="14"/>
  <c r="D88" i="14"/>
  <c r="L87" i="14"/>
  <c r="K87" i="14"/>
  <c r="J87" i="14"/>
  <c r="I87" i="14"/>
  <c r="E87" i="14"/>
  <c r="D87" i="14"/>
  <c r="L86" i="14"/>
  <c r="K86" i="14"/>
  <c r="J86" i="14"/>
  <c r="I86" i="14"/>
  <c r="E86" i="14"/>
  <c r="D86" i="14"/>
  <c r="L85" i="14"/>
  <c r="K85" i="14"/>
  <c r="J85" i="14"/>
  <c r="I85" i="14"/>
  <c r="E85" i="14"/>
  <c r="D85" i="14"/>
  <c r="L84" i="14"/>
  <c r="K84" i="14"/>
  <c r="J84" i="14"/>
  <c r="I84" i="14"/>
  <c r="E84" i="14"/>
  <c r="D84" i="14"/>
  <c r="L83" i="14"/>
  <c r="K83" i="14"/>
  <c r="J83" i="14"/>
  <c r="I83" i="14"/>
  <c r="E83" i="14"/>
  <c r="D83" i="14"/>
  <c r="L82" i="14"/>
  <c r="K82" i="14"/>
  <c r="J82" i="14"/>
  <c r="I82" i="14"/>
  <c r="E82" i="14"/>
  <c r="D82" i="14"/>
  <c r="L81" i="14"/>
  <c r="K81" i="14"/>
  <c r="J81" i="14"/>
  <c r="I81" i="14"/>
  <c r="E81" i="14"/>
  <c r="D81" i="14"/>
  <c r="L80" i="14"/>
  <c r="K80" i="14"/>
  <c r="J80" i="14"/>
  <c r="I80" i="14"/>
  <c r="E80" i="14"/>
  <c r="D80" i="14"/>
  <c r="L79" i="14"/>
  <c r="K79" i="14"/>
  <c r="J79" i="14"/>
  <c r="I79" i="14"/>
  <c r="E79" i="14"/>
  <c r="D79" i="14"/>
  <c r="L78" i="14"/>
  <c r="K78" i="14"/>
  <c r="J78" i="14"/>
  <c r="I78" i="14"/>
  <c r="E78" i="14"/>
  <c r="D78" i="14"/>
  <c r="L77" i="14"/>
  <c r="K77" i="14"/>
  <c r="J77" i="14"/>
  <c r="I77" i="14"/>
  <c r="E77" i="14"/>
  <c r="D77" i="14"/>
  <c r="L76" i="14"/>
  <c r="K76" i="14"/>
  <c r="J76" i="14"/>
  <c r="I76" i="14"/>
  <c r="E76" i="14"/>
  <c r="D76" i="14"/>
  <c r="L75" i="14"/>
  <c r="K75" i="14"/>
  <c r="J75" i="14"/>
  <c r="I75" i="14"/>
  <c r="E75" i="14"/>
  <c r="D75" i="14"/>
  <c r="L74" i="14"/>
  <c r="K74" i="14"/>
  <c r="J74" i="14"/>
  <c r="I74" i="14"/>
  <c r="E74" i="14"/>
  <c r="D74" i="14"/>
  <c r="L73" i="14"/>
  <c r="K73" i="14"/>
  <c r="J73" i="14"/>
  <c r="I73" i="14"/>
  <c r="E73" i="14"/>
  <c r="D73" i="14"/>
  <c r="L72" i="14"/>
  <c r="K72" i="14"/>
  <c r="J72" i="14"/>
  <c r="I72" i="14"/>
  <c r="E72" i="14"/>
  <c r="D72" i="14"/>
  <c r="L71" i="14"/>
  <c r="K71" i="14"/>
  <c r="J71" i="14"/>
  <c r="I71" i="14"/>
  <c r="E71" i="14"/>
  <c r="D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71" i="14"/>
  <c r="AP70" i="14"/>
  <c r="AO70" i="14"/>
  <c r="AN70" i="14"/>
  <c r="AM70" i="14"/>
  <c r="AL70" i="14"/>
  <c r="AK70" i="14"/>
  <c r="AJ70" i="14"/>
  <c r="AI70" i="14"/>
  <c r="AH70" i="14"/>
  <c r="AG70" i="14"/>
  <c r="AF70" i="14"/>
  <c r="AL59" i="14"/>
  <c r="AL58" i="14"/>
  <c r="AL57" i="14"/>
  <c r="AL56" i="14"/>
  <c r="AL55" i="14"/>
  <c r="AL54" i="14"/>
  <c r="AL53" i="14"/>
  <c r="AL52" i="14"/>
  <c r="AL51" i="14"/>
  <c r="AL50" i="14"/>
  <c r="AL49" i="14"/>
  <c r="AL48" i="14"/>
  <c r="AL47" i="14"/>
  <c r="AL46" i="14"/>
  <c r="AL45" i="14"/>
  <c r="AL44" i="14"/>
  <c r="AL43" i="14"/>
  <c r="AL42" i="14"/>
  <c r="AL41" i="14"/>
  <c r="AL40" i="14"/>
  <c r="AL39" i="14"/>
  <c r="AL38" i="14"/>
  <c r="AL37" i="14"/>
  <c r="AL36" i="14"/>
  <c r="AL35" i="14"/>
  <c r="AL34" i="14"/>
  <c r="AL33" i="14"/>
  <c r="AL32" i="14"/>
  <c r="AL31" i="14"/>
  <c r="AL30" i="14"/>
  <c r="AL29" i="14"/>
  <c r="AL28" i="14"/>
  <c r="AL27" i="14"/>
  <c r="AL26" i="14"/>
  <c r="AL25" i="14"/>
  <c r="AL24" i="14"/>
  <c r="AL23" i="14"/>
  <c r="AL22" i="14"/>
  <c r="AL21" i="14"/>
  <c r="AL20" i="14"/>
  <c r="AL19" i="14"/>
  <c r="AL18" i="14"/>
  <c r="AL17" i="14"/>
  <c r="AL16" i="14"/>
  <c r="AL15" i="14"/>
  <c r="AL14" i="14"/>
  <c r="AL13" i="14"/>
  <c r="AL12" i="14"/>
  <c r="AL11"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I36" i="14"/>
  <c r="AI35" i="14"/>
  <c r="AI34" i="14"/>
  <c r="AI33" i="14"/>
  <c r="AI32" i="14"/>
  <c r="AI31" i="14"/>
  <c r="AI30" i="14"/>
  <c r="AI29" i="14"/>
  <c r="AI28" i="14"/>
  <c r="AI27" i="14"/>
  <c r="AI26" i="14"/>
  <c r="AI25" i="14"/>
  <c r="AI24" i="14"/>
  <c r="AI23" i="14"/>
  <c r="AI22" i="14"/>
  <c r="AI21" i="14"/>
  <c r="AI20" i="14"/>
  <c r="AI19" i="14"/>
  <c r="AI18" i="14"/>
  <c r="AI17" i="14"/>
  <c r="AI16" i="14"/>
  <c r="AI15" i="14"/>
  <c r="AI14" i="14"/>
  <c r="AI13" i="14"/>
  <c r="AI12" i="14"/>
  <c r="AI11" i="14"/>
  <c r="AF12" i="14"/>
  <c r="AF13" i="14"/>
  <c r="AF14" i="14"/>
  <c r="AF15" i="14"/>
  <c r="AF16" i="14"/>
  <c r="AF17" i="14"/>
  <c r="AF18" i="14"/>
  <c r="AF19" i="14"/>
  <c r="AF20" i="14"/>
  <c r="AF21" i="14"/>
  <c r="AF22" i="14"/>
  <c r="AF23" i="14"/>
  <c r="AF24" i="14"/>
  <c r="AF25" i="14"/>
  <c r="AF26" i="14"/>
  <c r="AF27" i="14"/>
  <c r="AF28" i="14"/>
  <c r="AF29" i="14"/>
  <c r="AF30" i="14"/>
  <c r="AF31" i="14"/>
  <c r="AF32" i="14"/>
  <c r="AF33" i="14"/>
  <c r="AF34" i="14"/>
  <c r="AF35" i="14"/>
  <c r="AF36" i="14"/>
  <c r="AF37" i="14"/>
  <c r="AF38" i="14"/>
  <c r="AF39" i="14"/>
  <c r="AF40" i="14"/>
  <c r="AF41" i="14"/>
  <c r="AF42" i="14"/>
  <c r="AF43" i="14"/>
  <c r="AF44" i="14"/>
  <c r="AF45" i="14"/>
  <c r="AF46" i="14"/>
  <c r="AF47" i="14"/>
  <c r="AF48" i="14"/>
  <c r="AF49" i="14"/>
  <c r="AF50" i="14"/>
  <c r="AF51" i="14"/>
  <c r="AF52" i="14"/>
  <c r="AF53" i="14"/>
  <c r="AF54" i="14"/>
  <c r="AF55" i="14"/>
  <c r="AF56" i="14"/>
  <c r="AF57" i="14"/>
  <c r="AF58" i="14"/>
  <c r="AF59" i="14"/>
  <c r="AF11" i="14"/>
  <c r="C70" i="14" a="1"/>
  <c r="G70" i="14"/>
  <c r="AP59" i="14"/>
  <c r="AO59" i="14"/>
  <c r="AN59" i="14"/>
  <c r="AM59" i="14"/>
  <c r="AK59" i="14"/>
  <c r="AJ59" i="14"/>
  <c r="AH59" i="14"/>
  <c r="AG59" i="14"/>
  <c r="AP58" i="14"/>
  <c r="AO58" i="14"/>
  <c r="AN58" i="14"/>
  <c r="AM58" i="14"/>
  <c r="AK58" i="14"/>
  <c r="AJ58" i="14"/>
  <c r="AH58" i="14"/>
  <c r="AG58" i="14"/>
  <c r="AP57" i="14"/>
  <c r="AO57" i="14"/>
  <c r="AN57" i="14"/>
  <c r="AM57" i="14"/>
  <c r="AK57" i="14"/>
  <c r="AJ57" i="14"/>
  <c r="AH57" i="14"/>
  <c r="AG57" i="14"/>
  <c r="AP56" i="14"/>
  <c r="AO56" i="14"/>
  <c r="AN56" i="14"/>
  <c r="AM56" i="14"/>
  <c r="AK56" i="14"/>
  <c r="AJ56" i="14"/>
  <c r="AH56" i="14"/>
  <c r="AG56" i="14"/>
  <c r="AP55" i="14"/>
  <c r="AO55" i="14"/>
  <c r="AN55" i="14"/>
  <c r="AM55" i="14"/>
  <c r="AK55" i="14"/>
  <c r="AJ55" i="14"/>
  <c r="AH55" i="14"/>
  <c r="AG55" i="14"/>
  <c r="AP54" i="14"/>
  <c r="AO54" i="14"/>
  <c r="AN54" i="14"/>
  <c r="AM54" i="14"/>
  <c r="AK54" i="14"/>
  <c r="AJ54" i="14"/>
  <c r="AH54" i="14"/>
  <c r="AG54" i="14"/>
  <c r="AP53" i="14"/>
  <c r="AO53" i="14"/>
  <c r="AN53" i="14"/>
  <c r="AM53" i="14"/>
  <c r="AK53" i="14"/>
  <c r="AJ53" i="14"/>
  <c r="AH53" i="14"/>
  <c r="AG53" i="14"/>
  <c r="AP52" i="14"/>
  <c r="AO52" i="14"/>
  <c r="AN52" i="14"/>
  <c r="AM52" i="14"/>
  <c r="AK52" i="14"/>
  <c r="AJ52" i="14"/>
  <c r="AH52" i="14"/>
  <c r="AG52" i="14"/>
  <c r="AP51" i="14"/>
  <c r="AO51" i="14"/>
  <c r="AN51" i="14"/>
  <c r="AM51" i="14"/>
  <c r="AK51" i="14"/>
  <c r="AJ51" i="14"/>
  <c r="AH51" i="14"/>
  <c r="AG51" i="14"/>
  <c r="AP50" i="14"/>
  <c r="AO50" i="14"/>
  <c r="AN50" i="14"/>
  <c r="AM50" i="14"/>
  <c r="AK50" i="14"/>
  <c r="AJ50" i="14"/>
  <c r="AH50" i="14"/>
  <c r="AG50" i="14"/>
  <c r="AP49" i="14"/>
  <c r="AO49" i="14"/>
  <c r="AN49" i="14"/>
  <c r="AM49" i="14"/>
  <c r="AK49" i="14"/>
  <c r="AJ49" i="14"/>
  <c r="AH49" i="14"/>
  <c r="AG49" i="14"/>
  <c r="AP48" i="14"/>
  <c r="AO48" i="14"/>
  <c r="AN48" i="14"/>
  <c r="AM48" i="14"/>
  <c r="AK48" i="14"/>
  <c r="AJ48" i="14"/>
  <c r="AH48" i="14"/>
  <c r="AG48" i="14"/>
  <c r="AP47" i="14"/>
  <c r="AO47" i="14"/>
  <c r="AN47" i="14"/>
  <c r="AM47" i="14"/>
  <c r="AK47" i="14"/>
  <c r="AJ47" i="14"/>
  <c r="AH47" i="14"/>
  <c r="AG47" i="14"/>
  <c r="AP46" i="14"/>
  <c r="AO46" i="14"/>
  <c r="AN46" i="14"/>
  <c r="AM46" i="14"/>
  <c r="AK46" i="14"/>
  <c r="AJ46" i="14"/>
  <c r="AH46" i="14"/>
  <c r="AG46" i="14"/>
  <c r="AP45" i="14"/>
  <c r="AO45" i="14"/>
  <c r="AN45" i="14"/>
  <c r="AM45" i="14"/>
  <c r="AK45" i="14"/>
  <c r="AJ45" i="14"/>
  <c r="AH45" i="14"/>
  <c r="AG45" i="14"/>
  <c r="AP44" i="14"/>
  <c r="AO44" i="14"/>
  <c r="AN44" i="14"/>
  <c r="AM44" i="14"/>
  <c r="AK44" i="14"/>
  <c r="AJ44" i="14"/>
  <c r="AH44" i="14"/>
  <c r="AG44" i="14"/>
  <c r="AP43" i="14"/>
  <c r="AO43" i="14"/>
  <c r="AN43" i="14"/>
  <c r="AM43" i="14"/>
  <c r="AK43" i="14"/>
  <c r="AJ43" i="14"/>
  <c r="AH43" i="14"/>
  <c r="AG43" i="14"/>
  <c r="AP42" i="14"/>
  <c r="AO42" i="14"/>
  <c r="AN42" i="14"/>
  <c r="AM42" i="14"/>
  <c r="AK42" i="14"/>
  <c r="AJ42" i="14"/>
  <c r="AH42" i="14"/>
  <c r="AG42" i="14"/>
  <c r="AP41" i="14"/>
  <c r="AO41" i="14"/>
  <c r="AN41" i="14"/>
  <c r="AM41" i="14"/>
  <c r="AK41" i="14"/>
  <c r="AJ41" i="14"/>
  <c r="AH41" i="14"/>
  <c r="AG41" i="14"/>
  <c r="AP40" i="14"/>
  <c r="AO40" i="14"/>
  <c r="AN40" i="14"/>
  <c r="AM40" i="14"/>
  <c r="AK40" i="14"/>
  <c r="AJ40" i="14"/>
  <c r="AH40" i="14"/>
  <c r="AG40" i="14"/>
  <c r="AP39" i="14"/>
  <c r="AO39" i="14"/>
  <c r="AN39" i="14"/>
  <c r="AM39" i="14"/>
  <c r="AK39" i="14"/>
  <c r="AJ39" i="14"/>
  <c r="AH39" i="14"/>
  <c r="AG39" i="14"/>
  <c r="AP38" i="14"/>
  <c r="AO38" i="14"/>
  <c r="AN38" i="14"/>
  <c r="AM38" i="14"/>
  <c r="AK38" i="14"/>
  <c r="AJ38" i="14"/>
  <c r="AH38" i="14"/>
  <c r="AG38" i="14"/>
  <c r="AP37" i="14"/>
  <c r="AO37" i="14"/>
  <c r="AN37" i="14"/>
  <c r="AM37" i="14"/>
  <c r="AK37" i="14"/>
  <c r="AJ37" i="14"/>
  <c r="AH37" i="14"/>
  <c r="AG37" i="14"/>
  <c r="AP36" i="14"/>
  <c r="AO36" i="14"/>
  <c r="AN36" i="14"/>
  <c r="AM36" i="14"/>
  <c r="AK36" i="14"/>
  <c r="AJ36" i="14"/>
  <c r="AH36" i="14"/>
  <c r="AG36" i="14"/>
  <c r="AP35" i="14"/>
  <c r="AO35" i="14"/>
  <c r="AN35" i="14"/>
  <c r="AM35" i="14"/>
  <c r="AK35" i="14"/>
  <c r="AJ35" i="14"/>
  <c r="AH35" i="14"/>
  <c r="AG35" i="14"/>
  <c r="AP34" i="14"/>
  <c r="AO34" i="14"/>
  <c r="AN34" i="14"/>
  <c r="AM34" i="14"/>
  <c r="AK34" i="14"/>
  <c r="AJ34" i="14"/>
  <c r="AH34" i="14"/>
  <c r="AG34" i="14"/>
  <c r="AP33" i="14"/>
  <c r="AO33" i="14"/>
  <c r="AN33" i="14"/>
  <c r="AM33" i="14"/>
  <c r="AK33" i="14"/>
  <c r="AJ33" i="14"/>
  <c r="AH33" i="14"/>
  <c r="AG33" i="14"/>
  <c r="AP32" i="14"/>
  <c r="AO32" i="14"/>
  <c r="AN32" i="14"/>
  <c r="AM32" i="14"/>
  <c r="AK32" i="14"/>
  <c r="AJ32" i="14"/>
  <c r="AH32" i="14"/>
  <c r="AG32" i="14"/>
  <c r="AP31" i="14"/>
  <c r="AO31" i="14"/>
  <c r="AN31" i="14"/>
  <c r="AM31" i="14"/>
  <c r="AK31" i="14"/>
  <c r="AJ31" i="14"/>
  <c r="AH31" i="14"/>
  <c r="AG31" i="14"/>
  <c r="AP30" i="14"/>
  <c r="AO30" i="14"/>
  <c r="AN30" i="14"/>
  <c r="AM30" i="14"/>
  <c r="AK30" i="14"/>
  <c r="AJ30" i="14"/>
  <c r="AH30" i="14"/>
  <c r="AG30" i="14"/>
  <c r="AP29" i="14"/>
  <c r="AO29" i="14"/>
  <c r="AN29" i="14"/>
  <c r="AM29" i="14"/>
  <c r="AK29" i="14"/>
  <c r="AJ29" i="14"/>
  <c r="AH29" i="14"/>
  <c r="AG29" i="14"/>
  <c r="AP28" i="14"/>
  <c r="AO28" i="14"/>
  <c r="AN28" i="14"/>
  <c r="AM28" i="14"/>
  <c r="AK28" i="14"/>
  <c r="AJ28" i="14"/>
  <c r="AH28" i="14"/>
  <c r="AG28" i="14"/>
  <c r="AP27" i="14"/>
  <c r="AO27" i="14"/>
  <c r="AN27" i="14"/>
  <c r="AM27" i="14"/>
  <c r="AK27" i="14"/>
  <c r="AJ27" i="14"/>
  <c r="AH27" i="14"/>
  <c r="AG27" i="14"/>
  <c r="AP26" i="14"/>
  <c r="AO26" i="14"/>
  <c r="AN26" i="14"/>
  <c r="AM26" i="14"/>
  <c r="AK26" i="14"/>
  <c r="AJ26" i="14"/>
  <c r="AH26" i="14"/>
  <c r="AG26" i="14"/>
  <c r="AP25" i="14"/>
  <c r="AO25" i="14"/>
  <c r="AN25" i="14"/>
  <c r="AM25" i="14"/>
  <c r="AK25" i="14"/>
  <c r="AJ25" i="14"/>
  <c r="AH25" i="14"/>
  <c r="AG25" i="14"/>
  <c r="AP24" i="14"/>
  <c r="AO24" i="14"/>
  <c r="AN24" i="14"/>
  <c r="AM24" i="14"/>
  <c r="AK24" i="14"/>
  <c r="AJ24" i="14"/>
  <c r="AH24" i="14"/>
  <c r="AG24" i="14"/>
  <c r="AP23" i="14"/>
  <c r="AO23" i="14"/>
  <c r="AN23" i="14"/>
  <c r="AM23" i="14"/>
  <c r="AK23" i="14"/>
  <c r="AJ23" i="14"/>
  <c r="AH23" i="14"/>
  <c r="AG23" i="14"/>
  <c r="AP22" i="14"/>
  <c r="AO22" i="14"/>
  <c r="AN22" i="14"/>
  <c r="AM22" i="14"/>
  <c r="AK22" i="14"/>
  <c r="AJ22" i="14"/>
  <c r="AH22" i="14"/>
  <c r="AG22" i="14"/>
  <c r="AP21" i="14"/>
  <c r="AO21" i="14"/>
  <c r="AN21" i="14"/>
  <c r="AM21" i="14"/>
  <c r="AK21" i="14"/>
  <c r="AJ21" i="14"/>
  <c r="AH21" i="14"/>
  <c r="AG21" i="14"/>
  <c r="AP20" i="14"/>
  <c r="AO20" i="14"/>
  <c r="AN20" i="14"/>
  <c r="AM20" i="14"/>
  <c r="AK20" i="14"/>
  <c r="AJ20" i="14"/>
  <c r="AH20" i="14"/>
  <c r="AG20" i="14"/>
  <c r="AP19" i="14"/>
  <c r="AO19" i="14"/>
  <c r="AN19" i="14"/>
  <c r="AM19" i="14"/>
  <c r="AK19" i="14"/>
  <c r="AJ19" i="14"/>
  <c r="AH19" i="14"/>
  <c r="AG19" i="14"/>
  <c r="AP18" i="14"/>
  <c r="AO18" i="14"/>
  <c r="AN18" i="14"/>
  <c r="AM18" i="14"/>
  <c r="AK18" i="14"/>
  <c r="AJ18" i="14"/>
  <c r="AH18" i="14"/>
  <c r="AG18" i="14"/>
  <c r="AP17" i="14"/>
  <c r="AO17" i="14"/>
  <c r="AN17" i="14"/>
  <c r="AM17" i="14"/>
  <c r="AK17" i="14"/>
  <c r="AJ17" i="14"/>
  <c r="AH17" i="14"/>
  <c r="AG17" i="14"/>
  <c r="AP16" i="14"/>
  <c r="AO16" i="14"/>
  <c r="AN16" i="14"/>
  <c r="AM16" i="14"/>
  <c r="AK16" i="14"/>
  <c r="AJ16" i="14"/>
  <c r="AH16" i="14"/>
  <c r="AG16" i="14"/>
  <c r="AP15" i="14"/>
  <c r="AO15" i="14"/>
  <c r="AN15" i="14"/>
  <c r="AM15" i="14"/>
  <c r="AK15" i="14"/>
  <c r="AJ15" i="14"/>
  <c r="AH15" i="14"/>
  <c r="AG15" i="14"/>
  <c r="AP14" i="14"/>
  <c r="AO14" i="14"/>
  <c r="AN14" i="14"/>
  <c r="AM14" i="14"/>
  <c r="AK14" i="14"/>
  <c r="AJ14" i="14"/>
  <c r="AH14" i="14"/>
  <c r="AG14" i="14"/>
  <c r="AP13" i="14"/>
  <c r="AO13" i="14"/>
  <c r="AN13" i="14"/>
  <c r="AM13" i="14"/>
  <c r="AK13" i="14"/>
  <c r="AJ13" i="14"/>
  <c r="AH13" i="14"/>
  <c r="AG13" i="14"/>
  <c r="AP12" i="14"/>
  <c r="AO12" i="14"/>
  <c r="AN12" i="14"/>
  <c r="AM12" i="14"/>
  <c r="AK12" i="14"/>
  <c r="AJ12" i="14"/>
  <c r="AH12" i="14"/>
  <c r="AG12" i="14"/>
  <c r="AP11" i="14"/>
  <c r="AO11" i="14"/>
  <c r="AN11" i="14"/>
  <c r="AM11" i="14"/>
  <c r="AK11" i="14"/>
  <c r="AJ11" i="14"/>
  <c r="AH11" i="14"/>
  <c r="AG11" i="14"/>
  <c r="C10" i="14" a="1"/>
  <c r="I10" i="14"/>
  <c r="AL10" i="14"/>
  <c r="C28" i="10"/>
  <c r="C29" i="10"/>
  <c r="D29" i="10" s="1"/>
  <c r="C30" i="10"/>
  <c r="D30" i="10" s="1"/>
  <c r="C33" i="10"/>
  <c r="D33" i="10" s="1"/>
  <c r="C34" i="10"/>
  <c r="D34" i="10" s="1"/>
  <c r="C37" i="10"/>
  <c r="C38" i="10"/>
  <c r="C40" i="10"/>
  <c r="D40" i="10" s="1"/>
  <c r="C41" i="10"/>
  <c r="D41" i="10" s="1"/>
  <c r="C42" i="10"/>
  <c r="D42" i="10" s="1"/>
  <c r="C45" i="10"/>
  <c r="D45" i="10" s="1"/>
  <c r="C46" i="10"/>
  <c r="C47" i="10"/>
  <c r="D47" i="10" s="1"/>
  <c r="C48" i="10"/>
  <c r="D48" i="10" s="1"/>
  <c r="C49" i="10"/>
  <c r="D49" i="10" s="1"/>
  <c r="C50" i="10"/>
  <c r="D50" i="10" s="1"/>
  <c r="C53" i="10"/>
  <c r="C54" i="10"/>
  <c r="D54" i="10" s="1"/>
  <c r="C21" i="10"/>
  <c r="D21" i="10" s="1"/>
  <c r="C22" i="10"/>
  <c r="D22" i="10" s="1"/>
  <c r="C23" i="10"/>
  <c r="D23" i="10" s="1"/>
  <c r="C25" i="10"/>
  <c r="C26" i="10"/>
  <c r="D26" i="10" s="1"/>
  <c r="C10" i="10"/>
  <c r="C12" i="10"/>
  <c r="D12" i="10" s="1"/>
  <c r="C13" i="10"/>
  <c r="D13" i="10" s="1"/>
  <c r="C14" i="10"/>
  <c r="D14" i="10" s="1"/>
  <c r="C17" i="10"/>
  <c r="D17" i="10" s="1"/>
  <c r="C18" i="10"/>
  <c r="H70" i="14"/>
  <c r="F70" i="14"/>
  <c r="K70" i="14"/>
  <c r="C70" i="14"/>
  <c r="C10" i="14"/>
  <c r="AF10" i="14"/>
  <c r="K10" i="14"/>
  <c r="AN10" i="14"/>
  <c r="I70" i="14"/>
  <c r="J10" i="14"/>
  <c r="AM10" i="14"/>
  <c r="L10" i="14"/>
  <c r="AO10" i="14"/>
  <c r="J70" i="14"/>
  <c r="E10" i="14"/>
  <c r="AH10" i="14"/>
  <c r="D10" i="14"/>
  <c r="AG10" i="14"/>
  <c r="F10" i="14"/>
  <c r="AI10" i="14"/>
  <c r="D70" i="14"/>
  <c r="L70" i="14"/>
  <c r="M10" i="14"/>
  <c r="AP10" i="14"/>
  <c r="G10" i="14"/>
  <c r="AJ10" i="14"/>
  <c r="E70" i="14"/>
  <c r="M70" i="14"/>
  <c r="H10" i="14"/>
  <c r="AK10" i="14"/>
  <c r="V125" i="7"/>
  <c r="V126" i="7"/>
  <c r="V127" i="7"/>
  <c r="V128" i="7"/>
  <c r="V129" i="7"/>
  <c r="V130" i="7"/>
  <c r="V131" i="7"/>
  <c r="V132" i="7"/>
  <c r="V133" i="7"/>
  <c r="V134" i="7"/>
  <c r="V135" i="7"/>
  <c r="V136" i="7"/>
  <c r="V137" i="7"/>
  <c r="V138" i="7"/>
  <c r="V139" i="7"/>
  <c r="V140" i="7"/>
  <c r="V141" i="7"/>
  <c r="V142" i="7"/>
  <c r="V143" i="7"/>
  <c r="V144" i="7"/>
  <c r="V145" i="7"/>
  <c r="V146" i="7"/>
  <c r="V147" i="7"/>
  <c r="V148" i="7"/>
  <c r="S132" i="7"/>
  <c r="S133" i="7"/>
  <c r="S134" i="7"/>
  <c r="S135" i="7"/>
  <c r="S136" i="7"/>
  <c r="S137" i="7"/>
  <c r="S138" i="7"/>
  <c r="S139" i="7"/>
  <c r="S140" i="7"/>
  <c r="S141" i="7"/>
  <c r="S142" i="7"/>
  <c r="S143" i="7"/>
  <c r="S144" i="7"/>
  <c r="S145" i="7"/>
  <c r="S146" i="7"/>
  <c r="S147" i="7"/>
  <c r="S148" i="7"/>
  <c r="S149" i="7"/>
  <c r="S150" i="7"/>
  <c r="S151" i="7"/>
  <c r="V81" i="7"/>
  <c r="V82" i="7"/>
  <c r="V83" i="7"/>
  <c r="V84" i="7"/>
  <c r="V85" i="7"/>
  <c r="V86" i="7"/>
  <c r="V87" i="7"/>
  <c r="V88" i="7"/>
  <c r="V89" i="7"/>
  <c r="V90" i="7"/>
  <c r="V91" i="7"/>
  <c r="V92" i="7"/>
  <c r="V93" i="7"/>
  <c r="X124" i="7"/>
  <c r="AA124" i="7"/>
  <c r="S118" i="9" s="1"/>
  <c r="T76" i="8"/>
  <c r="N159" i="10"/>
  <c r="N155" i="10"/>
  <c r="N144" i="10"/>
  <c r="N138" i="10"/>
  <c r="C127" i="10"/>
  <c r="D127" i="10" s="1"/>
  <c r="N125" i="10"/>
  <c r="C125" i="10"/>
  <c r="D125" i="10" s="1"/>
  <c r="K123" i="10"/>
  <c r="H121" i="10"/>
  <c r="K119" i="10"/>
  <c r="N109" i="10"/>
  <c r="N108" i="10"/>
  <c r="K108" i="10"/>
  <c r="N104" i="10"/>
  <c r="H104" i="10"/>
  <c r="K98" i="10"/>
  <c r="D98" i="10"/>
  <c r="H96" i="10"/>
  <c r="H92" i="10"/>
  <c r="K91" i="10"/>
  <c r="H91" i="10"/>
  <c r="H88" i="10"/>
  <c r="H80" i="10"/>
  <c r="K77" i="10"/>
  <c r="H76" i="10"/>
  <c r="H75" i="10"/>
  <c r="K73" i="10"/>
  <c r="H72" i="10"/>
  <c r="K69" i="10"/>
  <c r="H68" i="10"/>
  <c r="C66" i="10"/>
  <c r="D66" i="10" s="1"/>
  <c r="H66" i="10"/>
  <c r="K65" i="10"/>
  <c r="K54" i="10"/>
  <c r="N54" i="10"/>
  <c r="N53" i="10"/>
  <c r="K53" i="10"/>
  <c r="D51" i="10"/>
  <c r="K51" i="10"/>
  <c r="N50" i="10"/>
  <c r="N49" i="10"/>
  <c r="N47" i="10"/>
  <c r="K47" i="10"/>
  <c r="N46" i="10"/>
  <c r="D46" i="10"/>
  <c r="N45" i="10"/>
  <c r="K45" i="10"/>
  <c r="H45" i="10"/>
  <c r="N42" i="10"/>
  <c r="K42" i="10"/>
  <c r="K36" i="10"/>
  <c r="N35" i="10"/>
  <c r="N33" i="10"/>
  <c r="H30" i="10"/>
  <c r="N30" i="10"/>
  <c r="K30" i="10"/>
  <c r="K29" i="10"/>
  <c r="N28" i="10"/>
  <c r="H26" i="10"/>
  <c r="N25" i="10"/>
  <c r="H24" i="10"/>
  <c r="K23" i="10"/>
  <c r="N22" i="10"/>
  <c r="N21" i="10"/>
  <c r="N18" i="10"/>
  <c r="K17" i="10"/>
  <c r="H17" i="10"/>
  <c r="N14" i="10"/>
  <c r="N13" i="10"/>
  <c r="K13" i="10"/>
  <c r="N12" i="10"/>
  <c r="N10" i="10"/>
  <c r="N9" i="10"/>
  <c r="C9" i="10"/>
  <c r="K8" i="10"/>
  <c r="AA125" i="7"/>
  <c r="AA126" i="7"/>
  <c r="B56" i="9"/>
  <c r="C57" i="7" s="1"/>
  <c r="X125" i="7"/>
  <c r="B55" i="9"/>
  <c r="H55" i="9" s="1"/>
  <c r="B54" i="9"/>
  <c r="N54" i="9" s="1"/>
  <c r="B109" i="9"/>
  <c r="B53" i="9"/>
  <c r="C54" i="7" s="1"/>
  <c r="B108" i="9"/>
  <c r="K108" i="9" s="1"/>
  <c r="B52" i="9"/>
  <c r="B51" i="9"/>
  <c r="C52" i="7" s="1"/>
  <c r="B50" i="9"/>
  <c r="K50" i="9" s="1"/>
  <c r="B49" i="9"/>
  <c r="N49" i="9" s="1"/>
  <c r="B48" i="9"/>
  <c r="B47" i="9"/>
  <c r="H47" i="9" s="1"/>
  <c r="B46" i="9"/>
  <c r="N46" i="9" s="1"/>
  <c r="B45" i="9"/>
  <c r="B44" i="9"/>
  <c r="C45" i="7" s="1"/>
  <c r="B99" i="9"/>
  <c r="N99" i="9" s="1"/>
  <c r="B43" i="9"/>
  <c r="C44" i="7" s="1"/>
  <c r="B98" i="9"/>
  <c r="B42" i="9"/>
  <c r="K42" i="9" s="1"/>
  <c r="B41" i="9"/>
  <c r="N41" i="9" s="1"/>
  <c r="B40" i="9"/>
  <c r="B39" i="9"/>
  <c r="H39" i="9" s="1"/>
  <c r="B38" i="9"/>
  <c r="N38" i="9" s="1"/>
  <c r="B37" i="9"/>
  <c r="C38" i="7" s="1"/>
  <c r="B92" i="9"/>
  <c r="B36" i="9"/>
  <c r="C37" i="7" s="1"/>
  <c r="B91" i="9"/>
  <c r="N91" i="9" s="1"/>
  <c r="B35" i="9"/>
  <c r="H35" i="9" s="1"/>
  <c r="B34" i="9"/>
  <c r="K34" i="9" s="1"/>
  <c r="B33" i="9"/>
  <c r="N33" i="9" s="1"/>
  <c r="B32" i="9"/>
  <c r="C33" i="7" s="1"/>
  <c r="B31" i="9"/>
  <c r="B30" i="9"/>
  <c r="N30" i="9" s="1"/>
  <c r="B29" i="9"/>
  <c r="C30" i="7" s="1"/>
  <c r="B28" i="9"/>
  <c r="B27" i="9"/>
  <c r="C28" i="7" s="1"/>
  <c r="B82" i="9"/>
  <c r="N82" i="9" s="1"/>
  <c r="B26" i="9"/>
  <c r="K26" i="9" s="1"/>
  <c r="B81" i="9"/>
  <c r="B25" i="9"/>
  <c r="N25" i="9" s="1"/>
  <c r="B24" i="9"/>
  <c r="C25" i="7" s="1"/>
  <c r="B79" i="9"/>
  <c r="B23" i="9"/>
  <c r="H23" i="9" s="1"/>
  <c r="B22" i="9"/>
  <c r="N22" i="9" s="1"/>
  <c r="B21" i="9"/>
  <c r="C22" i="7" s="1"/>
  <c r="B20" i="9"/>
  <c r="C21" i="7" s="1"/>
  <c r="B19" i="9"/>
  <c r="B18" i="9"/>
  <c r="B17" i="9"/>
  <c r="B72" i="9" s="1"/>
  <c r="B16" i="9"/>
  <c r="B15" i="9"/>
  <c r="K15" i="9" s="1"/>
  <c r="B14" i="9"/>
  <c r="N14" i="9" s="1"/>
  <c r="B13" i="9"/>
  <c r="B12" i="9"/>
  <c r="B11" i="9"/>
  <c r="B10" i="9"/>
  <c r="C11" i="7" s="1"/>
  <c r="B65" i="9"/>
  <c r="B9" i="9"/>
  <c r="B8" i="9"/>
  <c r="P118" i="9"/>
  <c r="AA67" i="7"/>
  <c r="X67" i="7"/>
  <c r="K9" i="9"/>
  <c r="H9" i="9"/>
  <c r="S7" i="9"/>
  <c r="P7" i="9"/>
  <c r="T68" i="8"/>
  <c r="T56" i="8"/>
  <c r="T52" i="8"/>
  <c r="T50" i="8"/>
  <c r="T49" i="8"/>
  <c r="T41" i="8"/>
  <c r="T38" i="8"/>
  <c r="T36" i="8"/>
  <c r="T34" i="8"/>
  <c r="T33" i="8"/>
  <c r="T27" i="8"/>
  <c r="T26" i="8"/>
  <c r="T24" i="8"/>
  <c r="T23" i="8"/>
  <c r="T20" i="8"/>
  <c r="T16" i="8"/>
  <c r="T15" i="8"/>
  <c r="T14" i="8"/>
  <c r="T13" i="8"/>
  <c r="T9" i="8"/>
  <c r="AA123" i="7"/>
  <c r="X123" i="7"/>
  <c r="AA65" i="7"/>
  <c r="X65" i="7"/>
  <c r="AA7" i="7"/>
  <c r="X7" i="7"/>
  <c r="AP177" i="6"/>
  <c r="AO177" i="6"/>
  <c r="AN177" i="6"/>
  <c r="AM177" i="6"/>
  <c r="AL177" i="6"/>
  <c r="AK177" i="6"/>
  <c r="AJ177" i="6"/>
  <c r="AH177" i="6"/>
  <c r="AP176" i="6"/>
  <c r="AO176" i="6"/>
  <c r="AN176" i="6"/>
  <c r="AM176" i="6"/>
  <c r="AL176" i="6"/>
  <c r="AK176" i="6"/>
  <c r="AJ176" i="6"/>
  <c r="AI176" i="6"/>
  <c r="AH176" i="6"/>
  <c r="AP175" i="6"/>
  <c r="AO175" i="6"/>
  <c r="AN175" i="6"/>
  <c r="AM175" i="6"/>
  <c r="AL175" i="6"/>
  <c r="AK175" i="6"/>
  <c r="AJ175" i="6"/>
  <c r="AH175" i="6"/>
  <c r="AG175" i="6"/>
  <c r="AP174" i="6"/>
  <c r="AO174" i="6"/>
  <c r="AN174" i="6"/>
  <c r="AM174" i="6"/>
  <c r="AL174" i="6"/>
  <c r="AK174" i="6"/>
  <c r="AJ174" i="6"/>
  <c r="AI174" i="6"/>
  <c r="AH174" i="6"/>
  <c r="AF174" i="6"/>
  <c r="AP173" i="6"/>
  <c r="AO173" i="6"/>
  <c r="AN173" i="6"/>
  <c r="AM173" i="6"/>
  <c r="AL173" i="6"/>
  <c r="AK173" i="6"/>
  <c r="AJ173" i="6"/>
  <c r="AI173" i="6"/>
  <c r="AH173" i="6"/>
  <c r="AG173" i="6"/>
  <c r="AF173" i="6"/>
  <c r="AP172" i="6"/>
  <c r="AO172" i="6"/>
  <c r="AN172" i="6"/>
  <c r="AM172" i="6"/>
  <c r="AL172" i="6"/>
  <c r="AK172" i="6"/>
  <c r="AJ172" i="6"/>
  <c r="AI172" i="6"/>
  <c r="AH172" i="6"/>
  <c r="AP171" i="6"/>
  <c r="AO171" i="6"/>
  <c r="AN171" i="6"/>
  <c r="AM171" i="6"/>
  <c r="AL171" i="6"/>
  <c r="AK171" i="6"/>
  <c r="AJ171" i="6"/>
  <c r="AH171" i="6"/>
  <c r="AF171" i="6"/>
  <c r="AP170" i="6"/>
  <c r="AO170" i="6"/>
  <c r="AN170" i="6"/>
  <c r="AM170" i="6"/>
  <c r="AK170" i="6"/>
  <c r="AJ170" i="6"/>
  <c r="AI170" i="6"/>
  <c r="AH170" i="6"/>
  <c r="AG170" i="6"/>
  <c r="AP169" i="6"/>
  <c r="AO169" i="6"/>
  <c r="AN169" i="6"/>
  <c r="AM169" i="6"/>
  <c r="AL169" i="6"/>
  <c r="AK169" i="6"/>
  <c r="AJ169" i="6"/>
  <c r="AH169" i="6"/>
  <c r="AG169" i="6"/>
  <c r="AP168" i="6"/>
  <c r="AO168" i="6"/>
  <c r="AN168" i="6"/>
  <c r="AM168" i="6"/>
  <c r="AK168" i="6"/>
  <c r="AJ168" i="6"/>
  <c r="AI168" i="6"/>
  <c r="AH168" i="6"/>
  <c r="AP167" i="6"/>
  <c r="AO167" i="6"/>
  <c r="AN167" i="6"/>
  <c r="AM167" i="6"/>
  <c r="AL167" i="6"/>
  <c r="AK167" i="6"/>
  <c r="AJ167" i="6"/>
  <c r="AH167" i="6"/>
  <c r="AG167" i="6"/>
  <c r="AP166" i="6"/>
  <c r="AO166" i="6"/>
  <c r="AN166" i="6"/>
  <c r="AM166" i="6"/>
  <c r="AL166" i="6"/>
  <c r="AK166" i="6"/>
  <c r="AJ166" i="6"/>
  <c r="AI166" i="6"/>
  <c r="AH166" i="6"/>
  <c r="AF166" i="6"/>
  <c r="AP165" i="6"/>
  <c r="AO165" i="6"/>
  <c r="AN165" i="6"/>
  <c r="AM165" i="6"/>
  <c r="AL165" i="6"/>
  <c r="AK165" i="6"/>
  <c r="AJ165" i="6"/>
  <c r="AI165" i="6"/>
  <c r="AH165" i="6"/>
  <c r="AG165" i="6"/>
  <c r="AF165" i="6"/>
  <c r="AP164" i="6"/>
  <c r="AO164" i="6"/>
  <c r="AN164" i="6"/>
  <c r="AM164" i="6"/>
  <c r="AL164" i="6"/>
  <c r="AK164" i="6"/>
  <c r="AJ164" i="6"/>
  <c r="AI164" i="6"/>
  <c r="AH164" i="6"/>
  <c r="AP163" i="6"/>
  <c r="AO163" i="6"/>
  <c r="AN163" i="6"/>
  <c r="AM163" i="6"/>
  <c r="AL163" i="6"/>
  <c r="AK163" i="6"/>
  <c r="AJ163" i="6"/>
  <c r="AH163" i="6"/>
  <c r="AG163" i="6"/>
  <c r="AF163" i="6"/>
  <c r="AP162" i="6"/>
  <c r="AO162" i="6"/>
  <c r="AN162" i="6"/>
  <c r="AM162" i="6"/>
  <c r="AK162" i="6"/>
  <c r="AJ162" i="6"/>
  <c r="AI162" i="6"/>
  <c r="AH162" i="6"/>
  <c r="AG162" i="6"/>
  <c r="AP161" i="6"/>
  <c r="AO161" i="6"/>
  <c r="AN161" i="6"/>
  <c r="AM161" i="6"/>
  <c r="AL161" i="6"/>
  <c r="AK161" i="6"/>
  <c r="AJ161" i="6"/>
  <c r="AH161" i="6"/>
  <c r="AG161" i="6"/>
  <c r="AF161" i="6"/>
  <c r="AP160" i="6"/>
  <c r="AO160" i="6"/>
  <c r="AN160" i="6"/>
  <c r="AM160" i="6"/>
  <c r="AK160" i="6"/>
  <c r="AJ160" i="6"/>
  <c r="AI160" i="6"/>
  <c r="AH160" i="6"/>
  <c r="AG160" i="6"/>
  <c r="AP159" i="6"/>
  <c r="AO159" i="6"/>
  <c r="AN159" i="6"/>
  <c r="AM159" i="6"/>
  <c r="AL159" i="6"/>
  <c r="AK159" i="6"/>
  <c r="AJ159" i="6"/>
  <c r="AI159" i="6"/>
  <c r="AH159" i="6"/>
  <c r="AG159" i="6"/>
  <c r="AF159" i="6"/>
  <c r="AP158" i="6"/>
  <c r="AO158" i="6"/>
  <c r="AN158" i="6"/>
  <c r="AM158" i="6"/>
  <c r="AL158" i="6"/>
  <c r="AK158" i="6"/>
  <c r="AJ158" i="6"/>
  <c r="AI158" i="6"/>
  <c r="AH158" i="6"/>
  <c r="AF158" i="6"/>
  <c r="AP157" i="6"/>
  <c r="AO157" i="6"/>
  <c r="AN157" i="6"/>
  <c r="AM157" i="6"/>
  <c r="AL157" i="6"/>
  <c r="AK157" i="6"/>
  <c r="AJ157" i="6"/>
  <c r="AI157" i="6"/>
  <c r="AH157" i="6"/>
  <c r="AG157" i="6"/>
  <c r="AF157" i="6"/>
  <c r="AP156" i="6"/>
  <c r="AO156" i="6"/>
  <c r="AN156" i="6"/>
  <c r="AM156" i="6"/>
  <c r="AL156" i="6"/>
  <c r="AK156" i="6"/>
  <c r="AJ156" i="6"/>
  <c r="AI156" i="6"/>
  <c r="AH156" i="6"/>
  <c r="AP155" i="6"/>
  <c r="AO155" i="6"/>
  <c r="AN155" i="6"/>
  <c r="AM155" i="6"/>
  <c r="AL155" i="6"/>
  <c r="AK155" i="6"/>
  <c r="AJ155" i="6"/>
  <c r="AH155" i="6"/>
  <c r="AG155" i="6"/>
  <c r="AF155" i="6"/>
  <c r="AP154" i="6"/>
  <c r="AO154" i="6"/>
  <c r="AN154" i="6"/>
  <c r="AM154" i="6"/>
  <c r="AK154" i="6"/>
  <c r="AJ154" i="6"/>
  <c r="AI154" i="6"/>
  <c r="AH154" i="6"/>
  <c r="AG154" i="6"/>
  <c r="AP153" i="6"/>
  <c r="AO153" i="6"/>
  <c r="AN153" i="6"/>
  <c r="AM153" i="6"/>
  <c r="AL153" i="6"/>
  <c r="AK153" i="6"/>
  <c r="AJ153" i="6"/>
  <c r="AH153" i="6"/>
  <c r="AG153" i="6"/>
  <c r="AF153" i="6"/>
  <c r="AP152" i="6"/>
  <c r="AO152" i="6"/>
  <c r="AN152" i="6"/>
  <c r="AM152" i="6"/>
  <c r="AK152" i="6"/>
  <c r="AJ152" i="6"/>
  <c r="AI152" i="6"/>
  <c r="AH152" i="6"/>
  <c r="AG152" i="6"/>
  <c r="AP151" i="6"/>
  <c r="AO151" i="6"/>
  <c r="AN151" i="6"/>
  <c r="AM151" i="6"/>
  <c r="AL151" i="6"/>
  <c r="AK151" i="6"/>
  <c r="AJ151" i="6"/>
  <c r="AI151" i="6"/>
  <c r="AH151" i="6"/>
  <c r="AG151" i="6"/>
  <c r="AF151" i="6"/>
  <c r="AP150" i="6"/>
  <c r="AO150" i="6"/>
  <c r="AN150" i="6"/>
  <c r="AM150" i="6"/>
  <c r="AL150" i="6"/>
  <c r="AK150" i="6"/>
  <c r="AJ150" i="6"/>
  <c r="AI150" i="6"/>
  <c r="AH150" i="6"/>
  <c r="AF150" i="6"/>
  <c r="AP149" i="6"/>
  <c r="AO149" i="6"/>
  <c r="AN149" i="6"/>
  <c r="AM149" i="6"/>
  <c r="AL149" i="6"/>
  <c r="AK149" i="6"/>
  <c r="AJ149" i="6"/>
  <c r="AI149" i="6"/>
  <c r="AH149" i="6"/>
  <c r="AG149" i="6"/>
  <c r="AF149" i="6"/>
  <c r="AP148" i="6"/>
  <c r="AO148" i="6"/>
  <c r="AN148" i="6"/>
  <c r="AM148" i="6"/>
  <c r="AL148" i="6"/>
  <c r="AK148" i="6"/>
  <c r="AJ148" i="6"/>
  <c r="AI148" i="6"/>
  <c r="AH148" i="6"/>
  <c r="AP147" i="6"/>
  <c r="AO147" i="6"/>
  <c r="AN147" i="6"/>
  <c r="AM147" i="6"/>
  <c r="AL147" i="6"/>
  <c r="AK147" i="6"/>
  <c r="AJ147" i="6"/>
  <c r="AI147" i="6"/>
  <c r="AH147" i="6"/>
  <c r="AG147" i="6"/>
  <c r="AF147" i="6"/>
  <c r="AP146" i="6"/>
  <c r="AO146" i="6"/>
  <c r="AN146" i="6"/>
  <c r="AM146" i="6"/>
  <c r="AL146" i="6"/>
  <c r="AK146" i="6"/>
  <c r="AJ146" i="6"/>
  <c r="AI146" i="6"/>
  <c r="AH146" i="6"/>
  <c r="AG146" i="6"/>
  <c r="AP145" i="6"/>
  <c r="AO145" i="6"/>
  <c r="AN145" i="6"/>
  <c r="AM145" i="6"/>
  <c r="AL145" i="6"/>
  <c r="AK145" i="6"/>
  <c r="AJ145" i="6"/>
  <c r="AH145" i="6"/>
  <c r="AG145" i="6"/>
  <c r="AF145" i="6"/>
  <c r="AP144" i="6"/>
  <c r="AO144" i="6"/>
  <c r="AN144" i="6"/>
  <c r="AM144" i="6"/>
  <c r="AK144" i="6"/>
  <c r="AJ144" i="6"/>
  <c r="AI144" i="6"/>
  <c r="AH144" i="6"/>
  <c r="AP143" i="6"/>
  <c r="AO143" i="6"/>
  <c r="AN143" i="6"/>
  <c r="AM143" i="6"/>
  <c r="AL143" i="6"/>
  <c r="AK143" i="6"/>
  <c r="AJ143" i="6"/>
  <c r="AH143" i="6"/>
  <c r="AG143" i="6"/>
  <c r="AF143" i="6"/>
  <c r="AP142" i="6"/>
  <c r="AO142" i="6"/>
  <c r="AN142" i="6"/>
  <c r="AM142" i="6"/>
  <c r="AK142" i="6"/>
  <c r="AJ142" i="6"/>
  <c r="AI142" i="6"/>
  <c r="AH142" i="6"/>
  <c r="AG142" i="6"/>
  <c r="AF142" i="6"/>
  <c r="AP141" i="6"/>
  <c r="AO141" i="6"/>
  <c r="AN141" i="6"/>
  <c r="AM141" i="6"/>
  <c r="AL141" i="6"/>
  <c r="AK141" i="6"/>
  <c r="AJ141" i="6"/>
  <c r="AI141" i="6"/>
  <c r="AH141" i="6"/>
  <c r="AG141" i="6"/>
  <c r="AF141" i="6"/>
  <c r="AP140" i="6"/>
  <c r="AO140" i="6"/>
  <c r="AN140" i="6"/>
  <c r="AM140" i="6"/>
  <c r="AL140" i="6"/>
  <c r="AK140" i="6"/>
  <c r="AJ140" i="6"/>
  <c r="AI140" i="6"/>
  <c r="AH140" i="6"/>
  <c r="AP139" i="6"/>
  <c r="AO139" i="6"/>
  <c r="AN139" i="6"/>
  <c r="AM139" i="6"/>
  <c r="AL139" i="6"/>
  <c r="AK139" i="6"/>
  <c r="AJ139" i="6"/>
  <c r="AH139" i="6"/>
  <c r="AG139" i="6"/>
  <c r="AF139" i="6"/>
  <c r="AP138" i="6"/>
  <c r="AO138" i="6"/>
  <c r="AN138" i="6"/>
  <c r="AM138" i="6"/>
  <c r="AK138" i="6"/>
  <c r="AJ138" i="6"/>
  <c r="AI138" i="6"/>
  <c r="AH138" i="6"/>
  <c r="AG138" i="6"/>
  <c r="AF138" i="6"/>
  <c r="AP137" i="6"/>
  <c r="AO137" i="6"/>
  <c r="AN137" i="6"/>
  <c r="AM137" i="6"/>
  <c r="AL137" i="6"/>
  <c r="AK137" i="6"/>
  <c r="AJ137" i="6"/>
  <c r="AH137" i="6"/>
  <c r="AG137" i="6"/>
  <c r="AP136" i="6"/>
  <c r="AO136" i="6"/>
  <c r="AN136" i="6"/>
  <c r="AM136" i="6"/>
  <c r="AK136" i="6"/>
  <c r="AJ136" i="6"/>
  <c r="AI136" i="6"/>
  <c r="AH136" i="6"/>
  <c r="AG136" i="6"/>
  <c r="AF136" i="6"/>
  <c r="AP135" i="6"/>
  <c r="AO135" i="6"/>
  <c r="AN135" i="6"/>
  <c r="AM135" i="6"/>
  <c r="AL135" i="6"/>
  <c r="AK135" i="6"/>
  <c r="AJ135" i="6"/>
  <c r="AH135" i="6"/>
  <c r="AG135" i="6"/>
  <c r="AF135" i="6"/>
  <c r="AP134" i="6"/>
  <c r="AO134" i="6"/>
  <c r="AN134" i="6"/>
  <c r="AM134" i="6"/>
  <c r="AK134" i="6"/>
  <c r="AJ134" i="6"/>
  <c r="AI134" i="6"/>
  <c r="AH134" i="6"/>
  <c r="AG134" i="6"/>
  <c r="AF134" i="6"/>
  <c r="AP133" i="6"/>
  <c r="AO133" i="6"/>
  <c r="AN133" i="6"/>
  <c r="AM133" i="6"/>
  <c r="AL133" i="6"/>
  <c r="AK133" i="6"/>
  <c r="AJ133" i="6"/>
  <c r="AI133" i="6"/>
  <c r="AH133" i="6"/>
  <c r="AP132" i="6"/>
  <c r="AO132" i="6"/>
  <c r="AN132" i="6"/>
  <c r="AM132" i="6"/>
  <c r="AL132" i="6"/>
  <c r="AK132" i="6"/>
  <c r="AJ132" i="6"/>
  <c r="AI132" i="6"/>
  <c r="AH132" i="6"/>
  <c r="AG132" i="6"/>
  <c r="AF132" i="6"/>
  <c r="AP131" i="6"/>
  <c r="AO131" i="6"/>
  <c r="AN131" i="6"/>
  <c r="AM131" i="6"/>
  <c r="AL131" i="6"/>
  <c r="AK131" i="6"/>
  <c r="AJ131" i="6"/>
  <c r="AH131" i="6"/>
  <c r="AG131" i="6"/>
  <c r="AP130" i="6"/>
  <c r="AO130" i="6"/>
  <c r="AN130" i="6"/>
  <c r="AM130" i="6"/>
  <c r="AL130" i="6"/>
  <c r="AK130" i="6"/>
  <c r="AJ130" i="6"/>
  <c r="AI130" i="6"/>
  <c r="AH130" i="6"/>
  <c r="AG130" i="6"/>
  <c r="AF130" i="6"/>
  <c r="AP129" i="6"/>
  <c r="AO129" i="6"/>
  <c r="AN129" i="6"/>
  <c r="AM129" i="6"/>
  <c r="AK129" i="6"/>
  <c r="AJ129" i="6"/>
  <c r="AI129" i="6"/>
  <c r="AH129" i="6"/>
  <c r="AG129" i="6"/>
  <c r="AF129" i="6"/>
  <c r="C128" i="6" a="1"/>
  <c r="H128" i="6"/>
  <c r="AK128" i="6"/>
  <c r="C70" i="6" a="1"/>
  <c r="D70" i="6"/>
  <c r="AP59" i="6"/>
  <c r="AO59" i="6"/>
  <c r="AN59" i="6"/>
  <c r="AM59" i="6"/>
  <c r="AL59" i="6"/>
  <c r="AK59" i="6"/>
  <c r="AJ59" i="6"/>
  <c r="AI59" i="6"/>
  <c r="AH59" i="6"/>
  <c r="AG59" i="6"/>
  <c r="AF59" i="6"/>
  <c r="AP58" i="6"/>
  <c r="AO58" i="6"/>
  <c r="AN58" i="6"/>
  <c r="AM58" i="6"/>
  <c r="AL58" i="6"/>
  <c r="AK58" i="6"/>
  <c r="AJ58" i="6"/>
  <c r="AI58" i="6"/>
  <c r="AH58" i="6"/>
  <c r="AG58" i="6"/>
  <c r="AF58" i="6"/>
  <c r="AP57" i="6"/>
  <c r="AO57" i="6"/>
  <c r="AN57" i="6"/>
  <c r="AM57" i="6"/>
  <c r="AL57" i="6"/>
  <c r="AK57" i="6"/>
  <c r="AJ57" i="6"/>
  <c r="AI57" i="6"/>
  <c r="AH57" i="6"/>
  <c r="AG57" i="6"/>
  <c r="AF57" i="6"/>
  <c r="AP56" i="6"/>
  <c r="AO56" i="6"/>
  <c r="AN56" i="6"/>
  <c r="AM56" i="6"/>
  <c r="AL56" i="6"/>
  <c r="AK56" i="6"/>
  <c r="AJ56" i="6"/>
  <c r="AI56" i="6"/>
  <c r="AH56" i="6"/>
  <c r="AG56" i="6"/>
  <c r="AF56" i="6"/>
  <c r="AP55" i="6"/>
  <c r="AO55" i="6"/>
  <c r="AN55" i="6"/>
  <c r="AM55" i="6"/>
  <c r="AL55" i="6"/>
  <c r="AK55" i="6"/>
  <c r="AJ55" i="6"/>
  <c r="AI55" i="6"/>
  <c r="AH55" i="6"/>
  <c r="AG55" i="6"/>
  <c r="AF55" i="6"/>
  <c r="AP54" i="6"/>
  <c r="AO54" i="6"/>
  <c r="AN54" i="6"/>
  <c r="AM54" i="6"/>
  <c r="AL54" i="6"/>
  <c r="AK54" i="6"/>
  <c r="AJ54" i="6"/>
  <c r="AI54" i="6"/>
  <c r="AH54" i="6"/>
  <c r="AG54" i="6"/>
  <c r="AF54" i="6"/>
  <c r="AP53" i="6"/>
  <c r="AO53" i="6"/>
  <c r="AN53" i="6"/>
  <c r="AM53" i="6"/>
  <c r="AL53" i="6"/>
  <c r="AK53" i="6"/>
  <c r="AJ53" i="6"/>
  <c r="AI53" i="6"/>
  <c r="AH53" i="6"/>
  <c r="AG53" i="6"/>
  <c r="AF53" i="6"/>
  <c r="AP52" i="6"/>
  <c r="AO52" i="6"/>
  <c r="AN52" i="6"/>
  <c r="AM52" i="6"/>
  <c r="AL52" i="6"/>
  <c r="AK52" i="6"/>
  <c r="AJ52" i="6"/>
  <c r="AI52" i="6"/>
  <c r="AH52" i="6"/>
  <c r="AG52" i="6"/>
  <c r="AF52" i="6"/>
  <c r="AP51" i="6"/>
  <c r="AO51" i="6"/>
  <c r="AN51" i="6"/>
  <c r="AM51" i="6"/>
  <c r="AL51" i="6"/>
  <c r="AK51" i="6"/>
  <c r="AJ51" i="6"/>
  <c r="AI51" i="6"/>
  <c r="AH51" i="6"/>
  <c r="AG51" i="6"/>
  <c r="AF51" i="6"/>
  <c r="AP50" i="6"/>
  <c r="AO50" i="6"/>
  <c r="AN50" i="6"/>
  <c r="AM50" i="6"/>
  <c r="AL50" i="6"/>
  <c r="AK50" i="6"/>
  <c r="AJ50" i="6"/>
  <c r="AI50" i="6"/>
  <c r="AH50" i="6"/>
  <c r="AG50" i="6"/>
  <c r="AF50" i="6"/>
  <c r="AP49" i="6"/>
  <c r="AO49" i="6"/>
  <c r="AN49" i="6"/>
  <c r="AM49" i="6"/>
  <c r="AL49" i="6"/>
  <c r="AK49" i="6"/>
  <c r="AJ49" i="6"/>
  <c r="AI49" i="6"/>
  <c r="AH49" i="6"/>
  <c r="AG49" i="6"/>
  <c r="AF49" i="6"/>
  <c r="AP48" i="6"/>
  <c r="AO48" i="6"/>
  <c r="AN48" i="6"/>
  <c r="AM48" i="6"/>
  <c r="AL48" i="6"/>
  <c r="AK48" i="6"/>
  <c r="AJ48" i="6"/>
  <c r="AI48" i="6"/>
  <c r="AH48" i="6"/>
  <c r="AG48" i="6"/>
  <c r="AF48" i="6"/>
  <c r="AP47" i="6"/>
  <c r="AO47" i="6"/>
  <c r="AN47" i="6"/>
  <c r="AM47" i="6"/>
  <c r="AL47" i="6"/>
  <c r="AK47" i="6"/>
  <c r="AJ47" i="6"/>
  <c r="AI47" i="6"/>
  <c r="AH47" i="6"/>
  <c r="AG47" i="6"/>
  <c r="AF47" i="6"/>
  <c r="AP46" i="6"/>
  <c r="AO46" i="6"/>
  <c r="AN46" i="6"/>
  <c r="AM46" i="6"/>
  <c r="AL46" i="6"/>
  <c r="AK46" i="6"/>
  <c r="AJ46" i="6"/>
  <c r="AI46" i="6"/>
  <c r="AH46" i="6"/>
  <c r="AG46" i="6"/>
  <c r="AF46" i="6"/>
  <c r="AP45" i="6"/>
  <c r="AO45" i="6"/>
  <c r="AN45" i="6"/>
  <c r="AM45" i="6"/>
  <c r="AL45" i="6"/>
  <c r="AK45" i="6"/>
  <c r="AJ45" i="6"/>
  <c r="AI45" i="6"/>
  <c r="AH45" i="6"/>
  <c r="AG45" i="6"/>
  <c r="AF45" i="6"/>
  <c r="AP44" i="6"/>
  <c r="AO44" i="6"/>
  <c r="AN44" i="6"/>
  <c r="AM44" i="6"/>
  <c r="AL44" i="6"/>
  <c r="AK44" i="6"/>
  <c r="AJ44" i="6"/>
  <c r="AI44" i="6"/>
  <c r="AH44" i="6"/>
  <c r="AG44" i="6"/>
  <c r="AF44" i="6"/>
  <c r="AP43" i="6"/>
  <c r="AO43" i="6"/>
  <c r="AN43" i="6"/>
  <c r="AM43" i="6"/>
  <c r="AL43" i="6"/>
  <c r="AK43" i="6"/>
  <c r="AJ43" i="6"/>
  <c r="AI43" i="6"/>
  <c r="AH43" i="6"/>
  <c r="AG43" i="6"/>
  <c r="AF43" i="6"/>
  <c r="AP42" i="6"/>
  <c r="AO42" i="6"/>
  <c r="AN42" i="6"/>
  <c r="AM42" i="6"/>
  <c r="AL42" i="6"/>
  <c r="AK42" i="6"/>
  <c r="AJ42" i="6"/>
  <c r="AI42" i="6"/>
  <c r="AH42" i="6"/>
  <c r="AG42" i="6"/>
  <c r="AF42" i="6"/>
  <c r="AP41" i="6"/>
  <c r="AO41" i="6"/>
  <c r="AN41" i="6"/>
  <c r="AM41" i="6"/>
  <c r="AL41" i="6"/>
  <c r="AK41" i="6"/>
  <c r="AJ41" i="6"/>
  <c r="AI41" i="6"/>
  <c r="AH41" i="6"/>
  <c r="AG41" i="6"/>
  <c r="AF41" i="6"/>
  <c r="AP40" i="6"/>
  <c r="AO40" i="6"/>
  <c r="AN40" i="6"/>
  <c r="AM40" i="6"/>
  <c r="AL40" i="6"/>
  <c r="AK40" i="6"/>
  <c r="AJ40" i="6"/>
  <c r="AI40" i="6"/>
  <c r="AH40" i="6"/>
  <c r="AG40" i="6"/>
  <c r="AF40" i="6"/>
  <c r="AP39" i="6"/>
  <c r="AO39" i="6"/>
  <c r="AN39" i="6"/>
  <c r="AM39" i="6"/>
  <c r="AL39" i="6"/>
  <c r="AK39" i="6"/>
  <c r="AJ39" i="6"/>
  <c r="AI39" i="6"/>
  <c r="AH39" i="6"/>
  <c r="AG39" i="6"/>
  <c r="AF39" i="6"/>
  <c r="AP38" i="6"/>
  <c r="AO38" i="6"/>
  <c r="AN38" i="6"/>
  <c r="AM38" i="6"/>
  <c r="AL38" i="6"/>
  <c r="AK38" i="6"/>
  <c r="AJ38" i="6"/>
  <c r="AI38" i="6"/>
  <c r="AH38" i="6"/>
  <c r="AG38" i="6"/>
  <c r="AF38" i="6"/>
  <c r="AP37" i="6"/>
  <c r="AO37" i="6"/>
  <c r="AN37" i="6"/>
  <c r="AM37" i="6"/>
  <c r="AL37" i="6"/>
  <c r="AK37" i="6"/>
  <c r="AJ37" i="6"/>
  <c r="AI37" i="6"/>
  <c r="AH37" i="6"/>
  <c r="AG37" i="6"/>
  <c r="AF37" i="6"/>
  <c r="AP36" i="6"/>
  <c r="AO36" i="6"/>
  <c r="AN36" i="6"/>
  <c r="AM36" i="6"/>
  <c r="AL36" i="6"/>
  <c r="AK36" i="6"/>
  <c r="AJ36" i="6"/>
  <c r="AI36" i="6"/>
  <c r="AH36" i="6"/>
  <c r="AG36" i="6"/>
  <c r="AF36" i="6"/>
  <c r="AP35" i="6"/>
  <c r="AO35" i="6"/>
  <c r="AN35" i="6"/>
  <c r="AM35" i="6"/>
  <c r="AL35" i="6"/>
  <c r="AK35" i="6"/>
  <c r="AJ35" i="6"/>
  <c r="AI35" i="6"/>
  <c r="AH35" i="6"/>
  <c r="AG35" i="6"/>
  <c r="AF35" i="6"/>
  <c r="AP34" i="6"/>
  <c r="AO34" i="6"/>
  <c r="AN34" i="6"/>
  <c r="AM34" i="6"/>
  <c r="AL34" i="6"/>
  <c r="AK34" i="6"/>
  <c r="AJ34" i="6"/>
  <c r="AI34" i="6"/>
  <c r="AH34" i="6"/>
  <c r="AG34" i="6"/>
  <c r="AF34" i="6"/>
  <c r="AP33" i="6"/>
  <c r="AO33" i="6"/>
  <c r="AN33" i="6"/>
  <c r="AM33" i="6"/>
  <c r="AL33" i="6"/>
  <c r="AK33" i="6"/>
  <c r="AJ33" i="6"/>
  <c r="AI33" i="6"/>
  <c r="AH33" i="6"/>
  <c r="AG33" i="6"/>
  <c r="AF33" i="6"/>
  <c r="AP32" i="6"/>
  <c r="AO32" i="6"/>
  <c r="AN32" i="6"/>
  <c r="AM32" i="6"/>
  <c r="AL32" i="6"/>
  <c r="AK32" i="6"/>
  <c r="AJ32" i="6"/>
  <c r="AI32" i="6"/>
  <c r="AH32" i="6"/>
  <c r="AG32" i="6"/>
  <c r="AF32" i="6"/>
  <c r="AP31" i="6"/>
  <c r="AO31" i="6"/>
  <c r="AN31" i="6"/>
  <c r="AM31" i="6"/>
  <c r="AL31" i="6"/>
  <c r="AK31" i="6"/>
  <c r="AJ31" i="6"/>
  <c r="AI31" i="6"/>
  <c r="AH31" i="6"/>
  <c r="AG31" i="6"/>
  <c r="AF31" i="6"/>
  <c r="AP30" i="6"/>
  <c r="AO30" i="6"/>
  <c r="AN30" i="6"/>
  <c r="AM30" i="6"/>
  <c r="AL30" i="6"/>
  <c r="AK30" i="6"/>
  <c r="AJ30" i="6"/>
  <c r="AI30" i="6"/>
  <c r="AH30" i="6"/>
  <c r="AG30" i="6"/>
  <c r="AF30" i="6"/>
  <c r="AP29" i="6"/>
  <c r="AO29" i="6"/>
  <c r="AN29" i="6"/>
  <c r="AM29" i="6"/>
  <c r="AL29" i="6"/>
  <c r="AK29" i="6"/>
  <c r="AJ29" i="6"/>
  <c r="AI29" i="6"/>
  <c r="AH29" i="6"/>
  <c r="AG29" i="6"/>
  <c r="AF29" i="6"/>
  <c r="AP28" i="6"/>
  <c r="AO28" i="6"/>
  <c r="AN28" i="6"/>
  <c r="AM28" i="6"/>
  <c r="AL28" i="6"/>
  <c r="AK28" i="6"/>
  <c r="AJ28" i="6"/>
  <c r="AI28" i="6"/>
  <c r="AH28" i="6"/>
  <c r="AG28" i="6"/>
  <c r="AF28" i="6"/>
  <c r="AP27" i="6"/>
  <c r="AO27" i="6"/>
  <c r="AN27" i="6"/>
  <c r="AM27" i="6"/>
  <c r="AL27" i="6"/>
  <c r="AK27" i="6"/>
  <c r="AJ27" i="6"/>
  <c r="AI27" i="6"/>
  <c r="AH27" i="6"/>
  <c r="AG27" i="6"/>
  <c r="AF27" i="6"/>
  <c r="AP26" i="6"/>
  <c r="AO26" i="6"/>
  <c r="AN26" i="6"/>
  <c r="AM26" i="6"/>
  <c r="AL26" i="6"/>
  <c r="AK26" i="6"/>
  <c r="AJ26" i="6"/>
  <c r="AI26" i="6"/>
  <c r="AH26" i="6"/>
  <c r="AG26" i="6"/>
  <c r="AF26" i="6"/>
  <c r="AP25" i="6"/>
  <c r="AO25" i="6"/>
  <c r="AN25" i="6"/>
  <c r="AM25" i="6"/>
  <c r="AL25" i="6"/>
  <c r="AK25" i="6"/>
  <c r="AJ25" i="6"/>
  <c r="AI25" i="6"/>
  <c r="AH25" i="6"/>
  <c r="AG25" i="6"/>
  <c r="AF25" i="6"/>
  <c r="AP24" i="6"/>
  <c r="AO24" i="6"/>
  <c r="AN24" i="6"/>
  <c r="AM24" i="6"/>
  <c r="AL24" i="6"/>
  <c r="AK24" i="6"/>
  <c r="AJ24" i="6"/>
  <c r="AI24" i="6"/>
  <c r="AH24" i="6"/>
  <c r="AG24" i="6"/>
  <c r="AF24" i="6"/>
  <c r="AP23" i="6"/>
  <c r="AO23" i="6"/>
  <c r="AN23" i="6"/>
  <c r="AM23" i="6"/>
  <c r="AL23" i="6"/>
  <c r="AK23" i="6"/>
  <c r="AJ23" i="6"/>
  <c r="AI23" i="6"/>
  <c r="AH23" i="6"/>
  <c r="AG23" i="6"/>
  <c r="AF23" i="6"/>
  <c r="AP22" i="6"/>
  <c r="AO22" i="6"/>
  <c r="AN22" i="6"/>
  <c r="AM22" i="6"/>
  <c r="AL22" i="6"/>
  <c r="AK22" i="6"/>
  <c r="AJ22" i="6"/>
  <c r="AI22" i="6"/>
  <c r="AH22" i="6"/>
  <c r="AG22" i="6"/>
  <c r="AF22" i="6"/>
  <c r="AP21" i="6"/>
  <c r="AO21" i="6"/>
  <c r="AN21" i="6"/>
  <c r="AM21" i="6"/>
  <c r="AL21" i="6"/>
  <c r="AK21" i="6"/>
  <c r="AJ21" i="6"/>
  <c r="AI21" i="6"/>
  <c r="AH21" i="6"/>
  <c r="AG21" i="6"/>
  <c r="AF21" i="6"/>
  <c r="AP20" i="6"/>
  <c r="AO20" i="6"/>
  <c r="AN20" i="6"/>
  <c r="AM20" i="6"/>
  <c r="AL20" i="6"/>
  <c r="AK20" i="6"/>
  <c r="AJ20" i="6"/>
  <c r="AI20" i="6"/>
  <c r="AH20" i="6"/>
  <c r="AG20" i="6"/>
  <c r="AF20" i="6"/>
  <c r="AP19" i="6"/>
  <c r="AO19" i="6"/>
  <c r="AN19" i="6"/>
  <c r="AM19" i="6"/>
  <c r="AL19" i="6"/>
  <c r="AK19" i="6"/>
  <c r="AJ19" i="6"/>
  <c r="AI19" i="6"/>
  <c r="AH19" i="6"/>
  <c r="AG19" i="6"/>
  <c r="AF19" i="6"/>
  <c r="AP18" i="6"/>
  <c r="AO18" i="6"/>
  <c r="AN18" i="6"/>
  <c r="AM18" i="6"/>
  <c r="AL18" i="6"/>
  <c r="AK18" i="6"/>
  <c r="AJ18" i="6"/>
  <c r="AI18" i="6"/>
  <c r="AH18" i="6"/>
  <c r="AG18" i="6"/>
  <c r="AF18" i="6"/>
  <c r="AP17" i="6"/>
  <c r="AO17" i="6"/>
  <c r="AN17" i="6"/>
  <c r="AM17" i="6"/>
  <c r="AL17" i="6"/>
  <c r="AK17" i="6"/>
  <c r="AJ17" i="6"/>
  <c r="AI17" i="6"/>
  <c r="AH17" i="6"/>
  <c r="AG17" i="6"/>
  <c r="AF17" i="6"/>
  <c r="AP16" i="6"/>
  <c r="AO16" i="6"/>
  <c r="AN16" i="6"/>
  <c r="AM16" i="6"/>
  <c r="AL16" i="6"/>
  <c r="AK16" i="6"/>
  <c r="AJ16" i="6"/>
  <c r="AI16" i="6"/>
  <c r="AH16" i="6"/>
  <c r="AG16" i="6"/>
  <c r="AF16" i="6"/>
  <c r="AP15" i="6"/>
  <c r="AO15" i="6"/>
  <c r="AN15" i="6"/>
  <c r="AM15" i="6"/>
  <c r="AL15" i="6"/>
  <c r="AK15" i="6"/>
  <c r="AJ15" i="6"/>
  <c r="AI15" i="6"/>
  <c r="AH15" i="6"/>
  <c r="AG15" i="6"/>
  <c r="AF15" i="6"/>
  <c r="AP14" i="6"/>
  <c r="AO14" i="6"/>
  <c r="AN14" i="6"/>
  <c r="AM14" i="6"/>
  <c r="AL14" i="6"/>
  <c r="AK14" i="6"/>
  <c r="AJ14" i="6"/>
  <c r="AI14" i="6"/>
  <c r="AH14" i="6"/>
  <c r="AG14" i="6"/>
  <c r="AF14" i="6"/>
  <c r="AP13" i="6"/>
  <c r="AO13" i="6"/>
  <c r="AN13" i="6"/>
  <c r="AM13" i="6"/>
  <c r="AL13" i="6"/>
  <c r="AK13" i="6"/>
  <c r="AJ13" i="6"/>
  <c r="AI13" i="6"/>
  <c r="AH13" i="6"/>
  <c r="AG13" i="6"/>
  <c r="AF13" i="6"/>
  <c r="AP12" i="6"/>
  <c r="AO12" i="6"/>
  <c r="AN12" i="6"/>
  <c r="AM12" i="6"/>
  <c r="AL12" i="6"/>
  <c r="AK12" i="6"/>
  <c r="AJ12" i="6"/>
  <c r="AI12" i="6"/>
  <c r="AH12" i="6"/>
  <c r="AG12" i="6"/>
  <c r="AF12" i="6"/>
  <c r="AP11" i="6"/>
  <c r="AO11" i="6"/>
  <c r="AN11" i="6"/>
  <c r="AM11" i="6"/>
  <c r="AL11" i="6"/>
  <c r="AK11" i="6"/>
  <c r="AJ11" i="6"/>
  <c r="AI11" i="6"/>
  <c r="AH11" i="6"/>
  <c r="AG11" i="6"/>
  <c r="AF11" i="6"/>
  <c r="C10" i="6" a="1"/>
  <c r="K10" i="6"/>
  <c r="AN10" i="6"/>
  <c r="C163" i="10"/>
  <c r="D163" i="10" s="1"/>
  <c r="H8" i="10"/>
  <c r="C8" i="10"/>
  <c r="F128" i="6"/>
  <c r="AI128" i="6"/>
  <c r="L128" i="6"/>
  <c r="AO128" i="6"/>
  <c r="S63" i="9"/>
  <c r="B101" i="9"/>
  <c r="K101" i="9" s="1"/>
  <c r="T37" i="8"/>
  <c r="G128" i="6"/>
  <c r="AJ128" i="6"/>
  <c r="B102" i="9"/>
  <c r="B158" i="9" s="1"/>
  <c r="K16" i="10"/>
  <c r="H16" i="10"/>
  <c r="N16" i="10"/>
  <c r="N41" i="10"/>
  <c r="H41" i="10"/>
  <c r="K41" i="10"/>
  <c r="H127" i="10"/>
  <c r="T42" i="8"/>
  <c r="T43" i="8"/>
  <c r="D10" i="6"/>
  <c r="AG10" i="6"/>
  <c r="F10" i="6"/>
  <c r="AI10" i="6"/>
  <c r="B87" i="9"/>
  <c r="N87" i="9" s="1"/>
  <c r="C70" i="6"/>
  <c r="K128" i="6"/>
  <c r="AN128" i="6"/>
  <c r="E128" i="6"/>
  <c r="AH128" i="6"/>
  <c r="I128" i="6"/>
  <c r="AL128" i="6"/>
  <c r="H38" i="10"/>
  <c r="D38" i="10"/>
  <c r="T22" i="8"/>
  <c r="H10" i="6"/>
  <c r="AK10" i="6"/>
  <c r="B74" i="9"/>
  <c r="B88" i="9"/>
  <c r="C151" i="10"/>
  <c r="D151" i="10" s="1"/>
  <c r="J10" i="6"/>
  <c r="AM10" i="6"/>
  <c r="N8" i="9"/>
  <c r="H8" i="9"/>
  <c r="B154" i="9"/>
  <c r="C128" i="6"/>
  <c r="AF128" i="6"/>
  <c r="T28" i="8"/>
  <c r="T82" i="8"/>
  <c r="L10" i="6"/>
  <c r="AO10" i="6"/>
  <c r="D128" i="6"/>
  <c r="AG128" i="6"/>
  <c r="B107" i="9"/>
  <c r="T105" i="8"/>
  <c r="H13" i="10"/>
  <c r="H53" i="10"/>
  <c r="N8" i="10"/>
  <c r="H36" i="10"/>
  <c r="C91" i="10"/>
  <c r="D91" i="10" s="1"/>
  <c r="C109" i="10"/>
  <c r="D109" i="10" s="1"/>
  <c r="K18" i="10"/>
  <c r="H29" i="10"/>
  <c r="K109" i="10"/>
  <c r="N29" i="10"/>
  <c r="K46" i="10"/>
  <c r="N63" i="10"/>
  <c r="C83" i="10"/>
  <c r="D83" i="10" s="1"/>
  <c r="H145" i="10"/>
  <c r="B165" i="9"/>
  <c r="B147" i="9"/>
  <c r="B155" i="9"/>
  <c r="B96" i="9"/>
  <c r="H96" i="9" s="1"/>
  <c r="B75" i="9"/>
  <c r="Q75" i="9" s="1"/>
  <c r="B111" i="9"/>
  <c r="N17" i="10"/>
  <c r="N24" i="10"/>
  <c r="H49" i="10"/>
  <c r="D53" i="10"/>
  <c r="H83" i="10"/>
  <c r="K83" i="10"/>
  <c r="H108" i="10"/>
  <c r="C119" i="10"/>
  <c r="D119" i="10" s="1"/>
  <c r="C153" i="10"/>
  <c r="D153" i="10" s="1"/>
  <c r="H151" i="10"/>
  <c r="C160" i="10"/>
  <c r="D160" i="10" s="1"/>
  <c r="H21" i="10"/>
  <c r="C138" i="10"/>
  <c r="D138" i="10" s="1"/>
  <c r="D8" i="10"/>
  <c r="H9" i="10"/>
  <c r="K21" i="10"/>
  <c r="H33" i="10"/>
  <c r="K38" i="10"/>
  <c r="H50" i="10"/>
  <c r="N64" i="10"/>
  <c r="H98" i="10"/>
  <c r="K104" i="10"/>
  <c r="C121" i="10"/>
  <c r="D121" i="10" s="1"/>
  <c r="K127" i="10"/>
  <c r="N135" i="10"/>
  <c r="H138" i="10"/>
  <c r="N151" i="10"/>
  <c r="K9" i="10"/>
  <c r="K33" i="10"/>
  <c r="H46" i="10"/>
  <c r="K50" i="10"/>
  <c r="K56" i="10"/>
  <c r="N98" i="10"/>
  <c r="H159" i="10"/>
  <c r="N26" i="10"/>
  <c r="K159" i="10"/>
  <c r="H70" i="6"/>
  <c r="J70" i="6"/>
  <c r="L70" i="6"/>
  <c r="M70" i="6"/>
  <c r="E10" i="6"/>
  <c r="AH10" i="6"/>
  <c r="I10" i="6"/>
  <c r="AL10" i="6"/>
  <c r="M10" i="6"/>
  <c r="AP10" i="6"/>
  <c r="K70" i="6"/>
  <c r="I70" i="6"/>
  <c r="F70" i="6"/>
  <c r="G70" i="6"/>
  <c r="C10" i="6"/>
  <c r="AF10" i="6"/>
  <c r="G10" i="6"/>
  <c r="AJ10" i="6"/>
  <c r="E70" i="6"/>
  <c r="M128" i="6"/>
  <c r="AP128" i="6"/>
  <c r="B80" i="9"/>
  <c r="J128" i="6"/>
  <c r="AM128" i="6"/>
  <c r="N15" i="10"/>
  <c r="K15" i="10"/>
  <c r="H15" i="10"/>
  <c r="N48" i="10"/>
  <c r="K48" i="10"/>
  <c r="B128" i="9"/>
  <c r="B121" i="9"/>
  <c r="C127" i="7" s="1"/>
  <c r="B137" i="9"/>
  <c r="N65" i="10"/>
  <c r="H65" i="10"/>
  <c r="C65" i="10"/>
  <c r="D65" i="10" s="1"/>
  <c r="H34" i="10"/>
  <c r="N34" i="10"/>
  <c r="K34" i="10"/>
  <c r="P62" i="9"/>
  <c r="B73" i="9"/>
  <c r="B103" i="9"/>
  <c r="N85" i="10"/>
  <c r="H85" i="10"/>
  <c r="C85" i="10"/>
  <c r="D85" i="10" s="1"/>
  <c r="K85" i="10"/>
  <c r="H10" i="10"/>
  <c r="D10" i="10"/>
  <c r="K10" i="10"/>
  <c r="H47" i="10"/>
  <c r="B63" i="9"/>
  <c r="B148" i="9"/>
  <c r="K148" i="9" s="1"/>
  <c r="N55" i="10"/>
  <c r="K55" i="10"/>
  <c r="K8" i="9"/>
  <c r="X9" i="7"/>
  <c r="B130" i="9"/>
  <c r="B135" i="9"/>
  <c r="H43" i="10"/>
  <c r="K43" i="10"/>
  <c r="B105" i="9"/>
  <c r="N31" i="10"/>
  <c r="K31" i="10"/>
  <c r="H31" i="10"/>
  <c r="C157" i="10"/>
  <c r="D157" i="10" s="1"/>
  <c r="H157" i="10"/>
  <c r="K11" i="10"/>
  <c r="H11" i="10"/>
  <c r="H22" i="10"/>
  <c r="K22" i="10"/>
  <c r="H42" i="10"/>
  <c r="K63" i="10"/>
  <c r="C63" i="10"/>
  <c r="D63" i="10" s="1"/>
  <c r="N77" i="10"/>
  <c r="H77" i="10"/>
  <c r="C77" i="10"/>
  <c r="D77" i="10" s="1"/>
  <c r="N69" i="10"/>
  <c r="H69" i="10"/>
  <c r="C69" i="10"/>
  <c r="D69" i="10" s="1"/>
  <c r="AA9" i="7"/>
  <c r="B86" i="9"/>
  <c r="B164" i="9"/>
  <c r="D9" i="10"/>
  <c r="K14" i="10"/>
  <c r="H18" i="10"/>
  <c r="D18" i="10"/>
  <c r="K25" i="10"/>
  <c r="H25" i="10"/>
  <c r="D25" i="10"/>
  <c r="N37" i="10"/>
  <c r="K37" i="10"/>
  <c r="H37" i="10"/>
  <c r="D37" i="10"/>
  <c r="N40" i="10"/>
  <c r="K40" i="10"/>
  <c r="H40" i="10"/>
  <c r="C139" i="10"/>
  <c r="D139" i="10" s="1"/>
  <c r="N139" i="10"/>
  <c r="K139" i="10"/>
  <c r="H139" i="10"/>
  <c r="B70" i="9"/>
  <c r="N70" i="9" s="1"/>
  <c r="B95" i="9"/>
  <c r="H54" i="10"/>
  <c r="K102" i="10"/>
  <c r="C102" i="10"/>
  <c r="D102" i="10" s="1"/>
  <c r="C104" i="10"/>
  <c r="D104" i="10" s="1"/>
  <c r="P63" i="9"/>
  <c r="B78" i="9"/>
  <c r="K78" i="9" s="1"/>
  <c r="H14" i="10"/>
  <c r="K28" i="10"/>
  <c r="H28" i="10"/>
  <c r="D28" i="10"/>
  <c r="H52" i="10"/>
  <c r="N73" i="10"/>
  <c r="H73" i="10"/>
  <c r="C73" i="10"/>
  <c r="D73" i="10" s="1"/>
  <c r="K106" i="10"/>
  <c r="K128" i="10"/>
  <c r="H128" i="10"/>
  <c r="C128" i="10"/>
  <c r="D128" i="10" s="1"/>
  <c r="N128" i="10"/>
  <c r="H23" i="10"/>
  <c r="K26" i="10"/>
  <c r="K35" i="10"/>
  <c r="N38" i="10"/>
  <c r="N56" i="10"/>
  <c r="H64" i="10"/>
  <c r="C68" i="10"/>
  <c r="D68" i="10" s="1"/>
  <c r="C72" i="10"/>
  <c r="D72" i="10" s="1"/>
  <c r="C76" i="10"/>
  <c r="D76" i="10" s="1"/>
  <c r="C80" i="10"/>
  <c r="D80" i="10" s="1"/>
  <c r="C88" i="10"/>
  <c r="D88" i="10" s="1"/>
  <c r="C92" i="10"/>
  <c r="D92" i="10" s="1"/>
  <c r="C96" i="10"/>
  <c r="D96" i="10" s="1"/>
  <c r="N119" i="10"/>
  <c r="K147" i="10"/>
  <c r="K160" i="10"/>
  <c r="K68" i="10"/>
  <c r="K72" i="10"/>
  <c r="K76" i="10"/>
  <c r="K80" i="10"/>
  <c r="K88" i="10"/>
  <c r="K92" i="10"/>
  <c r="K96" i="10"/>
  <c r="K64" i="10"/>
  <c r="C64" i="10"/>
  <c r="D64" i="10"/>
  <c r="N66" i="10"/>
  <c r="K66" i="10"/>
  <c r="N68" i="10"/>
  <c r="N72" i="10"/>
  <c r="N74" i="10"/>
  <c r="N76" i="10"/>
  <c r="N80" i="10"/>
  <c r="N84" i="10"/>
  <c r="N88" i="10"/>
  <c r="N92" i="10"/>
  <c r="N96" i="10"/>
  <c r="C147" i="10"/>
  <c r="D147" i="10" s="1"/>
  <c r="H147" i="10"/>
  <c r="K49" i="10"/>
  <c r="H63" i="10"/>
  <c r="H102" i="10"/>
  <c r="K132" i="10"/>
  <c r="H132" i="10"/>
  <c r="C152" i="10"/>
  <c r="D152" i="10" s="1"/>
  <c r="N152" i="10"/>
  <c r="K152" i="10"/>
  <c r="H131" i="10"/>
  <c r="C118" i="10"/>
  <c r="D118" i="10"/>
  <c r="N127" i="10"/>
  <c r="K131" i="10"/>
  <c r="K144" i="10"/>
  <c r="H144" i="10"/>
  <c r="D144" i="10"/>
  <c r="C155" i="10"/>
  <c r="D155" i="10" s="1"/>
  <c r="N131" i="10"/>
  <c r="H152" i="10"/>
  <c r="K153" i="10"/>
  <c r="H153" i="10"/>
  <c r="C159" i="10"/>
  <c r="D159" i="10" s="1"/>
  <c r="K120" i="10"/>
  <c r="H120" i="10"/>
  <c r="C120" i="10"/>
  <c r="D120" i="10" s="1"/>
  <c r="H119" i="10"/>
  <c r="H160" i="10"/>
  <c r="K121" i="10"/>
  <c r="K125" i="10"/>
  <c r="K145" i="10"/>
  <c r="K163" i="10"/>
  <c r="T98" i="8"/>
  <c r="T83" i="8"/>
  <c r="B157" i="9"/>
  <c r="B152" i="9"/>
  <c r="B167" i="9"/>
  <c r="N167" i="9" s="1"/>
  <c r="X10" i="7"/>
  <c r="V8" i="8"/>
  <c r="P8" i="9"/>
  <c r="Q8" i="9" s="1"/>
  <c r="T92" i="8"/>
  <c r="X126" i="7"/>
  <c r="AA68" i="7"/>
  <c r="AA10" i="7"/>
  <c r="T63" i="9"/>
  <c r="Y8" i="8"/>
  <c r="S8" i="9"/>
  <c r="T8" i="9"/>
  <c r="X68" i="7"/>
  <c r="T153" i="8"/>
  <c r="B159" i="9"/>
  <c r="B129" i="9"/>
  <c r="T84" i="8"/>
  <c r="B142" i="9"/>
  <c r="T121" i="9"/>
  <c r="P64" i="9"/>
  <c r="V9" i="8"/>
  <c r="P9" i="9"/>
  <c r="T163" i="8"/>
  <c r="Y9" i="8"/>
  <c r="Z9" i="8"/>
  <c r="S9" i="9"/>
  <c r="T9" i="9"/>
  <c r="S64" i="9"/>
  <c r="P10" i="9"/>
  <c r="Q10" i="9" s="1"/>
  <c r="Q9" i="9"/>
  <c r="S10" i="9"/>
  <c r="T10" i="9" s="1"/>
  <c r="P66" i="9"/>
  <c r="S11" i="9"/>
  <c r="T11" i="9" s="1"/>
  <c r="P11" i="9"/>
  <c r="Q11" i="9" s="1"/>
  <c r="P12" i="9"/>
  <c r="Q12" i="9" s="1"/>
  <c r="S12" i="9"/>
  <c r="T12" i="9" s="1"/>
  <c r="P13" i="9"/>
  <c r="Z68" i="8"/>
  <c r="S13" i="9"/>
  <c r="P68" i="9"/>
  <c r="P14" i="9"/>
  <c r="Q14" i="9" s="1"/>
  <c r="S14" i="9"/>
  <c r="T14" i="9"/>
  <c r="Z70" i="8"/>
  <c r="P15" i="9"/>
  <c r="Q15" i="9" s="1"/>
  <c r="S15" i="9"/>
  <c r="T15" i="9" s="1"/>
  <c r="T128" i="9"/>
  <c r="Z16" i="8"/>
  <c r="S16" i="9"/>
  <c r="T16" i="9" s="1"/>
  <c r="P16" i="9"/>
  <c r="Q16" i="9" s="1"/>
  <c r="S17" i="9"/>
  <c r="T17" i="9" s="1"/>
  <c r="P17" i="9"/>
  <c r="Q17" i="9" s="1"/>
  <c r="Q72" i="9"/>
  <c r="S18" i="9"/>
  <c r="P18" i="9"/>
  <c r="P19" i="9"/>
  <c r="Q18" i="9"/>
  <c r="S19" i="9"/>
  <c r="T19" i="9" s="1"/>
  <c r="W19" i="8"/>
  <c r="P20" i="9"/>
  <c r="Q19" i="9"/>
  <c r="P21" i="9"/>
  <c r="Q21" i="9" s="1"/>
  <c r="Z76" i="8"/>
  <c r="Q20" i="9"/>
  <c r="Z77" i="8"/>
  <c r="P77" i="9"/>
  <c r="P22" i="9"/>
  <c r="S23" i="9"/>
  <c r="T23" i="9" s="1"/>
  <c r="P23" i="9"/>
  <c r="Q23" i="9" s="1"/>
  <c r="P79" i="9"/>
  <c r="Q79" i="9" s="1"/>
  <c r="S24" i="9"/>
  <c r="T24" i="9" s="1"/>
  <c r="Z79" i="8"/>
  <c r="S25" i="9"/>
  <c r="T25" i="9"/>
  <c r="P80" i="9"/>
  <c r="P25" i="9"/>
  <c r="Q25" i="9" s="1"/>
  <c r="P26" i="9"/>
  <c r="Q26" i="9" s="1"/>
  <c r="S26" i="9"/>
  <c r="T26" i="9" s="1"/>
  <c r="P82" i="9"/>
  <c r="Q82" i="9" s="1"/>
  <c r="S27" i="9"/>
  <c r="T27" i="9"/>
  <c r="P27" i="9"/>
  <c r="Q27" i="9" s="1"/>
  <c r="P83" i="9"/>
  <c r="S28" i="9"/>
  <c r="T28" i="9" s="1"/>
  <c r="Z83" i="8"/>
  <c r="P28" i="9"/>
  <c r="W27" i="8"/>
  <c r="P29" i="9"/>
  <c r="Z84" i="8"/>
  <c r="S29" i="9"/>
  <c r="T29" i="9" s="1"/>
  <c r="Q28" i="9"/>
  <c r="P84" i="9"/>
  <c r="Q29" i="9"/>
  <c r="P85" i="9"/>
  <c r="S31" i="9"/>
  <c r="T31" i="9" s="1"/>
  <c r="P31" i="9"/>
  <c r="Q31" i="9" s="1"/>
  <c r="P32" i="9"/>
  <c r="Q32" i="9" s="1"/>
  <c r="P87" i="9"/>
  <c r="Q87" i="9" s="1"/>
  <c r="P88" i="9"/>
  <c r="P33" i="9"/>
  <c r="Q33" i="9" s="1"/>
  <c r="Z88" i="8"/>
  <c r="P89" i="9"/>
  <c r="Q89" i="9" s="1"/>
  <c r="S34" i="9"/>
  <c r="Z89" i="8"/>
  <c r="P34" i="9"/>
  <c r="Q34" i="9" s="1"/>
  <c r="P35" i="9"/>
  <c r="Q35" i="9" s="1"/>
  <c r="S35" i="9"/>
  <c r="T35" i="9" s="1"/>
  <c r="P90" i="9"/>
  <c r="Z90" i="8"/>
  <c r="P91" i="9"/>
  <c r="Q91" i="9" s="1"/>
  <c r="W35" i="8"/>
  <c r="P36" i="9"/>
  <c r="Q36" i="9" s="1"/>
  <c r="S37" i="9"/>
  <c r="T37" i="9" s="1"/>
  <c r="P92" i="9"/>
  <c r="Z92" i="8"/>
  <c r="P37" i="9"/>
  <c r="Q37" i="9" s="1"/>
  <c r="P93" i="9"/>
  <c r="W37" i="8"/>
  <c r="P39" i="9"/>
  <c r="Q39" i="9" s="1"/>
  <c r="P94" i="9"/>
  <c r="S39" i="9"/>
  <c r="T39" i="9" s="1"/>
  <c r="P95" i="9"/>
  <c r="Q95" i="9" s="1"/>
  <c r="P40" i="9"/>
  <c r="Q40" i="9" s="1"/>
  <c r="Z41" i="8"/>
  <c r="S41" i="9"/>
  <c r="T41" i="9"/>
  <c r="P41" i="9"/>
  <c r="Q41" i="9" s="1"/>
  <c r="Z153" i="8"/>
  <c r="P42" i="9"/>
  <c r="Q42" i="9" s="1"/>
  <c r="P97" i="9"/>
  <c r="T98" i="9"/>
  <c r="Z98" i="8"/>
  <c r="Z43" i="8"/>
  <c r="S43" i="9"/>
  <c r="T43" i="9" s="1"/>
  <c r="P43" i="9"/>
  <c r="Q43" i="9" s="1"/>
  <c r="W43" i="8"/>
  <c r="Z99" i="8"/>
  <c r="P99" i="9"/>
  <c r="Q99" i="9" s="1"/>
  <c r="P44" i="9"/>
  <c r="Q44" i="9" s="1"/>
  <c r="S45" i="9"/>
  <c r="P100" i="9"/>
  <c r="P45" i="9"/>
  <c r="S46" i="9"/>
  <c r="T46" i="9" s="1"/>
  <c r="T101" i="9"/>
  <c r="T102" i="9"/>
  <c r="P47" i="9"/>
  <c r="Q47" i="9" s="1"/>
  <c r="S48" i="9"/>
  <c r="T48" i="9" s="1"/>
  <c r="P48" i="9"/>
  <c r="Q48" i="9" s="1"/>
  <c r="P49" i="9"/>
  <c r="Q49" i="9" s="1"/>
  <c r="P50" i="9"/>
  <c r="Q50" i="9" s="1"/>
  <c r="P51" i="9"/>
  <c r="Z51" i="8"/>
  <c r="S51" i="9"/>
  <c r="T51" i="9" s="1"/>
  <c r="T164" i="9"/>
  <c r="Q51" i="9"/>
  <c r="P52" i="9"/>
  <c r="Q52" i="9" s="1"/>
  <c r="S53" i="9"/>
  <c r="T53" i="9" s="1"/>
  <c r="P53" i="9"/>
  <c r="Q53" i="9" s="1"/>
  <c r="T167" i="9"/>
  <c r="S54" i="9"/>
  <c r="T54" i="9" s="1"/>
  <c r="W53" i="8"/>
  <c r="W108" i="8"/>
  <c r="P56" i="9"/>
  <c r="S55" i="9"/>
  <c r="T55" i="9" s="1"/>
  <c r="P55" i="9"/>
  <c r="Q55" i="9" s="1"/>
  <c r="S56" i="9"/>
  <c r="T56" i="9" s="1"/>
  <c r="Q56" i="9"/>
  <c r="AI18" i="16"/>
  <c r="Q18" i="16"/>
  <c r="AC18" i="16"/>
  <c r="K18" i="16"/>
  <c r="B138" i="9"/>
  <c r="B89" i="9"/>
  <c r="B145" i="9" s="1"/>
  <c r="T34" i="9"/>
  <c r="T90" i="8"/>
  <c r="B77" i="9"/>
  <c r="Q22" i="9"/>
  <c r="T65" i="8"/>
  <c r="Z65" i="8"/>
  <c r="B143" i="9"/>
  <c r="H143" i="9" s="1"/>
  <c r="T87" i="9"/>
  <c r="Q63" i="9"/>
  <c r="B119" i="9"/>
  <c r="K119" i="9" s="1"/>
  <c r="H63" i="9"/>
  <c r="K63" i="9"/>
  <c r="T10" i="8"/>
  <c r="B93" i="9"/>
  <c r="T99" i="8"/>
  <c r="T70" i="8"/>
  <c r="B84" i="9"/>
  <c r="B106" i="9"/>
  <c r="T35" i="8"/>
  <c r="B85" i="9"/>
  <c r="K85" i="9" s="1"/>
  <c r="T89" i="8"/>
  <c r="B97" i="9"/>
  <c r="B153" i="9" s="1"/>
  <c r="T51" i="8"/>
  <c r="B105" i="16"/>
  <c r="W50" i="16"/>
  <c r="T50" i="16"/>
  <c r="Z50" i="16"/>
  <c r="T44" i="8"/>
  <c r="T88" i="8"/>
  <c r="T21" i="8"/>
  <c r="AI38" i="16"/>
  <c r="AC38" i="16"/>
  <c r="AF38" i="16"/>
  <c r="N38" i="16"/>
  <c r="Q38" i="16"/>
  <c r="W38" i="16"/>
  <c r="AI22" i="16"/>
  <c r="Z22" i="16"/>
  <c r="H22" i="16"/>
  <c r="AC22" i="16"/>
  <c r="AI32" i="16"/>
  <c r="K32" i="16"/>
  <c r="Z32" i="16"/>
  <c r="H32" i="16"/>
  <c r="Z38" i="16"/>
  <c r="Q42" i="16"/>
  <c r="K42" i="16"/>
  <c r="W26" i="16"/>
  <c r="AI26" i="16"/>
  <c r="AC26" i="16"/>
  <c r="B69" i="9"/>
  <c r="K69" i="9" s="1"/>
  <c r="T22" i="16"/>
  <c r="T38" i="16"/>
  <c r="AC52" i="16"/>
  <c r="AC46" i="16"/>
  <c r="N30" i="16"/>
  <c r="Z30" i="16"/>
  <c r="AC30" i="16"/>
  <c r="AF30" i="16"/>
  <c r="T30" i="16"/>
  <c r="W30" i="16"/>
  <c r="W14" i="16"/>
  <c r="T14" i="16"/>
  <c r="Q14" i="16"/>
  <c r="AI14" i="16"/>
  <c r="H38" i="16"/>
  <c r="H40" i="16"/>
  <c r="Z40" i="16"/>
  <c r="T40" i="16"/>
  <c r="AC24" i="16"/>
  <c r="B162" i="9"/>
  <c r="T154" i="8"/>
  <c r="Z154" i="8"/>
  <c r="B141" i="9"/>
  <c r="Q85" i="9"/>
  <c r="T85" i="9"/>
  <c r="Q93" i="9"/>
  <c r="B149" i="9"/>
  <c r="B125" i="9"/>
  <c r="K125" i="9" s="1"/>
  <c r="AB52" i="7"/>
  <c r="Y52" i="7"/>
  <c r="B140" i="9"/>
  <c r="Q84" i="9"/>
  <c r="T145" i="8"/>
  <c r="Z145" i="8"/>
  <c r="Y11" i="7"/>
  <c r="AB11" i="7"/>
  <c r="T162" i="9"/>
  <c r="T130" i="9" l="1"/>
  <c r="S49" i="9"/>
  <c r="T49" i="9" s="1"/>
  <c r="S33" i="9"/>
  <c r="T33" i="9" s="1"/>
  <c r="S21" i="9"/>
  <c r="T21" i="9" s="1"/>
  <c r="AB27" i="7"/>
  <c r="S38" i="9"/>
  <c r="T38" i="9" s="1"/>
  <c r="S30" i="9"/>
  <c r="T30" i="9" s="1"/>
  <c r="S22" i="9"/>
  <c r="T22" i="9" s="1"/>
  <c r="S32" i="9"/>
  <c r="T32" i="9" s="1"/>
  <c r="S20" i="9"/>
  <c r="T20" i="9" s="1"/>
  <c r="Y44" i="8"/>
  <c r="Z44" i="8" s="1"/>
  <c r="Y30" i="8"/>
  <c r="Z30" i="8" s="1"/>
  <c r="S40" i="9"/>
  <c r="T40" i="9" s="1"/>
  <c r="S36" i="9"/>
  <c r="T36" i="9" s="1"/>
  <c r="S50" i="9"/>
  <c r="T50" i="9" s="1"/>
  <c r="AB28" i="7"/>
  <c r="S47" i="9"/>
  <c r="T47" i="9" s="1"/>
  <c r="S42" i="9"/>
  <c r="T42" i="9" s="1"/>
  <c r="S52" i="9"/>
  <c r="T52" i="9" s="1"/>
  <c r="P86" i="9"/>
  <c r="Q86" i="9" s="1"/>
  <c r="P78" i="9"/>
  <c r="Q78" i="9" s="1"/>
  <c r="P67" i="9"/>
  <c r="P81" i="9"/>
  <c r="Q81" i="9" s="1"/>
  <c r="P98" i="9"/>
  <c r="Q98" i="9" s="1"/>
  <c r="P96" i="9"/>
  <c r="Q96" i="9" s="1"/>
  <c r="P76" i="9"/>
  <c r="P65" i="9"/>
  <c r="Q65" i="9" s="1"/>
  <c r="P71" i="9"/>
  <c r="V74" i="8"/>
  <c r="W74" i="8" s="1"/>
  <c r="P70" i="9"/>
  <c r="Q70" i="9" s="1"/>
  <c r="P73" i="9"/>
  <c r="Q73" i="9" s="1"/>
  <c r="P69" i="9"/>
  <c r="Q69" i="9" s="1"/>
  <c r="T81" i="16"/>
  <c r="C75" i="8"/>
  <c r="D75" i="8" s="1"/>
  <c r="T47" i="8"/>
  <c r="T39" i="8"/>
  <c r="C19" i="8"/>
  <c r="D19" i="8" s="1"/>
  <c r="C28" i="8"/>
  <c r="D28" i="8" s="1"/>
  <c r="C20" i="8"/>
  <c r="D20" i="8" s="1"/>
  <c r="C18" i="8"/>
  <c r="D18" i="8" s="1"/>
  <c r="S148" i="9"/>
  <c r="T148" i="9" s="1"/>
  <c r="Y147" i="8"/>
  <c r="Y110" i="8"/>
  <c r="Y111" i="8"/>
  <c r="T159" i="9"/>
  <c r="T135" i="9"/>
  <c r="S62" i="9"/>
  <c r="V129" i="8"/>
  <c r="V137" i="8"/>
  <c r="V145" i="8"/>
  <c r="W145" i="8" s="1"/>
  <c r="X164" i="7"/>
  <c r="X163" i="7"/>
  <c r="P149" i="9"/>
  <c r="Q149" i="9" s="1"/>
  <c r="V148" i="8"/>
  <c r="V144" i="8"/>
  <c r="C144" i="8" s="1"/>
  <c r="D144" i="8" s="1"/>
  <c r="V136" i="8"/>
  <c r="V128" i="8"/>
  <c r="Q128" i="9"/>
  <c r="W124" i="8"/>
  <c r="Q141" i="9"/>
  <c r="P111" i="9"/>
  <c r="Q111" i="9" s="1"/>
  <c r="P104" i="9"/>
  <c r="P54" i="9"/>
  <c r="Q54" i="9" s="1"/>
  <c r="P24" i="9"/>
  <c r="Q24" i="9" s="1"/>
  <c r="V54" i="8"/>
  <c r="W54" i="8" s="1"/>
  <c r="V46" i="8"/>
  <c r="W46" i="8" s="1"/>
  <c r="V38" i="8"/>
  <c r="W38" i="8" s="1"/>
  <c r="W31" i="8"/>
  <c r="V30" i="8"/>
  <c r="W30" i="8" s="1"/>
  <c r="Y31" i="7"/>
  <c r="Y43" i="7"/>
  <c r="Q80" i="9"/>
  <c r="T13" i="9"/>
  <c r="K145" i="9"/>
  <c r="H145" i="9"/>
  <c r="N145" i="9"/>
  <c r="Q145" i="9"/>
  <c r="T145" i="9"/>
  <c r="C151" i="7"/>
  <c r="K153" i="9"/>
  <c r="H153" i="9"/>
  <c r="N153" i="9"/>
  <c r="C159" i="7"/>
  <c r="T153" i="9"/>
  <c r="C164" i="7"/>
  <c r="K158" i="9"/>
  <c r="H158" i="9"/>
  <c r="N158" i="9"/>
  <c r="T158" i="9"/>
  <c r="C109" i="7"/>
  <c r="K105" i="9"/>
  <c r="N105" i="9"/>
  <c r="C77" i="7"/>
  <c r="K73" i="9"/>
  <c r="N73" i="9"/>
  <c r="C161" i="7"/>
  <c r="K155" i="9"/>
  <c r="N155" i="9"/>
  <c r="H155" i="9"/>
  <c r="K107" i="9"/>
  <c r="H107" i="9"/>
  <c r="C96" i="7"/>
  <c r="K92" i="9"/>
  <c r="H92" i="9"/>
  <c r="N92" i="9"/>
  <c r="B91" i="16"/>
  <c r="AF36" i="16"/>
  <c r="H140" i="9"/>
  <c r="N140" i="9"/>
  <c r="C146" i="7"/>
  <c r="T89" i="9"/>
  <c r="N106" i="9"/>
  <c r="C110" i="7"/>
  <c r="K106" i="9"/>
  <c r="H93" i="9"/>
  <c r="N93" i="9"/>
  <c r="C97" i="7"/>
  <c r="N138" i="9"/>
  <c r="K138" i="9"/>
  <c r="H138" i="9"/>
  <c r="Q105" i="9"/>
  <c r="T155" i="9"/>
  <c r="T73" i="9"/>
  <c r="C148" i="7"/>
  <c r="K142" i="9"/>
  <c r="H142" i="9"/>
  <c r="N152" i="9"/>
  <c r="C158" i="7"/>
  <c r="K152" i="9"/>
  <c r="H164" i="9"/>
  <c r="N164" i="9"/>
  <c r="C170" i="7"/>
  <c r="B131" i="9"/>
  <c r="C153" i="7"/>
  <c r="K147" i="9"/>
  <c r="N147" i="9"/>
  <c r="H147" i="9"/>
  <c r="N154" i="9"/>
  <c r="K154" i="9"/>
  <c r="H154" i="9"/>
  <c r="N74" i="9"/>
  <c r="K74" i="9"/>
  <c r="H74" i="9"/>
  <c r="C12" i="7"/>
  <c r="K12" i="18"/>
  <c r="K11" i="9"/>
  <c r="B66" i="9"/>
  <c r="N11" i="9"/>
  <c r="C20" i="7"/>
  <c r="K19" i="9"/>
  <c r="N19" i="9"/>
  <c r="H31" i="9"/>
  <c r="N31" i="9"/>
  <c r="C32" i="7"/>
  <c r="H80" i="9"/>
  <c r="K164" i="9"/>
  <c r="N135" i="9"/>
  <c r="H77" i="9"/>
  <c r="N77" i="9"/>
  <c r="C81" i="7"/>
  <c r="C82" i="7"/>
  <c r="H78" i="9"/>
  <c r="N88" i="9"/>
  <c r="C92" i="7"/>
  <c r="K88" i="9"/>
  <c r="K18" i="9"/>
  <c r="H18" i="9"/>
  <c r="T125" i="9"/>
  <c r="N149" i="9"/>
  <c r="C155" i="7"/>
  <c r="H149" i="9"/>
  <c r="N162" i="9"/>
  <c r="K162" i="9"/>
  <c r="H162" i="9"/>
  <c r="C88" i="7"/>
  <c r="K84" i="9"/>
  <c r="H84" i="9"/>
  <c r="N84" i="9"/>
  <c r="B136" i="9"/>
  <c r="Q107" i="9"/>
  <c r="Q88" i="9"/>
  <c r="T88" i="9"/>
  <c r="N157" i="9"/>
  <c r="C163" i="7"/>
  <c r="H157" i="9"/>
  <c r="C90" i="7"/>
  <c r="H86" i="9"/>
  <c r="H101" i="9"/>
  <c r="N101" i="9"/>
  <c r="C105" i="7"/>
  <c r="B67" i="9"/>
  <c r="K13" i="18"/>
  <c r="C13" i="7"/>
  <c r="N12" i="9"/>
  <c r="K12" i="9"/>
  <c r="C85" i="7"/>
  <c r="K81" i="9"/>
  <c r="N81" i="9"/>
  <c r="C53" i="7"/>
  <c r="N52" i="9"/>
  <c r="K52" i="9"/>
  <c r="K70" i="9"/>
  <c r="H81" i="9"/>
  <c r="K102" i="9"/>
  <c r="C160" i="7"/>
  <c r="K165" i="9"/>
  <c r="N78" i="9"/>
  <c r="N18" i="9"/>
  <c r="N142" i="9"/>
  <c r="B134" i="9"/>
  <c r="C14" i="7"/>
  <c r="K13" i="9"/>
  <c r="H13" i="9"/>
  <c r="C46" i="7"/>
  <c r="B100" i="9"/>
  <c r="K45" i="9"/>
  <c r="H45" i="9"/>
  <c r="N45" i="9"/>
  <c r="N13" i="9"/>
  <c r="B133" i="9"/>
  <c r="B161" i="9"/>
  <c r="C149" i="7"/>
  <c r="K143" i="9"/>
  <c r="Q148" i="9"/>
  <c r="T92" i="9"/>
  <c r="T78" i="9"/>
  <c r="C165" i="7"/>
  <c r="K159" i="9"/>
  <c r="C99" i="7"/>
  <c r="K95" i="9"/>
  <c r="H95" i="9"/>
  <c r="N130" i="9"/>
  <c r="K130" i="9"/>
  <c r="H130" i="9"/>
  <c r="K137" i="9"/>
  <c r="H137" i="9"/>
  <c r="N137" i="9"/>
  <c r="C41" i="7"/>
  <c r="N40" i="9"/>
  <c r="K40" i="9"/>
  <c r="H40" i="9"/>
  <c r="K14" i="18"/>
  <c r="H11" i="9"/>
  <c r="H73" i="9"/>
  <c r="H106" i="9"/>
  <c r="K157" i="9"/>
  <c r="H105" i="9"/>
  <c r="N10" i="9"/>
  <c r="C141" i="7"/>
  <c r="K135" i="9"/>
  <c r="T77" i="9"/>
  <c r="C101" i="7"/>
  <c r="K97" i="9"/>
  <c r="N97" i="9"/>
  <c r="Q45" i="9"/>
  <c r="T45" i="9"/>
  <c r="T18" i="9"/>
  <c r="Q13" i="9"/>
  <c r="B151" i="9"/>
  <c r="C74" i="7"/>
  <c r="H70" i="9"/>
  <c r="K121" i="9"/>
  <c r="H121" i="9"/>
  <c r="N121" i="9"/>
  <c r="C115" i="7"/>
  <c r="H111" i="9"/>
  <c r="B64" i="9"/>
  <c r="K10" i="18"/>
  <c r="N9" i="9"/>
  <c r="C10" i="7"/>
  <c r="H15" i="9"/>
  <c r="N15" i="9"/>
  <c r="K16" i="18"/>
  <c r="C16" i="7"/>
  <c r="B90" i="9"/>
  <c r="C36" i="7"/>
  <c r="K35" i="9"/>
  <c r="N35" i="9"/>
  <c r="N109" i="9"/>
  <c r="C113" i="7"/>
  <c r="K109" i="9"/>
  <c r="H109" i="9"/>
  <c r="H52" i="9"/>
  <c r="K31" i="9"/>
  <c r="C78" i="7"/>
  <c r="C111" i="7"/>
  <c r="C143" i="7"/>
  <c r="H159" i="9"/>
  <c r="K129" i="9"/>
  <c r="H129" i="9"/>
  <c r="N129" i="9"/>
  <c r="H148" i="9"/>
  <c r="N148" i="9"/>
  <c r="C154" i="7"/>
  <c r="N165" i="9"/>
  <c r="C171" i="7"/>
  <c r="H165" i="9"/>
  <c r="H135" i="9"/>
  <c r="Q77" i="9"/>
  <c r="T165" i="9"/>
  <c r="Q92" i="9"/>
  <c r="B163" i="9"/>
  <c r="C134" i="7"/>
  <c r="N128" i="9"/>
  <c r="K128" i="9"/>
  <c r="N80" i="9"/>
  <c r="C84" i="7"/>
  <c r="K80" i="9"/>
  <c r="N75" i="9"/>
  <c r="K75" i="9"/>
  <c r="H75" i="9"/>
  <c r="B68" i="9"/>
  <c r="C106" i="7"/>
  <c r="H102" i="9"/>
  <c r="N102" i="9"/>
  <c r="C69" i="7"/>
  <c r="K65" i="9"/>
  <c r="N65" i="9"/>
  <c r="C17" i="7"/>
  <c r="N16" i="9"/>
  <c r="K16" i="9"/>
  <c r="H16" i="9"/>
  <c r="B71" i="9"/>
  <c r="K17" i="18"/>
  <c r="B83" i="9"/>
  <c r="C29" i="7"/>
  <c r="N28" i="9"/>
  <c r="K28" i="9"/>
  <c r="C49" i="7"/>
  <c r="N48" i="9"/>
  <c r="K48" i="9"/>
  <c r="H48" i="9"/>
  <c r="B87" i="16"/>
  <c r="N87" i="16" s="1"/>
  <c r="AC32" i="16"/>
  <c r="N32" i="16"/>
  <c r="T32" i="16"/>
  <c r="Z24" i="16"/>
  <c r="Q24" i="16"/>
  <c r="B68" i="16"/>
  <c r="B123" i="16" s="1"/>
  <c r="K13" i="16"/>
  <c r="H19" i="9"/>
  <c r="H65" i="9"/>
  <c r="C79" i="7"/>
  <c r="K86" i="9"/>
  <c r="H97" i="9"/>
  <c r="H128" i="9"/>
  <c r="C144" i="7"/>
  <c r="K149" i="9"/>
  <c r="N107" i="9"/>
  <c r="N125" i="9"/>
  <c r="C131" i="7"/>
  <c r="H125" i="9"/>
  <c r="C93" i="7"/>
  <c r="K89" i="9"/>
  <c r="N89" i="9"/>
  <c r="Q97" i="9"/>
  <c r="N141" i="9"/>
  <c r="C147" i="7"/>
  <c r="H141" i="9"/>
  <c r="H69" i="9"/>
  <c r="N69" i="9"/>
  <c r="C73" i="7"/>
  <c r="H85" i="9"/>
  <c r="N85" i="9"/>
  <c r="C89" i="7"/>
  <c r="T107" i="9"/>
  <c r="T105" i="9"/>
  <c r="T75" i="9"/>
  <c r="Q129" i="9"/>
  <c r="B126" i="9"/>
  <c r="C173" i="7"/>
  <c r="K167" i="9"/>
  <c r="C107" i="7"/>
  <c r="K103" i="9"/>
  <c r="H103" i="9"/>
  <c r="N103" i="9"/>
  <c r="B144" i="9"/>
  <c r="N96" i="9"/>
  <c r="C100" i="7"/>
  <c r="K96" i="9"/>
  <c r="C91" i="7"/>
  <c r="K87" i="9"/>
  <c r="H87" i="9"/>
  <c r="K10" i="9"/>
  <c r="H10" i="9"/>
  <c r="N72" i="9"/>
  <c r="C76" i="7"/>
  <c r="K72" i="9"/>
  <c r="C83" i="7"/>
  <c r="K79" i="9"/>
  <c r="H79" i="9"/>
  <c r="N98" i="9"/>
  <c r="K98" i="9"/>
  <c r="H98" i="9"/>
  <c r="H28" i="9"/>
  <c r="C19" i="7"/>
  <c r="K77" i="9"/>
  <c r="H88" i="9"/>
  <c r="C102" i="7"/>
  <c r="C135" i="7"/>
  <c r="K140" i="9"/>
  <c r="N79" i="9"/>
  <c r="N143" i="9"/>
  <c r="C56" i="7"/>
  <c r="H49" i="9"/>
  <c r="C48" i="7"/>
  <c r="K44" i="9"/>
  <c r="H41" i="9"/>
  <c r="C40" i="7"/>
  <c r="K36" i="9"/>
  <c r="H33" i="9"/>
  <c r="H25" i="9"/>
  <c r="C24" i="7"/>
  <c r="K20" i="9"/>
  <c r="H17" i="9"/>
  <c r="H91" i="9"/>
  <c r="H99" i="9"/>
  <c r="H108" i="9"/>
  <c r="N44" i="9"/>
  <c r="N36" i="9"/>
  <c r="N20" i="9"/>
  <c r="H54" i="9"/>
  <c r="K49" i="9"/>
  <c r="H46" i="9"/>
  <c r="K41" i="9"/>
  <c r="H38" i="9"/>
  <c r="K33" i="9"/>
  <c r="H30" i="9"/>
  <c r="K25" i="9"/>
  <c r="H22" i="9"/>
  <c r="K17" i="9"/>
  <c r="H14" i="9"/>
  <c r="K91" i="9"/>
  <c r="K99" i="9"/>
  <c r="N51" i="9"/>
  <c r="N43" i="9"/>
  <c r="N27" i="9"/>
  <c r="B76" i="9"/>
  <c r="B104" i="9"/>
  <c r="B47" i="16"/>
  <c r="T47" i="16" s="1"/>
  <c r="B39" i="16"/>
  <c r="B94" i="16" s="1"/>
  <c r="B31" i="16"/>
  <c r="Z31" i="16" s="1"/>
  <c r="B23" i="16"/>
  <c r="Z23" i="16" s="1"/>
  <c r="B12" i="16"/>
  <c r="B35" i="16"/>
  <c r="B27" i="16"/>
  <c r="Q27" i="16" s="1"/>
  <c r="B19" i="16"/>
  <c r="H19" i="16" s="1"/>
  <c r="H56" i="9"/>
  <c r="C55" i="7"/>
  <c r="K51" i="9"/>
  <c r="C47" i="7"/>
  <c r="K43" i="9"/>
  <c r="C39" i="7"/>
  <c r="H32" i="9"/>
  <c r="C31" i="7"/>
  <c r="K27" i="9"/>
  <c r="H24" i="9"/>
  <c r="C23" i="7"/>
  <c r="C15" i="7"/>
  <c r="N17" i="9"/>
  <c r="B15" i="16"/>
  <c r="K15" i="16" s="1"/>
  <c r="K56" i="9"/>
  <c r="H53" i="9"/>
  <c r="H37" i="9"/>
  <c r="K32" i="9"/>
  <c r="H29" i="9"/>
  <c r="K24" i="9"/>
  <c r="H21" i="9"/>
  <c r="N56" i="9"/>
  <c r="N32" i="9"/>
  <c r="N24" i="9"/>
  <c r="B94" i="9"/>
  <c r="B110" i="9"/>
  <c r="K53" i="9"/>
  <c r="H50" i="9"/>
  <c r="H42" i="9"/>
  <c r="K37" i="9"/>
  <c r="H34" i="9"/>
  <c r="K29" i="9"/>
  <c r="H26" i="9"/>
  <c r="K21" i="9"/>
  <c r="H82" i="9"/>
  <c r="N55" i="9"/>
  <c r="N47" i="9"/>
  <c r="N39" i="9"/>
  <c r="N23" i="9"/>
  <c r="K82" i="9"/>
  <c r="Q119" i="9"/>
  <c r="T119" i="9"/>
  <c r="C67" i="7"/>
  <c r="N63" i="9"/>
  <c r="K9" i="18"/>
  <c r="C9" i="7"/>
  <c r="N119" i="9"/>
  <c r="C125" i="7"/>
  <c r="H119" i="9"/>
  <c r="B72" i="16"/>
  <c r="Z17" i="16"/>
  <c r="K91" i="8"/>
  <c r="B146" i="8"/>
  <c r="W91" i="8"/>
  <c r="T91" i="8"/>
  <c r="Z91" i="8"/>
  <c r="T93" i="8"/>
  <c r="W93" i="8"/>
  <c r="Z93" i="8"/>
  <c r="B21" i="16"/>
  <c r="B76" i="16" s="1"/>
  <c r="B10" i="16"/>
  <c r="T10" i="16" s="1"/>
  <c r="N28" i="8"/>
  <c r="B85" i="8"/>
  <c r="B140" i="8" s="1"/>
  <c r="T140" i="8" s="1"/>
  <c r="C39" i="16"/>
  <c r="D39" i="16" s="1"/>
  <c r="AC39" i="16"/>
  <c r="AI39" i="16"/>
  <c r="Z143" i="8"/>
  <c r="T143" i="8"/>
  <c r="W143" i="8"/>
  <c r="B162" i="8"/>
  <c r="T162" i="8" s="1"/>
  <c r="T107" i="8"/>
  <c r="N93" i="16"/>
  <c r="K93" i="16"/>
  <c r="B148" i="16"/>
  <c r="C148" i="16" s="1"/>
  <c r="D148" i="16" s="1"/>
  <c r="N144" i="8"/>
  <c r="T144" i="8"/>
  <c r="Z144" i="8"/>
  <c r="W144" i="8"/>
  <c r="T138" i="8"/>
  <c r="Z138" i="8"/>
  <c r="T132" i="8"/>
  <c r="Z132" i="8"/>
  <c r="Q120" i="8"/>
  <c r="W120" i="8"/>
  <c r="Z120" i="8"/>
  <c r="B127" i="7"/>
  <c r="T120" i="8"/>
  <c r="Z104" i="8"/>
  <c r="W104" i="8"/>
  <c r="T104" i="8"/>
  <c r="Y42" i="7"/>
  <c r="AB42" i="7"/>
  <c r="T123" i="16"/>
  <c r="Z123" i="16"/>
  <c r="AI123" i="16"/>
  <c r="AF123" i="16"/>
  <c r="AC123" i="16"/>
  <c r="Y44" i="7"/>
  <c r="AB44" i="7"/>
  <c r="W81" i="8"/>
  <c r="AF16" i="16"/>
  <c r="W55" i="8"/>
  <c r="Z31" i="8"/>
  <c r="W69" i="8"/>
  <c r="Z69" i="8"/>
  <c r="AF144" i="6"/>
  <c r="AF160" i="6"/>
  <c r="AF168" i="6"/>
  <c r="H47" i="16"/>
  <c r="Q23" i="16"/>
  <c r="H27" i="16"/>
  <c r="AF35" i="16"/>
  <c r="T27" i="16"/>
  <c r="B101" i="16"/>
  <c r="B44" i="16"/>
  <c r="B28" i="16"/>
  <c r="B20" i="16"/>
  <c r="B96" i="8"/>
  <c r="Q15" i="8"/>
  <c r="K46" i="16"/>
  <c r="W47" i="8"/>
  <c r="AG133" i="6"/>
  <c r="AG148" i="6"/>
  <c r="N27" i="16"/>
  <c r="N16" i="16"/>
  <c r="W17" i="16"/>
  <c r="T35" i="16"/>
  <c r="B43" i="16"/>
  <c r="B71" i="16"/>
  <c r="B11" i="16"/>
  <c r="AF11" i="16" s="1"/>
  <c r="B34" i="16"/>
  <c r="B130" i="8"/>
  <c r="K46" i="8"/>
  <c r="K12" i="16"/>
  <c r="Z55" i="8"/>
  <c r="T124" i="8"/>
  <c r="Z27" i="16"/>
  <c r="W16" i="16"/>
  <c r="C26" i="16"/>
  <c r="D26" i="16" s="1"/>
  <c r="Z81" i="8"/>
  <c r="AI16" i="16"/>
  <c r="T31" i="8"/>
  <c r="W12" i="16"/>
  <c r="Z39" i="8"/>
  <c r="Y28" i="7"/>
  <c r="Z75" i="8"/>
  <c r="AF137" i="6"/>
  <c r="AF152" i="6"/>
  <c r="T19" i="16"/>
  <c r="AC17" i="16"/>
  <c r="B55" i="16"/>
  <c r="T55" i="16" s="1"/>
  <c r="B136" i="8"/>
  <c r="AC16" i="16"/>
  <c r="T69" i="8"/>
  <c r="AF12" i="16"/>
  <c r="W39" i="8"/>
  <c r="W75" i="8"/>
  <c r="T75" i="8"/>
  <c r="AG140" i="6"/>
  <c r="H23" i="16"/>
  <c r="T17" i="16"/>
  <c r="AI23" i="16"/>
  <c r="AI17" i="16"/>
  <c r="W19" i="16"/>
  <c r="AC47" i="16"/>
  <c r="B97" i="8"/>
  <c r="Q16" i="16"/>
  <c r="Z12" i="16"/>
  <c r="AI12" i="16"/>
  <c r="AG156" i="6"/>
  <c r="Q47" i="16"/>
  <c r="H16" i="16"/>
  <c r="B51" i="16"/>
  <c r="B67" i="16"/>
  <c r="AF67" i="16" s="1"/>
  <c r="K70" i="8"/>
  <c r="T16" i="16"/>
  <c r="H12" i="16"/>
  <c r="AC12" i="16"/>
  <c r="AC23" i="16"/>
  <c r="AC27" i="16"/>
  <c r="B37" i="16"/>
  <c r="N37" i="16" s="1"/>
  <c r="AI97" i="16"/>
  <c r="K97" i="16"/>
  <c r="N97" i="16"/>
  <c r="C97" i="16"/>
  <c r="D97" i="16" s="1"/>
  <c r="Q97" i="16"/>
  <c r="W97" i="16"/>
  <c r="Z97" i="16"/>
  <c r="AC97" i="16"/>
  <c r="T97" i="16"/>
  <c r="B152" i="16"/>
  <c r="H97" i="16"/>
  <c r="AF97" i="16"/>
  <c r="H129" i="8"/>
  <c r="K129" i="8"/>
  <c r="C129" i="8"/>
  <c r="D129" i="8" s="1"/>
  <c r="N129" i="8"/>
  <c r="B136" i="7"/>
  <c r="T129" i="8"/>
  <c r="W129" i="8"/>
  <c r="Q129" i="8"/>
  <c r="Z129" i="8"/>
  <c r="C76" i="16"/>
  <c r="D76" i="16" s="1"/>
  <c r="Z76" i="16"/>
  <c r="T76" i="16"/>
  <c r="AC76" i="16"/>
  <c r="AF76" i="16"/>
  <c r="H76" i="16"/>
  <c r="AI76" i="16"/>
  <c r="K76" i="16"/>
  <c r="W76" i="16"/>
  <c r="B131" i="16"/>
  <c r="Q76" i="16"/>
  <c r="N76" i="16"/>
  <c r="C33" i="16"/>
  <c r="D33" i="16" s="1"/>
  <c r="B88" i="16"/>
  <c r="T33" i="16"/>
  <c r="Q33" i="16"/>
  <c r="Z33" i="16"/>
  <c r="AF33" i="16"/>
  <c r="AC33" i="16"/>
  <c r="N33" i="16"/>
  <c r="AI33" i="16"/>
  <c r="B169" i="7"/>
  <c r="K106" i="8"/>
  <c r="C106" i="8"/>
  <c r="D106" i="8" s="1"/>
  <c r="N106" i="8"/>
  <c r="H106" i="8"/>
  <c r="Q106" i="8"/>
  <c r="B110" i="7"/>
  <c r="B161" i="8"/>
  <c r="W106" i="8"/>
  <c r="Z106" i="8"/>
  <c r="Q124" i="8"/>
  <c r="C124" i="8"/>
  <c r="D124" i="8" s="1"/>
  <c r="H124" i="8"/>
  <c r="K124" i="8"/>
  <c r="N124" i="8"/>
  <c r="B131" i="7"/>
  <c r="Z124" i="8"/>
  <c r="C42" i="16"/>
  <c r="D42" i="16" s="1"/>
  <c r="W42" i="16"/>
  <c r="H42" i="16"/>
  <c r="AI42" i="16"/>
  <c r="AF42" i="16"/>
  <c r="AC42" i="16"/>
  <c r="W87" i="16"/>
  <c r="K87" i="16"/>
  <c r="AF87" i="16"/>
  <c r="C21" i="16"/>
  <c r="D21" i="16" s="1"/>
  <c r="AF21" i="16"/>
  <c r="AC21" i="16"/>
  <c r="H21" i="16"/>
  <c r="T21" i="16"/>
  <c r="Z21" i="16"/>
  <c r="N21" i="16"/>
  <c r="Q21" i="16"/>
  <c r="K21" i="16"/>
  <c r="W21" i="16"/>
  <c r="AI21" i="16"/>
  <c r="C10" i="16"/>
  <c r="B65" i="16"/>
  <c r="W10" i="16"/>
  <c r="H10" i="16"/>
  <c r="AI10" i="16"/>
  <c r="N10" i="16"/>
  <c r="Z10" i="16"/>
  <c r="K10" i="16"/>
  <c r="Q10" i="16"/>
  <c r="AC10" i="16"/>
  <c r="B49" i="16"/>
  <c r="AF170" i="6"/>
  <c r="B41" i="16"/>
  <c r="AF162" i="6"/>
  <c r="B25" i="16"/>
  <c r="AF146" i="6"/>
  <c r="B53" i="16"/>
  <c r="AG174" i="6"/>
  <c r="B45" i="16"/>
  <c r="AG166" i="6"/>
  <c r="C37" i="16"/>
  <c r="D37" i="16" s="1"/>
  <c r="Q37" i="16"/>
  <c r="B92" i="16"/>
  <c r="W37" i="16"/>
  <c r="K37" i="16"/>
  <c r="T37" i="16"/>
  <c r="Z37" i="16"/>
  <c r="AI37" i="16"/>
  <c r="H56" i="8"/>
  <c r="K56" i="8"/>
  <c r="Q56" i="8"/>
  <c r="N56" i="8"/>
  <c r="C56" i="8"/>
  <c r="D56" i="8" s="1"/>
  <c r="B111" i="8"/>
  <c r="B57" i="7"/>
  <c r="H48" i="8"/>
  <c r="K48" i="8"/>
  <c r="N48" i="8"/>
  <c r="Q48" i="8"/>
  <c r="C48" i="8"/>
  <c r="D48" i="8" s="1"/>
  <c r="B49" i="7"/>
  <c r="B103" i="8"/>
  <c r="T48" i="8"/>
  <c r="Z48" i="8"/>
  <c r="H40" i="8"/>
  <c r="K40" i="8"/>
  <c r="Q40" i="8"/>
  <c r="N40" i="8"/>
  <c r="C40" i="8"/>
  <c r="D40" i="8" s="1"/>
  <c r="B41" i="7"/>
  <c r="T40" i="8"/>
  <c r="B95" i="8"/>
  <c r="W40" i="8"/>
  <c r="H32" i="8"/>
  <c r="K32" i="8"/>
  <c r="N32" i="8"/>
  <c r="Q32" i="8"/>
  <c r="C32" i="8"/>
  <c r="D32" i="8" s="1"/>
  <c r="T32" i="8"/>
  <c r="B87" i="8"/>
  <c r="Z32" i="8"/>
  <c r="W32" i="8"/>
  <c r="H25" i="8"/>
  <c r="K25" i="8"/>
  <c r="N25" i="8"/>
  <c r="Q25" i="8"/>
  <c r="C25" i="8"/>
  <c r="D25" i="8" s="1"/>
  <c r="B80" i="8"/>
  <c r="B26" i="7"/>
  <c r="T25" i="8"/>
  <c r="Z25" i="8"/>
  <c r="H11" i="8"/>
  <c r="K11" i="8"/>
  <c r="N11" i="8"/>
  <c r="Q11" i="8"/>
  <c r="C11" i="8"/>
  <c r="D11" i="8" s="1"/>
  <c r="B12" i="7"/>
  <c r="T11" i="8"/>
  <c r="B66" i="8"/>
  <c r="Y16" i="7"/>
  <c r="AG158" i="6"/>
  <c r="N42" i="16"/>
  <c r="W33" i="16"/>
  <c r="C51" i="16"/>
  <c r="D51" i="16" s="1"/>
  <c r="K51" i="16"/>
  <c r="N51" i="16"/>
  <c r="Z51" i="16"/>
  <c r="Q51" i="16"/>
  <c r="AC51" i="16"/>
  <c r="AI51" i="16"/>
  <c r="T51" i="16"/>
  <c r="B95" i="16"/>
  <c r="C40" i="16"/>
  <c r="D40" i="16" s="1"/>
  <c r="W40" i="16"/>
  <c r="N40" i="16"/>
  <c r="AC40" i="16"/>
  <c r="AF40" i="16"/>
  <c r="Q40" i="16"/>
  <c r="K40" i="16"/>
  <c r="C18" i="16"/>
  <c r="D18" i="16" s="1"/>
  <c r="Z18" i="16"/>
  <c r="B73" i="16"/>
  <c r="T18" i="16"/>
  <c r="N18" i="16"/>
  <c r="W18" i="16"/>
  <c r="H18" i="16"/>
  <c r="C52" i="16"/>
  <c r="D52" i="16" s="1"/>
  <c r="B107" i="16"/>
  <c r="Z52" i="16"/>
  <c r="H52" i="16"/>
  <c r="AF52" i="16"/>
  <c r="W52" i="16"/>
  <c r="AI52" i="16"/>
  <c r="N138" i="8"/>
  <c r="C138" i="8"/>
  <c r="D138" i="8" s="1"/>
  <c r="K138" i="8"/>
  <c r="Q138" i="8"/>
  <c r="H138" i="8"/>
  <c r="B145" i="7"/>
  <c r="W138" i="8"/>
  <c r="C132" i="8"/>
  <c r="D132" i="8" s="1"/>
  <c r="Q132" i="8"/>
  <c r="H132" i="8"/>
  <c r="K132" i="8"/>
  <c r="N132" i="8"/>
  <c r="B139" i="7"/>
  <c r="W132" i="8"/>
  <c r="N77" i="8"/>
  <c r="Q77" i="8"/>
  <c r="H77" i="8"/>
  <c r="K77" i="8"/>
  <c r="C77" i="8"/>
  <c r="D77" i="8" s="1"/>
  <c r="B81" i="7"/>
  <c r="T77" i="8"/>
  <c r="W77" i="8"/>
  <c r="H71" i="8"/>
  <c r="K71" i="8"/>
  <c r="N71" i="8"/>
  <c r="Q71" i="8"/>
  <c r="C71" i="8"/>
  <c r="D71" i="8" s="1"/>
  <c r="B75" i="7"/>
  <c r="B126" i="8"/>
  <c r="Z71" i="8"/>
  <c r="W71" i="8"/>
  <c r="T71" i="8"/>
  <c r="T42" i="16"/>
  <c r="C50" i="16"/>
  <c r="D50" i="16" s="1"/>
  <c r="H50" i="16"/>
  <c r="Q50" i="16"/>
  <c r="N50" i="16"/>
  <c r="AF50" i="16"/>
  <c r="AC50" i="16"/>
  <c r="AI50" i="16"/>
  <c r="K50" i="16"/>
  <c r="B29" i="16"/>
  <c r="N72" i="16"/>
  <c r="C72" i="16"/>
  <c r="D72" i="16" s="1"/>
  <c r="Q72" i="16"/>
  <c r="W72" i="16"/>
  <c r="AI72" i="16"/>
  <c r="H72" i="16"/>
  <c r="K72" i="16"/>
  <c r="Z72" i="16"/>
  <c r="AF72" i="16"/>
  <c r="T72" i="16"/>
  <c r="B127" i="16"/>
  <c r="C47" i="16"/>
  <c r="D47" i="16" s="1"/>
  <c r="AI47" i="16"/>
  <c r="AF47" i="16"/>
  <c r="Z47" i="16"/>
  <c r="H74" i="8"/>
  <c r="K74" i="8"/>
  <c r="N74" i="8"/>
  <c r="Q74" i="8"/>
  <c r="B78" i="7"/>
  <c r="Z74" i="8"/>
  <c r="T74" i="8"/>
  <c r="K68" i="8"/>
  <c r="N68" i="8"/>
  <c r="H68" i="8"/>
  <c r="Q68" i="8"/>
  <c r="B72" i="7"/>
  <c r="B123" i="8"/>
  <c r="C68" i="8"/>
  <c r="D68" i="8" s="1"/>
  <c r="C105" i="8"/>
  <c r="D105" i="8" s="1"/>
  <c r="H105" i="8"/>
  <c r="K105" i="8"/>
  <c r="Q105" i="8"/>
  <c r="B109" i="7"/>
  <c r="N105" i="8"/>
  <c r="B160" i="8"/>
  <c r="W105" i="8"/>
  <c r="Z105" i="8"/>
  <c r="Y27" i="7"/>
  <c r="H17" i="8"/>
  <c r="K17" i="8"/>
  <c r="N17" i="8"/>
  <c r="Q17" i="8"/>
  <c r="C17" i="8"/>
  <c r="D17" i="8" s="1"/>
  <c r="B72" i="8"/>
  <c r="B18" i="7"/>
  <c r="T17" i="8"/>
  <c r="Q12" i="8"/>
  <c r="H12" i="8"/>
  <c r="K12" i="8"/>
  <c r="N12" i="8"/>
  <c r="C12" i="8"/>
  <c r="D12" i="8" s="1"/>
  <c r="B13" i="7"/>
  <c r="B67" i="8"/>
  <c r="T12" i="8"/>
  <c r="Z12" i="8"/>
  <c r="AB43" i="7"/>
  <c r="AI105" i="16"/>
  <c r="K105" i="16"/>
  <c r="N105" i="16"/>
  <c r="C105" i="16"/>
  <c r="D105" i="16" s="1"/>
  <c r="Q105" i="16"/>
  <c r="AF105" i="16"/>
  <c r="T105" i="16"/>
  <c r="H105" i="16"/>
  <c r="Z105" i="16"/>
  <c r="C123" i="16"/>
  <c r="D123" i="16" s="1"/>
  <c r="W123" i="16"/>
  <c r="H123" i="16"/>
  <c r="N123" i="16"/>
  <c r="Q123" i="16"/>
  <c r="K123" i="16"/>
  <c r="N52" i="16"/>
  <c r="K33" i="16"/>
  <c r="AC37" i="16"/>
  <c r="AF51" i="16"/>
  <c r="AF37" i="16"/>
  <c r="B102" i="16"/>
  <c r="H85" i="8"/>
  <c r="K85" i="8"/>
  <c r="N85" i="8"/>
  <c r="C85" i="8"/>
  <c r="D85" i="8" s="1"/>
  <c r="B89" i="7"/>
  <c r="Q85" i="8"/>
  <c r="Z85" i="8"/>
  <c r="W85" i="8"/>
  <c r="T85" i="8"/>
  <c r="Q52" i="16"/>
  <c r="W47" i="16"/>
  <c r="AC91" i="16"/>
  <c r="AF91" i="16"/>
  <c r="H91" i="16"/>
  <c r="AI91" i="16"/>
  <c r="K91" i="16"/>
  <c r="N91" i="16"/>
  <c r="Z91" i="16"/>
  <c r="C91" i="16"/>
  <c r="D91" i="16" s="1"/>
  <c r="W91" i="16"/>
  <c r="Q91" i="16"/>
  <c r="B146" i="16"/>
  <c r="T91" i="16"/>
  <c r="AI81" i="16"/>
  <c r="K81" i="16"/>
  <c r="N81" i="16"/>
  <c r="C81" i="16"/>
  <c r="D81" i="16" s="1"/>
  <c r="Q81" i="16"/>
  <c r="W81" i="16"/>
  <c r="Z81" i="16"/>
  <c r="AC81" i="16"/>
  <c r="B136" i="16"/>
  <c r="H81" i="16"/>
  <c r="AF81" i="16"/>
  <c r="C140" i="8"/>
  <c r="D140" i="8" s="1"/>
  <c r="K140" i="8"/>
  <c r="N140" i="8"/>
  <c r="Q140" i="8"/>
  <c r="B147" i="7"/>
  <c r="H140" i="8"/>
  <c r="Z140" i="8"/>
  <c r="W140" i="8"/>
  <c r="K137" i="8"/>
  <c r="H137" i="8"/>
  <c r="N137" i="8"/>
  <c r="Q137" i="8"/>
  <c r="B144" i="7"/>
  <c r="C137" i="8"/>
  <c r="D137" i="8" s="1"/>
  <c r="T137" i="8"/>
  <c r="W137" i="8"/>
  <c r="Z137" i="8"/>
  <c r="C82" i="8"/>
  <c r="D82" i="8" s="1"/>
  <c r="N82" i="8"/>
  <c r="Q82" i="8"/>
  <c r="K82" i="8"/>
  <c r="B86" i="7"/>
  <c r="H82" i="8"/>
  <c r="W82" i="8"/>
  <c r="Z82" i="8"/>
  <c r="H79" i="8"/>
  <c r="B83" i="7"/>
  <c r="N79" i="8"/>
  <c r="C79" i="8"/>
  <c r="D79" i="8" s="1"/>
  <c r="Q79" i="8"/>
  <c r="B134" i="8"/>
  <c r="W79" i="8"/>
  <c r="T79" i="8"/>
  <c r="K76" i="8"/>
  <c r="N76" i="8"/>
  <c r="C76" i="8"/>
  <c r="D76" i="8" s="1"/>
  <c r="Q76" i="8"/>
  <c r="H76" i="8"/>
  <c r="B80" i="7"/>
  <c r="B131" i="8"/>
  <c r="W76" i="8"/>
  <c r="Y34" i="7"/>
  <c r="AB34" i="7"/>
  <c r="AC105" i="16"/>
  <c r="K79" i="8"/>
  <c r="B160" i="16"/>
  <c r="AF148" i="16"/>
  <c r="H148" i="16"/>
  <c r="AB17" i="7"/>
  <c r="T52" i="16"/>
  <c r="H37" i="16"/>
  <c r="AF10" i="16"/>
  <c r="K47" i="16"/>
  <c r="K36" i="16"/>
  <c r="Q36" i="16"/>
  <c r="T36" i="16"/>
  <c r="C36" i="16"/>
  <c r="D36" i="16" s="1"/>
  <c r="N36" i="16"/>
  <c r="AI36" i="16"/>
  <c r="H36" i="16"/>
  <c r="W36" i="16"/>
  <c r="Z36" i="16"/>
  <c r="AC36" i="16"/>
  <c r="Z68" i="16"/>
  <c r="T68" i="16"/>
  <c r="C68" i="16"/>
  <c r="D68" i="16" s="1"/>
  <c r="AC68" i="16"/>
  <c r="AF68" i="16"/>
  <c r="H68" i="16"/>
  <c r="AI68" i="16"/>
  <c r="K68" i="16"/>
  <c r="N68" i="16"/>
  <c r="Q68" i="16"/>
  <c r="W68" i="16"/>
  <c r="Q163" i="8"/>
  <c r="H163" i="8"/>
  <c r="K163" i="8"/>
  <c r="N163" i="8"/>
  <c r="B170" i="7"/>
  <c r="Z163" i="8"/>
  <c r="H108" i="8"/>
  <c r="K108" i="8"/>
  <c r="N108" i="8"/>
  <c r="C108" i="8"/>
  <c r="D108" i="8" s="1"/>
  <c r="Q108" i="8"/>
  <c r="B112" i="7"/>
  <c r="T108" i="8"/>
  <c r="Z108" i="8"/>
  <c r="H93" i="8"/>
  <c r="K93" i="8"/>
  <c r="N93" i="8"/>
  <c r="Q93" i="8"/>
  <c r="C93" i="8"/>
  <c r="D93" i="8" s="1"/>
  <c r="B97" i="7"/>
  <c r="B148" i="8"/>
  <c r="B33" i="7"/>
  <c r="AC72" i="16"/>
  <c r="Z40" i="8"/>
  <c r="Y17" i="7"/>
  <c r="N47" i="16"/>
  <c r="B56" i="16"/>
  <c r="AF43" i="16"/>
  <c r="K43" i="16"/>
  <c r="Z43" i="16"/>
  <c r="H43" i="16"/>
  <c r="T43" i="16"/>
  <c r="B98" i="16"/>
  <c r="C43" i="16"/>
  <c r="D43" i="16" s="1"/>
  <c r="N43" i="16"/>
  <c r="AI43" i="16"/>
  <c r="W43" i="16"/>
  <c r="C22" i="16"/>
  <c r="D22" i="16" s="1"/>
  <c r="B77" i="16"/>
  <c r="K22" i="16"/>
  <c r="Q22" i="16"/>
  <c r="N22" i="16"/>
  <c r="AF22" i="16"/>
  <c r="W22" i="16"/>
  <c r="C13" i="16"/>
  <c r="D13" i="16" s="1"/>
  <c r="AI13" i="16"/>
  <c r="Q13" i="16"/>
  <c r="N13" i="16"/>
  <c r="W13" i="16"/>
  <c r="AF13" i="16"/>
  <c r="H13" i="16"/>
  <c r="T13" i="16"/>
  <c r="Z13" i="16"/>
  <c r="AC13" i="16"/>
  <c r="H107" i="8"/>
  <c r="C107" i="8"/>
  <c r="D107" i="8" s="1"/>
  <c r="K107" i="8"/>
  <c r="N107" i="8"/>
  <c r="Q107" i="8"/>
  <c r="B111" i="7"/>
  <c r="Z107" i="8"/>
  <c r="W107" i="8"/>
  <c r="AB55" i="7"/>
  <c r="H101" i="8"/>
  <c r="K101" i="8"/>
  <c r="N101" i="8"/>
  <c r="Q101" i="8"/>
  <c r="C101" i="8"/>
  <c r="D101" i="8" s="1"/>
  <c r="B105" i="7"/>
  <c r="W101" i="8"/>
  <c r="T101" i="8"/>
  <c r="B156" i="8"/>
  <c r="Z101" i="8"/>
  <c r="W105" i="16"/>
  <c r="W32" i="16"/>
  <c r="Z26" i="16"/>
  <c r="Q26" i="16"/>
  <c r="H26" i="16"/>
  <c r="K26" i="16"/>
  <c r="B48" i="16"/>
  <c r="AF169" i="6"/>
  <c r="C24" i="16"/>
  <c r="D24" i="16" s="1"/>
  <c r="H24" i="16"/>
  <c r="T24" i="16"/>
  <c r="N24" i="16"/>
  <c r="W24" i="16"/>
  <c r="B79" i="16"/>
  <c r="C20" i="16"/>
  <c r="D20" i="16" s="1"/>
  <c r="H20" i="16"/>
  <c r="AI20" i="16"/>
  <c r="K20" i="16"/>
  <c r="AF20" i="16"/>
  <c r="B75" i="16"/>
  <c r="Q143" i="8"/>
  <c r="C143" i="8"/>
  <c r="D143" i="8" s="1"/>
  <c r="H143" i="8"/>
  <c r="K143" i="8"/>
  <c r="N143" i="8"/>
  <c r="B150" i="7"/>
  <c r="H90" i="8"/>
  <c r="N90" i="8"/>
  <c r="K90" i="8"/>
  <c r="Q90" i="8"/>
  <c r="C90" i="8"/>
  <c r="D90" i="8" s="1"/>
  <c r="B94" i="7"/>
  <c r="K23" i="8"/>
  <c r="N23" i="8"/>
  <c r="Q23" i="8"/>
  <c r="C23" i="8"/>
  <c r="D23" i="8" s="1"/>
  <c r="H23" i="8"/>
  <c r="B24" i="7"/>
  <c r="B78" i="8"/>
  <c r="N22" i="8"/>
  <c r="Q22" i="8"/>
  <c r="H22" i="8"/>
  <c r="K22" i="8"/>
  <c r="C22" i="8"/>
  <c r="D22" i="8" s="1"/>
  <c r="B23" i="7"/>
  <c r="Q18" i="8"/>
  <c r="K18" i="8"/>
  <c r="N18" i="8"/>
  <c r="H18" i="8"/>
  <c r="T18" i="8"/>
  <c r="B73" i="8"/>
  <c r="N55" i="16"/>
  <c r="W101" i="16"/>
  <c r="Z101" i="16"/>
  <c r="C101" i="16"/>
  <c r="AC101" i="16"/>
  <c r="AF101" i="16"/>
  <c r="T101" i="16"/>
  <c r="H101" i="16"/>
  <c r="K101" i="16"/>
  <c r="N101" i="16"/>
  <c r="Q101" i="16"/>
  <c r="Q39" i="16"/>
  <c r="W39" i="16"/>
  <c r="AF39" i="16"/>
  <c r="Z39" i="16"/>
  <c r="H39" i="16"/>
  <c r="K39" i="16"/>
  <c r="T39" i="16"/>
  <c r="N39" i="16"/>
  <c r="C32" i="16"/>
  <c r="D32" i="16" s="1"/>
  <c r="Q32" i="16"/>
  <c r="K17" i="16"/>
  <c r="H17" i="16"/>
  <c r="C17" i="16"/>
  <c r="D17" i="16" s="1"/>
  <c r="AF17" i="16"/>
  <c r="Q17" i="16"/>
  <c r="N17" i="16"/>
  <c r="C16" i="16"/>
  <c r="D16" i="16" s="1"/>
  <c r="K16" i="16"/>
  <c r="C31" i="16"/>
  <c r="D31" i="16" s="1"/>
  <c r="B86" i="16"/>
  <c r="C23" i="16"/>
  <c r="D23" i="16" s="1"/>
  <c r="W23" i="16"/>
  <c r="AF23" i="16"/>
  <c r="B78" i="16"/>
  <c r="K23" i="16"/>
  <c r="T23" i="16"/>
  <c r="N23" i="16"/>
  <c r="Z35" i="16"/>
  <c r="C27" i="16"/>
  <c r="D27" i="16" s="1"/>
  <c r="AI27" i="16"/>
  <c r="AF27" i="16"/>
  <c r="B82" i="16"/>
  <c r="K27" i="16"/>
  <c r="C19" i="16"/>
  <c r="D19" i="16" s="1"/>
  <c r="N19" i="16"/>
  <c r="B74" i="16"/>
  <c r="K19" i="16"/>
  <c r="AI19" i="16"/>
  <c r="AF19" i="16"/>
  <c r="Q19" i="16"/>
  <c r="Z19" i="16"/>
  <c r="K145" i="8"/>
  <c r="H145" i="8"/>
  <c r="B152" i="7"/>
  <c r="C145" i="8"/>
  <c r="D145" i="8" s="1"/>
  <c r="N145" i="8"/>
  <c r="Q145" i="8"/>
  <c r="K130" i="8"/>
  <c r="N130" i="8"/>
  <c r="H130" i="8"/>
  <c r="Q130" i="8"/>
  <c r="C130" i="8"/>
  <c r="D130" i="8" s="1"/>
  <c r="K98" i="8"/>
  <c r="N98" i="8"/>
  <c r="Q98" i="8"/>
  <c r="C98" i="8"/>
  <c r="D98" i="8" s="1"/>
  <c r="B102" i="7"/>
  <c r="H84" i="8"/>
  <c r="K84" i="8"/>
  <c r="N84" i="8"/>
  <c r="Q84" i="8"/>
  <c r="C84" i="8"/>
  <c r="D84" i="8" s="1"/>
  <c r="B88" i="7"/>
  <c r="B139" i="8"/>
  <c r="Q53" i="8"/>
  <c r="N53" i="8"/>
  <c r="H53" i="8"/>
  <c r="C53" i="8"/>
  <c r="D53" i="8" s="1"/>
  <c r="K53" i="8"/>
  <c r="B54" i="7"/>
  <c r="T53" i="8"/>
  <c r="Q45" i="8"/>
  <c r="H45" i="8"/>
  <c r="K45" i="8"/>
  <c r="N45" i="8"/>
  <c r="C45" i="8"/>
  <c r="D45" i="8" s="1"/>
  <c r="B46" i="7"/>
  <c r="T45" i="8"/>
  <c r="Q37" i="8"/>
  <c r="H37" i="8"/>
  <c r="K37" i="8"/>
  <c r="N37" i="8"/>
  <c r="C37" i="8"/>
  <c r="D37" i="8" s="1"/>
  <c r="B38" i="7"/>
  <c r="Q29" i="8"/>
  <c r="H29" i="8"/>
  <c r="C29" i="8"/>
  <c r="D29" i="8" s="1"/>
  <c r="K29" i="8"/>
  <c r="N29" i="8"/>
  <c r="B30" i="7"/>
  <c r="T29" i="8"/>
  <c r="B137" i="7"/>
  <c r="C46" i="16"/>
  <c r="T46" i="16"/>
  <c r="AI46" i="16"/>
  <c r="Q46" i="16"/>
  <c r="W46" i="16"/>
  <c r="Z46" i="16"/>
  <c r="N46" i="16"/>
  <c r="H46" i="16"/>
  <c r="W93" i="16"/>
  <c r="Z93" i="16"/>
  <c r="C93" i="16"/>
  <c r="D93" i="16" s="1"/>
  <c r="AC93" i="16"/>
  <c r="AF93" i="16"/>
  <c r="T93" i="16"/>
  <c r="H93" i="16"/>
  <c r="AI93" i="16"/>
  <c r="Q93" i="16"/>
  <c r="Q71" i="16"/>
  <c r="T71" i="16"/>
  <c r="W71" i="16"/>
  <c r="Z71" i="16"/>
  <c r="C71" i="16"/>
  <c r="D71" i="16" s="1"/>
  <c r="H71" i="16"/>
  <c r="K71" i="16"/>
  <c r="N71" i="16"/>
  <c r="AF71" i="16"/>
  <c r="C15" i="16"/>
  <c r="D15" i="16" s="1"/>
  <c r="N15" i="16"/>
  <c r="AF175" i="6"/>
  <c r="B54" i="16"/>
  <c r="C38" i="16"/>
  <c r="D38" i="16" s="1"/>
  <c r="K38" i="16"/>
  <c r="Q30" i="16"/>
  <c r="B85" i="16"/>
  <c r="K153" i="8"/>
  <c r="N153" i="8"/>
  <c r="Q153" i="8"/>
  <c r="B160" i="7"/>
  <c r="H153" i="8"/>
  <c r="H92" i="8"/>
  <c r="K92" i="8"/>
  <c r="N92" i="8"/>
  <c r="Q92" i="8"/>
  <c r="C92" i="8"/>
  <c r="D92" i="8" s="1"/>
  <c r="B96" i="7"/>
  <c r="B147" i="8"/>
  <c r="N69" i="8"/>
  <c r="Q69" i="8"/>
  <c r="H69" i="8"/>
  <c r="C69" i="8"/>
  <c r="D69" i="8" s="1"/>
  <c r="K69" i="8"/>
  <c r="B73" i="7"/>
  <c r="N54" i="8"/>
  <c r="Q54" i="8"/>
  <c r="H54" i="8"/>
  <c r="K54" i="8"/>
  <c r="C54" i="8"/>
  <c r="D54" i="8" s="1"/>
  <c r="T54" i="8"/>
  <c r="N46" i="8"/>
  <c r="Q46" i="8"/>
  <c r="C46" i="8"/>
  <c r="D46" i="8" s="1"/>
  <c r="H46" i="8"/>
  <c r="T46" i="8"/>
  <c r="N38" i="8"/>
  <c r="Q38" i="8"/>
  <c r="K38" i="8"/>
  <c r="C38" i="8"/>
  <c r="D38" i="8" s="1"/>
  <c r="H38" i="8"/>
  <c r="B39" i="7"/>
  <c r="N30" i="8"/>
  <c r="Q30" i="8"/>
  <c r="K30" i="8"/>
  <c r="H30" i="8"/>
  <c r="C30" i="8"/>
  <c r="D30" i="8" s="1"/>
  <c r="T30" i="8"/>
  <c r="H24" i="8"/>
  <c r="K24" i="8"/>
  <c r="Q24" i="8"/>
  <c r="C24" i="8"/>
  <c r="D24" i="8" s="1"/>
  <c r="N24" i="8"/>
  <c r="B25" i="7"/>
  <c r="H19" i="8"/>
  <c r="K19" i="8"/>
  <c r="N19" i="8"/>
  <c r="Q19" i="8"/>
  <c r="B20" i="7"/>
  <c r="T19" i="8"/>
  <c r="B47" i="7"/>
  <c r="B19" i="7"/>
  <c r="T26" i="16"/>
  <c r="K30" i="16"/>
  <c r="W27" i="16"/>
  <c r="AC19" i="16"/>
  <c r="AF31" i="16"/>
  <c r="AF32" i="16"/>
  <c r="C14" i="16"/>
  <c r="D14" i="16" s="1"/>
  <c r="B69" i="16"/>
  <c r="AF14" i="16"/>
  <c r="AC14" i="16"/>
  <c r="H14" i="16"/>
  <c r="B109" i="8"/>
  <c r="B100" i="8"/>
  <c r="K55" i="8"/>
  <c r="N55" i="8"/>
  <c r="H55" i="8"/>
  <c r="B56" i="7"/>
  <c r="B110" i="8"/>
  <c r="T55" i="8"/>
  <c r="C55" i="8"/>
  <c r="D55" i="8" s="1"/>
  <c r="K47" i="8"/>
  <c r="N47" i="8"/>
  <c r="H47" i="8"/>
  <c r="Q47" i="8"/>
  <c r="B48" i="7"/>
  <c r="B102" i="8"/>
  <c r="C47" i="8"/>
  <c r="D47" i="8" s="1"/>
  <c r="K39" i="8"/>
  <c r="N39" i="8"/>
  <c r="H39" i="8"/>
  <c r="Q39" i="8"/>
  <c r="C39" i="8"/>
  <c r="D39" i="8" s="1"/>
  <c r="B40" i="7"/>
  <c r="B94" i="8"/>
  <c r="K31" i="8"/>
  <c r="N31" i="8"/>
  <c r="H31" i="8"/>
  <c r="C31" i="8"/>
  <c r="D31" i="8" s="1"/>
  <c r="Q31" i="8"/>
  <c r="B32" i="7"/>
  <c r="B86" i="8"/>
  <c r="H97" i="8"/>
  <c r="K97" i="8"/>
  <c r="Q89" i="8"/>
  <c r="K89" i="8"/>
  <c r="N89" i="8"/>
  <c r="C89" i="8"/>
  <c r="D89" i="8" s="1"/>
  <c r="H89" i="8"/>
  <c r="B93" i="7"/>
  <c r="C81" i="8"/>
  <c r="D81" i="8" s="1"/>
  <c r="K81" i="8"/>
  <c r="H81" i="8"/>
  <c r="N81" i="8"/>
  <c r="Q81" i="8"/>
  <c r="B85" i="7"/>
  <c r="H65" i="8"/>
  <c r="K65" i="8"/>
  <c r="N65" i="8"/>
  <c r="C65" i="8"/>
  <c r="D65" i="8" s="1"/>
  <c r="Q65" i="8"/>
  <c r="B69" i="7"/>
  <c r="H49" i="8"/>
  <c r="K49" i="8"/>
  <c r="N49" i="8"/>
  <c r="Q49" i="8"/>
  <c r="C49" i="8"/>
  <c r="D49" i="8" s="1"/>
  <c r="H41" i="8"/>
  <c r="K41" i="8"/>
  <c r="N41" i="8"/>
  <c r="Q41" i="8"/>
  <c r="C41" i="8"/>
  <c r="D41" i="8" s="1"/>
  <c r="H33" i="8"/>
  <c r="N33" i="8"/>
  <c r="Q33" i="8"/>
  <c r="K33" i="8"/>
  <c r="C33" i="8"/>
  <c r="D33" i="8" s="1"/>
  <c r="Q13" i="8"/>
  <c r="H13" i="8"/>
  <c r="K13" i="8"/>
  <c r="N13" i="8"/>
  <c r="C13" i="8"/>
  <c r="D13" i="8" s="1"/>
  <c r="B14" i="7"/>
  <c r="Q104" i="8"/>
  <c r="K104" i="8"/>
  <c r="N104" i="8"/>
  <c r="C104" i="8"/>
  <c r="D104" i="8" s="1"/>
  <c r="H104" i="8"/>
  <c r="B108" i="7"/>
  <c r="Q70" i="8"/>
  <c r="C70" i="8"/>
  <c r="D70" i="8" s="1"/>
  <c r="N70" i="8"/>
  <c r="B74" i="7"/>
  <c r="Q50" i="8"/>
  <c r="N50" i="8"/>
  <c r="H50" i="8"/>
  <c r="C50" i="8"/>
  <c r="D50" i="8" s="1"/>
  <c r="K50" i="8"/>
  <c r="K42" i="8"/>
  <c r="N42" i="8"/>
  <c r="Q42" i="8"/>
  <c r="H42" i="8"/>
  <c r="C42" i="8"/>
  <c r="D42" i="8" s="1"/>
  <c r="H34" i="8"/>
  <c r="K34" i="8"/>
  <c r="N34" i="8"/>
  <c r="Q34" i="8"/>
  <c r="C34" i="8"/>
  <c r="D34" i="8" s="1"/>
  <c r="N26" i="8"/>
  <c r="Q26" i="8"/>
  <c r="H26" i="8"/>
  <c r="K26" i="8"/>
  <c r="C26" i="8"/>
  <c r="D26" i="8" s="1"/>
  <c r="H20" i="8"/>
  <c r="K20" i="8"/>
  <c r="N20" i="8"/>
  <c r="B21" i="7"/>
  <c r="Q20" i="8"/>
  <c r="N14" i="8"/>
  <c r="Q14" i="8"/>
  <c r="C14" i="8"/>
  <c r="D14" i="8" s="1"/>
  <c r="H14" i="8"/>
  <c r="K14" i="8"/>
  <c r="B15" i="7"/>
  <c r="B51" i="7"/>
  <c r="N154" i="8"/>
  <c r="H154" i="8"/>
  <c r="K154" i="8"/>
  <c r="Q154" i="8"/>
  <c r="B161" i="7"/>
  <c r="H144" i="8"/>
  <c r="Q144" i="8"/>
  <c r="B151" i="7"/>
  <c r="K144" i="8"/>
  <c r="C136" i="8"/>
  <c r="D136" i="8" s="1"/>
  <c r="H136" i="8"/>
  <c r="K136" i="8"/>
  <c r="N136" i="8"/>
  <c r="Q136" i="8"/>
  <c r="B143" i="7"/>
  <c r="H120" i="8"/>
  <c r="C120" i="8"/>
  <c r="D120" i="8" s="1"/>
  <c r="K120" i="8"/>
  <c r="N120" i="8"/>
  <c r="C99" i="8"/>
  <c r="D99" i="8" s="1"/>
  <c r="H99" i="8"/>
  <c r="K99" i="8"/>
  <c r="Q99" i="8"/>
  <c r="N99" i="8"/>
  <c r="B103" i="7"/>
  <c r="C91" i="8"/>
  <c r="D91" i="8" s="1"/>
  <c r="H91" i="8"/>
  <c r="Q91" i="8"/>
  <c r="B95" i="7"/>
  <c r="H83" i="8"/>
  <c r="K83" i="8"/>
  <c r="Q83" i="8"/>
  <c r="C83" i="8"/>
  <c r="D83" i="8" s="1"/>
  <c r="N83" i="8"/>
  <c r="B87" i="7"/>
  <c r="H75" i="8"/>
  <c r="K75" i="8"/>
  <c r="N75" i="8"/>
  <c r="Q75" i="8"/>
  <c r="B79" i="7"/>
  <c r="H51" i="8"/>
  <c r="K51" i="8"/>
  <c r="N51" i="8"/>
  <c r="C51" i="8"/>
  <c r="D51" i="8" s="1"/>
  <c r="Q51" i="8"/>
  <c r="H43" i="8"/>
  <c r="N43" i="8"/>
  <c r="Q43" i="8"/>
  <c r="K35" i="8"/>
  <c r="N35" i="8"/>
  <c r="Q35" i="8"/>
  <c r="H35" i="8"/>
  <c r="C35" i="8"/>
  <c r="D35" i="8" s="1"/>
  <c r="N27" i="8"/>
  <c r="Q27" i="8"/>
  <c r="H27" i="8"/>
  <c r="K27" i="8"/>
  <c r="C27" i="8"/>
  <c r="D27" i="8" s="1"/>
  <c r="K15" i="8"/>
  <c r="N15" i="8"/>
  <c r="C15" i="8"/>
  <c r="D15" i="8" s="1"/>
  <c r="H15" i="8"/>
  <c r="B50" i="7"/>
  <c r="B36" i="7"/>
  <c r="K43" i="8"/>
  <c r="B159" i="8"/>
  <c r="N146" i="8"/>
  <c r="H146" i="8"/>
  <c r="K146" i="8"/>
  <c r="C146" i="8"/>
  <c r="D146" i="8" s="1"/>
  <c r="Q146" i="8"/>
  <c r="B153" i="7"/>
  <c r="B125" i="8"/>
  <c r="Q96" i="8"/>
  <c r="C96" i="8"/>
  <c r="D96" i="8" s="1"/>
  <c r="H96" i="8"/>
  <c r="K96" i="8"/>
  <c r="N96" i="8"/>
  <c r="B100" i="7"/>
  <c r="Q88" i="8"/>
  <c r="H88" i="8"/>
  <c r="N88" i="8"/>
  <c r="C88" i="8"/>
  <c r="D88" i="8" s="1"/>
  <c r="K88" i="8"/>
  <c r="B92" i="7"/>
  <c r="K52" i="8"/>
  <c r="N52" i="8"/>
  <c r="Q52" i="8"/>
  <c r="H52" i="8"/>
  <c r="C52" i="8"/>
  <c r="D52" i="8" s="1"/>
  <c r="B53" i="7"/>
  <c r="Q44" i="8"/>
  <c r="H44" i="8"/>
  <c r="K44" i="8"/>
  <c r="N44" i="8"/>
  <c r="B45" i="7"/>
  <c r="K36" i="8"/>
  <c r="N36" i="8"/>
  <c r="Q36" i="8"/>
  <c r="H36" i="8"/>
  <c r="C36" i="8"/>
  <c r="D36" i="8" s="1"/>
  <c r="B37" i="7"/>
  <c r="H28" i="8"/>
  <c r="K28" i="8"/>
  <c r="Q28" i="8"/>
  <c r="B29" i="7"/>
  <c r="Q21" i="8"/>
  <c r="N21" i="8"/>
  <c r="C21" i="8"/>
  <c r="D21" i="8" s="1"/>
  <c r="H21" i="8"/>
  <c r="K21" i="8"/>
  <c r="B22" i="7"/>
  <c r="H16" i="8"/>
  <c r="K16" i="8"/>
  <c r="N16" i="8"/>
  <c r="Q16" i="8"/>
  <c r="C16" i="8"/>
  <c r="D16" i="8" s="1"/>
  <c r="K10" i="8"/>
  <c r="N10" i="8"/>
  <c r="C10" i="8"/>
  <c r="D10" i="8" s="1"/>
  <c r="H10" i="8"/>
  <c r="Q10" i="8"/>
  <c r="B35" i="7"/>
  <c r="C43" i="8"/>
  <c r="D43" i="8" s="1"/>
  <c r="N91" i="8"/>
  <c r="Q9" i="8"/>
  <c r="K9" i="8"/>
  <c r="B64" i="8"/>
  <c r="H9" i="8"/>
  <c r="B9" i="16"/>
  <c r="Z9" i="16" s="1"/>
  <c r="AC9" i="16"/>
  <c r="B10" i="7"/>
  <c r="W9" i="8"/>
  <c r="Z64" i="8"/>
  <c r="C9" i="8"/>
  <c r="D9" i="8" s="1"/>
  <c r="C64" i="8"/>
  <c r="D64" i="8" s="1"/>
  <c r="Q64" i="8"/>
  <c r="K64" i="8"/>
  <c r="H64" i="8"/>
  <c r="B119" i="8"/>
  <c r="B63" i="16"/>
  <c r="T63" i="16" s="1"/>
  <c r="AB9" i="7"/>
  <c r="Y9" i="7"/>
  <c r="E9" i="7"/>
  <c r="C8" i="8"/>
  <c r="D8" i="8" s="1"/>
  <c r="K8" i="8"/>
  <c r="H8" i="8"/>
  <c r="W8" i="8"/>
  <c r="Z8" i="8"/>
  <c r="B63" i="8"/>
  <c r="T8" i="8"/>
  <c r="Q8" i="8"/>
  <c r="H133" i="10"/>
  <c r="C133" i="10"/>
  <c r="D133" i="10" s="1"/>
  <c r="K133" i="10"/>
  <c r="N133" i="10"/>
  <c r="C165" i="10"/>
  <c r="D165" i="10" s="1"/>
  <c r="H165" i="10"/>
  <c r="K165" i="10"/>
  <c r="N165" i="10"/>
  <c r="H90" i="10"/>
  <c r="K90" i="10"/>
  <c r="N101" i="10"/>
  <c r="K101" i="10"/>
  <c r="N149" i="10"/>
  <c r="H149" i="10"/>
  <c r="K130" i="10"/>
  <c r="N130" i="10"/>
  <c r="C124" i="10"/>
  <c r="D124" i="10" s="1"/>
  <c r="C143" i="10"/>
  <c r="D143" i="10" s="1"/>
  <c r="K75" i="10"/>
  <c r="B94" i="10"/>
  <c r="C39" i="10"/>
  <c r="D39" i="10" s="1"/>
  <c r="K129" i="10"/>
  <c r="H124" i="10"/>
  <c r="C130" i="10"/>
  <c r="D130" i="10" s="1"/>
  <c r="H129" i="10"/>
  <c r="C162" i="10"/>
  <c r="D162" i="10" s="1"/>
  <c r="H39" i="10"/>
  <c r="N75" i="10"/>
  <c r="C100" i="10"/>
  <c r="D100" i="10" s="1"/>
  <c r="K118" i="10"/>
  <c r="H118" i="10"/>
  <c r="B154" i="10"/>
  <c r="C44" i="10"/>
  <c r="D44" i="10" s="1"/>
  <c r="N141" i="10"/>
  <c r="C141" i="10"/>
  <c r="D141" i="10" s="1"/>
  <c r="C135" i="10"/>
  <c r="D135" i="10" s="1"/>
  <c r="K135" i="10"/>
  <c r="C19" i="10"/>
  <c r="D19" i="10" s="1"/>
  <c r="N19" i="10"/>
  <c r="K122" i="10"/>
  <c r="H122" i="10"/>
  <c r="C122" i="10"/>
  <c r="D122" i="10" s="1"/>
  <c r="K124" i="10"/>
  <c r="C136" i="10"/>
  <c r="D136" i="10" s="1"/>
  <c r="C84" i="10"/>
  <c r="D84" i="10" s="1"/>
  <c r="H19" i="10"/>
  <c r="K52" i="10"/>
  <c r="C161" i="10"/>
  <c r="D161" i="10" s="1"/>
  <c r="C149" i="10"/>
  <c r="D149" i="10" s="1"/>
  <c r="H32" i="10"/>
  <c r="C129" i="10"/>
  <c r="D129" i="10" s="1"/>
  <c r="N51" i="10"/>
  <c r="N118" i="10"/>
  <c r="K12" i="10"/>
  <c r="K39" i="10"/>
  <c r="C90" i="10"/>
  <c r="D90" i="10" s="1"/>
  <c r="H101" i="10"/>
  <c r="B99" i="10"/>
  <c r="B166" i="10"/>
  <c r="C56" i="10"/>
  <c r="D56" i="10" s="1"/>
  <c r="B111" i="10"/>
  <c r="B86" i="10"/>
  <c r="C31" i="10"/>
  <c r="D31" i="10" s="1"/>
  <c r="B134" i="10"/>
  <c r="B79" i="10"/>
  <c r="K24" i="10"/>
  <c r="K155" i="10"/>
  <c r="H136" i="10"/>
  <c r="N90" i="10"/>
  <c r="K19" i="10"/>
  <c r="H44" i="10"/>
  <c r="N52" i="10"/>
  <c r="K27" i="10"/>
  <c r="H20" i="10"/>
  <c r="H84" i="10"/>
  <c r="C20" i="10"/>
  <c r="D20" i="10" s="1"/>
  <c r="B82" i="10"/>
  <c r="C43" i="10"/>
  <c r="D43" i="10" s="1"/>
  <c r="N43" i="10"/>
  <c r="B146" i="10"/>
  <c r="C36" i="10"/>
  <c r="D36" i="10" s="1"/>
  <c r="N36" i="10"/>
  <c r="C11" i="10"/>
  <c r="D11" i="10" s="1"/>
  <c r="N11" i="10"/>
  <c r="K149" i="10"/>
  <c r="H161" i="10"/>
  <c r="H135" i="10"/>
  <c r="K136" i="10"/>
  <c r="N44" i="10"/>
  <c r="H74" i="10"/>
  <c r="H27" i="10"/>
  <c r="K20" i="10"/>
  <c r="N27" i="10"/>
  <c r="N143" i="10"/>
  <c r="N161" i="10"/>
  <c r="C55" i="10"/>
  <c r="D55" i="10" s="1"/>
  <c r="B110" i="10"/>
  <c r="H55" i="10"/>
  <c r="B158" i="10"/>
  <c r="B103" i="10"/>
  <c r="B78" i="10"/>
  <c r="N23" i="10"/>
  <c r="B126" i="10"/>
  <c r="B71" i="10"/>
  <c r="C16" i="10"/>
  <c r="D16" i="10" s="1"/>
  <c r="K162" i="10"/>
  <c r="C101" i="10"/>
  <c r="D101" i="10" s="1"/>
  <c r="H93" i="10"/>
  <c r="N39" i="10"/>
  <c r="K44" i="10"/>
  <c r="K100" i="10"/>
  <c r="N20" i="10"/>
  <c r="H12" i="10"/>
  <c r="H56" i="10"/>
  <c r="N122" i="10"/>
  <c r="H130" i="10"/>
  <c r="C52" i="10"/>
  <c r="D52" i="10" s="1"/>
  <c r="B67" i="10"/>
  <c r="N157" i="10"/>
  <c r="K157" i="10"/>
  <c r="C35" i="10"/>
  <c r="D35" i="10" s="1"/>
  <c r="H35" i="10"/>
  <c r="N132" i="10"/>
  <c r="C132" i="10"/>
  <c r="D132" i="10" s="1"/>
  <c r="B142" i="10"/>
  <c r="B87" i="10"/>
  <c r="C32" i="10"/>
  <c r="D32" i="10" s="1"/>
  <c r="N32" i="10"/>
  <c r="C123" i="10"/>
  <c r="D123" i="10" s="1"/>
  <c r="N123" i="10"/>
  <c r="K141" i="10"/>
  <c r="N162" i="10"/>
  <c r="H143" i="10"/>
  <c r="H100" i="10"/>
  <c r="K74" i="10"/>
  <c r="H106" i="10"/>
  <c r="N93" i="10"/>
  <c r="H48" i="10"/>
  <c r="H141" i="10"/>
  <c r="H51" i="10"/>
  <c r="K93" i="10"/>
  <c r="N106" i="10"/>
  <c r="H123" i="10"/>
  <c r="N145" i="10"/>
  <c r="C24" i="10"/>
  <c r="D24" i="10" s="1"/>
  <c r="B107" i="10"/>
  <c r="N163" i="10"/>
  <c r="H163" i="10"/>
  <c r="B150" i="10"/>
  <c r="B95" i="10"/>
  <c r="B137" i="10"/>
  <c r="B70" i="10"/>
  <c r="C15" i="10"/>
  <c r="D15" i="10" s="1"/>
  <c r="B105" i="10"/>
  <c r="B97" i="10"/>
  <c r="B89" i="10"/>
  <c r="B81" i="10"/>
  <c r="B164" i="10"/>
  <c r="B156" i="10"/>
  <c r="B148" i="10"/>
  <c r="B140" i="10"/>
  <c r="D63" i="22"/>
  <c r="D8" i="22"/>
  <c r="D118" i="22"/>
  <c r="D118" i="25"/>
  <c r="D63" i="25"/>
  <c r="D8" i="25"/>
  <c r="C74" i="8" l="1"/>
  <c r="D74" i="8" s="1"/>
  <c r="P157" i="9"/>
  <c r="Q157" i="9" s="1"/>
  <c r="V156" i="8"/>
  <c r="W156" i="8" s="1"/>
  <c r="P158" i="9"/>
  <c r="Q158" i="9" s="1"/>
  <c r="V157" i="8"/>
  <c r="X165" i="7"/>
  <c r="X156" i="7"/>
  <c r="E44" i="7"/>
  <c r="C44" i="24" s="1"/>
  <c r="O44" i="24" s="1"/>
  <c r="AF94" i="16"/>
  <c r="AI94" i="16"/>
  <c r="W94" i="16"/>
  <c r="H94" i="16"/>
  <c r="K94" i="16"/>
  <c r="N94" i="16"/>
  <c r="Q94" i="16"/>
  <c r="Z94" i="16"/>
  <c r="T94" i="16"/>
  <c r="C94" i="16"/>
  <c r="D94" i="16" s="1"/>
  <c r="AC94" i="16"/>
  <c r="B149" i="16"/>
  <c r="H31" i="16"/>
  <c r="W35" i="16"/>
  <c r="K35" i="16"/>
  <c r="Q35" i="16"/>
  <c r="N83" i="9"/>
  <c r="K83" i="9"/>
  <c r="H83" i="9"/>
  <c r="T83" i="9"/>
  <c r="Q83" i="9"/>
  <c r="C87" i="7"/>
  <c r="B139" i="9"/>
  <c r="AI15" i="16"/>
  <c r="H35" i="16"/>
  <c r="AC148" i="16"/>
  <c r="H87" i="16"/>
  <c r="Q31" i="16"/>
  <c r="C12" i="16"/>
  <c r="D12" i="16" s="1"/>
  <c r="N12" i="16"/>
  <c r="K161" i="9"/>
  <c r="H161" i="9"/>
  <c r="N161" i="9"/>
  <c r="C167" i="7"/>
  <c r="T161" i="9"/>
  <c r="C137" i="7"/>
  <c r="K131" i="9"/>
  <c r="H131" i="9"/>
  <c r="N131" i="9"/>
  <c r="Q131" i="9"/>
  <c r="T131" i="9"/>
  <c r="H15" i="16"/>
  <c r="W15" i="16"/>
  <c r="Q15" i="16"/>
  <c r="Z15" i="16"/>
  <c r="K9" i="16"/>
  <c r="AF15" i="16"/>
  <c r="C35" i="16"/>
  <c r="D35" i="16" s="1"/>
  <c r="K31" i="16"/>
  <c r="W148" i="16"/>
  <c r="Z87" i="16"/>
  <c r="C75" i="7"/>
  <c r="K71" i="9"/>
  <c r="H71" i="9"/>
  <c r="B127" i="9"/>
  <c r="Q71" i="9"/>
  <c r="T71" i="9"/>
  <c r="N71" i="9"/>
  <c r="N90" i="9"/>
  <c r="K90" i="9"/>
  <c r="H90" i="9"/>
  <c r="B146" i="9"/>
  <c r="T90" i="9"/>
  <c r="C94" i="7"/>
  <c r="Q90" i="9"/>
  <c r="N64" i="9"/>
  <c r="C68" i="7"/>
  <c r="T64" i="9"/>
  <c r="K64" i="9"/>
  <c r="B120" i="9"/>
  <c r="Q64" i="9"/>
  <c r="H64" i="9"/>
  <c r="C157" i="7"/>
  <c r="K151" i="9"/>
  <c r="H151" i="9"/>
  <c r="N151" i="9"/>
  <c r="T151" i="9"/>
  <c r="N133" i="9"/>
  <c r="C139" i="7"/>
  <c r="H133" i="9"/>
  <c r="T133" i="9"/>
  <c r="Q133" i="9"/>
  <c r="K133" i="9"/>
  <c r="N66" i="9"/>
  <c r="K66" i="9"/>
  <c r="H66" i="9"/>
  <c r="C70" i="7"/>
  <c r="T66" i="9"/>
  <c r="Q66" i="9"/>
  <c r="B122" i="9"/>
  <c r="C9" i="16"/>
  <c r="D9" i="16" s="1"/>
  <c r="N31" i="16"/>
  <c r="N148" i="16"/>
  <c r="B142" i="16"/>
  <c r="T87" i="16"/>
  <c r="N35" i="16"/>
  <c r="H110" i="9"/>
  <c r="T110" i="9"/>
  <c r="N110" i="9"/>
  <c r="C114" i="7"/>
  <c r="K110" i="9"/>
  <c r="Q110" i="9"/>
  <c r="B166" i="9"/>
  <c r="N144" i="9"/>
  <c r="C150" i="7"/>
  <c r="K144" i="9"/>
  <c r="H144" i="9"/>
  <c r="T144" i="9"/>
  <c r="Q144" i="9"/>
  <c r="C140" i="7"/>
  <c r="K134" i="9"/>
  <c r="H134" i="9"/>
  <c r="N134" i="9"/>
  <c r="T134" i="9"/>
  <c r="Q134" i="9"/>
  <c r="W31" i="16"/>
  <c r="AI148" i="16"/>
  <c r="AI87" i="16"/>
  <c r="Q87" i="16"/>
  <c r="C67" i="16"/>
  <c r="D67" i="16" s="1"/>
  <c r="C98" i="7"/>
  <c r="H94" i="9"/>
  <c r="N94" i="9"/>
  <c r="B150" i="9"/>
  <c r="K94" i="9"/>
  <c r="T94" i="9"/>
  <c r="Q94" i="9"/>
  <c r="C72" i="7"/>
  <c r="K68" i="9"/>
  <c r="H68" i="9"/>
  <c r="N68" i="9"/>
  <c r="T68" i="9"/>
  <c r="Q68" i="9"/>
  <c r="B124" i="9"/>
  <c r="B46" i="18"/>
  <c r="B45" i="18"/>
  <c r="B42" i="18"/>
  <c r="B43" i="18"/>
  <c r="Z11" i="16"/>
  <c r="AC15" i="16"/>
  <c r="AI35" i="16"/>
  <c r="T31" i="16"/>
  <c r="T148" i="16"/>
  <c r="C87" i="16"/>
  <c r="D87" i="16" s="1"/>
  <c r="AC87" i="16"/>
  <c r="AC67" i="16"/>
  <c r="AC35" i="16"/>
  <c r="Q12" i="16"/>
  <c r="N104" i="9"/>
  <c r="C108" i="7"/>
  <c r="K104" i="9"/>
  <c r="H104" i="9"/>
  <c r="Q104" i="9"/>
  <c r="T104" i="9"/>
  <c r="B160" i="9"/>
  <c r="C132" i="7"/>
  <c r="K126" i="9"/>
  <c r="H126" i="9"/>
  <c r="N126" i="9"/>
  <c r="T126" i="9"/>
  <c r="Q126" i="9"/>
  <c r="N136" i="9"/>
  <c r="C142" i="7"/>
  <c r="K136" i="9"/>
  <c r="H136" i="9"/>
  <c r="T136" i="9"/>
  <c r="Q136" i="9"/>
  <c r="K11" i="16"/>
  <c r="B70" i="16"/>
  <c r="B90" i="16"/>
  <c r="AC31" i="16"/>
  <c r="T15" i="16"/>
  <c r="AI31" i="16"/>
  <c r="T12" i="16"/>
  <c r="C80" i="7"/>
  <c r="K76" i="9"/>
  <c r="H76" i="9"/>
  <c r="N76" i="9"/>
  <c r="B132" i="9"/>
  <c r="T76" i="9"/>
  <c r="Q76" i="9"/>
  <c r="C169" i="7"/>
  <c r="K163" i="9"/>
  <c r="N163" i="9"/>
  <c r="H163" i="9"/>
  <c r="T163" i="9"/>
  <c r="C104" i="7"/>
  <c r="K100" i="9"/>
  <c r="H100" i="9"/>
  <c r="N100" i="9"/>
  <c r="B156" i="9"/>
  <c r="T100" i="9"/>
  <c r="Q100" i="9"/>
  <c r="B123" i="9"/>
  <c r="N67" i="9"/>
  <c r="K67" i="9"/>
  <c r="H67" i="9"/>
  <c r="T67" i="9"/>
  <c r="C71" i="7"/>
  <c r="Q67" i="9"/>
  <c r="K63" i="16"/>
  <c r="AC63" i="16"/>
  <c r="Q63" i="16"/>
  <c r="AF63" i="16"/>
  <c r="C63" i="16"/>
  <c r="D63" i="16" s="1"/>
  <c r="C43" i="18"/>
  <c r="D43" i="18" s="1"/>
  <c r="C45" i="18"/>
  <c r="D45" i="18" s="1"/>
  <c r="C46" i="18"/>
  <c r="D46" i="18" s="1"/>
  <c r="C42" i="18"/>
  <c r="D42" i="18" s="1"/>
  <c r="AI63" i="16"/>
  <c r="W63" i="16"/>
  <c r="E55" i="7"/>
  <c r="C55" i="24" s="1"/>
  <c r="O55" i="24" s="1"/>
  <c r="E16" i="7"/>
  <c r="C16" i="24" s="1"/>
  <c r="O16" i="24" s="1"/>
  <c r="T146" i="8"/>
  <c r="W146" i="8"/>
  <c r="Z146" i="8"/>
  <c r="E34" i="7"/>
  <c r="T67" i="16"/>
  <c r="C34" i="16"/>
  <c r="D34" i="16" s="1"/>
  <c r="N34" i="16"/>
  <c r="K34" i="16"/>
  <c r="AI34" i="16"/>
  <c r="W34" i="16"/>
  <c r="Q34" i="16"/>
  <c r="AC34" i="16"/>
  <c r="AF34" i="16"/>
  <c r="B89" i="16"/>
  <c r="H34" i="16"/>
  <c r="T34" i="16"/>
  <c r="Z34" i="16"/>
  <c r="C28" i="16"/>
  <c r="D28" i="16" s="1"/>
  <c r="AI28" i="16"/>
  <c r="T28" i="16"/>
  <c r="Q28" i="16"/>
  <c r="K28" i="16"/>
  <c r="AF28" i="16"/>
  <c r="W28" i="16"/>
  <c r="H28" i="16"/>
  <c r="B83" i="16"/>
  <c r="N28" i="16"/>
  <c r="Z28" i="16"/>
  <c r="AC28" i="16"/>
  <c r="E52" i="7"/>
  <c r="C52" i="24" s="1"/>
  <c r="O52" i="24" s="1"/>
  <c r="K55" i="16"/>
  <c r="B152" i="8"/>
  <c r="N97" i="8"/>
  <c r="W97" i="8"/>
  <c r="T97" i="8"/>
  <c r="Z97" i="8"/>
  <c r="E27" i="7"/>
  <c r="H27" i="7" s="1"/>
  <c r="I27" i="7" s="1"/>
  <c r="E31" i="7"/>
  <c r="C31" i="24" s="1"/>
  <c r="O31" i="24" s="1"/>
  <c r="W55" i="16"/>
  <c r="K162" i="8"/>
  <c r="Q67" i="16"/>
  <c r="B106" i="16"/>
  <c r="W51" i="16"/>
  <c r="H51" i="16"/>
  <c r="AC71" i="16"/>
  <c r="AI71" i="16"/>
  <c r="B126" i="16"/>
  <c r="B156" i="16"/>
  <c r="AI101" i="16"/>
  <c r="AC11" i="16"/>
  <c r="H11" i="16"/>
  <c r="N11" i="16"/>
  <c r="K44" i="16"/>
  <c r="H44" i="16"/>
  <c r="W44" i="16"/>
  <c r="T44" i="16"/>
  <c r="Z44" i="16"/>
  <c r="Q44" i="16"/>
  <c r="AI44" i="16"/>
  <c r="AF44" i="16"/>
  <c r="AC44" i="16"/>
  <c r="E28" i="7"/>
  <c r="C28" i="24" s="1"/>
  <c r="O28" i="24" s="1"/>
  <c r="E127" i="7"/>
  <c r="E17" i="7"/>
  <c r="C17" i="24" s="1"/>
  <c r="O17" i="24" s="1"/>
  <c r="E43" i="7"/>
  <c r="C43" i="24" s="1"/>
  <c r="O43" i="24" s="1"/>
  <c r="Q11" i="16"/>
  <c r="B66" i="16"/>
  <c r="AI55" i="16"/>
  <c r="Z55" i="16"/>
  <c r="Z67" i="16"/>
  <c r="H162" i="8"/>
  <c r="N67" i="16"/>
  <c r="Q43" i="16"/>
  <c r="AC43" i="16"/>
  <c r="Q162" i="8"/>
  <c r="C11" i="16"/>
  <c r="D11" i="16" s="1"/>
  <c r="AF55" i="16"/>
  <c r="B99" i="16"/>
  <c r="K67" i="16"/>
  <c r="Q148" i="16"/>
  <c r="Z148" i="16"/>
  <c r="K148" i="16"/>
  <c r="B101" i="7"/>
  <c r="T11" i="16"/>
  <c r="N44" i="16"/>
  <c r="N162" i="8"/>
  <c r="AI67" i="16"/>
  <c r="B110" i="16"/>
  <c r="Q55" i="16"/>
  <c r="H55" i="16"/>
  <c r="E42" i="7"/>
  <c r="C42" i="24" s="1"/>
  <c r="O42" i="24" s="1"/>
  <c r="E11" i="7"/>
  <c r="H11" i="7" s="1"/>
  <c r="I11" i="7" s="1"/>
  <c r="C97" i="8"/>
  <c r="D97" i="8" s="1"/>
  <c r="W11" i="16"/>
  <c r="C55" i="16"/>
  <c r="D55" i="16" s="1"/>
  <c r="C44" i="16"/>
  <c r="D44" i="16" s="1"/>
  <c r="Z162" i="8"/>
  <c r="B122" i="16"/>
  <c r="Q122" i="16" s="1"/>
  <c r="H67" i="16"/>
  <c r="Z96" i="8"/>
  <c r="B151" i="8"/>
  <c r="W96" i="8"/>
  <c r="T96" i="8"/>
  <c r="AB127" i="7"/>
  <c r="Y127" i="7"/>
  <c r="Q97" i="8"/>
  <c r="AI11" i="16"/>
  <c r="AC55" i="16"/>
  <c r="W67" i="16"/>
  <c r="Z136" i="8"/>
  <c r="T136" i="8"/>
  <c r="W136" i="8"/>
  <c r="T130" i="8"/>
  <c r="W130" i="8"/>
  <c r="Z130" i="8"/>
  <c r="Q20" i="16"/>
  <c r="N20" i="16"/>
  <c r="Z20" i="16"/>
  <c r="AC20" i="16"/>
  <c r="T20" i="16"/>
  <c r="W20" i="16"/>
  <c r="H43" i="7"/>
  <c r="I43" i="7" s="1"/>
  <c r="H34" i="7"/>
  <c r="I34" i="7" s="1"/>
  <c r="C34" i="24"/>
  <c r="O34" i="24" s="1"/>
  <c r="E93" i="7"/>
  <c r="AD93" i="7" s="1"/>
  <c r="AB93" i="7"/>
  <c r="Y93" i="7"/>
  <c r="E20" i="7"/>
  <c r="AB20" i="7"/>
  <c r="Y20" i="7"/>
  <c r="Q147" i="8"/>
  <c r="C147" i="8"/>
  <c r="D147" i="8" s="1"/>
  <c r="N147" i="8"/>
  <c r="K147" i="8"/>
  <c r="B154" i="7"/>
  <c r="H147" i="8"/>
  <c r="T147" i="8"/>
  <c r="Z147" i="8"/>
  <c r="W147" i="8"/>
  <c r="E160" i="7"/>
  <c r="AD160" i="7" s="1"/>
  <c r="AB160" i="7"/>
  <c r="E102" i="7"/>
  <c r="AD102" i="7" s="1"/>
  <c r="AB102" i="7"/>
  <c r="Y102" i="7"/>
  <c r="Q78" i="8"/>
  <c r="C78" i="8"/>
  <c r="D78" i="8" s="1"/>
  <c r="H78" i="8"/>
  <c r="N78" i="8"/>
  <c r="K78" i="8"/>
  <c r="B82" i="7"/>
  <c r="B133" i="8"/>
  <c r="T78" i="8"/>
  <c r="Z78" i="8"/>
  <c r="W78" i="8"/>
  <c r="W77" i="16"/>
  <c r="Z77" i="16"/>
  <c r="C77" i="16"/>
  <c r="D77" i="16" s="1"/>
  <c r="AC77" i="16"/>
  <c r="AF77" i="16"/>
  <c r="T77" i="16"/>
  <c r="H77" i="16"/>
  <c r="AI77" i="16"/>
  <c r="N77" i="16"/>
  <c r="K77" i="16"/>
  <c r="B132" i="16"/>
  <c r="Q77" i="16"/>
  <c r="E97" i="7"/>
  <c r="AD97" i="7" s="1"/>
  <c r="Y97" i="7"/>
  <c r="AB97" i="7"/>
  <c r="E112" i="7"/>
  <c r="AD112" i="7" s="1"/>
  <c r="AB112" i="7"/>
  <c r="Y112" i="7"/>
  <c r="E170" i="7"/>
  <c r="AD170" i="7" s="1"/>
  <c r="AB170" i="7"/>
  <c r="E83" i="7"/>
  <c r="AD83" i="7" s="1"/>
  <c r="Y83" i="7"/>
  <c r="AB83" i="7"/>
  <c r="C149" i="16"/>
  <c r="D149" i="16" s="1"/>
  <c r="AC149" i="16"/>
  <c r="Z149" i="16"/>
  <c r="Q149" i="16"/>
  <c r="K149" i="16"/>
  <c r="AF149" i="16"/>
  <c r="N149" i="16"/>
  <c r="AI149" i="16"/>
  <c r="T149" i="16"/>
  <c r="H149" i="16"/>
  <c r="W149" i="16"/>
  <c r="E75" i="7"/>
  <c r="AD75" i="7" s="1"/>
  <c r="Y75" i="7"/>
  <c r="AB75" i="7"/>
  <c r="E81" i="7"/>
  <c r="AD81" i="7" s="1"/>
  <c r="Y81" i="7"/>
  <c r="AB81" i="7"/>
  <c r="E41" i="7"/>
  <c r="AB41" i="7"/>
  <c r="Y41" i="7"/>
  <c r="N103" i="8"/>
  <c r="Q103" i="8"/>
  <c r="C103" i="8"/>
  <c r="D103" i="8" s="1"/>
  <c r="H103" i="8"/>
  <c r="B107" i="7"/>
  <c r="K103" i="8"/>
  <c r="T103" i="8"/>
  <c r="B158" i="8"/>
  <c r="W103" i="8"/>
  <c r="Z103" i="8"/>
  <c r="N111" i="8"/>
  <c r="Q111" i="8"/>
  <c r="K111" i="8"/>
  <c r="C111" i="8"/>
  <c r="D111" i="8" s="1"/>
  <c r="H111" i="8"/>
  <c r="B115" i="7"/>
  <c r="T111" i="8"/>
  <c r="B166" i="8"/>
  <c r="Z111" i="8"/>
  <c r="W111" i="8"/>
  <c r="C45" i="16"/>
  <c r="D45" i="16" s="1"/>
  <c r="AC45" i="16"/>
  <c r="N45" i="16"/>
  <c r="B100" i="16"/>
  <c r="K45" i="16"/>
  <c r="AF45" i="16"/>
  <c r="Z45" i="16"/>
  <c r="H45" i="16"/>
  <c r="T45" i="16"/>
  <c r="W45" i="16"/>
  <c r="Q45" i="16"/>
  <c r="AI45" i="16"/>
  <c r="W49" i="16"/>
  <c r="AI49" i="16"/>
  <c r="Q49" i="16"/>
  <c r="B104" i="16"/>
  <c r="N49" i="16"/>
  <c r="H49" i="16"/>
  <c r="C49" i="16"/>
  <c r="D49" i="16" s="1"/>
  <c r="T49" i="16"/>
  <c r="K49" i="16"/>
  <c r="Z49" i="16"/>
  <c r="AF49" i="16"/>
  <c r="AC49" i="16"/>
  <c r="E161" i="7"/>
  <c r="AD161" i="7" s="1"/>
  <c r="AB161" i="7"/>
  <c r="E14" i="7"/>
  <c r="Y14" i="7"/>
  <c r="AB14" i="7"/>
  <c r="K159" i="8"/>
  <c r="N159" i="8"/>
  <c r="B166" i="7"/>
  <c r="H159" i="8"/>
  <c r="Q159" i="8"/>
  <c r="Z159" i="8"/>
  <c r="T159" i="8"/>
  <c r="E108" i="7"/>
  <c r="AD108" i="7" s="1"/>
  <c r="Y108" i="7"/>
  <c r="AB108" i="7"/>
  <c r="K94" i="8"/>
  <c r="N94" i="8"/>
  <c r="Q94" i="8"/>
  <c r="C94" i="8"/>
  <c r="D94" i="8" s="1"/>
  <c r="H94" i="8"/>
  <c r="B98" i="7"/>
  <c r="B149" i="8"/>
  <c r="Z94" i="8"/>
  <c r="W94" i="8"/>
  <c r="T94" i="8"/>
  <c r="K102" i="8"/>
  <c r="C102" i="8"/>
  <c r="D102" i="8" s="1"/>
  <c r="N102" i="8"/>
  <c r="Q102" i="8"/>
  <c r="H102" i="8"/>
  <c r="B106" i="7"/>
  <c r="B157" i="8"/>
  <c r="Z102" i="8"/>
  <c r="W102" i="8"/>
  <c r="T102" i="8"/>
  <c r="K110" i="8"/>
  <c r="C110" i="8"/>
  <c r="D110" i="8" s="1"/>
  <c r="N110" i="8"/>
  <c r="Q110" i="8"/>
  <c r="H110" i="8"/>
  <c r="B114" i="7"/>
  <c r="B165" i="8"/>
  <c r="W110" i="8"/>
  <c r="T110" i="8"/>
  <c r="Z110" i="8"/>
  <c r="E39" i="7"/>
  <c r="AB39" i="7"/>
  <c r="Y39" i="7"/>
  <c r="E96" i="7"/>
  <c r="AD96" i="7" s="1"/>
  <c r="Y96" i="7"/>
  <c r="AB96" i="7"/>
  <c r="C54" i="16"/>
  <c r="D54" i="16" s="1"/>
  <c r="AC54" i="16"/>
  <c r="B109" i="16"/>
  <c r="T54" i="16"/>
  <c r="Q54" i="16"/>
  <c r="Z54" i="16"/>
  <c r="W54" i="16"/>
  <c r="AF54" i="16"/>
  <c r="AI54" i="16"/>
  <c r="K54" i="16"/>
  <c r="H54" i="16"/>
  <c r="N54" i="16"/>
  <c r="Q139" i="8"/>
  <c r="C139" i="8"/>
  <c r="D139" i="8" s="1"/>
  <c r="K139" i="8"/>
  <c r="N139" i="8"/>
  <c r="B146" i="7"/>
  <c r="Z139" i="8"/>
  <c r="W139" i="8"/>
  <c r="T139" i="8"/>
  <c r="H139" i="8"/>
  <c r="AF82" i="16"/>
  <c r="H82" i="16"/>
  <c r="AI82" i="16"/>
  <c r="K82" i="16"/>
  <c r="T82" i="16"/>
  <c r="N82" i="16"/>
  <c r="Q82" i="16"/>
  <c r="W82" i="16"/>
  <c r="Z82" i="16"/>
  <c r="C82" i="16"/>
  <c r="D82" i="16" s="1"/>
  <c r="AC82" i="16"/>
  <c r="B137" i="16"/>
  <c r="AL102" i="16"/>
  <c r="D101" i="16"/>
  <c r="E24" i="7"/>
  <c r="AB24" i="7"/>
  <c r="Y24" i="7"/>
  <c r="AC99" i="16"/>
  <c r="AF99" i="16"/>
  <c r="H99" i="16"/>
  <c r="AI99" i="16"/>
  <c r="K99" i="16"/>
  <c r="N99" i="16"/>
  <c r="Q99" i="16"/>
  <c r="C99" i="16"/>
  <c r="D99" i="16" s="1"/>
  <c r="T99" i="16"/>
  <c r="W99" i="16"/>
  <c r="Z99" i="16"/>
  <c r="B154" i="16"/>
  <c r="E105" i="7"/>
  <c r="AD105" i="7" s="1"/>
  <c r="Y105" i="7"/>
  <c r="AB105" i="7"/>
  <c r="H160" i="8"/>
  <c r="Q160" i="8"/>
  <c r="K160" i="8"/>
  <c r="N160" i="8"/>
  <c r="B167" i="7"/>
  <c r="Z160" i="8"/>
  <c r="T160" i="8"/>
  <c r="C123" i="8"/>
  <c r="D123" i="8" s="1"/>
  <c r="N123" i="8"/>
  <c r="Q123" i="8"/>
  <c r="K123" i="8"/>
  <c r="H123" i="8"/>
  <c r="B130" i="7"/>
  <c r="T123" i="8"/>
  <c r="W123" i="8"/>
  <c r="Z123" i="8"/>
  <c r="AC107" i="16"/>
  <c r="AF107" i="16"/>
  <c r="H107" i="16"/>
  <c r="AI107" i="16"/>
  <c r="K107" i="16"/>
  <c r="N107" i="16"/>
  <c r="Z107" i="16"/>
  <c r="T107" i="16"/>
  <c r="Q107" i="16"/>
  <c r="W107" i="16"/>
  <c r="B162" i="16"/>
  <c r="C107" i="16"/>
  <c r="D107" i="16" s="1"/>
  <c r="Q95" i="16"/>
  <c r="T95" i="16"/>
  <c r="W95" i="16"/>
  <c r="Z95" i="16"/>
  <c r="AC95" i="16"/>
  <c r="AF95" i="16"/>
  <c r="C95" i="16"/>
  <c r="D95" i="16" s="1"/>
  <c r="AI95" i="16"/>
  <c r="K95" i="16"/>
  <c r="H95" i="16"/>
  <c r="B150" i="16"/>
  <c r="N95" i="16"/>
  <c r="E49" i="7"/>
  <c r="Y49" i="7"/>
  <c r="AB49" i="7"/>
  <c r="AI65" i="16"/>
  <c r="K65" i="16"/>
  <c r="N65" i="16"/>
  <c r="Q65" i="16"/>
  <c r="C65" i="16"/>
  <c r="W65" i="16"/>
  <c r="Z65" i="16"/>
  <c r="AC65" i="16"/>
  <c r="T65" i="16"/>
  <c r="AF65" i="16"/>
  <c r="B120" i="16"/>
  <c r="H65" i="16"/>
  <c r="E92" i="7"/>
  <c r="AD92" i="7" s="1"/>
  <c r="AB92" i="7"/>
  <c r="Y92" i="7"/>
  <c r="E53" i="7"/>
  <c r="AB53" i="7"/>
  <c r="Y53" i="7"/>
  <c r="D46" i="16"/>
  <c r="AL47" i="16"/>
  <c r="E88" i="7"/>
  <c r="AD88" i="7" s="1"/>
  <c r="Y88" i="7"/>
  <c r="AB88" i="7"/>
  <c r="W86" i="16"/>
  <c r="Z86" i="16"/>
  <c r="AC86" i="16"/>
  <c r="H86" i="16"/>
  <c r="T86" i="16"/>
  <c r="K86" i="16"/>
  <c r="N86" i="16"/>
  <c r="Q86" i="16"/>
  <c r="AI86" i="16"/>
  <c r="C86" i="16"/>
  <c r="D86" i="16" s="1"/>
  <c r="B141" i="16"/>
  <c r="AF86" i="16"/>
  <c r="E23" i="7"/>
  <c r="Y23" i="7"/>
  <c r="AB23" i="7"/>
  <c r="E89" i="7"/>
  <c r="AD89" i="7" s="1"/>
  <c r="AB89" i="7"/>
  <c r="Y89" i="7"/>
  <c r="E72" i="7"/>
  <c r="AD72" i="7" s="1"/>
  <c r="AB72" i="7"/>
  <c r="Y72" i="7"/>
  <c r="AB78" i="7"/>
  <c r="E78" i="7"/>
  <c r="AD78" i="7" s="1"/>
  <c r="Y78" i="7"/>
  <c r="K53" i="16"/>
  <c r="T53" i="16"/>
  <c r="AC53" i="16"/>
  <c r="B108" i="16"/>
  <c r="AI53" i="16"/>
  <c r="N53" i="16"/>
  <c r="Z53" i="16"/>
  <c r="Q53" i="16"/>
  <c r="C53" i="16"/>
  <c r="D53" i="16" s="1"/>
  <c r="AF53" i="16"/>
  <c r="W53" i="16"/>
  <c r="H53" i="16"/>
  <c r="D10" i="16"/>
  <c r="AL11" i="16"/>
  <c r="E35" i="7"/>
  <c r="Y35" i="7"/>
  <c r="AB35" i="7"/>
  <c r="E85" i="7"/>
  <c r="AD85" i="7" s="1"/>
  <c r="Y85" i="7"/>
  <c r="AB85" i="7"/>
  <c r="E40" i="7"/>
  <c r="Y40" i="7"/>
  <c r="AB40" i="7"/>
  <c r="E73" i="7"/>
  <c r="AD73" i="7" s="1"/>
  <c r="AB73" i="7"/>
  <c r="Y73" i="7"/>
  <c r="E29" i="7"/>
  <c r="Y29" i="7"/>
  <c r="AB29" i="7"/>
  <c r="E79" i="7"/>
  <c r="AD79" i="7" s="1"/>
  <c r="AB79" i="7"/>
  <c r="Y79" i="7"/>
  <c r="E151" i="7"/>
  <c r="AD151" i="7" s="1"/>
  <c r="AB151" i="7"/>
  <c r="Y151" i="7"/>
  <c r="E32" i="7"/>
  <c r="AB32" i="7"/>
  <c r="Y32" i="7"/>
  <c r="W69" i="16"/>
  <c r="Z69" i="16"/>
  <c r="AC69" i="16"/>
  <c r="C69" i="16"/>
  <c r="D69" i="16" s="1"/>
  <c r="AF69" i="16"/>
  <c r="T69" i="16"/>
  <c r="H69" i="16"/>
  <c r="K69" i="16"/>
  <c r="N69" i="16"/>
  <c r="Q69" i="16"/>
  <c r="AI69" i="16"/>
  <c r="B124" i="16"/>
  <c r="E137" i="7"/>
  <c r="AD137" i="7" s="1"/>
  <c r="Y137" i="7"/>
  <c r="AB137" i="7"/>
  <c r="E54" i="7"/>
  <c r="Y54" i="7"/>
  <c r="AB54" i="7"/>
  <c r="C75" i="16"/>
  <c r="D75" i="16" s="1"/>
  <c r="AC75" i="16"/>
  <c r="AF75" i="16"/>
  <c r="H75" i="16"/>
  <c r="AI75" i="16"/>
  <c r="K75" i="16"/>
  <c r="N75" i="16"/>
  <c r="Z75" i="16"/>
  <c r="T75" i="16"/>
  <c r="Q75" i="16"/>
  <c r="B130" i="16"/>
  <c r="W75" i="16"/>
  <c r="C48" i="16"/>
  <c r="D48" i="16" s="1"/>
  <c r="T48" i="16"/>
  <c r="B103" i="16"/>
  <c r="Q48" i="16"/>
  <c r="N48" i="16"/>
  <c r="H48" i="16"/>
  <c r="K48" i="16"/>
  <c r="W48" i="16"/>
  <c r="Z48" i="16"/>
  <c r="AC48" i="16"/>
  <c r="AF48" i="16"/>
  <c r="AI48" i="16"/>
  <c r="E111" i="7"/>
  <c r="AD111" i="7" s="1"/>
  <c r="AB111" i="7"/>
  <c r="Y111" i="7"/>
  <c r="C160" i="16"/>
  <c r="D160" i="16" s="1"/>
  <c r="AF160" i="16"/>
  <c r="W160" i="16"/>
  <c r="K160" i="16"/>
  <c r="T160" i="16"/>
  <c r="N160" i="16"/>
  <c r="H160" i="16"/>
  <c r="Q160" i="16"/>
  <c r="Z160" i="16"/>
  <c r="AC160" i="16"/>
  <c r="AI160" i="16"/>
  <c r="N131" i="8"/>
  <c r="C131" i="8"/>
  <c r="D131" i="8" s="1"/>
  <c r="Q131" i="8"/>
  <c r="K131" i="8"/>
  <c r="H131" i="8"/>
  <c r="W131" i="8"/>
  <c r="Z131" i="8"/>
  <c r="T131" i="8"/>
  <c r="B138" i="7"/>
  <c r="W102" i="16"/>
  <c r="Z102" i="16"/>
  <c r="AC102" i="16"/>
  <c r="H102" i="16"/>
  <c r="T102" i="16"/>
  <c r="K102" i="16"/>
  <c r="N102" i="16"/>
  <c r="Q102" i="16"/>
  <c r="AF102" i="16"/>
  <c r="B157" i="16"/>
  <c r="AI102" i="16"/>
  <c r="C102" i="16"/>
  <c r="D102" i="16" s="1"/>
  <c r="E109" i="7"/>
  <c r="AD109" i="7" s="1"/>
  <c r="AB109" i="7"/>
  <c r="Y109" i="7"/>
  <c r="H66" i="8"/>
  <c r="Q66" i="8"/>
  <c r="C66" i="8"/>
  <c r="D66" i="8" s="1"/>
  <c r="K66" i="8"/>
  <c r="N66" i="8"/>
  <c r="B70" i="7"/>
  <c r="W66" i="8"/>
  <c r="T66" i="8"/>
  <c r="Z66" i="8"/>
  <c r="B121" i="8"/>
  <c r="C131" i="16"/>
  <c r="D131" i="16" s="1"/>
  <c r="N131" i="16"/>
  <c r="H131" i="16"/>
  <c r="Z131" i="16"/>
  <c r="Q131" i="16"/>
  <c r="K131" i="16"/>
  <c r="T131" i="16"/>
  <c r="W131" i="16"/>
  <c r="AF131" i="16"/>
  <c r="AC131" i="16"/>
  <c r="AI131" i="16"/>
  <c r="E37" i="7"/>
  <c r="Y37" i="7"/>
  <c r="AB37" i="7"/>
  <c r="C86" i="8"/>
  <c r="D86" i="8" s="1"/>
  <c r="K86" i="8"/>
  <c r="N86" i="8"/>
  <c r="Q86" i="8"/>
  <c r="H86" i="8"/>
  <c r="B90" i="7"/>
  <c r="B141" i="8"/>
  <c r="Z86" i="8"/>
  <c r="T86" i="8"/>
  <c r="W86" i="8"/>
  <c r="E56" i="7"/>
  <c r="Y56" i="7"/>
  <c r="AB56" i="7"/>
  <c r="E36" i="7"/>
  <c r="AB36" i="7"/>
  <c r="Y36" i="7"/>
  <c r="K125" i="8"/>
  <c r="N125" i="8"/>
  <c r="C125" i="8"/>
  <c r="D125" i="8" s="1"/>
  <c r="H125" i="8"/>
  <c r="Q125" i="8"/>
  <c r="B132" i="7"/>
  <c r="W125" i="8"/>
  <c r="T125" i="8"/>
  <c r="Z125" i="8"/>
  <c r="E50" i="7"/>
  <c r="AB50" i="7"/>
  <c r="Y50" i="7"/>
  <c r="E143" i="7"/>
  <c r="AD143" i="7" s="1"/>
  <c r="AB143" i="7"/>
  <c r="Y143" i="7"/>
  <c r="E69" i="7"/>
  <c r="AD69" i="7" s="1"/>
  <c r="AB69" i="7"/>
  <c r="Y69" i="7"/>
  <c r="W70" i="16"/>
  <c r="Z70" i="16"/>
  <c r="AC70" i="16"/>
  <c r="H70" i="16"/>
  <c r="T70" i="16"/>
  <c r="K70" i="16"/>
  <c r="N70" i="16"/>
  <c r="Q70" i="16"/>
  <c r="C70" i="16"/>
  <c r="D70" i="16" s="1"/>
  <c r="AF70" i="16"/>
  <c r="B125" i="16"/>
  <c r="AI70" i="16"/>
  <c r="E46" i="7"/>
  <c r="AB46" i="7"/>
  <c r="Y46" i="7"/>
  <c r="H73" i="8"/>
  <c r="K73" i="8"/>
  <c r="N73" i="8"/>
  <c r="Q73" i="8"/>
  <c r="C73" i="8"/>
  <c r="D73" i="8" s="1"/>
  <c r="B77" i="7"/>
  <c r="B128" i="8"/>
  <c r="T73" i="8"/>
  <c r="W73" i="8"/>
  <c r="Z73" i="8"/>
  <c r="Q79" i="16"/>
  <c r="T79" i="16"/>
  <c r="W79" i="16"/>
  <c r="Z79" i="16"/>
  <c r="AC79" i="16"/>
  <c r="AF79" i="16"/>
  <c r="C79" i="16"/>
  <c r="D79" i="16" s="1"/>
  <c r="AI79" i="16"/>
  <c r="H79" i="16"/>
  <c r="N79" i="16"/>
  <c r="B134" i="16"/>
  <c r="K79" i="16"/>
  <c r="C56" i="16"/>
  <c r="D56" i="16" s="1"/>
  <c r="B111" i="16"/>
  <c r="Z56" i="16"/>
  <c r="H56" i="16"/>
  <c r="Q56" i="16"/>
  <c r="N56" i="16"/>
  <c r="K56" i="16"/>
  <c r="AI56" i="16"/>
  <c r="AC56" i="16"/>
  <c r="AF56" i="16"/>
  <c r="W56" i="16"/>
  <c r="T56" i="16"/>
  <c r="E80" i="7"/>
  <c r="AD80" i="7" s="1"/>
  <c r="Y80" i="7"/>
  <c r="AB80" i="7"/>
  <c r="N134" i="8"/>
  <c r="C134" i="8"/>
  <c r="D134" i="8" s="1"/>
  <c r="Q134" i="8"/>
  <c r="H134" i="8"/>
  <c r="K134" i="8"/>
  <c r="B141" i="7"/>
  <c r="W134" i="8"/>
  <c r="T134" i="8"/>
  <c r="Z134" i="8"/>
  <c r="C127" i="16"/>
  <c r="D127" i="16" s="1"/>
  <c r="W127" i="16"/>
  <c r="H127" i="16"/>
  <c r="Z127" i="16"/>
  <c r="T127" i="16"/>
  <c r="AI127" i="16"/>
  <c r="Q127" i="16"/>
  <c r="AC127" i="16"/>
  <c r="AF127" i="16"/>
  <c r="K127" i="16"/>
  <c r="N127" i="16"/>
  <c r="C92" i="16"/>
  <c r="D92" i="16" s="1"/>
  <c r="Z92" i="16"/>
  <c r="T92" i="16"/>
  <c r="AC92" i="16"/>
  <c r="AF92" i="16"/>
  <c r="H92" i="16"/>
  <c r="AI92" i="16"/>
  <c r="K92" i="16"/>
  <c r="W92" i="16"/>
  <c r="Q92" i="16"/>
  <c r="B147" i="16"/>
  <c r="N92" i="16"/>
  <c r="C25" i="16"/>
  <c r="D25" i="16" s="1"/>
  <c r="AC25" i="16"/>
  <c r="K25" i="16"/>
  <c r="Z25" i="16"/>
  <c r="N25" i="16"/>
  <c r="AF25" i="16"/>
  <c r="H25" i="16"/>
  <c r="W25" i="16"/>
  <c r="B80" i="16"/>
  <c r="T25" i="16"/>
  <c r="AI25" i="16"/>
  <c r="Q25" i="16"/>
  <c r="E131" i="7"/>
  <c r="AD131" i="7" s="1"/>
  <c r="AB131" i="7"/>
  <c r="Y131" i="7"/>
  <c r="K161" i="8"/>
  <c r="B168" i="7"/>
  <c r="H161" i="8"/>
  <c r="N161" i="8"/>
  <c r="Q161" i="8"/>
  <c r="T161" i="8"/>
  <c r="Z161" i="8"/>
  <c r="AF122" i="16"/>
  <c r="T122" i="16"/>
  <c r="E51" i="7"/>
  <c r="Y51" i="7"/>
  <c r="AB51" i="7"/>
  <c r="E74" i="7"/>
  <c r="AD74" i="7" s="1"/>
  <c r="Y74" i="7"/>
  <c r="AB74" i="7"/>
  <c r="E19" i="7"/>
  <c r="Y19" i="7"/>
  <c r="AB19" i="7"/>
  <c r="E38" i="7"/>
  <c r="AB38" i="7"/>
  <c r="Y38" i="7"/>
  <c r="E152" i="7"/>
  <c r="AD152" i="7" s="1"/>
  <c r="AB152" i="7"/>
  <c r="Y152" i="7"/>
  <c r="AF74" i="16"/>
  <c r="H74" i="16"/>
  <c r="AI74" i="16"/>
  <c r="K74" i="16"/>
  <c r="T74" i="16"/>
  <c r="N74" i="16"/>
  <c r="Q74" i="16"/>
  <c r="AC74" i="16"/>
  <c r="Z74" i="16"/>
  <c r="B129" i="16"/>
  <c r="W74" i="16"/>
  <c r="C74" i="16"/>
  <c r="D74" i="16" s="1"/>
  <c r="W78" i="16"/>
  <c r="Z78" i="16"/>
  <c r="AC78" i="16"/>
  <c r="C78" i="16"/>
  <c r="D78" i="16" s="1"/>
  <c r="AF78" i="16"/>
  <c r="AI78" i="16"/>
  <c r="T78" i="16"/>
  <c r="N78" i="16"/>
  <c r="H78" i="16"/>
  <c r="K78" i="16"/>
  <c r="Q78" i="16"/>
  <c r="B133" i="16"/>
  <c r="E150" i="7"/>
  <c r="AD150" i="7" s="1"/>
  <c r="Y150" i="7"/>
  <c r="AB150" i="7"/>
  <c r="E86" i="7"/>
  <c r="AD86" i="7" s="1"/>
  <c r="Y86" i="7"/>
  <c r="AB86" i="7"/>
  <c r="C136" i="16"/>
  <c r="D136" i="16" s="1"/>
  <c r="W136" i="16"/>
  <c r="Z136" i="16"/>
  <c r="H136" i="16"/>
  <c r="AF136" i="16"/>
  <c r="Q136" i="16"/>
  <c r="AC136" i="16"/>
  <c r="N136" i="16"/>
  <c r="AI136" i="16"/>
  <c r="K136" i="16"/>
  <c r="T136" i="16"/>
  <c r="E12" i="7"/>
  <c r="AB12" i="7"/>
  <c r="Y12" i="7"/>
  <c r="E26" i="7"/>
  <c r="AB26" i="7"/>
  <c r="Y26" i="7"/>
  <c r="E110" i="7"/>
  <c r="AD110" i="7" s="1"/>
  <c r="AB110" i="7"/>
  <c r="Y110" i="7"/>
  <c r="E136" i="7"/>
  <c r="AD136" i="7" s="1"/>
  <c r="Y136" i="7"/>
  <c r="AB136" i="7"/>
  <c r="C152" i="16"/>
  <c r="D152" i="16" s="1"/>
  <c r="AI152" i="16"/>
  <c r="Z152" i="16"/>
  <c r="H152" i="16"/>
  <c r="AF152" i="16"/>
  <c r="Q152" i="16"/>
  <c r="T152" i="16"/>
  <c r="AC152" i="16"/>
  <c r="K152" i="16"/>
  <c r="N152" i="16"/>
  <c r="W152" i="16"/>
  <c r="E87" i="7"/>
  <c r="AD87" i="7" s="1"/>
  <c r="AB87" i="7"/>
  <c r="Y87" i="7"/>
  <c r="AB103" i="7"/>
  <c r="Y103" i="7"/>
  <c r="E103" i="7"/>
  <c r="AD103" i="7" s="1"/>
  <c r="E48" i="7"/>
  <c r="Y48" i="7"/>
  <c r="AB48" i="7"/>
  <c r="E22" i="7"/>
  <c r="AB22" i="7"/>
  <c r="Y22" i="7"/>
  <c r="E45" i="7"/>
  <c r="Y45" i="7"/>
  <c r="AB45" i="7"/>
  <c r="E153" i="7"/>
  <c r="AD153" i="7" s="1"/>
  <c r="AB153" i="7"/>
  <c r="Y153" i="7"/>
  <c r="E21" i="7"/>
  <c r="Y21" i="7"/>
  <c r="AB21" i="7"/>
  <c r="E25" i="7"/>
  <c r="Y25" i="7"/>
  <c r="AB25" i="7"/>
  <c r="W85" i="16"/>
  <c r="Z85" i="16"/>
  <c r="C85" i="16"/>
  <c r="D85" i="16" s="1"/>
  <c r="AC85" i="16"/>
  <c r="AF85" i="16"/>
  <c r="T85" i="16"/>
  <c r="H85" i="16"/>
  <c r="K85" i="16"/>
  <c r="N85" i="16"/>
  <c r="Q85" i="16"/>
  <c r="AI85" i="16"/>
  <c r="B140" i="16"/>
  <c r="E100" i="7"/>
  <c r="AD100" i="7" s="1"/>
  <c r="Y100" i="7"/>
  <c r="AB100" i="7"/>
  <c r="E95" i="7"/>
  <c r="AD95" i="7" s="1"/>
  <c r="AB95" i="7"/>
  <c r="Y95" i="7"/>
  <c r="E15" i="7"/>
  <c r="AB15" i="7"/>
  <c r="Y15" i="7"/>
  <c r="AB101" i="7"/>
  <c r="H100" i="8"/>
  <c r="K100" i="8"/>
  <c r="C100" i="8"/>
  <c r="D100" i="8" s="1"/>
  <c r="N100" i="8"/>
  <c r="Q100" i="8"/>
  <c r="B104" i="7"/>
  <c r="T100" i="8"/>
  <c r="W100" i="8"/>
  <c r="B155" i="8"/>
  <c r="Z100" i="8"/>
  <c r="E47" i="7"/>
  <c r="Y47" i="7"/>
  <c r="AB47" i="7"/>
  <c r="AF66" i="16"/>
  <c r="H66" i="16"/>
  <c r="AI66" i="16"/>
  <c r="K66" i="16"/>
  <c r="T66" i="16"/>
  <c r="N66" i="16"/>
  <c r="Q66" i="16"/>
  <c r="C66" i="16"/>
  <c r="D66" i="16" s="1"/>
  <c r="W66" i="16"/>
  <c r="Z66" i="16"/>
  <c r="AC66" i="16"/>
  <c r="B121" i="16"/>
  <c r="AF90" i="16"/>
  <c r="H90" i="16"/>
  <c r="AI90" i="16"/>
  <c r="K90" i="16"/>
  <c r="T90" i="16"/>
  <c r="N90" i="16"/>
  <c r="Q90" i="16"/>
  <c r="AC90" i="16"/>
  <c r="C90" i="16"/>
  <c r="D90" i="16" s="1"/>
  <c r="W90" i="16"/>
  <c r="Z90" i="16"/>
  <c r="B145" i="16"/>
  <c r="Q156" i="8"/>
  <c r="N156" i="8"/>
  <c r="B163" i="7"/>
  <c r="H156" i="8"/>
  <c r="K156" i="8"/>
  <c r="Z156" i="8"/>
  <c r="T156" i="8"/>
  <c r="AF98" i="16"/>
  <c r="H98" i="16"/>
  <c r="AI98" i="16"/>
  <c r="K98" i="16"/>
  <c r="T98" i="16"/>
  <c r="N98" i="16"/>
  <c r="Q98" i="16"/>
  <c r="W98" i="16"/>
  <c r="Z98" i="16"/>
  <c r="C98" i="16"/>
  <c r="D98" i="16" s="1"/>
  <c r="AC98" i="16"/>
  <c r="B153" i="16"/>
  <c r="E33" i="7"/>
  <c r="Y33" i="7"/>
  <c r="AB33" i="7"/>
  <c r="E144" i="7"/>
  <c r="AD144" i="7" s="1"/>
  <c r="AB144" i="7"/>
  <c r="Y144" i="7"/>
  <c r="E147" i="7"/>
  <c r="AD147" i="7" s="1"/>
  <c r="Y147" i="7"/>
  <c r="AB147" i="7"/>
  <c r="H67" i="8"/>
  <c r="K67" i="8"/>
  <c r="C67" i="8"/>
  <c r="D67" i="8" s="1"/>
  <c r="N67" i="8"/>
  <c r="Q67" i="8"/>
  <c r="B71" i="7"/>
  <c r="T67" i="8"/>
  <c r="W67" i="8"/>
  <c r="Z67" i="8"/>
  <c r="B122" i="8"/>
  <c r="E18" i="7"/>
  <c r="AB18" i="7"/>
  <c r="Y18" i="7"/>
  <c r="E145" i="7"/>
  <c r="AD145" i="7" s="1"/>
  <c r="Y145" i="7"/>
  <c r="AB145" i="7"/>
  <c r="K80" i="8"/>
  <c r="N80" i="8"/>
  <c r="Q80" i="8"/>
  <c r="H80" i="8"/>
  <c r="B84" i="7"/>
  <c r="C80" i="8"/>
  <c r="D80" i="8" s="1"/>
  <c r="T80" i="8"/>
  <c r="Z80" i="8"/>
  <c r="W80" i="8"/>
  <c r="B135" i="8"/>
  <c r="N87" i="8"/>
  <c r="C87" i="8"/>
  <c r="D87" i="8" s="1"/>
  <c r="Q87" i="8"/>
  <c r="H87" i="8"/>
  <c r="K87" i="8"/>
  <c r="B91" i="7"/>
  <c r="B142" i="8"/>
  <c r="Z87" i="8"/>
  <c r="T87" i="8"/>
  <c r="W87" i="8"/>
  <c r="N95" i="8"/>
  <c r="C95" i="8"/>
  <c r="D95" i="8" s="1"/>
  <c r="Q95" i="8"/>
  <c r="H95" i="8"/>
  <c r="K95" i="8"/>
  <c r="B99" i="7"/>
  <c r="T95" i="8"/>
  <c r="B150" i="8"/>
  <c r="Z95" i="8"/>
  <c r="W95" i="8"/>
  <c r="C41" i="16"/>
  <c r="D41" i="16" s="1"/>
  <c r="W41" i="16"/>
  <c r="AF41" i="16"/>
  <c r="AI41" i="16"/>
  <c r="T41" i="16"/>
  <c r="B96" i="16"/>
  <c r="K41" i="16"/>
  <c r="H41" i="16"/>
  <c r="Q41" i="16"/>
  <c r="Z41" i="16"/>
  <c r="N41" i="16"/>
  <c r="AC41" i="16"/>
  <c r="E169" i="7"/>
  <c r="AD169" i="7" s="1"/>
  <c r="AB169" i="7"/>
  <c r="C88" i="16"/>
  <c r="D88" i="16" s="1"/>
  <c r="N88" i="16"/>
  <c r="Q88" i="16"/>
  <c r="W88" i="16"/>
  <c r="AI88" i="16"/>
  <c r="H88" i="16"/>
  <c r="K88" i="16"/>
  <c r="AC88" i="16"/>
  <c r="B143" i="16"/>
  <c r="Z88" i="16"/>
  <c r="T88" i="16"/>
  <c r="AF88" i="16"/>
  <c r="H109" i="8"/>
  <c r="K109" i="8"/>
  <c r="N109" i="8"/>
  <c r="C109" i="8"/>
  <c r="D109" i="8" s="1"/>
  <c r="B113" i="7"/>
  <c r="B164" i="8"/>
  <c r="Z109" i="8"/>
  <c r="W109" i="8"/>
  <c r="Q109" i="8"/>
  <c r="T109" i="8"/>
  <c r="E30" i="7"/>
  <c r="AB30" i="7"/>
  <c r="Y30" i="7"/>
  <c r="E94" i="7"/>
  <c r="AD94" i="7" s="1"/>
  <c r="AB94" i="7"/>
  <c r="Y94" i="7"/>
  <c r="C148" i="8"/>
  <c r="D148" i="8" s="1"/>
  <c r="H148" i="8"/>
  <c r="K148" i="8"/>
  <c r="N148" i="8"/>
  <c r="Q148" i="8"/>
  <c r="B155" i="7"/>
  <c r="Z148" i="8"/>
  <c r="T148" i="8"/>
  <c r="W148" i="8"/>
  <c r="C146" i="16"/>
  <c r="D146" i="16" s="1"/>
  <c r="Q146" i="16"/>
  <c r="K146" i="16"/>
  <c r="W146" i="16"/>
  <c r="AI146" i="16"/>
  <c r="N146" i="16"/>
  <c r="AF146" i="16"/>
  <c r="H146" i="16"/>
  <c r="AC146" i="16"/>
  <c r="T146" i="16"/>
  <c r="Z146" i="16"/>
  <c r="E13" i="7"/>
  <c r="Y13" i="7"/>
  <c r="AB13" i="7"/>
  <c r="Q72" i="8"/>
  <c r="C72" i="8"/>
  <c r="D72" i="8" s="1"/>
  <c r="H72" i="8"/>
  <c r="K72" i="8"/>
  <c r="N72" i="8"/>
  <c r="B76" i="7"/>
  <c r="B127" i="8"/>
  <c r="T72" i="8"/>
  <c r="W72" i="8"/>
  <c r="Z72" i="8"/>
  <c r="C29" i="16"/>
  <c r="D29" i="16" s="1"/>
  <c r="H29" i="16"/>
  <c r="AF29" i="16"/>
  <c r="T29" i="16"/>
  <c r="W29" i="16"/>
  <c r="N29" i="16"/>
  <c r="AI29" i="16"/>
  <c r="K29" i="16"/>
  <c r="Z29" i="16"/>
  <c r="Q29" i="16"/>
  <c r="AC29" i="16"/>
  <c r="B84" i="16"/>
  <c r="H126" i="8"/>
  <c r="K126" i="8"/>
  <c r="N126" i="8"/>
  <c r="C126" i="8"/>
  <c r="D126" i="8" s="1"/>
  <c r="Q126" i="8"/>
  <c r="B133" i="7"/>
  <c r="T126" i="8"/>
  <c r="W126" i="8"/>
  <c r="Z126" i="8"/>
  <c r="E139" i="7"/>
  <c r="AD139" i="7" s="1"/>
  <c r="AB139" i="7"/>
  <c r="Y139" i="7"/>
  <c r="AI73" i="16"/>
  <c r="K73" i="16"/>
  <c r="N73" i="16"/>
  <c r="Q73" i="16"/>
  <c r="C73" i="16"/>
  <c r="D73" i="16" s="1"/>
  <c r="AF73" i="16"/>
  <c r="T73" i="16"/>
  <c r="H73" i="16"/>
  <c r="Z73" i="16"/>
  <c r="AC73" i="16"/>
  <c r="W73" i="16"/>
  <c r="B128" i="16"/>
  <c r="E57" i="7"/>
  <c r="Y57" i="7"/>
  <c r="AB57" i="7"/>
  <c r="C142" i="16"/>
  <c r="D142" i="16" s="1"/>
  <c r="W142" i="16"/>
  <c r="T142" i="16"/>
  <c r="AI142" i="16"/>
  <c r="N142" i="16"/>
  <c r="Z142" i="16"/>
  <c r="K142" i="16"/>
  <c r="H142" i="16"/>
  <c r="AF142" i="16"/>
  <c r="AC142" i="16"/>
  <c r="Q142" i="16"/>
  <c r="W9" i="16"/>
  <c r="AF9" i="16"/>
  <c r="H9" i="16"/>
  <c r="T9" i="16"/>
  <c r="Q9" i="16"/>
  <c r="N9" i="16"/>
  <c r="B68" i="7"/>
  <c r="T64" i="8"/>
  <c r="N64" i="8"/>
  <c r="W64" i="8"/>
  <c r="AI9" i="16"/>
  <c r="B64" i="16"/>
  <c r="C119" i="8"/>
  <c r="D119" i="8" s="1"/>
  <c r="T119" i="8"/>
  <c r="Z119" i="8"/>
  <c r="H119" i="8"/>
  <c r="W119" i="8"/>
  <c r="K119" i="8"/>
  <c r="B126" i="7"/>
  <c r="N119" i="8"/>
  <c r="Q119" i="8"/>
  <c r="E10" i="7"/>
  <c r="Y10" i="7"/>
  <c r="AB10" i="7"/>
  <c r="AI64" i="16"/>
  <c r="AF64" i="16"/>
  <c r="AC64" i="16"/>
  <c r="Z64" i="16"/>
  <c r="W64" i="16"/>
  <c r="Q64" i="16"/>
  <c r="N64" i="16"/>
  <c r="K64" i="16"/>
  <c r="H64" i="16"/>
  <c r="B119" i="16"/>
  <c r="C64" i="16"/>
  <c r="D64" i="16" s="1"/>
  <c r="T64" i="16"/>
  <c r="B118" i="16"/>
  <c r="N63" i="16"/>
  <c r="Z63" i="16"/>
  <c r="H63" i="16"/>
  <c r="H63" i="8"/>
  <c r="C63" i="8"/>
  <c r="D63" i="8" s="1"/>
  <c r="B118" i="8"/>
  <c r="K63" i="8"/>
  <c r="B67" i="7"/>
  <c r="N63" i="8"/>
  <c r="Q63" i="8"/>
  <c r="W63" i="8"/>
  <c r="Z63" i="8"/>
  <c r="T63" i="8"/>
  <c r="H9" i="7"/>
  <c r="I9" i="7" s="1"/>
  <c r="C9" i="24"/>
  <c r="O9" i="24" s="1"/>
  <c r="C137" i="10"/>
  <c r="D137" i="10" s="1"/>
  <c r="K137" i="10"/>
  <c r="N137" i="10"/>
  <c r="H137" i="10"/>
  <c r="K126" i="10"/>
  <c r="N126" i="10"/>
  <c r="H126" i="10"/>
  <c r="C126" i="10"/>
  <c r="D126" i="10" s="1"/>
  <c r="N71" i="10"/>
  <c r="H71" i="10"/>
  <c r="K71" i="10"/>
  <c r="C71" i="10"/>
  <c r="D71" i="10" s="1"/>
  <c r="K154" i="10"/>
  <c r="N154" i="10"/>
  <c r="C154" i="10"/>
  <c r="D154" i="10" s="1"/>
  <c r="H154" i="10"/>
  <c r="K156" i="10"/>
  <c r="N156" i="10"/>
  <c r="C156" i="10"/>
  <c r="D156" i="10" s="1"/>
  <c r="H156" i="10"/>
  <c r="C164" i="10"/>
  <c r="D164" i="10" s="1"/>
  <c r="N164" i="10"/>
  <c r="K164" i="10"/>
  <c r="H164" i="10"/>
  <c r="H95" i="10"/>
  <c r="K95" i="10"/>
  <c r="N95" i="10"/>
  <c r="C95" i="10"/>
  <c r="D95" i="10" s="1"/>
  <c r="C87" i="10"/>
  <c r="D87" i="10" s="1"/>
  <c r="K87" i="10"/>
  <c r="H87" i="10"/>
  <c r="N87" i="10"/>
  <c r="C67" i="10"/>
  <c r="D67" i="10" s="1"/>
  <c r="N67" i="10"/>
  <c r="K67" i="10"/>
  <c r="H67" i="10"/>
  <c r="N86" i="10"/>
  <c r="H86" i="10"/>
  <c r="C86" i="10"/>
  <c r="D86" i="10" s="1"/>
  <c r="K86" i="10"/>
  <c r="H82" i="10"/>
  <c r="C82" i="10"/>
  <c r="D82" i="10" s="1"/>
  <c r="N82" i="10"/>
  <c r="K82" i="10"/>
  <c r="N111" i="10"/>
  <c r="K111" i="10"/>
  <c r="H111" i="10"/>
  <c r="C111" i="10"/>
  <c r="D111" i="10" s="1"/>
  <c r="N148" i="10"/>
  <c r="H148" i="10"/>
  <c r="K148" i="10"/>
  <c r="C148" i="10"/>
  <c r="D148" i="10" s="1"/>
  <c r="K146" i="10"/>
  <c r="H146" i="10"/>
  <c r="C146" i="10"/>
  <c r="D146" i="10" s="1"/>
  <c r="N146" i="10"/>
  <c r="K81" i="10"/>
  <c r="N81" i="10"/>
  <c r="H81" i="10"/>
  <c r="C81" i="10"/>
  <c r="D81" i="10" s="1"/>
  <c r="C78" i="10"/>
  <c r="D78" i="10" s="1"/>
  <c r="H78" i="10"/>
  <c r="N78" i="10"/>
  <c r="K78" i="10"/>
  <c r="K89" i="10"/>
  <c r="N89" i="10"/>
  <c r="H89" i="10"/>
  <c r="C89" i="10"/>
  <c r="D89" i="10" s="1"/>
  <c r="N103" i="10"/>
  <c r="C103" i="10"/>
  <c r="D103" i="10" s="1"/>
  <c r="K103" i="10"/>
  <c r="H103" i="10"/>
  <c r="H150" i="10"/>
  <c r="C150" i="10"/>
  <c r="D150" i="10" s="1"/>
  <c r="N150" i="10"/>
  <c r="K150" i="10"/>
  <c r="N142" i="10"/>
  <c r="K142" i="10"/>
  <c r="H142" i="10"/>
  <c r="C142" i="10"/>
  <c r="D142" i="10" s="1"/>
  <c r="N97" i="10"/>
  <c r="H97" i="10"/>
  <c r="K97" i="10"/>
  <c r="C97" i="10"/>
  <c r="D97" i="10" s="1"/>
  <c r="N158" i="10"/>
  <c r="K158" i="10"/>
  <c r="H158" i="10"/>
  <c r="C158" i="10"/>
  <c r="D158" i="10" s="1"/>
  <c r="N166" i="10"/>
  <c r="H166" i="10"/>
  <c r="K166" i="10"/>
  <c r="C166" i="10"/>
  <c r="D166" i="10" s="1"/>
  <c r="N70" i="10"/>
  <c r="H70" i="10"/>
  <c r="C70" i="10"/>
  <c r="D70" i="10" s="1"/>
  <c r="K70" i="10"/>
  <c r="K94" i="10"/>
  <c r="H94" i="10"/>
  <c r="N94" i="10"/>
  <c r="C94" i="10"/>
  <c r="D94" i="10" s="1"/>
  <c r="N105" i="10"/>
  <c r="K105" i="10"/>
  <c r="C105" i="10"/>
  <c r="D105" i="10" s="1"/>
  <c r="H105" i="10"/>
  <c r="H107" i="10"/>
  <c r="C107" i="10"/>
  <c r="D107" i="10" s="1"/>
  <c r="N107" i="10"/>
  <c r="K107" i="10"/>
  <c r="C99" i="10"/>
  <c r="D99" i="10" s="1"/>
  <c r="K99" i="10"/>
  <c r="H99" i="10"/>
  <c r="N99" i="10"/>
  <c r="K134" i="10"/>
  <c r="N134" i="10"/>
  <c r="H134" i="10"/>
  <c r="C134" i="10"/>
  <c r="D134" i="10" s="1"/>
  <c r="N140" i="10"/>
  <c r="K140" i="10"/>
  <c r="H140" i="10"/>
  <c r="C140" i="10"/>
  <c r="D140" i="10" s="1"/>
  <c r="H110" i="10"/>
  <c r="K110" i="10"/>
  <c r="C110" i="10"/>
  <c r="D110" i="10" s="1"/>
  <c r="N110" i="10"/>
  <c r="K79" i="10"/>
  <c r="N79" i="10"/>
  <c r="C79" i="10"/>
  <c r="D79" i="10" s="1"/>
  <c r="H79" i="10"/>
  <c r="C156" i="8" l="1"/>
  <c r="D156" i="8" s="1"/>
  <c r="H44" i="7"/>
  <c r="I44" i="7" s="1"/>
  <c r="H16" i="7"/>
  <c r="I16" i="7" s="1"/>
  <c r="H17" i="7"/>
  <c r="I17" i="7" s="1"/>
  <c r="H127" i="7"/>
  <c r="I127" i="7" s="1"/>
  <c r="AD127" i="7"/>
  <c r="N58" i="9"/>
  <c r="P159" i="9"/>
  <c r="Q159" i="9" s="1"/>
  <c r="V158" i="8"/>
  <c r="W158" i="8" s="1"/>
  <c r="X166" i="7"/>
  <c r="Y166" i="7" s="1"/>
  <c r="P150" i="9"/>
  <c r="V149" i="8"/>
  <c r="C149" i="8" s="1"/>
  <c r="D149" i="8" s="1"/>
  <c r="X157" i="7"/>
  <c r="H55" i="7"/>
  <c r="I55" i="7" s="1"/>
  <c r="H31" i="7"/>
  <c r="I31" i="7" s="1"/>
  <c r="C27" i="24"/>
  <c r="O27" i="24" s="1"/>
  <c r="H28" i="7"/>
  <c r="I28" i="7" s="1"/>
  <c r="H52" i="7"/>
  <c r="I52" i="7" s="1"/>
  <c r="C127" i="24"/>
  <c r="O127" i="24" s="1"/>
  <c r="C11" i="24"/>
  <c r="O11" i="24" s="1"/>
  <c r="H124" i="9"/>
  <c r="C130" i="7"/>
  <c r="Q124" i="9"/>
  <c r="K124" i="9"/>
  <c r="N124" i="9"/>
  <c r="T124" i="9"/>
  <c r="N127" i="9"/>
  <c r="C133" i="7"/>
  <c r="K127" i="9"/>
  <c r="T127" i="9"/>
  <c r="H127" i="9"/>
  <c r="Q127" i="9"/>
  <c r="C156" i="7"/>
  <c r="K150" i="9"/>
  <c r="H150" i="9"/>
  <c r="Q150" i="9"/>
  <c r="T150" i="9"/>
  <c r="N150" i="9"/>
  <c r="N120" i="9"/>
  <c r="C126" i="7"/>
  <c r="Q120" i="9"/>
  <c r="H120" i="9"/>
  <c r="K120" i="9"/>
  <c r="T120" i="9"/>
  <c r="C129" i="7"/>
  <c r="K123" i="9"/>
  <c r="H123" i="9"/>
  <c r="N123" i="9"/>
  <c r="Q123" i="9"/>
  <c r="T123" i="9"/>
  <c r="H132" i="9"/>
  <c r="C138" i="7"/>
  <c r="T132" i="9"/>
  <c r="N132" i="9"/>
  <c r="K132" i="9"/>
  <c r="Q132" i="9"/>
  <c r="N160" i="9"/>
  <c r="C166" i="7"/>
  <c r="K160" i="9"/>
  <c r="T160" i="9"/>
  <c r="H160" i="9"/>
  <c r="N122" i="9"/>
  <c r="K122" i="9"/>
  <c r="H122" i="9"/>
  <c r="T122" i="9"/>
  <c r="C128" i="7"/>
  <c r="Q122" i="9"/>
  <c r="N146" i="9"/>
  <c r="K146" i="9"/>
  <c r="H146" i="9"/>
  <c r="C152" i="7"/>
  <c r="Q146" i="9"/>
  <c r="T146" i="9"/>
  <c r="C145" i="7"/>
  <c r="K139" i="9"/>
  <c r="N139" i="9"/>
  <c r="H139" i="9"/>
  <c r="T139" i="9"/>
  <c r="Q139" i="9"/>
  <c r="H156" i="9"/>
  <c r="N156" i="9"/>
  <c r="C162" i="7"/>
  <c r="T156" i="9"/>
  <c r="Q156" i="9"/>
  <c r="K156" i="9"/>
  <c r="C172" i="7"/>
  <c r="K166" i="9"/>
  <c r="H166" i="9"/>
  <c r="T166" i="9"/>
  <c r="N166" i="9"/>
  <c r="E42" i="18"/>
  <c r="C51" i="18"/>
  <c r="C52" i="18"/>
  <c r="C56" i="18"/>
  <c r="C53" i="18"/>
  <c r="H54" i="18" s="1"/>
  <c r="E44" i="18"/>
  <c r="B59" i="18" s="1"/>
  <c r="G56" i="18" s="1"/>
  <c r="K55" i="18" s="1"/>
  <c r="C54" i="18"/>
  <c r="H52" i="18" s="1"/>
  <c r="B24" i="19"/>
  <c r="C55" i="18"/>
  <c r="C57" i="18"/>
  <c r="E46" i="18"/>
  <c r="B61" i="18" s="1"/>
  <c r="G58" i="18" s="1"/>
  <c r="B28" i="19"/>
  <c r="C61" i="18"/>
  <c r="H58" i="18" s="1"/>
  <c r="E45" i="18"/>
  <c r="B60" i="18" s="1"/>
  <c r="G57" i="18" s="1"/>
  <c r="B27" i="19"/>
  <c r="C60" i="18"/>
  <c r="H57" i="18" s="1"/>
  <c r="E43" i="18"/>
  <c r="B58" i="18" s="1"/>
  <c r="G55" i="18" s="1"/>
  <c r="C58" i="18"/>
  <c r="H55" i="18" s="1"/>
  <c r="B25" i="19"/>
  <c r="E101" i="7"/>
  <c r="H42" i="7"/>
  <c r="I42" i="7" s="1"/>
  <c r="H122" i="16"/>
  <c r="AC122" i="16"/>
  <c r="Y101" i="7"/>
  <c r="N122" i="16"/>
  <c r="C122" i="16"/>
  <c r="D122" i="16" s="1"/>
  <c r="AI122" i="16"/>
  <c r="B165" i="16"/>
  <c r="C110" i="16"/>
  <c r="D110" i="16" s="1"/>
  <c r="K110" i="16"/>
  <c r="AF110" i="16"/>
  <c r="AI110" i="16"/>
  <c r="T110" i="16"/>
  <c r="H110" i="16"/>
  <c r="N110" i="16"/>
  <c r="AC110" i="16"/>
  <c r="W110" i="16"/>
  <c r="Q110" i="16"/>
  <c r="Z110" i="16"/>
  <c r="B161" i="16"/>
  <c r="T106" i="16"/>
  <c r="N106" i="16"/>
  <c r="Q106" i="16"/>
  <c r="W106" i="16"/>
  <c r="AC106" i="16"/>
  <c r="AF106" i="16"/>
  <c r="C106" i="16"/>
  <c r="D106" i="16" s="1"/>
  <c r="AI106" i="16"/>
  <c r="K106" i="16"/>
  <c r="H106" i="16"/>
  <c r="Z106" i="16"/>
  <c r="AF83" i="16"/>
  <c r="W83" i="16"/>
  <c r="H83" i="16"/>
  <c r="Z83" i="16"/>
  <c r="C83" i="16"/>
  <c r="D83" i="16" s="1"/>
  <c r="AI83" i="16"/>
  <c r="B138" i="16"/>
  <c r="K83" i="16"/>
  <c r="N83" i="16"/>
  <c r="AC83" i="16"/>
  <c r="Q83" i="16"/>
  <c r="T83" i="16"/>
  <c r="W122" i="16"/>
  <c r="K122" i="16"/>
  <c r="Z156" i="16"/>
  <c r="W156" i="16"/>
  <c r="N156" i="16"/>
  <c r="H156" i="16"/>
  <c r="K156" i="16"/>
  <c r="AF156" i="16"/>
  <c r="C156" i="16"/>
  <c r="Q156" i="16"/>
  <c r="T156" i="16"/>
  <c r="AC156" i="16"/>
  <c r="AI156" i="16"/>
  <c r="Q152" i="8"/>
  <c r="Z152" i="8"/>
  <c r="T152" i="8"/>
  <c r="H152" i="8"/>
  <c r="K152" i="8"/>
  <c r="N152" i="8"/>
  <c r="B159" i="7"/>
  <c r="Z122" i="16"/>
  <c r="Z151" i="8"/>
  <c r="T151" i="8"/>
  <c r="N151" i="8"/>
  <c r="H151" i="8"/>
  <c r="Q151" i="8"/>
  <c r="K151" i="8"/>
  <c r="B158" i="7"/>
  <c r="Q126" i="16"/>
  <c r="W126" i="16"/>
  <c r="T126" i="16"/>
  <c r="AF126" i="16"/>
  <c r="K126" i="16"/>
  <c r="N126" i="16"/>
  <c r="AC126" i="16"/>
  <c r="H126" i="16"/>
  <c r="AI126" i="16"/>
  <c r="Z126" i="16"/>
  <c r="C126" i="16"/>
  <c r="D126" i="16" s="1"/>
  <c r="Z89" i="16"/>
  <c r="Q89" i="16"/>
  <c r="N89" i="16"/>
  <c r="B144" i="16"/>
  <c r="AF89" i="16"/>
  <c r="C89" i="16"/>
  <c r="D89" i="16" s="1"/>
  <c r="T89" i="16"/>
  <c r="H89" i="16"/>
  <c r="AI89" i="16"/>
  <c r="W89" i="16"/>
  <c r="K89" i="16"/>
  <c r="AC89" i="16"/>
  <c r="H15" i="7"/>
  <c r="I15" i="7" s="1"/>
  <c r="C15" i="24"/>
  <c r="O15" i="24" s="1"/>
  <c r="H57" i="7"/>
  <c r="I57" i="7" s="1"/>
  <c r="C57" i="24"/>
  <c r="O57" i="24" s="1"/>
  <c r="H30" i="7"/>
  <c r="I30" i="7" s="1"/>
  <c r="C30" i="24"/>
  <c r="O30" i="24" s="1"/>
  <c r="C96" i="16"/>
  <c r="D96" i="16" s="1"/>
  <c r="N96" i="16"/>
  <c r="Q96" i="16"/>
  <c r="W96" i="16"/>
  <c r="Z96" i="16"/>
  <c r="AC96" i="16"/>
  <c r="T96" i="16"/>
  <c r="AF96" i="16"/>
  <c r="K96" i="16"/>
  <c r="AI96" i="16"/>
  <c r="B151" i="16"/>
  <c r="H96" i="16"/>
  <c r="H150" i="8"/>
  <c r="K150" i="8"/>
  <c r="N150" i="8"/>
  <c r="B157" i="7"/>
  <c r="Q150" i="8"/>
  <c r="T150" i="8"/>
  <c r="Z150" i="8"/>
  <c r="H48" i="7"/>
  <c r="I48" i="7" s="1"/>
  <c r="C48" i="24"/>
  <c r="O48" i="24" s="1"/>
  <c r="C80" i="16"/>
  <c r="D80" i="16" s="1"/>
  <c r="N80" i="16"/>
  <c r="Q80" i="16"/>
  <c r="W80" i="16"/>
  <c r="Z80" i="16"/>
  <c r="AC80" i="16"/>
  <c r="T80" i="16"/>
  <c r="AF80" i="16"/>
  <c r="H80" i="16"/>
  <c r="K80" i="16"/>
  <c r="AI80" i="16"/>
  <c r="B135" i="16"/>
  <c r="E77" i="7"/>
  <c r="AD77" i="7" s="1"/>
  <c r="AB77" i="7"/>
  <c r="Y77" i="7"/>
  <c r="H46" i="7"/>
  <c r="I46" i="7" s="1"/>
  <c r="C46" i="24"/>
  <c r="O46" i="24" s="1"/>
  <c r="H141" i="8"/>
  <c r="C141" i="8"/>
  <c r="D141" i="8" s="1"/>
  <c r="K141" i="8"/>
  <c r="N141" i="8"/>
  <c r="Q141" i="8"/>
  <c r="B148" i="7"/>
  <c r="T141" i="8"/>
  <c r="W141" i="8"/>
  <c r="Z141" i="8"/>
  <c r="H29" i="7"/>
  <c r="I29" i="7" s="1"/>
  <c r="C29" i="24"/>
  <c r="O29" i="24" s="1"/>
  <c r="H72" i="7"/>
  <c r="I72" i="7" s="1"/>
  <c r="C72" i="24"/>
  <c r="O72" i="24" s="1"/>
  <c r="C141" i="16"/>
  <c r="D141" i="16" s="1"/>
  <c r="K141" i="16"/>
  <c r="AC141" i="16"/>
  <c r="Z141" i="16"/>
  <c r="W141" i="16"/>
  <c r="Q141" i="16"/>
  <c r="AF141" i="16"/>
  <c r="AI141" i="16"/>
  <c r="T141" i="16"/>
  <c r="N141" i="16"/>
  <c r="H141" i="16"/>
  <c r="E130" i="7"/>
  <c r="AD130" i="7" s="1"/>
  <c r="Y130" i="7"/>
  <c r="AB130" i="7"/>
  <c r="H24" i="7"/>
  <c r="I24" i="7" s="1"/>
  <c r="C24" i="24"/>
  <c r="O24" i="24" s="1"/>
  <c r="E106" i="7"/>
  <c r="AD106" i="7" s="1"/>
  <c r="AB106" i="7"/>
  <c r="Y106" i="7"/>
  <c r="E166" i="7"/>
  <c r="AD166" i="7" s="1"/>
  <c r="AB166" i="7"/>
  <c r="H41" i="7"/>
  <c r="I41" i="7" s="1"/>
  <c r="C41" i="24"/>
  <c r="O41" i="24" s="1"/>
  <c r="C97" i="24"/>
  <c r="O97" i="24" s="1"/>
  <c r="H97" i="7"/>
  <c r="I97" i="7" s="1"/>
  <c r="H133" i="8"/>
  <c r="C133" i="8"/>
  <c r="D133" i="8" s="1"/>
  <c r="K133" i="8"/>
  <c r="Q133" i="8"/>
  <c r="B140" i="7"/>
  <c r="T133" i="8"/>
  <c r="Z133" i="8"/>
  <c r="N133" i="8"/>
  <c r="W133" i="8"/>
  <c r="H20" i="7"/>
  <c r="I20" i="7" s="1"/>
  <c r="C20" i="24"/>
  <c r="O20" i="24" s="1"/>
  <c r="C169" i="24"/>
  <c r="O169" i="24" s="1"/>
  <c r="C18" i="24"/>
  <c r="O18" i="24" s="1"/>
  <c r="H18" i="7"/>
  <c r="I18" i="7" s="1"/>
  <c r="H144" i="7"/>
  <c r="I144" i="7" s="1"/>
  <c r="C144" i="24"/>
  <c r="O144" i="24" s="1"/>
  <c r="E104" i="7"/>
  <c r="AD104" i="7" s="1"/>
  <c r="Y104" i="7"/>
  <c r="AB104" i="7"/>
  <c r="H25" i="7"/>
  <c r="I25" i="7" s="1"/>
  <c r="C25" i="24"/>
  <c r="O25" i="24" s="1"/>
  <c r="C103" i="24"/>
  <c r="O103" i="24" s="1"/>
  <c r="H103" i="7"/>
  <c r="I103" i="7" s="1"/>
  <c r="H152" i="7"/>
  <c r="I152" i="7" s="1"/>
  <c r="C152" i="24"/>
  <c r="O152" i="24" s="1"/>
  <c r="C134" i="16"/>
  <c r="D134" i="16" s="1"/>
  <c r="Q134" i="16"/>
  <c r="W134" i="16"/>
  <c r="H134" i="16"/>
  <c r="K134" i="16"/>
  <c r="AC134" i="16"/>
  <c r="T134" i="16"/>
  <c r="Z134" i="16"/>
  <c r="N134" i="16"/>
  <c r="AI134" i="16"/>
  <c r="AF134" i="16"/>
  <c r="E132" i="7"/>
  <c r="AD132" i="7" s="1"/>
  <c r="Y132" i="7"/>
  <c r="AB132" i="7"/>
  <c r="H36" i="7"/>
  <c r="I36" i="7" s="1"/>
  <c r="C36" i="24"/>
  <c r="O36" i="24" s="1"/>
  <c r="E90" i="7"/>
  <c r="AD90" i="7" s="1"/>
  <c r="AB90" i="7"/>
  <c r="Y90" i="7"/>
  <c r="H37" i="7"/>
  <c r="I37" i="7" s="1"/>
  <c r="C37" i="24"/>
  <c r="O37" i="24" s="1"/>
  <c r="E70" i="7"/>
  <c r="AD70" i="7" s="1"/>
  <c r="AB70" i="7"/>
  <c r="Y70" i="7"/>
  <c r="H109" i="7"/>
  <c r="I109" i="7" s="1"/>
  <c r="C109" i="24"/>
  <c r="O109" i="24" s="1"/>
  <c r="C32" i="24"/>
  <c r="O32" i="24" s="1"/>
  <c r="H32" i="7"/>
  <c r="I32" i="7" s="1"/>
  <c r="H85" i="7"/>
  <c r="I85" i="7" s="1"/>
  <c r="C85" i="24"/>
  <c r="O85" i="24" s="1"/>
  <c r="E167" i="7"/>
  <c r="AD167" i="7" s="1"/>
  <c r="AB167" i="7"/>
  <c r="C105" i="24"/>
  <c r="O105" i="24" s="1"/>
  <c r="H105" i="7"/>
  <c r="I105" i="7" s="1"/>
  <c r="W109" i="16"/>
  <c r="Z109" i="16"/>
  <c r="C109" i="16"/>
  <c r="D109" i="16" s="1"/>
  <c r="AC109" i="16"/>
  <c r="AF109" i="16"/>
  <c r="T109" i="16"/>
  <c r="H109" i="16"/>
  <c r="AI109" i="16"/>
  <c r="N109" i="16"/>
  <c r="K109" i="16"/>
  <c r="Q109" i="16"/>
  <c r="B164" i="16"/>
  <c r="H39" i="7"/>
  <c r="I39" i="7" s="1"/>
  <c r="C39" i="24"/>
  <c r="O39" i="24" s="1"/>
  <c r="H149" i="8"/>
  <c r="K149" i="8"/>
  <c r="N149" i="8"/>
  <c r="B156" i="7"/>
  <c r="Q149" i="8"/>
  <c r="T149" i="8"/>
  <c r="Z149" i="8"/>
  <c r="W149" i="8"/>
  <c r="C161" i="24"/>
  <c r="O161" i="24" s="1"/>
  <c r="E107" i="7"/>
  <c r="AD107" i="7" s="1"/>
  <c r="AB107" i="7"/>
  <c r="Y107" i="7"/>
  <c r="E82" i="7"/>
  <c r="AD82" i="7" s="1"/>
  <c r="Y82" i="7"/>
  <c r="AB82" i="7"/>
  <c r="H102" i="7"/>
  <c r="I102" i="7" s="1"/>
  <c r="C102" i="24"/>
  <c r="O102" i="24" s="1"/>
  <c r="E154" i="7"/>
  <c r="AD154" i="7" s="1"/>
  <c r="AB154" i="7"/>
  <c r="Y154" i="7"/>
  <c r="C127" i="8"/>
  <c r="D127" i="8" s="1"/>
  <c r="H127" i="8"/>
  <c r="K127" i="8"/>
  <c r="N127" i="8"/>
  <c r="W127" i="8"/>
  <c r="Z127" i="8"/>
  <c r="Q127" i="8"/>
  <c r="T127" i="8"/>
  <c r="B134" i="7"/>
  <c r="E99" i="7"/>
  <c r="AD99" i="7" s="1"/>
  <c r="Y99" i="7"/>
  <c r="AB99" i="7"/>
  <c r="C135" i="8"/>
  <c r="D135" i="8" s="1"/>
  <c r="H135" i="8"/>
  <c r="K135" i="8"/>
  <c r="N135" i="8"/>
  <c r="B142" i="7"/>
  <c r="Q135" i="8"/>
  <c r="T135" i="8"/>
  <c r="W135" i="8"/>
  <c r="Z135" i="8"/>
  <c r="K122" i="8"/>
  <c r="N122" i="8"/>
  <c r="H122" i="8"/>
  <c r="Q122" i="8"/>
  <c r="C122" i="8"/>
  <c r="D122" i="8" s="1"/>
  <c r="W122" i="8"/>
  <c r="B129" i="7"/>
  <c r="T122" i="8"/>
  <c r="Z122" i="8"/>
  <c r="C145" i="16"/>
  <c r="D145" i="16" s="1"/>
  <c r="Q145" i="16"/>
  <c r="AI145" i="16"/>
  <c r="N145" i="16"/>
  <c r="T145" i="16"/>
  <c r="Z145" i="16"/>
  <c r="AF145" i="16"/>
  <c r="W145" i="16"/>
  <c r="AC145" i="16"/>
  <c r="K145" i="16"/>
  <c r="H145" i="16"/>
  <c r="H100" i="7"/>
  <c r="I100" i="7" s="1"/>
  <c r="C100" i="24"/>
  <c r="O100" i="24" s="1"/>
  <c r="H45" i="7"/>
  <c r="I45" i="7" s="1"/>
  <c r="C45" i="24"/>
  <c r="O45" i="24" s="1"/>
  <c r="H26" i="7"/>
  <c r="I26" i="7" s="1"/>
  <c r="C26" i="24"/>
  <c r="O26" i="24" s="1"/>
  <c r="H74" i="7"/>
  <c r="I74" i="7" s="1"/>
  <c r="C74" i="24"/>
  <c r="O74" i="24" s="1"/>
  <c r="C147" i="16"/>
  <c r="D147" i="16" s="1"/>
  <c r="T147" i="16"/>
  <c r="K147" i="16"/>
  <c r="N147" i="16"/>
  <c r="H147" i="16"/>
  <c r="AF147" i="16"/>
  <c r="Q147" i="16"/>
  <c r="AC147" i="16"/>
  <c r="Z147" i="16"/>
  <c r="W147" i="16"/>
  <c r="AI147" i="16"/>
  <c r="C125" i="16"/>
  <c r="D125" i="16" s="1"/>
  <c r="Q125" i="16"/>
  <c r="AF125" i="16"/>
  <c r="T125" i="16"/>
  <c r="N125" i="16"/>
  <c r="W125" i="16"/>
  <c r="AI125" i="16"/>
  <c r="H125" i="16"/>
  <c r="AC125" i="16"/>
  <c r="Z125" i="16"/>
  <c r="K125" i="16"/>
  <c r="H143" i="7"/>
  <c r="I143" i="7" s="1"/>
  <c r="C143" i="24"/>
  <c r="O143" i="24" s="1"/>
  <c r="C130" i="16"/>
  <c r="D130" i="16" s="1"/>
  <c r="Q130" i="16"/>
  <c r="N130" i="16"/>
  <c r="T130" i="16"/>
  <c r="W130" i="16"/>
  <c r="AC130" i="16"/>
  <c r="H130" i="16"/>
  <c r="Z130" i="16"/>
  <c r="K130" i="16"/>
  <c r="AI130" i="16"/>
  <c r="AF130" i="16"/>
  <c r="H137" i="7"/>
  <c r="I137" i="7" s="1"/>
  <c r="C137" i="24"/>
  <c r="O137" i="24" s="1"/>
  <c r="H79" i="7"/>
  <c r="I79" i="7" s="1"/>
  <c r="C79" i="24"/>
  <c r="O79" i="24" s="1"/>
  <c r="H53" i="7"/>
  <c r="I53" i="7" s="1"/>
  <c r="C53" i="24"/>
  <c r="O53" i="24" s="1"/>
  <c r="C162" i="16"/>
  <c r="D162" i="16" s="1"/>
  <c r="W162" i="16"/>
  <c r="T162" i="16"/>
  <c r="N162" i="16"/>
  <c r="AI162" i="16"/>
  <c r="Z162" i="16"/>
  <c r="AC162" i="16"/>
  <c r="Q162" i="16"/>
  <c r="K162" i="16"/>
  <c r="H162" i="16"/>
  <c r="AF162" i="16"/>
  <c r="C154" i="16"/>
  <c r="D154" i="16" s="1"/>
  <c r="Z154" i="16"/>
  <c r="T154" i="16"/>
  <c r="N154" i="16"/>
  <c r="W154" i="16"/>
  <c r="AI154" i="16"/>
  <c r="Q154" i="16"/>
  <c r="H154" i="16"/>
  <c r="AC154" i="16"/>
  <c r="AF154" i="16"/>
  <c r="K154" i="16"/>
  <c r="E98" i="7"/>
  <c r="AD98" i="7" s="1"/>
  <c r="AB98" i="7"/>
  <c r="Y98" i="7"/>
  <c r="H108" i="7"/>
  <c r="I108" i="7" s="1"/>
  <c r="C108" i="24"/>
  <c r="O108" i="24" s="1"/>
  <c r="C104" i="16"/>
  <c r="D104" i="16" s="1"/>
  <c r="N104" i="16"/>
  <c r="Q104" i="16"/>
  <c r="W104" i="16"/>
  <c r="AI104" i="16"/>
  <c r="H104" i="16"/>
  <c r="K104" i="16"/>
  <c r="Z104" i="16"/>
  <c r="AF104" i="16"/>
  <c r="T104" i="16"/>
  <c r="AC104" i="16"/>
  <c r="B159" i="16"/>
  <c r="C170" i="24"/>
  <c r="O170" i="24" s="1"/>
  <c r="C132" i="16"/>
  <c r="D132" i="16" s="1"/>
  <c r="Z132" i="16"/>
  <c r="H132" i="16"/>
  <c r="AI132" i="16"/>
  <c r="K132" i="16"/>
  <c r="AF132" i="16"/>
  <c r="N132" i="16"/>
  <c r="AC132" i="16"/>
  <c r="T132" i="16"/>
  <c r="Q132" i="16"/>
  <c r="W132" i="16"/>
  <c r="H139" i="7"/>
  <c r="I139" i="7" s="1"/>
  <c r="C139" i="24"/>
  <c r="O139" i="24" s="1"/>
  <c r="C128" i="16"/>
  <c r="D128" i="16" s="1"/>
  <c r="K128" i="16"/>
  <c r="AI128" i="16"/>
  <c r="Z128" i="16"/>
  <c r="Q128" i="16"/>
  <c r="T128" i="16"/>
  <c r="N128" i="16"/>
  <c r="W128" i="16"/>
  <c r="AC128" i="16"/>
  <c r="H128" i="16"/>
  <c r="AF128" i="16"/>
  <c r="C84" i="16"/>
  <c r="D84" i="16" s="1"/>
  <c r="Z84" i="16"/>
  <c r="T84" i="16"/>
  <c r="AC84" i="16"/>
  <c r="AF84" i="16"/>
  <c r="H84" i="16"/>
  <c r="AI84" i="16"/>
  <c r="K84" i="16"/>
  <c r="N84" i="16"/>
  <c r="Q84" i="16"/>
  <c r="B139" i="16"/>
  <c r="W84" i="16"/>
  <c r="E76" i="7"/>
  <c r="AD76" i="7" s="1"/>
  <c r="AB76" i="7"/>
  <c r="Y76" i="7"/>
  <c r="H13" i="7"/>
  <c r="I13" i="7" s="1"/>
  <c r="C13" i="24"/>
  <c r="O13" i="24" s="1"/>
  <c r="K142" i="8"/>
  <c r="N142" i="8"/>
  <c r="C142" i="8"/>
  <c r="D142" i="8" s="1"/>
  <c r="B149" i="7"/>
  <c r="H142" i="8"/>
  <c r="Q142" i="8"/>
  <c r="Z142" i="8"/>
  <c r="T142" i="8"/>
  <c r="W142" i="8"/>
  <c r="C140" i="16"/>
  <c r="D140" i="16" s="1"/>
  <c r="H140" i="16"/>
  <c r="Q140" i="16"/>
  <c r="AI140" i="16"/>
  <c r="AF140" i="16"/>
  <c r="W140" i="16"/>
  <c r="AC140" i="16"/>
  <c r="K140" i="16"/>
  <c r="Z140" i="16"/>
  <c r="N140" i="16"/>
  <c r="T140" i="16"/>
  <c r="H86" i="7"/>
  <c r="I86" i="7" s="1"/>
  <c r="C86" i="24"/>
  <c r="O86" i="24" s="1"/>
  <c r="E141" i="7"/>
  <c r="AD141" i="7" s="1"/>
  <c r="Y141" i="7"/>
  <c r="AB141" i="7"/>
  <c r="H80" i="7"/>
  <c r="I80" i="7" s="1"/>
  <c r="C80" i="24"/>
  <c r="O80" i="24" s="1"/>
  <c r="C124" i="16"/>
  <c r="D124" i="16" s="1"/>
  <c r="AF124" i="16"/>
  <c r="AI124" i="16"/>
  <c r="N124" i="16"/>
  <c r="AC124" i="16"/>
  <c r="T124" i="16"/>
  <c r="W124" i="16"/>
  <c r="K124" i="16"/>
  <c r="Q124" i="16"/>
  <c r="Z124" i="16"/>
  <c r="H124" i="16"/>
  <c r="H73" i="7"/>
  <c r="I73" i="7" s="1"/>
  <c r="C73" i="24"/>
  <c r="O73" i="24" s="1"/>
  <c r="C89" i="24"/>
  <c r="O89" i="24" s="1"/>
  <c r="H89" i="7"/>
  <c r="I89" i="7" s="1"/>
  <c r="C137" i="16"/>
  <c r="D137" i="16" s="1"/>
  <c r="Q137" i="16"/>
  <c r="N137" i="16"/>
  <c r="AF137" i="16"/>
  <c r="H137" i="16"/>
  <c r="AC137" i="16"/>
  <c r="T137" i="16"/>
  <c r="AI137" i="16"/>
  <c r="K137" i="16"/>
  <c r="Z137" i="16"/>
  <c r="W137" i="16"/>
  <c r="E146" i="7"/>
  <c r="AD146" i="7" s="1"/>
  <c r="Y146" i="7"/>
  <c r="AB146" i="7"/>
  <c r="C81" i="24"/>
  <c r="O81" i="24" s="1"/>
  <c r="H81" i="7"/>
  <c r="I81" i="7" s="1"/>
  <c r="H93" i="7"/>
  <c r="I93" i="7" s="1"/>
  <c r="C93" i="24"/>
  <c r="O93" i="24" s="1"/>
  <c r="H136" i="7"/>
  <c r="I136" i="7" s="1"/>
  <c r="C136" i="24"/>
  <c r="O136" i="24" s="1"/>
  <c r="H38" i="7"/>
  <c r="I38" i="7" s="1"/>
  <c r="C38" i="24"/>
  <c r="O38" i="24" s="1"/>
  <c r="C131" i="24"/>
  <c r="O131" i="24" s="1"/>
  <c r="H131" i="7"/>
  <c r="I131" i="7" s="1"/>
  <c r="H56" i="7"/>
  <c r="I56" i="7" s="1"/>
  <c r="C56" i="24"/>
  <c r="O56" i="24" s="1"/>
  <c r="C157" i="16"/>
  <c r="D157" i="16" s="1"/>
  <c r="K157" i="16"/>
  <c r="AF157" i="16"/>
  <c r="W157" i="16"/>
  <c r="AI157" i="16"/>
  <c r="AC157" i="16"/>
  <c r="Q157" i="16"/>
  <c r="H157" i="16"/>
  <c r="Z157" i="16"/>
  <c r="N157" i="16"/>
  <c r="T157" i="16"/>
  <c r="H111" i="7"/>
  <c r="I111" i="7" s="1"/>
  <c r="C111" i="24"/>
  <c r="O111" i="24" s="1"/>
  <c r="H35" i="7"/>
  <c r="I35" i="7" s="1"/>
  <c r="C35" i="24"/>
  <c r="O35" i="24" s="1"/>
  <c r="C78" i="24"/>
  <c r="O78" i="24" s="1"/>
  <c r="H78" i="7"/>
  <c r="I78" i="7" s="1"/>
  <c r="H49" i="7"/>
  <c r="I49" i="7" s="1"/>
  <c r="C49" i="24"/>
  <c r="O49" i="24" s="1"/>
  <c r="H166" i="8"/>
  <c r="K166" i="8"/>
  <c r="B173" i="7"/>
  <c r="N166" i="8"/>
  <c r="Q166" i="8"/>
  <c r="Z166" i="8"/>
  <c r="T166" i="8"/>
  <c r="H83" i="7"/>
  <c r="I83" i="7" s="1"/>
  <c r="C83" i="24"/>
  <c r="O83" i="24" s="1"/>
  <c r="C160" i="24"/>
  <c r="O160" i="24" s="1"/>
  <c r="E91" i="7"/>
  <c r="AD91" i="7" s="1"/>
  <c r="AB91" i="7"/>
  <c r="Y91" i="7"/>
  <c r="H21" i="7"/>
  <c r="I21" i="7" s="1"/>
  <c r="C21" i="24"/>
  <c r="O21" i="24" s="1"/>
  <c r="E133" i="7"/>
  <c r="AD133" i="7" s="1"/>
  <c r="Y133" i="7"/>
  <c r="AB133" i="7"/>
  <c r="E155" i="7"/>
  <c r="AD155" i="7" s="1"/>
  <c r="AB155" i="7"/>
  <c r="Y155" i="7"/>
  <c r="H94" i="7"/>
  <c r="I94" i="7" s="1"/>
  <c r="C94" i="24"/>
  <c r="O94" i="24" s="1"/>
  <c r="N164" i="8"/>
  <c r="Q164" i="8"/>
  <c r="H164" i="8"/>
  <c r="K164" i="8"/>
  <c r="B171" i="7"/>
  <c r="T164" i="8"/>
  <c r="Z164" i="8"/>
  <c r="C153" i="16"/>
  <c r="D153" i="16" s="1"/>
  <c r="Z153" i="16"/>
  <c r="T153" i="16"/>
  <c r="AF153" i="16"/>
  <c r="AC153" i="16"/>
  <c r="N153" i="16"/>
  <c r="W153" i="16"/>
  <c r="H153" i="16"/>
  <c r="AI153" i="16"/>
  <c r="K153" i="16"/>
  <c r="Q153" i="16"/>
  <c r="H22" i="7"/>
  <c r="I22" i="7" s="1"/>
  <c r="C22" i="24"/>
  <c r="O22" i="24" s="1"/>
  <c r="H12" i="7"/>
  <c r="I12" i="7" s="1"/>
  <c r="C12" i="24"/>
  <c r="O12" i="24" s="1"/>
  <c r="C129" i="16"/>
  <c r="D129" i="16" s="1"/>
  <c r="W129" i="16"/>
  <c r="AF129" i="16"/>
  <c r="T129" i="16"/>
  <c r="AC129" i="16"/>
  <c r="K129" i="16"/>
  <c r="Q129" i="16"/>
  <c r="AI129" i="16"/>
  <c r="N129" i="16"/>
  <c r="Z129" i="16"/>
  <c r="H129" i="16"/>
  <c r="H51" i="7"/>
  <c r="I51" i="7" s="1"/>
  <c r="C51" i="24"/>
  <c r="O51" i="24" s="1"/>
  <c r="H50" i="7"/>
  <c r="I50" i="7" s="1"/>
  <c r="C50" i="24"/>
  <c r="O50" i="24" s="1"/>
  <c r="H121" i="8"/>
  <c r="K121" i="8"/>
  <c r="Q121" i="8"/>
  <c r="C121" i="8"/>
  <c r="D121" i="8" s="1"/>
  <c r="N121" i="8"/>
  <c r="B128" i="7"/>
  <c r="Z121" i="8"/>
  <c r="T121" i="8"/>
  <c r="W121" i="8"/>
  <c r="H88" i="7"/>
  <c r="I88" i="7" s="1"/>
  <c r="C88" i="24"/>
  <c r="O88" i="24" s="1"/>
  <c r="H92" i="7"/>
  <c r="I92" i="7" s="1"/>
  <c r="C92" i="24"/>
  <c r="O92" i="24" s="1"/>
  <c r="AL66" i="16"/>
  <c r="D65" i="16"/>
  <c r="N165" i="8"/>
  <c r="Q165" i="8"/>
  <c r="H165" i="8"/>
  <c r="K165" i="8"/>
  <c r="B172" i="7"/>
  <c r="T165" i="8"/>
  <c r="Z165" i="8"/>
  <c r="C112" i="24"/>
  <c r="O112" i="24" s="1"/>
  <c r="H112" i="7"/>
  <c r="I112" i="7" s="1"/>
  <c r="E113" i="7"/>
  <c r="AD113" i="7" s="1"/>
  <c r="Y113" i="7"/>
  <c r="AB113" i="7"/>
  <c r="C143" i="16"/>
  <c r="D143" i="16" s="1"/>
  <c r="AF143" i="16"/>
  <c r="T143" i="16"/>
  <c r="AC143" i="16"/>
  <c r="Z143" i="16"/>
  <c r="N143" i="16"/>
  <c r="H143" i="16"/>
  <c r="AI143" i="16"/>
  <c r="K143" i="16"/>
  <c r="W143" i="16"/>
  <c r="Q143" i="16"/>
  <c r="C145" i="24"/>
  <c r="O145" i="24" s="1"/>
  <c r="H145" i="7"/>
  <c r="I145" i="7" s="1"/>
  <c r="E71" i="7"/>
  <c r="AD71" i="7" s="1"/>
  <c r="Y71" i="7"/>
  <c r="AB71" i="7"/>
  <c r="H147" i="7"/>
  <c r="I147" i="7" s="1"/>
  <c r="C147" i="24"/>
  <c r="O147" i="24" s="1"/>
  <c r="E163" i="7"/>
  <c r="AD163" i="7" s="1"/>
  <c r="Y163" i="7"/>
  <c r="AB163" i="7"/>
  <c r="C121" i="16"/>
  <c r="D121" i="16" s="1"/>
  <c r="W121" i="16"/>
  <c r="K121" i="16"/>
  <c r="AI121" i="16"/>
  <c r="AF121" i="16"/>
  <c r="H121" i="16"/>
  <c r="AC121" i="16"/>
  <c r="N121" i="16"/>
  <c r="Z121" i="16"/>
  <c r="Q121" i="16"/>
  <c r="T121" i="16"/>
  <c r="Q155" i="8"/>
  <c r="K155" i="8"/>
  <c r="N155" i="8"/>
  <c r="H155" i="8"/>
  <c r="B162" i="7"/>
  <c r="C155" i="8"/>
  <c r="D155" i="8" s="1"/>
  <c r="Z155" i="8"/>
  <c r="W155" i="8"/>
  <c r="T155" i="8"/>
  <c r="C87" i="24"/>
  <c r="O87" i="24" s="1"/>
  <c r="H87" i="7"/>
  <c r="I87" i="7" s="1"/>
  <c r="H150" i="7"/>
  <c r="I150" i="7" s="1"/>
  <c r="C150" i="24"/>
  <c r="O150" i="24" s="1"/>
  <c r="Q111" i="16"/>
  <c r="T111" i="16"/>
  <c r="W111" i="16"/>
  <c r="Z111" i="16"/>
  <c r="AC111" i="16"/>
  <c r="AF111" i="16"/>
  <c r="C111" i="16"/>
  <c r="D111" i="16" s="1"/>
  <c r="AI111" i="16"/>
  <c r="H111" i="16"/>
  <c r="B166" i="16"/>
  <c r="N111" i="16"/>
  <c r="K111" i="16"/>
  <c r="E138" i="7"/>
  <c r="AD138" i="7" s="1"/>
  <c r="Y138" i="7"/>
  <c r="AB138" i="7"/>
  <c r="Q103" i="16"/>
  <c r="T103" i="16"/>
  <c r="W103" i="16"/>
  <c r="Z103" i="16"/>
  <c r="H103" i="16"/>
  <c r="K103" i="16"/>
  <c r="N103" i="16"/>
  <c r="C103" i="16"/>
  <c r="D103" i="16" s="1"/>
  <c r="AF103" i="16"/>
  <c r="AI103" i="16"/>
  <c r="AC103" i="16"/>
  <c r="B158" i="16"/>
  <c r="C40" i="24"/>
  <c r="O40" i="24" s="1"/>
  <c r="H40" i="7"/>
  <c r="I40" i="7" s="1"/>
  <c r="H23" i="7"/>
  <c r="I23" i="7" s="1"/>
  <c r="C23" i="24"/>
  <c r="O23" i="24" s="1"/>
  <c r="C150" i="16"/>
  <c r="D150" i="16" s="1"/>
  <c r="Q150" i="16"/>
  <c r="K150" i="16"/>
  <c r="W150" i="16"/>
  <c r="T150" i="16"/>
  <c r="AC150" i="16"/>
  <c r="H150" i="16"/>
  <c r="N150" i="16"/>
  <c r="Z150" i="16"/>
  <c r="AI150" i="16"/>
  <c r="AF150" i="16"/>
  <c r="H96" i="7"/>
  <c r="I96" i="7" s="1"/>
  <c r="C96" i="24"/>
  <c r="O96" i="24" s="1"/>
  <c r="E114" i="7"/>
  <c r="AD114" i="7" s="1"/>
  <c r="AB114" i="7"/>
  <c r="Y114" i="7"/>
  <c r="H14" i="7"/>
  <c r="I14" i="7" s="1"/>
  <c r="C14" i="24"/>
  <c r="O14" i="24" s="1"/>
  <c r="C100" i="16"/>
  <c r="D100" i="16" s="1"/>
  <c r="Z100" i="16"/>
  <c r="T100" i="16"/>
  <c r="AC100" i="16"/>
  <c r="AF100" i="16"/>
  <c r="H100" i="16"/>
  <c r="AI100" i="16"/>
  <c r="K100" i="16"/>
  <c r="N100" i="16"/>
  <c r="Q100" i="16"/>
  <c r="W100" i="16"/>
  <c r="B155" i="16"/>
  <c r="E115" i="7"/>
  <c r="AD115" i="7" s="1"/>
  <c r="Y115" i="7"/>
  <c r="AB115" i="7"/>
  <c r="H158" i="8"/>
  <c r="Q158" i="8"/>
  <c r="N158" i="8"/>
  <c r="B165" i="7"/>
  <c r="K158" i="8"/>
  <c r="T158" i="8"/>
  <c r="Z158" i="8"/>
  <c r="H75" i="7"/>
  <c r="I75" i="7" s="1"/>
  <c r="C75" i="24"/>
  <c r="O75" i="24" s="1"/>
  <c r="H33" i="7"/>
  <c r="I33" i="7" s="1"/>
  <c r="C33" i="24"/>
  <c r="O33" i="24" s="1"/>
  <c r="H47" i="7"/>
  <c r="I47" i="7" s="1"/>
  <c r="C47" i="24"/>
  <c r="O47" i="24" s="1"/>
  <c r="E84" i="7"/>
  <c r="AD84" i="7" s="1"/>
  <c r="AB84" i="7"/>
  <c r="Y84" i="7"/>
  <c r="C95" i="24"/>
  <c r="O95" i="24" s="1"/>
  <c r="H95" i="7"/>
  <c r="I95" i="7" s="1"/>
  <c r="H153" i="7"/>
  <c r="I153" i="7" s="1"/>
  <c r="C153" i="24"/>
  <c r="O153" i="24" s="1"/>
  <c r="H110" i="7"/>
  <c r="I110" i="7" s="1"/>
  <c r="C110" i="24"/>
  <c r="O110" i="24" s="1"/>
  <c r="C133" i="16"/>
  <c r="D133" i="16" s="1"/>
  <c r="K133" i="16"/>
  <c r="Q133" i="16"/>
  <c r="Z133" i="16"/>
  <c r="N133" i="16"/>
  <c r="AC133" i="16"/>
  <c r="AF133" i="16"/>
  <c r="AI133" i="16"/>
  <c r="H133" i="16"/>
  <c r="W133" i="16"/>
  <c r="T133" i="16"/>
  <c r="H19" i="7"/>
  <c r="I19" i="7" s="1"/>
  <c r="C19" i="24"/>
  <c r="O19" i="24" s="1"/>
  <c r="E168" i="7"/>
  <c r="AD168" i="7" s="1"/>
  <c r="AB168" i="7"/>
  <c r="H128" i="8"/>
  <c r="C128" i="8"/>
  <c r="D128" i="8" s="1"/>
  <c r="N128" i="8"/>
  <c r="Q128" i="8"/>
  <c r="K128" i="8"/>
  <c r="B135" i="7"/>
  <c r="Z128" i="8"/>
  <c r="T128" i="8"/>
  <c r="W128" i="8"/>
  <c r="H69" i="7"/>
  <c r="I69" i="7" s="1"/>
  <c r="C69" i="24"/>
  <c r="O69" i="24" s="1"/>
  <c r="H54" i="7"/>
  <c r="I54" i="7" s="1"/>
  <c r="C54" i="24"/>
  <c r="O54" i="24" s="1"/>
  <c r="H151" i="7"/>
  <c r="I151" i="7" s="1"/>
  <c r="C151" i="24"/>
  <c r="O151" i="24" s="1"/>
  <c r="C108" i="16"/>
  <c r="D108" i="16" s="1"/>
  <c r="Z108" i="16"/>
  <c r="T108" i="16"/>
  <c r="AC108" i="16"/>
  <c r="AF108" i="16"/>
  <c r="H108" i="16"/>
  <c r="AI108" i="16"/>
  <c r="K108" i="16"/>
  <c r="W108" i="16"/>
  <c r="N108" i="16"/>
  <c r="Q108" i="16"/>
  <c r="B163" i="16"/>
  <c r="C120" i="16"/>
  <c r="AC120" i="16"/>
  <c r="AI120" i="16"/>
  <c r="Z120" i="16"/>
  <c r="H120" i="16"/>
  <c r="K120" i="16"/>
  <c r="T120" i="16"/>
  <c r="AF120" i="16"/>
  <c r="N120" i="16"/>
  <c r="Q120" i="16"/>
  <c r="W120" i="16"/>
  <c r="C157" i="8"/>
  <c r="D157" i="8" s="1"/>
  <c r="H157" i="8"/>
  <c r="K157" i="8"/>
  <c r="N157" i="8"/>
  <c r="Q157" i="8"/>
  <c r="B164" i="7"/>
  <c r="Z157" i="8"/>
  <c r="T157" i="8"/>
  <c r="W157" i="8"/>
  <c r="AB68" i="7"/>
  <c r="E68" i="7"/>
  <c r="Y68" i="7"/>
  <c r="C119" i="16"/>
  <c r="D119" i="16" s="1"/>
  <c r="Q119" i="16"/>
  <c r="W119" i="16"/>
  <c r="AF119" i="16"/>
  <c r="AC119" i="16"/>
  <c r="AI119" i="16"/>
  <c r="N119" i="16"/>
  <c r="K119" i="16"/>
  <c r="Z119" i="16"/>
  <c r="T119" i="16"/>
  <c r="H119" i="16"/>
  <c r="H10" i="7"/>
  <c r="I10" i="7" s="1"/>
  <c r="C10" i="24"/>
  <c r="O10" i="24" s="1"/>
  <c r="AB126" i="7"/>
  <c r="Y126" i="7"/>
  <c r="E126" i="7"/>
  <c r="AF118" i="16"/>
  <c r="W118" i="16"/>
  <c r="C118" i="16"/>
  <c r="D118" i="16" s="1"/>
  <c r="T118" i="16"/>
  <c r="N118" i="16"/>
  <c r="AI118" i="16"/>
  <c r="K118" i="16"/>
  <c r="Z118" i="16"/>
  <c r="AC118" i="16"/>
  <c r="Q118" i="16"/>
  <c r="H118" i="16"/>
  <c r="AB67" i="7"/>
  <c r="E67" i="7"/>
  <c r="Y67" i="7"/>
  <c r="H118" i="8"/>
  <c r="T118" i="8"/>
  <c r="K118" i="8"/>
  <c r="C118" i="8"/>
  <c r="D118" i="8" s="1"/>
  <c r="B125" i="7"/>
  <c r="N118" i="8"/>
  <c r="Q118" i="8"/>
  <c r="Z118" i="8"/>
  <c r="W118" i="8"/>
  <c r="C101" i="24" l="1"/>
  <c r="O101" i="24" s="1"/>
  <c r="AD101" i="7"/>
  <c r="C158" i="8"/>
  <c r="D158" i="8" s="1"/>
  <c r="X167" i="7"/>
  <c r="P160" i="9"/>
  <c r="Q160" i="9" s="1"/>
  <c r="V159" i="8"/>
  <c r="X158" i="7"/>
  <c r="Y158" i="7" s="1"/>
  <c r="P151" i="9"/>
  <c r="Q151" i="9" s="1"/>
  <c r="V150" i="8"/>
  <c r="N114" i="9"/>
  <c r="H101" i="7"/>
  <c r="I101" i="7" s="1"/>
  <c r="H53" i="18"/>
  <c r="AA3" i="9"/>
  <c r="AA61" i="9" s="1"/>
  <c r="AA119" i="9" s="1"/>
  <c r="AA3" i="7"/>
  <c r="K51" i="18"/>
  <c r="C45" i="19"/>
  <c r="C25" i="19"/>
  <c r="C28" i="19"/>
  <c r="C51" i="19"/>
  <c r="AA5" i="9"/>
  <c r="AA5" i="7"/>
  <c r="AA63" i="7" s="1"/>
  <c r="AA121" i="7" s="1"/>
  <c r="K52" i="18"/>
  <c r="AA4" i="7"/>
  <c r="AA62" i="7" s="1"/>
  <c r="AA120" i="7" s="1"/>
  <c r="K54" i="18"/>
  <c r="AA4" i="9"/>
  <c r="AA62" i="9" s="1"/>
  <c r="AA120" i="9" s="1"/>
  <c r="C62" i="18"/>
  <c r="H51" i="18"/>
  <c r="H59" i="18" s="1"/>
  <c r="B57" i="18"/>
  <c r="B51" i="18"/>
  <c r="B55" i="18"/>
  <c r="B52" i="18"/>
  <c r="B56" i="18"/>
  <c r="B54" i="18"/>
  <c r="G52" i="18" s="1"/>
  <c r="B53" i="18"/>
  <c r="G54" i="18" s="1"/>
  <c r="C34" i="19"/>
  <c r="C35" i="19"/>
  <c r="F51" i="19"/>
  <c r="C38" i="19"/>
  <c r="C36" i="19"/>
  <c r="C26" i="19"/>
  <c r="C39" i="19"/>
  <c r="C40" i="19"/>
  <c r="C24" i="19"/>
  <c r="C37" i="19"/>
  <c r="C50" i="19"/>
  <c r="C27" i="19"/>
  <c r="E158" i="7"/>
  <c r="AD158" i="7" s="1"/>
  <c r="AB158" i="7"/>
  <c r="AC144" i="16"/>
  <c r="H144" i="16"/>
  <c r="T144" i="16"/>
  <c r="AI144" i="16"/>
  <c r="AF144" i="16"/>
  <c r="C144" i="16"/>
  <c r="D144" i="16" s="1"/>
  <c r="Q144" i="16"/>
  <c r="K144" i="16"/>
  <c r="N144" i="16"/>
  <c r="Z144" i="16"/>
  <c r="W144" i="16"/>
  <c r="E159" i="7"/>
  <c r="AD159" i="7" s="1"/>
  <c r="AB159" i="7"/>
  <c r="H165" i="16"/>
  <c r="N165" i="16"/>
  <c r="AC165" i="16"/>
  <c r="W165" i="16"/>
  <c r="Z165" i="16"/>
  <c r="T165" i="16"/>
  <c r="AF165" i="16"/>
  <c r="Q165" i="16"/>
  <c r="K165" i="16"/>
  <c r="C165" i="16"/>
  <c r="D165" i="16" s="1"/>
  <c r="AI165" i="16"/>
  <c r="Q138" i="16"/>
  <c r="AC138" i="16"/>
  <c r="K138" i="16"/>
  <c r="W138" i="16"/>
  <c r="T138" i="16"/>
  <c r="N138" i="16"/>
  <c r="Z138" i="16"/>
  <c r="H138" i="16"/>
  <c r="AI138" i="16"/>
  <c r="C138" i="16"/>
  <c r="D138" i="16" s="1"/>
  <c r="AF138" i="16"/>
  <c r="AL157" i="16"/>
  <c r="D156" i="16"/>
  <c r="H161" i="16"/>
  <c r="AC161" i="16"/>
  <c r="Q161" i="16"/>
  <c r="AI161" i="16"/>
  <c r="T161" i="16"/>
  <c r="K161" i="16"/>
  <c r="Z161" i="16"/>
  <c r="W161" i="16"/>
  <c r="N161" i="16"/>
  <c r="C161" i="16"/>
  <c r="D161" i="16" s="1"/>
  <c r="AF161" i="16"/>
  <c r="H84" i="7"/>
  <c r="I84" i="7" s="1"/>
  <c r="C84" i="24"/>
  <c r="O84" i="24" s="1"/>
  <c r="C166" i="16"/>
  <c r="D166" i="16" s="1"/>
  <c r="AC166" i="16"/>
  <c r="T166" i="16"/>
  <c r="N166" i="16"/>
  <c r="Z166" i="16"/>
  <c r="H166" i="16"/>
  <c r="Q166" i="16"/>
  <c r="AI166" i="16"/>
  <c r="K166" i="16"/>
  <c r="W166" i="16"/>
  <c r="AF166" i="16"/>
  <c r="H163" i="7"/>
  <c r="I163" i="7" s="1"/>
  <c r="C163" i="24"/>
  <c r="O163" i="24" s="1"/>
  <c r="H146" i="7"/>
  <c r="I146" i="7" s="1"/>
  <c r="C146" i="24"/>
  <c r="O146" i="24" s="1"/>
  <c r="E156" i="7"/>
  <c r="AD156" i="7" s="1"/>
  <c r="Y156" i="7"/>
  <c r="AB156" i="7"/>
  <c r="C164" i="16"/>
  <c r="D164" i="16" s="1"/>
  <c r="H164" i="16"/>
  <c r="AF164" i="16"/>
  <c r="T164" i="16"/>
  <c r="AC164" i="16"/>
  <c r="Q164" i="16"/>
  <c r="AI164" i="16"/>
  <c r="Z164" i="16"/>
  <c r="K164" i="16"/>
  <c r="N164" i="16"/>
  <c r="W164" i="16"/>
  <c r="H90" i="7"/>
  <c r="I90" i="7" s="1"/>
  <c r="C90" i="24"/>
  <c r="O90" i="24" s="1"/>
  <c r="H113" i="7"/>
  <c r="I113" i="7" s="1"/>
  <c r="C113" i="24"/>
  <c r="O113" i="24" s="1"/>
  <c r="H155" i="7"/>
  <c r="I155" i="7" s="1"/>
  <c r="C155" i="24"/>
  <c r="O155" i="24" s="1"/>
  <c r="E129" i="7"/>
  <c r="AD129" i="7" s="1"/>
  <c r="AB129" i="7"/>
  <c r="Y129" i="7"/>
  <c r="H70" i="7"/>
  <c r="I70" i="7" s="1"/>
  <c r="C70" i="24"/>
  <c r="O70" i="24" s="1"/>
  <c r="H166" i="7"/>
  <c r="I166" i="7" s="1"/>
  <c r="C166" i="24"/>
  <c r="O166" i="24" s="1"/>
  <c r="C151" i="16"/>
  <c r="D151" i="16" s="1"/>
  <c r="AC151" i="16"/>
  <c r="AF151" i="16"/>
  <c r="Z151" i="16"/>
  <c r="W151" i="16"/>
  <c r="N151" i="16"/>
  <c r="H151" i="16"/>
  <c r="Q151" i="16"/>
  <c r="K151" i="16"/>
  <c r="AI151" i="16"/>
  <c r="T151" i="16"/>
  <c r="E135" i="7"/>
  <c r="AD135" i="7" s="1"/>
  <c r="Y135" i="7"/>
  <c r="AB135" i="7"/>
  <c r="H168" i="7"/>
  <c r="I168" i="7" s="1"/>
  <c r="C168" i="24"/>
  <c r="O168" i="24" s="1"/>
  <c r="E149" i="7"/>
  <c r="AD149" i="7" s="1"/>
  <c r="Y149" i="7"/>
  <c r="AB149" i="7"/>
  <c r="C159" i="16"/>
  <c r="D159" i="16" s="1"/>
  <c r="AC159" i="16"/>
  <c r="Q159" i="16"/>
  <c r="AF159" i="16"/>
  <c r="H159" i="16"/>
  <c r="AI159" i="16"/>
  <c r="Z159" i="16"/>
  <c r="N159" i="16"/>
  <c r="W159" i="16"/>
  <c r="T159" i="16"/>
  <c r="K159" i="16"/>
  <c r="H167" i="7"/>
  <c r="I167" i="7" s="1"/>
  <c r="C167" i="24"/>
  <c r="O167" i="24" s="1"/>
  <c r="E140" i="7"/>
  <c r="AD140" i="7" s="1"/>
  <c r="Y140" i="7"/>
  <c r="AB140" i="7"/>
  <c r="E148" i="7"/>
  <c r="AD148" i="7" s="1"/>
  <c r="AB148" i="7"/>
  <c r="Y148" i="7"/>
  <c r="C91" i="24"/>
  <c r="O91" i="24" s="1"/>
  <c r="H91" i="7"/>
  <c r="I91" i="7" s="1"/>
  <c r="E173" i="7"/>
  <c r="AD173" i="7" s="1"/>
  <c r="AB173" i="7"/>
  <c r="H99" i="7"/>
  <c r="I99" i="7" s="1"/>
  <c r="C99" i="24"/>
  <c r="O99" i="24" s="1"/>
  <c r="H82" i="7"/>
  <c r="I82" i="7" s="1"/>
  <c r="C82" i="24"/>
  <c r="O82" i="24" s="1"/>
  <c r="H130" i="7"/>
  <c r="I130" i="7" s="1"/>
  <c r="C130" i="24"/>
  <c r="O130" i="24" s="1"/>
  <c r="H115" i="7"/>
  <c r="I115" i="7" s="1"/>
  <c r="C115" i="24"/>
  <c r="O115" i="24" s="1"/>
  <c r="H133" i="7"/>
  <c r="I133" i="7" s="1"/>
  <c r="C133" i="24"/>
  <c r="O133" i="24" s="1"/>
  <c r="H76" i="7"/>
  <c r="I76" i="7" s="1"/>
  <c r="C76" i="24"/>
  <c r="O76" i="24" s="1"/>
  <c r="C98" i="24"/>
  <c r="O98" i="24" s="1"/>
  <c r="H98" i="7"/>
  <c r="I98" i="7" s="1"/>
  <c r="E142" i="7"/>
  <c r="AD142" i="7" s="1"/>
  <c r="Y142" i="7"/>
  <c r="AB142" i="7"/>
  <c r="E134" i="7"/>
  <c r="AD134" i="7" s="1"/>
  <c r="AB134" i="7"/>
  <c r="Y134" i="7"/>
  <c r="H154" i="7"/>
  <c r="I154" i="7" s="1"/>
  <c r="C154" i="24"/>
  <c r="O154" i="24" s="1"/>
  <c r="H106" i="7"/>
  <c r="I106" i="7" s="1"/>
  <c r="C106" i="24"/>
  <c r="O106" i="24" s="1"/>
  <c r="E157" i="7"/>
  <c r="AD157" i="7" s="1"/>
  <c r="Y157" i="7"/>
  <c r="AB157" i="7"/>
  <c r="E165" i="7"/>
  <c r="AD165" i="7" s="1"/>
  <c r="Y165" i="7"/>
  <c r="AB165" i="7"/>
  <c r="C155" i="16"/>
  <c r="D155" i="16" s="1"/>
  <c r="AI155" i="16"/>
  <c r="T155" i="16"/>
  <c r="Q155" i="16"/>
  <c r="K155" i="16"/>
  <c r="Z155" i="16"/>
  <c r="AF155" i="16"/>
  <c r="AC155" i="16"/>
  <c r="W155" i="16"/>
  <c r="H155" i="16"/>
  <c r="N155" i="16"/>
  <c r="H138" i="7"/>
  <c r="I138" i="7" s="1"/>
  <c r="C138" i="24"/>
  <c r="O138" i="24" s="1"/>
  <c r="E171" i="7"/>
  <c r="AD171" i="7" s="1"/>
  <c r="AB171" i="7"/>
  <c r="H141" i="7"/>
  <c r="I141" i="7" s="1"/>
  <c r="C141" i="24"/>
  <c r="O141" i="24" s="1"/>
  <c r="H104" i="7"/>
  <c r="I104" i="7" s="1"/>
  <c r="C104" i="24"/>
  <c r="O104" i="24" s="1"/>
  <c r="E164" i="7"/>
  <c r="AD164" i="7" s="1"/>
  <c r="AB164" i="7"/>
  <c r="Y164" i="7"/>
  <c r="AL121" i="16"/>
  <c r="D120" i="16"/>
  <c r="E162" i="7"/>
  <c r="AD162" i="7" s="1"/>
  <c r="Y162" i="7"/>
  <c r="AB162" i="7"/>
  <c r="E128" i="7"/>
  <c r="AD128" i="7" s="1"/>
  <c r="Y128" i="7"/>
  <c r="AB128" i="7"/>
  <c r="C139" i="16"/>
  <c r="D139" i="16" s="1"/>
  <c r="W139" i="16"/>
  <c r="AF139" i="16"/>
  <c r="AC139" i="16"/>
  <c r="Q139" i="16"/>
  <c r="N139" i="16"/>
  <c r="AI139" i="16"/>
  <c r="H139" i="16"/>
  <c r="T139" i="16"/>
  <c r="K139" i="16"/>
  <c r="Z139" i="16"/>
  <c r="C107" i="24"/>
  <c r="O107" i="24" s="1"/>
  <c r="H107" i="7"/>
  <c r="I107" i="7" s="1"/>
  <c r="H77" i="7"/>
  <c r="I77" i="7" s="1"/>
  <c r="C77" i="24"/>
  <c r="O77" i="24" s="1"/>
  <c r="C163" i="16"/>
  <c r="D163" i="16" s="1"/>
  <c r="K163" i="16"/>
  <c r="H163" i="16"/>
  <c r="Z163" i="16"/>
  <c r="W163" i="16"/>
  <c r="Q163" i="16"/>
  <c r="N163" i="16"/>
  <c r="T163" i="16"/>
  <c r="AF163" i="16"/>
  <c r="AI163" i="16"/>
  <c r="AC163" i="16"/>
  <c r="H114" i="7"/>
  <c r="I114" i="7" s="1"/>
  <c r="C114" i="24"/>
  <c r="O114" i="24" s="1"/>
  <c r="C158" i="16"/>
  <c r="D158" i="16" s="1"/>
  <c r="AI158" i="16"/>
  <c r="T158" i="16"/>
  <c r="AC158" i="16"/>
  <c r="N158" i="16"/>
  <c r="AF158" i="16"/>
  <c r="Q158" i="16"/>
  <c r="K158" i="16"/>
  <c r="H158" i="16"/>
  <c r="Z158" i="16"/>
  <c r="W158" i="16"/>
  <c r="H71" i="7"/>
  <c r="I71" i="7" s="1"/>
  <c r="C71" i="24"/>
  <c r="O71" i="24" s="1"/>
  <c r="E172" i="7"/>
  <c r="AD172" i="7" s="1"/>
  <c r="AB172" i="7"/>
  <c r="H132" i="7"/>
  <c r="I132" i="7" s="1"/>
  <c r="C132" i="24"/>
  <c r="O132" i="24" s="1"/>
  <c r="C135" i="16"/>
  <c r="D135" i="16" s="1"/>
  <c r="AC135" i="16"/>
  <c r="Q135" i="16"/>
  <c r="AF135" i="16"/>
  <c r="N135" i="16"/>
  <c r="W135" i="16"/>
  <c r="T135" i="16"/>
  <c r="AI135" i="16"/>
  <c r="Z135" i="16"/>
  <c r="H135" i="16"/>
  <c r="K135" i="16"/>
  <c r="H68" i="7"/>
  <c r="I68" i="7" s="1"/>
  <c r="C68" i="24"/>
  <c r="O68" i="24" s="1"/>
  <c r="C126" i="24"/>
  <c r="O126" i="24" s="1"/>
  <c r="H126" i="7"/>
  <c r="I126" i="7" s="1"/>
  <c r="C67" i="24"/>
  <c r="O67" i="24" s="1"/>
  <c r="H67" i="7"/>
  <c r="I67" i="7" s="1"/>
  <c r="Y125" i="7"/>
  <c r="E125" i="7"/>
  <c r="AB125" i="7"/>
  <c r="W159" i="8" l="1"/>
  <c r="C159" i="8"/>
  <c r="D159" i="8" s="1"/>
  <c r="X168" i="7"/>
  <c r="V160" i="8"/>
  <c r="P161" i="9"/>
  <c r="Q161" i="9" s="1"/>
  <c r="Y167" i="7"/>
  <c r="C150" i="8"/>
  <c r="D150" i="8" s="1"/>
  <c r="W150" i="8"/>
  <c r="P152" i="9"/>
  <c r="Q152" i="9" s="1"/>
  <c r="V151" i="8"/>
  <c r="X159" i="7"/>
  <c r="B40" i="19"/>
  <c r="G53" i="18"/>
  <c r="G35" i="19"/>
  <c r="K44" i="19" s="1"/>
  <c r="B37" i="19"/>
  <c r="F35" i="19" s="1"/>
  <c r="J44" i="19" s="1"/>
  <c r="B35" i="19"/>
  <c r="C9" i="9"/>
  <c r="D9" i="9" s="1"/>
  <c r="C13" i="9"/>
  <c r="D13" i="9" s="1"/>
  <c r="C17" i="9"/>
  <c r="D17" i="9" s="1"/>
  <c r="C21" i="9"/>
  <c r="D21" i="9" s="1"/>
  <c r="C25" i="9"/>
  <c r="D25" i="9" s="1"/>
  <c r="C29" i="9"/>
  <c r="D29" i="9" s="1"/>
  <c r="C33" i="9"/>
  <c r="D33" i="9" s="1"/>
  <c r="C37" i="9"/>
  <c r="D37" i="9" s="1"/>
  <c r="C41" i="9"/>
  <c r="D41" i="9" s="1"/>
  <c r="C45" i="9"/>
  <c r="D45" i="9" s="1"/>
  <c r="C49" i="9"/>
  <c r="D49" i="9" s="1"/>
  <c r="C53" i="9"/>
  <c r="D53" i="9" s="1"/>
  <c r="C10" i="9"/>
  <c r="D10" i="9" s="1"/>
  <c r="C14" i="9"/>
  <c r="D14" i="9" s="1"/>
  <c r="C18" i="9"/>
  <c r="D18" i="9" s="1"/>
  <c r="C22" i="9"/>
  <c r="D22" i="9" s="1"/>
  <c r="C26" i="9"/>
  <c r="D26" i="9" s="1"/>
  <c r="C30" i="9"/>
  <c r="D30" i="9" s="1"/>
  <c r="C34" i="9"/>
  <c r="D34" i="9" s="1"/>
  <c r="C38" i="9"/>
  <c r="D38" i="9" s="1"/>
  <c r="C42" i="9"/>
  <c r="D42" i="9" s="1"/>
  <c r="C46" i="9"/>
  <c r="D46" i="9" s="1"/>
  <c r="C50" i="9"/>
  <c r="D50" i="9" s="1"/>
  <c r="C54" i="9"/>
  <c r="D54" i="9" s="1"/>
  <c r="N3" i="9"/>
  <c r="C11" i="9"/>
  <c r="D11" i="9" s="1"/>
  <c r="C15" i="9"/>
  <c r="D15" i="9" s="1"/>
  <c r="C19" i="9"/>
  <c r="D19" i="9" s="1"/>
  <c r="C23" i="9"/>
  <c r="D23" i="9" s="1"/>
  <c r="C27" i="9"/>
  <c r="D27" i="9" s="1"/>
  <c r="C31" i="9"/>
  <c r="D31" i="9" s="1"/>
  <c r="C35" i="9"/>
  <c r="D35" i="9" s="1"/>
  <c r="C39" i="9"/>
  <c r="D39" i="9" s="1"/>
  <c r="C43" i="9"/>
  <c r="D43" i="9" s="1"/>
  <c r="C47" i="9"/>
  <c r="D47" i="9" s="1"/>
  <c r="C51" i="9"/>
  <c r="D51" i="9" s="1"/>
  <c r="C55" i="9"/>
  <c r="D55" i="9" s="1"/>
  <c r="AA63" i="9"/>
  <c r="C24" i="9"/>
  <c r="D24" i="9" s="1"/>
  <c r="C56" i="9"/>
  <c r="D56" i="9" s="1"/>
  <c r="C12" i="9"/>
  <c r="D12" i="9" s="1"/>
  <c r="C44" i="9"/>
  <c r="D44" i="9" s="1"/>
  <c r="C32" i="9"/>
  <c r="D32" i="9" s="1"/>
  <c r="C16" i="9"/>
  <c r="D16" i="9" s="1"/>
  <c r="C20" i="9"/>
  <c r="D20" i="9" s="1"/>
  <c r="C52" i="9"/>
  <c r="D52" i="9" s="1"/>
  <c r="C40" i="9"/>
  <c r="D40" i="9" s="1"/>
  <c r="C48" i="9"/>
  <c r="D48" i="9" s="1"/>
  <c r="C28" i="9"/>
  <c r="D28" i="9" s="1"/>
  <c r="C36" i="9"/>
  <c r="D36" i="9" s="1"/>
  <c r="C8" i="9"/>
  <c r="D8" i="9" s="1"/>
  <c r="B44" i="19"/>
  <c r="B52" i="19"/>
  <c r="F44" i="19" s="1"/>
  <c r="B42" i="19"/>
  <c r="B53" i="19"/>
  <c r="F45" i="19" s="1"/>
  <c r="B34" i="19"/>
  <c r="B46" i="19"/>
  <c r="B54" i="19"/>
  <c r="F46" i="19" s="1"/>
  <c r="B47" i="19"/>
  <c r="B48" i="19"/>
  <c r="G34" i="19"/>
  <c r="C55" i="19"/>
  <c r="B41" i="19"/>
  <c r="F38" i="19" s="1"/>
  <c r="J47" i="19" s="1"/>
  <c r="B49" i="19"/>
  <c r="F41" i="19" s="1"/>
  <c r="B43" i="19"/>
  <c r="G43" i="19"/>
  <c r="B51" i="19"/>
  <c r="F43" i="19" s="1"/>
  <c r="B39" i="19"/>
  <c r="B45" i="19"/>
  <c r="F40" i="19" s="1"/>
  <c r="G40" i="19"/>
  <c r="B36" i="19"/>
  <c r="F37" i="19" s="1"/>
  <c r="J46" i="19" s="1"/>
  <c r="G37" i="19"/>
  <c r="K46" i="19" s="1"/>
  <c r="B38" i="19"/>
  <c r="F36" i="19" s="1"/>
  <c r="J45" i="19" s="1"/>
  <c r="G36" i="19"/>
  <c r="K45" i="19" s="1"/>
  <c r="F15" i="7"/>
  <c r="F23" i="7"/>
  <c r="F31" i="7"/>
  <c r="F39" i="7"/>
  <c r="F47" i="7"/>
  <c r="F55" i="7"/>
  <c r="F16" i="7"/>
  <c r="F24" i="7"/>
  <c r="F32" i="7"/>
  <c r="F40" i="7"/>
  <c r="F48" i="7"/>
  <c r="F56" i="7"/>
  <c r="F17" i="7"/>
  <c r="F25" i="7"/>
  <c r="F33" i="7"/>
  <c r="F41" i="7"/>
  <c r="F49" i="7"/>
  <c r="F57" i="7"/>
  <c r="AA61" i="7"/>
  <c r="F10" i="7"/>
  <c r="F18" i="7"/>
  <c r="F26" i="7"/>
  <c r="F34" i="7"/>
  <c r="F42" i="7"/>
  <c r="F50" i="7"/>
  <c r="F11" i="7"/>
  <c r="F19" i="7"/>
  <c r="F27" i="7"/>
  <c r="F35" i="7"/>
  <c r="F43" i="7"/>
  <c r="F51" i="7"/>
  <c r="F12" i="7"/>
  <c r="F20" i="7"/>
  <c r="F28" i="7"/>
  <c r="F36" i="7"/>
  <c r="F44" i="7"/>
  <c r="F52" i="7"/>
  <c r="F13" i="7"/>
  <c r="F21" i="7"/>
  <c r="F29" i="7"/>
  <c r="F37" i="7"/>
  <c r="F45" i="7"/>
  <c r="F53" i="7"/>
  <c r="F38" i="7"/>
  <c r="F46" i="7"/>
  <c r="F54" i="7"/>
  <c r="F22" i="7"/>
  <c r="F14" i="7"/>
  <c r="F30" i="7"/>
  <c r="F9" i="7"/>
  <c r="G42" i="19"/>
  <c r="B50" i="19"/>
  <c r="F42" i="19" s="1"/>
  <c r="G51" i="18"/>
  <c r="B62" i="18"/>
  <c r="C159" i="24"/>
  <c r="O159" i="24" s="1"/>
  <c r="H159" i="7"/>
  <c r="I159" i="7" s="1"/>
  <c r="H158" i="7"/>
  <c r="I158" i="7" s="1"/>
  <c r="C158" i="24"/>
  <c r="O158" i="24" s="1"/>
  <c r="C173" i="24"/>
  <c r="O173" i="24" s="1"/>
  <c r="H128" i="7"/>
  <c r="I128" i="7" s="1"/>
  <c r="C128" i="24"/>
  <c r="O128" i="24" s="1"/>
  <c r="H140" i="7"/>
  <c r="I140" i="7" s="1"/>
  <c r="C140" i="24"/>
  <c r="O140" i="24" s="1"/>
  <c r="C172" i="24"/>
  <c r="O172" i="24" s="1"/>
  <c r="H134" i="7"/>
  <c r="I134" i="7" s="1"/>
  <c r="C134" i="24"/>
  <c r="O134" i="24" s="1"/>
  <c r="H162" i="7"/>
  <c r="I162" i="7" s="1"/>
  <c r="C162" i="24"/>
  <c r="O162" i="24" s="1"/>
  <c r="H129" i="7"/>
  <c r="I129" i="7" s="1"/>
  <c r="C129" i="24"/>
  <c r="O129" i="24" s="1"/>
  <c r="C171" i="24"/>
  <c r="O171" i="24" s="1"/>
  <c r="H165" i="7"/>
  <c r="I165" i="7" s="1"/>
  <c r="C165" i="24"/>
  <c r="O165" i="24" s="1"/>
  <c r="H135" i="7"/>
  <c r="I135" i="7" s="1"/>
  <c r="C135" i="24"/>
  <c r="O135" i="24" s="1"/>
  <c r="C157" i="24"/>
  <c r="O157" i="24" s="1"/>
  <c r="H157" i="7"/>
  <c r="I157" i="7" s="1"/>
  <c r="H142" i="7"/>
  <c r="I142" i="7" s="1"/>
  <c r="C142" i="24"/>
  <c r="O142" i="24" s="1"/>
  <c r="H148" i="7"/>
  <c r="I148" i="7" s="1"/>
  <c r="C148" i="24"/>
  <c r="O148" i="24" s="1"/>
  <c r="H149" i="7"/>
  <c r="I149" i="7" s="1"/>
  <c r="C149" i="24"/>
  <c r="O149" i="24" s="1"/>
  <c r="H156" i="7"/>
  <c r="I156" i="7" s="1"/>
  <c r="C156" i="24"/>
  <c r="O156" i="24" s="1"/>
  <c r="H164" i="7"/>
  <c r="I164" i="7" s="1"/>
  <c r="C164" i="24"/>
  <c r="O164" i="24" s="1"/>
  <c r="C125" i="24"/>
  <c r="O125" i="24" s="1"/>
  <c r="H125" i="7"/>
  <c r="I125" i="7" s="1"/>
  <c r="W160" i="8" l="1"/>
  <c r="C160" i="8"/>
  <c r="D160" i="8" s="1"/>
  <c r="V161" i="8"/>
  <c r="P162" i="9"/>
  <c r="Q162" i="9" s="1"/>
  <c r="Y168" i="7"/>
  <c r="X169" i="7"/>
  <c r="H169" i="7"/>
  <c r="I169" i="7" s="1"/>
  <c r="X160" i="7"/>
  <c r="H160" i="7"/>
  <c r="I160" i="7" s="1"/>
  <c r="P153" i="9"/>
  <c r="Q153" i="9" s="1"/>
  <c r="V152" i="8"/>
  <c r="Y159" i="7"/>
  <c r="C151" i="8"/>
  <c r="D151" i="8" s="1"/>
  <c r="W151" i="8"/>
  <c r="F39" i="19"/>
  <c r="J48" i="19" s="1"/>
  <c r="K14" i="7"/>
  <c r="L14" i="7" s="1"/>
  <c r="K14" i="24"/>
  <c r="B14" i="24"/>
  <c r="K29" i="7"/>
  <c r="L29" i="7" s="1"/>
  <c r="K29" i="24"/>
  <c r="B29" i="24"/>
  <c r="K12" i="7"/>
  <c r="L12" i="7" s="1"/>
  <c r="B12" i="24"/>
  <c r="K12" i="24"/>
  <c r="K42" i="7"/>
  <c r="L42" i="7" s="1"/>
  <c r="B42" i="24"/>
  <c r="K42" i="24"/>
  <c r="L42" i="24" s="1"/>
  <c r="K41" i="7"/>
  <c r="L41" i="7" s="1"/>
  <c r="B41" i="24"/>
  <c r="K41" i="24"/>
  <c r="K24" i="7"/>
  <c r="L24" i="7" s="1"/>
  <c r="B24" i="24"/>
  <c r="K24" i="24"/>
  <c r="K22" i="7"/>
  <c r="L22" i="7" s="1"/>
  <c r="B22" i="24"/>
  <c r="K22" i="24"/>
  <c r="K21" i="7"/>
  <c r="L21" i="7" s="1"/>
  <c r="B21" i="24"/>
  <c r="K21" i="24"/>
  <c r="K51" i="7"/>
  <c r="L51" i="7" s="1"/>
  <c r="K51" i="24"/>
  <c r="B51" i="24"/>
  <c r="K34" i="7"/>
  <c r="L34" i="7" s="1"/>
  <c r="K34" i="24"/>
  <c r="B34" i="24"/>
  <c r="K33" i="7"/>
  <c r="L33" i="7" s="1"/>
  <c r="K33" i="24"/>
  <c r="B33" i="24"/>
  <c r="K16" i="7"/>
  <c r="L16" i="7" s="1"/>
  <c r="B16" i="24"/>
  <c r="K16" i="24"/>
  <c r="L16" i="24" s="1"/>
  <c r="K54" i="7"/>
  <c r="L54" i="7" s="1"/>
  <c r="K54" i="24"/>
  <c r="B54" i="24"/>
  <c r="K13" i="7"/>
  <c r="L13" i="7" s="1"/>
  <c r="B13" i="24"/>
  <c r="K13" i="24"/>
  <c r="K43" i="7"/>
  <c r="L43" i="7" s="1"/>
  <c r="K43" i="24"/>
  <c r="B43" i="24"/>
  <c r="K26" i="7"/>
  <c r="L26" i="7" s="1"/>
  <c r="K26" i="24"/>
  <c r="B26" i="24"/>
  <c r="K25" i="7"/>
  <c r="L25" i="7" s="1"/>
  <c r="K25" i="24"/>
  <c r="B25" i="24"/>
  <c r="K55" i="7"/>
  <c r="L55" i="7" s="1"/>
  <c r="K55" i="24"/>
  <c r="B55" i="24"/>
  <c r="K53" i="18"/>
  <c r="K56" i="18" s="1"/>
  <c r="G59" i="18"/>
  <c r="K46" i="7"/>
  <c r="L46" i="7" s="1"/>
  <c r="B46" i="24"/>
  <c r="K46" i="24"/>
  <c r="K52" i="7"/>
  <c r="L52" i="7" s="1"/>
  <c r="B52" i="24"/>
  <c r="K52" i="24"/>
  <c r="K35" i="7"/>
  <c r="L35" i="7" s="1"/>
  <c r="K35" i="24"/>
  <c r="B35" i="24"/>
  <c r="K18" i="7"/>
  <c r="L18" i="7" s="1"/>
  <c r="K18" i="24"/>
  <c r="B18" i="24"/>
  <c r="K17" i="7"/>
  <c r="L17" i="7" s="1"/>
  <c r="K17" i="24"/>
  <c r="B17" i="24"/>
  <c r="K47" i="7"/>
  <c r="L47" i="7" s="1"/>
  <c r="K47" i="24"/>
  <c r="B47" i="24"/>
  <c r="F34" i="19"/>
  <c r="B55" i="19"/>
  <c r="K38" i="7"/>
  <c r="L38" i="7" s="1"/>
  <c r="B38" i="24"/>
  <c r="K38" i="24"/>
  <c r="K44" i="7"/>
  <c r="L44" i="7" s="1"/>
  <c r="K44" i="24"/>
  <c r="B44" i="24"/>
  <c r="K27" i="7"/>
  <c r="L27" i="7" s="1"/>
  <c r="B27" i="24"/>
  <c r="K27" i="24"/>
  <c r="K10" i="7"/>
  <c r="L10" i="7" s="1"/>
  <c r="B10" i="24"/>
  <c r="K10" i="24"/>
  <c r="K56" i="7"/>
  <c r="L56" i="7" s="1"/>
  <c r="B56" i="24"/>
  <c r="K56" i="24"/>
  <c r="K39" i="7"/>
  <c r="L39" i="7" s="1"/>
  <c r="B39" i="24"/>
  <c r="K39" i="24"/>
  <c r="K53" i="7"/>
  <c r="L53" i="7" s="1"/>
  <c r="K53" i="24"/>
  <c r="B53" i="24"/>
  <c r="K36" i="7"/>
  <c r="L36" i="7" s="1"/>
  <c r="B36" i="24"/>
  <c r="K36" i="24"/>
  <c r="K19" i="7"/>
  <c r="L19" i="7" s="1"/>
  <c r="B19" i="24"/>
  <c r="K19" i="24"/>
  <c r="F74" i="7"/>
  <c r="F82" i="7"/>
  <c r="F90" i="7"/>
  <c r="F98" i="7"/>
  <c r="F106" i="7"/>
  <c r="F114" i="7"/>
  <c r="F75" i="7"/>
  <c r="F83" i="7"/>
  <c r="F91" i="7"/>
  <c r="F99" i="7"/>
  <c r="F107" i="7"/>
  <c r="F115" i="7"/>
  <c r="F68" i="7"/>
  <c r="F76" i="7"/>
  <c r="F84" i="7"/>
  <c r="F92" i="7"/>
  <c r="F100" i="7"/>
  <c r="F108" i="7"/>
  <c r="F69" i="7"/>
  <c r="F77" i="7"/>
  <c r="F85" i="7"/>
  <c r="F93" i="7"/>
  <c r="F101" i="7"/>
  <c r="F109" i="7"/>
  <c r="AA119" i="7"/>
  <c r="F70" i="7"/>
  <c r="F78" i="7"/>
  <c r="F86" i="7"/>
  <c r="F94" i="7"/>
  <c r="F102" i="7"/>
  <c r="F110" i="7"/>
  <c r="F71" i="7"/>
  <c r="F79" i="7"/>
  <c r="F87" i="7"/>
  <c r="F95" i="7"/>
  <c r="F103" i="7"/>
  <c r="F111" i="7"/>
  <c r="F72" i="7"/>
  <c r="F80" i="7"/>
  <c r="F88" i="7"/>
  <c r="F96" i="7"/>
  <c r="F104" i="7"/>
  <c r="F112" i="7"/>
  <c r="F81" i="7"/>
  <c r="F89" i="7"/>
  <c r="F97" i="7"/>
  <c r="F105" i="7"/>
  <c r="F113" i="7"/>
  <c r="F73" i="7"/>
  <c r="F67" i="7"/>
  <c r="K48" i="7"/>
  <c r="L48" i="7" s="1"/>
  <c r="B48" i="24"/>
  <c r="K48" i="24"/>
  <c r="K31" i="7"/>
  <c r="L31" i="7" s="1"/>
  <c r="K31" i="24"/>
  <c r="B31" i="24"/>
  <c r="K49" i="19"/>
  <c r="C101" i="9"/>
  <c r="D101" i="9" s="1"/>
  <c r="C105" i="9"/>
  <c r="D105" i="9" s="1"/>
  <c r="C109" i="9"/>
  <c r="D109" i="9" s="1"/>
  <c r="C64" i="9"/>
  <c r="D64" i="9" s="1"/>
  <c r="C66" i="9"/>
  <c r="D66" i="9" s="1"/>
  <c r="C68" i="9"/>
  <c r="D68" i="9" s="1"/>
  <c r="C70" i="9"/>
  <c r="D70" i="9" s="1"/>
  <c r="C72" i="9"/>
  <c r="D72" i="9" s="1"/>
  <c r="C74" i="9"/>
  <c r="D74" i="9" s="1"/>
  <c r="C76" i="9"/>
  <c r="D76" i="9" s="1"/>
  <c r="C78" i="9"/>
  <c r="D78" i="9" s="1"/>
  <c r="C80" i="9"/>
  <c r="D80" i="9" s="1"/>
  <c r="C82" i="9"/>
  <c r="D82" i="9" s="1"/>
  <c r="C84" i="9"/>
  <c r="D84" i="9" s="1"/>
  <c r="C86" i="9"/>
  <c r="D86" i="9" s="1"/>
  <c r="C88" i="9"/>
  <c r="D88" i="9" s="1"/>
  <c r="C90" i="9"/>
  <c r="D90" i="9" s="1"/>
  <c r="C92" i="9"/>
  <c r="D92" i="9" s="1"/>
  <c r="C94" i="9"/>
  <c r="D94" i="9" s="1"/>
  <c r="C96" i="9"/>
  <c r="D96" i="9" s="1"/>
  <c r="C98" i="9"/>
  <c r="D98" i="9" s="1"/>
  <c r="C100" i="9"/>
  <c r="D100" i="9" s="1"/>
  <c r="C104" i="9"/>
  <c r="D104" i="9" s="1"/>
  <c r="C108" i="9"/>
  <c r="D108" i="9" s="1"/>
  <c r="C103" i="9"/>
  <c r="D103" i="9" s="1"/>
  <c r="C107" i="9"/>
  <c r="D107" i="9" s="1"/>
  <c r="C79" i="9"/>
  <c r="D79" i="9" s="1"/>
  <c r="C95" i="9"/>
  <c r="D95" i="9" s="1"/>
  <c r="C83" i="9"/>
  <c r="D83" i="9" s="1"/>
  <c r="C77" i="9"/>
  <c r="D77" i="9" s="1"/>
  <c r="C93" i="9"/>
  <c r="D93" i="9" s="1"/>
  <c r="C106" i="9"/>
  <c r="D106" i="9" s="1"/>
  <c r="C67" i="9"/>
  <c r="D67" i="9" s="1"/>
  <c r="C75" i="9"/>
  <c r="D75" i="9" s="1"/>
  <c r="C91" i="9"/>
  <c r="D91" i="9" s="1"/>
  <c r="C73" i="9"/>
  <c r="D73" i="9" s="1"/>
  <c r="C89" i="9"/>
  <c r="D89" i="9" s="1"/>
  <c r="C99" i="9"/>
  <c r="D99" i="9" s="1"/>
  <c r="C71" i="9"/>
  <c r="D71" i="9" s="1"/>
  <c r="C87" i="9"/>
  <c r="D87" i="9" s="1"/>
  <c r="C102" i="9"/>
  <c r="D102" i="9" s="1"/>
  <c r="AA121" i="9"/>
  <c r="C69" i="9"/>
  <c r="D69" i="9" s="1"/>
  <c r="C85" i="9"/>
  <c r="D85" i="9" s="1"/>
  <c r="C65" i="9"/>
  <c r="D65" i="9" s="1"/>
  <c r="C81" i="9"/>
  <c r="D81" i="9" s="1"/>
  <c r="C97" i="9"/>
  <c r="D97" i="9" s="1"/>
  <c r="C110" i="9"/>
  <c r="D110" i="9" s="1"/>
  <c r="C111" i="9"/>
  <c r="D111" i="9" s="1"/>
  <c r="C63" i="9"/>
  <c r="D63" i="9" s="1"/>
  <c r="K9" i="7"/>
  <c r="L9" i="7" s="1"/>
  <c r="K9" i="24"/>
  <c r="B9" i="24"/>
  <c r="K45" i="7"/>
  <c r="L45" i="7" s="1"/>
  <c r="K45" i="24"/>
  <c r="B45" i="24"/>
  <c r="K28" i="7"/>
  <c r="L28" i="7" s="1"/>
  <c r="K28" i="24"/>
  <c r="B28" i="24"/>
  <c r="K11" i="7"/>
  <c r="L11" i="7" s="1"/>
  <c r="B11" i="24"/>
  <c r="K11" i="24"/>
  <c r="K57" i="7"/>
  <c r="L57" i="7" s="1"/>
  <c r="B57" i="24"/>
  <c r="K57" i="24"/>
  <c r="K40" i="7"/>
  <c r="L40" i="7" s="1"/>
  <c r="B40" i="24"/>
  <c r="K40" i="24"/>
  <c r="K23" i="7"/>
  <c r="L23" i="7" s="1"/>
  <c r="K23" i="24"/>
  <c r="B23" i="24"/>
  <c r="J49" i="19"/>
  <c r="K43" i="19"/>
  <c r="K51" i="19" s="1"/>
  <c r="G47" i="19"/>
  <c r="J50" i="19"/>
  <c r="K30" i="7"/>
  <c r="L30" i="7" s="1"/>
  <c r="K30" i="24"/>
  <c r="B30" i="24"/>
  <c r="K37" i="7"/>
  <c r="L37" i="7" s="1"/>
  <c r="B37" i="24"/>
  <c r="K37" i="24"/>
  <c r="K20" i="7"/>
  <c r="L20" i="7" s="1"/>
  <c r="B20" i="24"/>
  <c r="K20" i="24"/>
  <c r="K50" i="7"/>
  <c r="L50" i="7" s="1"/>
  <c r="B50" i="24"/>
  <c r="K50" i="24"/>
  <c r="K49" i="7"/>
  <c r="L49" i="7" s="1"/>
  <c r="B49" i="24"/>
  <c r="K49" i="24"/>
  <c r="K32" i="7"/>
  <c r="L32" i="7" s="1"/>
  <c r="K32" i="24"/>
  <c r="B32" i="24"/>
  <c r="K15" i="7"/>
  <c r="L15" i="7" s="1"/>
  <c r="K15" i="24"/>
  <c r="B15" i="24"/>
  <c r="L11" i="24" l="1"/>
  <c r="L39" i="24"/>
  <c r="L15" i="24"/>
  <c r="L45" i="24"/>
  <c r="X170" i="7"/>
  <c r="H170" i="7"/>
  <c r="I170" i="7" s="1"/>
  <c r="V162" i="8"/>
  <c r="P163" i="9"/>
  <c r="Q163" i="9" s="1"/>
  <c r="Y169" i="7"/>
  <c r="C161" i="8"/>
  <c r="D161" i="8" s="1"/>
  <c r="W161" i="8"/>
  <c r="W152" i="8"/>
  <c r="C152" i="8"/>
  <c r="D152" i="8" s="1"/>
  <c r="X161" i="7"/>
  <c r="H161" i="7"/>
  <c r="I161" i="7" s="1"/>
  <c r="Y160" i="7"/>
  <c r="P154" i="9"/>
  <c r="Q154" i="9" s="1"/>
  <c r="V153" i="8"/>
  <c r="L20" i="24"/>
  <c r="L50" i="24"/>
  <c r="L19" i="24"/>
  <c r="L9" i="24"/>
  <c r="L38" i="24"/>
  <c r="L41" i="24"/>
  <c r="L36" i="24"/>
  <c r="L52" i="24"/>
  <c r="L40" i="24"/>
  <c r="L48" i="24"/>
  <c r="L43" i="24"/>
  <c r="L32" i="24"/>
  <c r="L23" i="24"/>
  <c r="L49" i="24"/>
  <c r="L25" i="24"/>
  <c r="L13" i="24"/>
  <c r="L51" i="24"/>
  <c r="L24" i="24"/>
  <c r="L14" i="24"/>
  <c r="L53" i="24"/>
  <c r="L10" i="24"/>
  <c r="L35" i="24"/>
  <c r="L33" i="24"/>
  <c r="I15" i="24"/>
  <c r="F15" i="24"/>
  <c r="F37" i="24"/>
  <c r="I37" i="24"/>
  <c r="F57" i="24"/>
  <c r="I57" i="24"/>
  <c r="F45" i="24"/>
  <c r="I45" i="24"/>
  <c r="K73" i="7"/>
  <c r="L73" i="7" s="1"/>
  <c r="B73" i="24"/>
  <c r="K73" i="24"/>
  <c r="K96" i="7"/>
  <c r="L96" i="7" s="1"/>
  <c r="K96" i="24"/>
  <c r="B96" i="24"/>
  <c r="K79" i="7"/>
  <c r="L79" i="7" s="1"/>
  <c r="K79" i="24"/>
  <c r="B79" i="24"/>
  <c r="F133" i="7"/>
  <c r="F141" i="7"/>
  <c r="F149" i="7"/>
  <c r="F157" i="7"/>
  <c r="F165" i="7"/>
  <c r="F173" i="7"/>
  <c r="F126" i="7"/>
  <c r="F134" i="7"/>
  <c r="F142" i="7"/>
  <c r="F150" i="7"/>
  <c r="F158" i="7"/>
  <c r="F166" i="7"/>
  <c r="F127" i="7"/>
  <c r="F135" i="7"/>
  <c r="F143" i="7"/>
  <c r="F151" i="7"/>
  <c r="F159" i="7"/>
  <c r="F167" i="7"/>
  <c r="F128" i="7"/>
  <c r="F136" i="7"/>
  <c r="F144" i="7"/>
  <c r="F152" i="7"/>
  <c r="F160" i="7"/>
  <c r="F168" i="7"/>
  <c r="F129" i="7"/>
  <c r="F137" i="7"/>
  <c r="F145" i="7"/>
  <c r="F153" i="7"/>
  <c r="F161" i="7"/>
  <c r="F169" i="7"/>
  <c r="F130" i="7"/>
  <c r="F138" i="7"/>
  <c r="F146" i="7"/>
  <c r="F154" i="7"/>
  <c r="F162" i="7"/>
  <c r="F170" i="7"/>
  <c r="F131" i="7"/>
  <c r="F139" i="7"/>
  <c r="F147" i="7"/>
  <c r="F155" i="7"/>
  <c r="F163" i="7"/>
  <c r="F171" i="7"/>
  <c r="F132" i="7"/>
  <c r="F140" i="7"/>
  <c r="F148" i="7"/>
  <c r="F156" i="7"/>
  <c r="F164" i="7"/>
  <c r="F172" i="7"/>
  <c r="F125" i="7"/>
  <c r="K100" i="7"/>
  <c r="L100" i="7" s="1"/>
  <c r="B100" i="24"/>
  <c r="K100" i="24"/>
  <c r="K91" i="7"/>
  <c r="L91" i="7" s="1"/>
  <c r="B91" i="24"/>
  <c r="K91" i="24"/>
  <c r="K74" i="7"/>
  <c r="L74" i="7" s="1"/>
  <c r="B74" i="24"/>
  <c r="K74" i="24"/>
  <c r="I26" i="24"/>
  <c r="F26" i="24"/>
  <c r="L21" i="24"/>
  <c r="I12" i="24"/>
  <c r="F12" i="24"/>
  <c r="F23" i="24"/>
  <c r="I23" i="24"/>
  <c r="I31" i="24"/>
  <c r="F31" i="24"/>
  <c r="K113" i="7"/>
  <c r="L113" i="7" s="1"/>
  <c r="B113" i="24"/>
  <c r="K113" i="24"/>
  <c r="K88" i="7"/>
  <c r="L88" i="7" s="1"/>
  <c r="B88" i="24"/>
  <c r="K88" i="24"/>
  <c r="K71" i="7"/>
  <c r="L71" i="7" s="1"/>
  <c r="B71" i="24"/>
  <c r="K71" i="24"/>
  <c r="K109" i="7"/>
  <c r="L109" i="7" s="1"/>
  <c r="B109" i="24"/>
  <c r="K109" i="24"/>
  <c r="K92" i="7"/>
  <c r="L92" i="7" s="1"/>
  <c r="K92" i="24"/>
  <c r="B92" i="24"/>
  <c r="K83" i="7"/>
  <c r="L83" i="7" s="1"/>
  <c r="B83" i="24"/>
  <c r="K83" i="24"/>
  <c r="I10" i="24"/>
  <c r="F10" i="24"/>
  <c r="I17" i="24"/>
  <c r="F17" i="24"/>
  <c r="L26" i="24"/>
  <c r="F54" i="24"/>
  <c r="I54" i="24"/>
  <c r="I21" i="24"/>
  <c r="F21" i="24"/>
  <c r="I50" i="24"/>
  <c r="F50" i="24"/>
  <c r="F30" i="24"/>
  <c r="I30" i="24"/>
  <c r="L31" i="24"/>
  <c r="K105" i="7"/>
  <c r="L105" i="7" s="1"/>
  <c r="B105" i="24"/>
  <c r="K105" i="24"/>
  <c r="K80" i="7"/>
  <c r="L80" i="7" s="1"/>
  <c r="K80" i="24"/>
  <c r="B80" i="24"/>
  <c r="K110" i="7"/>
  <c r="L110" i="7" s="1"/>
  <c r="B110" i="24"/>
  <c r="K110" i="24"/>
  <c r="K101" i="7"/>
  <c r="L101" i="7" s="1"/>
  <c r="B101" i="24"/>
  <c r="K101" i="24"/>
  <c r="K84" i="7"/>
  <c r="L84" i="7" s="1"/>
  <c r="B84" i="24"/>
  <c r="K84" i="24"/>
  <c r="K75" i="7"/>
  <c r="L75" i="7" s="1"/>
  <c r="B75" i="24"/>
  <c r="K75" i="24"/>
  <c r="F19" i="24"/>
  <c r="I19" i="24"/>
  <c r="I38" i="24"/>
  <c r="F38" i="24"/>
  <c r="L17" i="24"/>
  <c r="F55" i="24"/>
  <c r="I55" i="24"/>
  <c r="L54" i="24"/>
  <c r="I34" i="24"/>
  <c r="F34" i="24"/>
  <c r="I41" i="24"/>
  <c r="F41" i="24"/>
  <c r="I29" i="24"/>
  <c r="F29" i="24"/>
  <c r="F32" i="24"/>
  <c r="I32" i="24"/>
  <c r="L30" i="24"/>
  <c r="F11" i="24"/>
  <c r="I11" i="24"/>
  <c r="V17" i="24"/>
  <c r="F9" i="24"/>
  <c r="I9" i="24"/>
  <c r="K97" i="7"/>
  <c r="L97" i="7" s="1"/>
  <c r="B97" i="24"/>
  <c r="K97" i="24"/>
  <c r="K72" i="7"/>
  <c r="L72" i="7" s="1"/>
  <c r="B72" i="24"/>
  <c r="K72" i="24"/>
  <c r="K102" i="7"/>
  <c r="L102" i="7" s="1"/>
  <c r="B102" i="24"/>
  <c r="K102" i="24"/>
  <c r="K93" i="7"/>
  <c r="L93" i="7" s="1"/>
  <c r="B93" i="24"/>
  <c r="K93" i="24"/>
  <c r="K76" i="7"/>
  <c r="L76" i="7" s="1"/>
  <c r="B76" i="24"/>
  <c r="K76" i="24"/>
  <c r="K114" i="7"/>
  <c r="L114" i="7" s="1"/>
  <c r="B114" i="24"/>
  <c r="K114" i="24"/>
  <c r="F39" i="24"/>
  <c r="I39" i="24"/>
  <c r="L27" i="24"/>
  <c r="F52" i="24"/>
  <c r="I52" i="24"/>
  <c r="L55" i="24"/>
  <c r="I43" i="24"/>
  <c r="F43" i="24"/>
  <c r="L34" i="24"/>
  <c r="L22" i="24"/>
  <c r="L29" i="24"/>
  <c r="K89" i="7"/>
  <c r="L89" i="7" s="1"/>
  <c r="B89" i="24"/>
  <c r="K89" i="24"/>
  <c r="K111" i="7"/>
  <c r="L111" i="7" s="1"/>
  <c r="K111" i="24"/>
  <c r="B111" i="24"/>
  <c r="K94" i="7"/>
  <c r="L94" i="7" s="1"/>
  <c r="K94" i="24"/>
  <c r="B94" i="24"/>
  <c r="K85" i="7"/>
  <c r="L85" i="7" s="1"/>
  <c r="B85" i="24"/>
  <c r="K85" i="24"/>
  <c r="K68" i="7"/>
  <c r="L68" i="7" s="1"/>
  <c r="B68" i="24"/>
  <c r="K68" i="24"/>
  <c r="K106" i="7"/>
  <c r="L106" i="7" s="1"/>
  <c r="B106" i="24"/>
  <c r="K106" i="24"/>
  <c r="F27" i="24"/>
  <c r="I27" i="24"/>
  <c r="F18" i="24"/>
  <c r="I18" i="24"/>
  <c r="I22" i="24"/>
  <c r="F22" i="24"/>
  <c r="F20" i="24"/>
  <c r="I20" i="24"/>
  <c r="F40" i="24"/>
  <c r="I40" i="24"/>
  <c r="I28" i="24"/>
  <c r="F28" i="24"/>
  <c r="F48" i="24"/>
  <c r="I48" i="24"/>
  <c r="K81" i="7"/>
  <c r="L81" i="7" s="1"/>
  <c r="B81" i="24"/>
  <c r="K81" i="24"/>
  <c r="K103" i="7"/>
  <c r="L103" i="7" s="1"/>
  <c r="K103" i="24"/>
  <c r="B103" i="24"/>
  <c r="K86" i="7"/>
  <c r="L86" i="7" s="1"/>
  <c r="B86" i="24"/>
  <c r="K86" i="24"/>
  <c r="K77" i="7"/>
  <c r="L77" i="7" s="1"/>
  <c r="K77" i="24"/>
  <c r="B77" i="24"/>
  <c r="K115" i="7"/>
  <c r="L115" i="7" s="1"/>
  <c r="K115" i="24"/>
  <c r="B115" i="24"/>
  <c r="K98" i="7"/>
  <c r="L98" i="7" s="1"/>
  <c r="B98" i="24"/>
  <c r="K98" i="24"/>
  <c r="F36" i="24"/>
  <c r="I36" i="24"/>
  <c r="L56" i="24"/>
  <c r="F47" i="19"/>
  <c r="J43" i="19"/>
  <c r="J51" i="19" s="1"/>
  <c r="L18" i="24"/>
  <c r="L46" i="24"/>
  <c r="I25" i="24"/>
  <c r="F25" i="24"/>
  <c r="F16" i="24"/>
  <c r="I16" i="24"/>
  <c r="F51" i="24"/>
  <c r="I51" i="24"/>
  <c r="I42" i="24"/>
  <c r="F42" i="24"/>
  <c r="I14" i="24"/>
  <c r="F14" i="24"/>
  <c r="L28" i="24"/>
  <c r="C132" i="9"/>
  <c r="D132" i="9" s="1"/>
  <c r="C134" i="9"/>
  <c r="D134" i="9" s="1"/>
  <c r="C136" i="9"/>
  <c r="D136" i="9" s="1"/>
  <c r="C138" i="9"/>
  <c r="D138" i="9" s="1"/>
  <c r="C140" i="9"/>
  <c r="D140" i="9" s="1"/>
  <c r="C142" i="9"/>
  <c r="D142" i="9" s="1"/>
  <c r="C144" i="9"/>
  <c r="D144" i="9" s="1"/>
  <c r="C146" i="9"/>
  <c r="D146" i="9" s="1"/>
  <c r="C148" i="9"/>
  <c r="D148" i="9" s="1"/>
  <c r="C150" i="9"/>
  <c r="D150" i="9" s="1"/>
  <c r="C152" i="9"/>
  <c r="D152" i="9" s="1"/>
  <c r="C156" i="9"/>
  <c r="D156" i="9" s="1"/>
  <c r="C158" i="9"/>
  <c r="D158" i="9" s="1"/>
  <c r="C160" i="9"/>
  <c r="D160" i="9" s="1"/>
  <c r="C162" i="9"/>
  <c r="D162" i="9" s="1"/>
  <c r="C120" i="9"/>
  <c r="D120" i="9" s="1"/>
  <c r="C122" i="9"/>
  <c r="D122" i="9" s="1"/>
  <c r="C124" i="9"/>
  <c r="D124" i="9" s="1"/>
  <c r="C126" i="9"/>
  <c r="D126" i="9" s="1"/>
  <c r="C128" i="9"/>
  <c r="D128" i="9" s="1"/>
  <c r="C130" i="9"/>
  <c r="D130" i="9" s="1"/>
  <c r="C133" i="9"/>
  <c r="D133" i="9" s="1"/>
  <c r="C135" i="9"/>
  <c r="D135" i="9" s="1"/>
  <c r="C137" i="9"/>
  <c r="D137" i="9" s="1"/>
  <c r="C139" i="9"/>
  <c r="D139" i="9" s="1"/>
  <c r="C141" i="9"/>
  <c r="D141" i="9" s="1"/>
  <c r="C143" i="9"/>
  <c r="D143" i="9" s="1"/>
  <c r="C145" i="9"/>
  <c r="D145" i="9" s="1"/>
  <c r="C147" i="9"/>
  <c r="D147" i="9" s="1"/>
  <c r="C149" i="9"/>
  <c r="D149" i="9" s="1"/>
  <c r="C151" i="9"/>
  <c r="D151" i="9" s="1"/>
  <c r="C153" i="9"/>
  <c r="D153" i="9" s="1"/>
  <c r="C157" i="9"/>
  <c r="D157" i="9" s="1"/>
  <c r="C159" i="9"/>
  <c r="D159" i="9" s="1"/>
  <c r="C161" i="9"/>
  <c r="D161" i="9" s="1"/>
  <c r="C163" i="9"/>
  <c r="D163" i="9" s="1"/>
  <c r="C121" i="9"/>
  <c r="D121" i="9" s="1"/>
  <c r="C123" i="9"/>
  <c r="D123" i="9" s="1"/>
  <c r="C125" i="9"/>
  <c r="D125" i="9" s="1"/>
  <c r="C127" i="9"/>
  <c r="D127" i="9" s="1"/>
  <c r="C129" i="9"/>
  <c r="D129" i="9" s="1"/>
  <c r="C131" i="9"/>
  <c r="D131" i="9" s="1"/>
  <c r="C119" i="9"/>
  <c r="D119" i="9" s="1"/>
  <c r="K112" i="7"/>
  <c r="L112" i="7" s="1"/>
  <c r="B112" i="24"/>
  <c r="K112" i="24"/>
  <c r="K95" i="7"/>
  <c r="L95" i="7" s="1"/>
  <c r="B95" i="24"/>
  <c r="K95" i="24"/>
  <c r="K78" i="7"/>
  <c r="L78" i="7" s="1"/>
  <c r="K78" i="24"/>
  <c r="B78" i="24"/>
  <c r="K69" i="7"/>
  <c r="L69" i="7" s="1"/>
  <c r="B69" i="24"/>
  <c r="K69" i="24"/>
  <c r="K107" i="7"/>
  <c r="L107" i="7" s="1"/>
  <c r="B107" i="24"/>
  <c r="K107" i="24"/>
  <c r="K90" i="7"/>
  <c r="L90" i="7" s="1"/>
  <c r="B90" i="24"/>
  <c r="K90" i="24"/>
  <c r="I56" i="24"/>
  <c r="F56" i="24"/>
  <c r="F44" i="24"/>
  <c r="I44" i="24"/>
  <c r="I47" i="24"/>
  <c r="F47" i="24"/>
  <c r="F46" i="24"/>
  <c r="I46" i="24"/>
  <c r="F49" i="24"/>
  <c r="I49" i="24"/>
  <c r="L37" i="24"/>
  <c r="L57" i="24"/>
  <c r="K67" i="7"/>
  <c r="L67" i="7" s="1"/>
  <c r="B67" i="24"/>
  <c r="K67" i="24"/>
  <c r="K104" i="7"/>
  <c r="L104" i="7" s="1"/>
  <c r="K104" i="24"/>
  <c r="B104" i="24"/>
  <c r="K87" i="7"/>
  <c r="L87" i="7" s="1"/>
  <c r="B87" i="24"/>
  <c r="K87" i="24"/>
  <c r="K70" i="7"/>
  <c r="L70" i="7" s="1"/>
  <c r="B70" i="24"/>
  <c r="K70" i="24"/>
  <c r="K108" i="7"/>
  <c r="L108" i="7" s="1"/>
  <c r="B108" i="24"/>
  <c r="K108" i="24"/>
  <c r="K99" i="7"/>
  <c r="L99" i="7" s="1"/>
  <c r="B99" i="24"/>
  <c r="K99" i="24"/>
  <c r="K82" i="7"/>
  <c r="L82" i="7" s="1"/>
  <c r="B82" i="24"/>
  <c r="K82" i="24"/>
  <c r="F53" i="24"/>
  <c r="I53" i="24"/>
  <c r="L44" i="24"/>
  <c r="L47" i="24"/>
  <c r="F35" i="24"/>
  <c r="I35" i="24"/>
  <c r="F13" i="24"/>
  <c r="I13" i="24"/>
  <c r="F33" i="24"/>
  <c r="I33" i="24"/>
  <c r="I24" i="24"/>
  <c r="F24" i="24"/>
  <c r="L12" i="24"/>
  <c r="C154" i="9" l="1"/>
  <c r="D154" i="9" s="1"/>
  <c r="C162" i="8"/>
  <c r="D162" i="8" s="1"/>
  <c r="W162" i="8"/>
  <c r="V163" i="8"/>
  <c r="P164" i="9"/>
  <c r="Y170" i="7"/>
  <c r="X171" i="7"/>
  <c r="H171" i="7"/>
  <c r="I171" i="7" s="1"/>
  <c r="W153" i="8"/>
  <c r="C153" i="8"/>
  <c r="D153" i="8" s="1"/>
  <c r="Y161" i="7"/>
  <c r="P155" i="9"/>
  <c r="V154" i="8"/>
  <c r="L82" i="24"/>
  <c r="L112" i="24"/>
  <c r="L104" i="24"/>
  <c r="L94" i="24"/>
  <c r="L92" i="24"/>
  <c r="L88" i="24"/>
  <c r="L97" i="24"/>
  <c r="L101" i="24"/>
  <c r="L109" i="24"/>
  <c r="L91" i="24"/>
  <c r="L115" i="24"/>
  <c r="L79" i="24"/>
  <c r="L78" i="24"/>
  <c r="L103" i="24"/>
  <c r="L87" i="24"/>
  <c r="L107" i="24"/>
  <c r="L85" i="24"/>
  <c r="L102" i="24"/>
  <c r="L75" i="24"/>
  <c r="L83" i="24"/>
  <c r="F70" i="24"/>
  <c r="I70" i="24"/>
  <c r="L67" i="24"/>
  <c r="I90" i="24"/>
  <c r="F90" i="24"/>
  <c r="I78" i="24"/>
  <c r="F78" i="24"/>
  <c r="I103" i="24"/>
  <c r="F103" i="24"/>
  <c r="F68" i="24"/>
  <c r="I68" i="24"/>
  <c r="I111" i="24"/>
  <c r="F111" i="24"/>
  <c r="I93" i="24"/>
  <c r="F93" i="24"/>
  <c r="V23" i="24"/>
  <c r="V25" i="24"/>
  <c r="V26" i="24" s="1"/>
  <c r="K164" i="7"/>
  <c r="L164" i="7" s="1"/>
  <c r="K164" i="24"/>
  <c r="B164" i="24"/>
  <c r="K147" i="7"/>
  <c r="L147" i="7" s="1"/>
  <c r="B147" i="24"/>
  <c r="K147" i="24"/>
  <c r="K130" i="7"/>
  <c r="L130" i="7" s="1"/>
  <c r="B130" i="24"/>
  <c r="K130" i="24"/>
  <c r="K160" i="7"/>
  <c r="L160" i="7" s="1"/>
  <c r="K160" i="24"/>
  <c r="B160" i="24"/>
  <c r="K143" i="7"/>
  <c r="L143" i="7" s="1"/>
  <c r="B143" i="24"/>
  <c r="K143" i="24"/>
  <c r="K126" i="7"/>
  <c r="L126" i="7" s="1"/>
  <c r="K126" i="24"/>
  <c r="B126" i="24"/>
  <c r="L99" i="24"/>
  <c r="F67" i="24"/>
  <c r="I67" i="24"/>
  <c r="L111" i="24"/>
  <c r="L114" i="24"/>
  <c r="I97" i="24"/>
  <c r="F97" i="24"/>
  <c r="I101" i="24"/>
  <c r="F101" i="24"/>
  <c r="L105" i="24"/>
  <c r="I109" i="24"/>
  <c r="F109" i="24"/>
  <c r="L113" i="24"/>
  <c r="F91" i="24"/>
  <c r="I91" i="24"/>
  <c r="K156" i="7"/>
  <c r="L156" i="7" s="1"/>
  <c r="K156" i="24"/>
  <c r="B156" i="24"/>
  <c r="K139" i="7"/>
  <c r="L139" i="7" s="1"/>
  <c r="B139" i="24"/>
  <c r="K139" i="24"/>
  <c r="K169" i="7"/>
  <c r="L169" i="7" s="1"/>
  <c r="K169" i="24"/>
  <c r="B169" i="24"/>
  <c r="K152" i="7"/>
  <c r="L152" i="7" s="1"/>
  <c r="K152" i="24"/>
  <c r="B152" i="24"/>
  <c r="K135" i="7"/>
  <c r="L135" i="7" s="1"/>
  <c r="B135" i="24"/>
  <c r="K135" i="24"/>
  <c r="B173" i="24"/>
  <c r="K173" i="24"/>
  <c r="I99" i="24"/>
  <c r="F99" i="24"/>
  <c r="I77" i="24"/>
  <c r="F77" i="24"/>
  <c r="I114" i="24"/>
  <c r="F114" i="24"/>
  <c r="I105" i="24"/>
  <c r="F105" i="24"/>
  <c r="I113" i="24"/>
  <c r="F113" i="24"/>
  <c r="K148" i="7"/>
  <c r="L148" i="7" s="1"/>
  <c r="B148" i="24"/>
  <c r="K148" i="24"/>
  <c r="K131" i="7"/>
  <c r="L131" i="7" s="1"/>
  <c r="B131" i="24"/>
  <c r="K131" i="24"/>
  <c r="K161" i="7"/>
  <c r="L161" i="7" s="1"/>
  <c r="K161" i="24"/>
  <c r="B161" i="24"/>
  <c r="K144" i="7"/>
  <c r="L144" i="7" s="1"/>
  <c r="K144" i="24"/>
  <c r="B144" i="24"/>
  <c r="K127" i="7"/>
  <c r="L127" i="7" s="1"/>
  <c r="K127" i="24"/>
  <c r="B127" i="24"/>
  <c r="K165" i="7"/>
  <c r="L165" i="7" s="1"/>
  <c r="B165" i="24"/>
  <c r="K165" i="24"/>
  <c r="I96" i="24"/>
  <c r="F96" i="24"/>
  <c r="I87" i="24"/>
  <c r="F87" i="24"/>
  <c r="I107" i="24"/>
  <c r="F107" i="24"/>
  <c r="L95" i="24"/>
  <c r="L77" i="24"/>
  <c r="L81" i="24"/>
  <c r="I85" i="24"/>
  <c r="F85" i="24"/>
  <c r="L89" i="24"/>
  <c r="I102" i="24"/>
  <c r="F102" i="24"/>
  <c r="I75" i="24"/>
  <c r="F75" i="24"/>
  <c r="L110" i="24"/>
  <c r="F83" i="24"/>
  <c r="I83" i="24"/>
  <c r="L71" i="24"/>
  <c r="L100" i="24"/>
  <c r="K140" i="7"/>
  <c r="L140" i="7" s="1"/>
  <c r="K140" i="24"/>
  <c r="B140" i="24"/>
  <c r="K170" i="7"/>
  <c r="L170" i="7" s="1"/>
  <c r="K170" i="24"/>
  <c r="B170" i="24"/>
  <c r="K153" i="7"/>
  <c r="L153" i="7" s="1"/>
  <c r="B153" i="24"/>
  <c r="K153" i="24"/>
  <c r="K136" i="7"/>
  <c r="L136" i="7" s="1"/>
  <c r="K136" i="24"/>
  <c r="B136" i="24"/>
  <c r="K166" i="7"/>
  <c r="L166" i="7" s="1"/>
  <c r="B166" i="24"/>
  <c r="K166" i="24"/>
  <c r="K157" i="7"/>
  <c r="L157" i="7" s="1"/>
  <c r="B157" i="24"/>
  <c r="K157" i="24"/>
  <c r="L96" i="24"/>
  <c r="L108" i="24"/>
  <c r="I95" i="24"/>
  <c r="F95" i="24"/>
  <c r="L98" i="24"/>
  <c r="F81" i="24"/>
  <c r="I81" i="24"/>
  <c r="L106" i="24"/>
  <c r="I89" i="24"/>
  <c r="F89" i="24"/>
  <c r="L76" i="24"/>
  <c r="I110" i="24"/>
  <c r="F110" i="24"/>
  <c r="I71" i="24"/>
  <c r="F71" i="24"/>
  <c r="I100" i="24"/>
  <c r="F100" i="24"/>
  <c r="K132" i="7"/>
  <c r="L132" i="7" s="1"/>
  <c r="B132" i="24"/>
  <c r="K132" i="24"/>
  <c r="K162" i="7"/>
  <c r="L162" i="7" s="1"/>
  <c r="B162" i="24"/>
  <c r="K162" i="24"/>
  <c r="K145" i="7"/>
  <c r="L145" i="7" s="1"/>
  <c r="B145" i="24"/>
  <c r="K145" i="24"/>
  <c r="K128" i="7"/>
  <c r="L128" i="7" s="1"/>
  <c r="B128" i="24"/>
  <c r="K128" i="24"/>
  <c r="K158" i="7"/>
  <c r="L158" i="7" s="1"/>
  <c r="B158" i="24"/>
  <c r="K158" i="24"/>
  <c r="K149" i="7"/>
  <c r="L149" i="7" s="1"/>
  <c r="B149" i="24"/>
  <c r="K149" i="24"/>
  <c r="I108" i="24"/>
  <c r="F108" i="24"/>
  <c r="I104" i="24"/>
  <c r="F104" i="24"/>
  <c r="L69" i="24"/>
  <c r="I98" i="24"/>
  <c r="F98" i="24"/>
  <c r="L86" i="24"/>
  <c r="I106" i="24"/>
  <c r="F106" i="24"/>
  <c r="I94" i="24"/>
  <c r="F94" i="24"/>
  <c r="I76" i="24"/>
  <c r="F76" i="24"/>
  <c r="L72" i="24"/>
  <c r="L84" i="24"/>
  <c r="I92" i="24"/>
  <c r="F92" i="24"/>
  <c r="L74" i="24"/>
  <c r="K171" i="7"/>
  <c r="L171" i="7" s="1"/>
  <c r="B171" i="24"/>
  <c r="K171" i="24"/>
  <c r="K154" i="7"/>
  <c r="L154" i="7" s="1"/>
  <c r="B154" i="24"/>
  <c r="K154" i="24"/>
  <c r="K137" i="7"/>
  <c r="L137" i="7" s="1"/>
  <c r="B137" i="24"/>
  <c r="K137" i="24"/>
  <c r="K167" i="7"/>
  <c r="L167" i="7" s="1"/>
  <c r="K167" i="24"/>
  <c r="B167" i="24"/>
  <c r="K150" i="7"/>
  <c r="L150" i="7" s="1"/>
  <c r="K150" i="24"/>
  <c r="B150" i="24"/>
  <c r="K141" i="7"/>
  <c r="L141" i="7" s="1"/>
  <c r="K141" i="24"/>
  <c r="B141" i="24"/>
  <c r="L73" i="24"/>
  <c r="I69" i="24"/>
  <c r="F69" i="24"/>
  <c r="Y75" i="24"/>
  <c r="V75" i="24"/>
  <c r="I86" i="24"/>
  <c r="F86" i="24"/>
  <c r="I72" i="24"/>
  <c r="F72" i="24"/>
  <c r="I84" i="24"/>
  <c r="F84" i="24"/>
  <c r="I80" i="24"/>
  <c r="F80" i="24"/>
  <c r="I74" i="24"/>
  <c r="F74" i="24"/>
  <c r="K125" i="7"/>
  <c r="L125" i="7" s="1"/>
  <c r="B125" i="24"/>
  <c r="K125" i="24"/>
  <c r="K163" i="7"/>
  <c r="L163" i="7" s="1"/>
  <c r="K163" i="24"/>
  <c r="B163" i="24"/>
  <c r="K146" i="7"/>
  <c r="L146" i="7" s="1"/>
  <c r="B146" i="24"/>
  <c r="K146" i="24"/>
  <c r="K129" i="7"/>
  <c r="L129" i="7" s="1"/>
  <c r="B129" i="24"/>
  <c r="K129" i="24"/>
  <c r="K159" i="7"/>
  <c r="L159" i="7" s="1"/>
  <c r="B159" i="24"/>
  <c r="K159" i="24"/>
  <c r="K142" i="7"/>
  <c r="L142" i="7" s="1"/>
  <c r="B142" i="24"/>
  <c r="K142" i="24"/>
  <c r="K133" i="7"/>
  <c r="L133" i="7" s="1"/>
  <c r="B133" i="24"/>
  <c r="K133" i="24"/>
  <c r="I73" i="24"/>
  <c r="F73" i="24"/>
  <c r="I82" i="24"/>
  <c r="F82" i="24"/>
  <c r="L70" i="24"/>
  <c r="L90" i="24"/>
  <c r="I112" i="24"/>
  <c r="F112" i="24"/>
  <c r="I115" i="24"/>
  <c r="F115" i="24"/>
  <c r="L68" i="24"/>
  <c r="L93" i="24"/>
  <c r="L80" i="24"/>
  <c r="F88" i="24"/>
  <c r="I88" i="24"/>
  <c r="K172" i="7"/>
  <c r="L172" i="7" s="1"/>
  <c r="B172" i="24"/>
  <c r="K172" i="24"/>
  <c r="K155" i="7"/>
  <c r="L155" i="7" s="1"/>
  <c r="K155" i="24"/>
  <c r="B155" i="24"/>
  <c r="K138" i="7"/>
  <c r="L138" i="7" s="1"/>
  <c r="B138" i="24"/>
  <c r="K138" i="24"/>
  <c r="K168" i="7"/>
  <c r="L168" i="7" s="1"/>
  <c r="K168" i="24"/>
  <c r="B168" i="24"/>
  <c r="K151" i="7"/>
  <c r="L151" i="7" s="1"/>
  <c r="K151" i="24"/>
  <c r="B151" i="24"/>
  <c r="K134" i="7"/>
  <c r="L134" i="7" s="1"/>
  <c r="K134" i="24"/>
  <c r="B134" i="24"/>
  <c r="I79" i="24"/>
  <c r="F79" i="24"/>
  <c r="L128" i="24" l="1"/>
  <c r="L166" i="24"/>
  <c r="Y133" i="24"/>
  <c r="V164" i="8"/>
  <c r="P165" i="9"/>
  <c r="Y171" i="7"/>
  <c r="X172" i="7"/>
  <c r="H172" i="7"/>
  <c r="I172" i="7" s="1"/>
  <c r="Q164" i="9"/>
  <c r="C164" i="9"/>
  <c r="D164" i="9" s="1"/>
  <c r="C163" i="8"/>
  <c r="D163" i="8" s="1"/>
  <c r="W163" i="8"/>
  <c r="W154" i="8"/>
  <c r="C154" i="8"/>
  <c r="D154" i="8" s="1"/>
  <c r="Q155" i="9"/>
  <c r="C155" i="9"/>
  <c r="D155" i="9" s="1"/>
  <c r="L142" i="24"/>
  <c r="L171" i="24"/>
  <c r="L141" i="24"/>
  <c r="L161" i="24"/>
  <c r="L137" i="24"/>
  <c r="L162" i="24"/>
  <c r="L153" i="24"/>
  <c r="L165" i="24"/>
  <c r="L143" i="24"/>
  <c r="L164" i="24"/>
  <c r="L139" i="24"/>
  <c r="L134" i="24"/>
  <c r="L129" i="24"/>
  <c r="L149" i="24"/>
  <c r="L170" i="24"/>
  <c r="L169" i="24"/>
  <c r="L126" i="24"/>
  <c r="L130" i="24"/>
  <c r="L151" i="24"/>
  <c r="L167" i="24"/>
  <c r="L136" i="24"/>
  <c r="I155" i="24"/>
  <c r="F155" i="24"/>
  <c r="F125" i="24"/>
  <c r="I125" i="24"/>
  <c r="F145" i="24"/>
  <c r="I145" i="24"/>
  <c r="I140" i="24"/>
  <c r="F140" i="24"/>
  <c r="F148" i="24"/>
  <c r="I148" i="24"/>
  <c r="I135" i="24"/>
  <c r="F135" i="24"/>
  <c r="L155" i="24"/>
  <c r="I142" i="24"/>
  <c r="F142" i="24"/>
  <c r="L146" i="24"/>
  <c r="I141" i="24"/>
  <c r="F141" i="24"/>
  <c r="I171" i="24"/>
  <c r="F171" i="24"/>
  <c r="L158" i="24"/>
  <c r="L157" i="24"/>
  <c r="L140" i="24"/>
  <c r="I165" i="24"/>
  <c r="F165" i="24"/>
  <c r="I161" i="24"/>
  <c r="F161" i="24"/>
  <c r="I139" i="24"/>
  <c r="F139" i="24"/>
  <c r="I143" i="24"/>
  <c r="F143" i="24"/>
  <c r="L147" i="24"/>
  <c r="F146" i="24"/>
  <c r="I146" i="24"/>
  <c r="F158" i="24"/>
  <c r="I158" i="24"/>
  <c r="I157" i="24"/>
  <c r="F157" i="24"/>
  <c r="I152" i="24"/>
  <c r="F152" i="24"/>
  <c r="F147" i="24"/>
  <c r="I147" i="24"/>
  <c r="I168" i="24"/>
  <c r="F168" i="24"/>
  <c r="L168" i="24"/>
  <c r="L172" i="24"/>
  <c r="L159" i="24"/>
  <c r="I137" i="24"/>
  <c r="F137" i="24"/>
  <c r="I162" i="24"/>
  <c r="F162" i="24"/>
  <c r="F153" i="24"/>
  <c r="I153" i="24"/>
  <c r="I127" i="24"/>
  <c r="F127" i="24"/>
  <c r="V133" i="24"/>
  <c r="L152" i="24"/>
  <c r="I156" i="24"/>
  <c r="F156" i="24"/>
  <c r="I160" i="24"/>
  <c r="F160" i="24"/>
  <c r="I134" i="24"/>
  <c r="F134" i="24"/>
  <c r="I172" i="24"/>
  <c r="F172" i="24"/>
  <c r="I159" i="24"/>
  <c r="F159" i="24"/>
  <c r="F163" i="24"/>
  <c r="I163" i="24"/>
  <c r="I150" i="24"/>
  <c r="F150" i="24"/>
  <c r="L127" i="24"/>
  <c r="L131" i="24"/>
  <c r="L173" i="24"/>
  <c r="L156" i="24"/>
  <c r="L160" i="24"/>
  <c r="I164" i="24"/>
  <c r="F164" i="24"/>
  <c r="L138" i="24"/>
  <c r="L133" i="24"/>
  <c r="L163" i="24"/>
  <c r="L150" i="24"/>
  <c r="L154" i="24"/>
  <c r="I128" i="24"/>
  <c r="F128" i="24"/>
  <c r="L132" i="24"/>
  <c r="F166" i="24"/>
  <c r="I166" i="24"/>
  <c r="F170" i="24"/>
  <c r="I170" i="24"/>
  <c r="I131" i="24"/>
  <c r="F131" i="24"/>
  <c r="I173" i="24"/>
  <c r="F173" i="24"/>
  <c r="I169" i="24"/>
  <c r="F169" i="24"/>
  <c r="I126" i="24"/>
  <c r="F126" i="24"/>
  <c r="F138" i="24"/>
  <c r="I138" i="24"/>
  <c r="F133" i="24"/>
  <c r="I133" i="24"/>
  <c r="V83" i="24"/>
  <c r="V84" i="24" s="1"/>
  <c r="V80" i="24"/>
  <c r="V81" i="24" s="1"/>
  <c r="F132" i="24"/>
  <c r="I132" i="24"/>
  <c r="F154" i="24"/>
  <c r="I154" i="24"/>
  <c r="I144" i="24"/>
  <c r="F144" i="24"/>
  <c r="F151" i="24"/>
  <c r="I151" i="24"/>
  <c r="F129" i="24"/>
  <c r="I129" i="24"/>
  <c r="L125" i="24"/>
  <c r="I167" i="24"/>
  <c r="F167" i="24"/>
  <c r="I149" i="24"/>
  <c r="F149" i="24"/>
  <c r="L145" i="24"/>
  <c r="I136" i="24"/>
  <c r="F136" i="24"/>
  <c r="L144" i="24"/>
  <c r="L148" i="24"/>
  <c r="L135" i="24"/>
  <c r="F130" i="24"/>
  <c r="I130" i="24"/>
  <c r="X173" i="7" l="1"/>
  <c r="H173" i="7"/>
  <c r="I173" i="7" s="1"/>
  <c r="K173" i="7"/>
  <c r="L173" i="7" s="1"/>
  <c r="P166" i="9"/>
  <c r="V165" i="8"/>
  <c r="Y172" i="7"/>
  <c r="Q165" i="9"/>
  <c r="C165" i="9"/>
  <c r="D165" i="9" s="1"/>
  <c r="W164" i="8"/>
  <c r="C164" i="8"/>
  <c r="D164" i="8" s="1"/>
  <c r="V138" i="24"/>
  <c r="V139" i="24" s="1"/>
  <c r="V141" i="24"/>
  <c r="V142" i="24" s="1"/>
  <c r="W165" i="8" l="1"/>
  <c r="C165" i="8"/>
  <c r="D165" i="8" s="1"/>
  <c r="Q166" i="9"/>
  <c r="C166" i="9"/>
  <c r="D166" i="9" s="1"/>
  <c r="V166" i="8"/>
  <c r="P167" i="9"/>
  <c r="Y173" i="7"/>
  <c r="Q167" i="9" l="1"/>
  <c r="C167" i="9"/>
  <c r="D167" i="9" s="1"/>
  <c r="W166" i="8"/>
  <c r="C166" i="8"/>
  <c r="D166"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Furness</author>
  </authors>
  <commentList>
    <comment ref="N3" authorId="0" shapeId="0" xr:uid="{25FB1EBD-F73A-4E09-BA0F-9EEA94617E59}">
      <text>
        <r>
          <rPr>
            <b/>
            <sz val="9"/>
            <color indexed="81"/>
            <rFont val="Tahoma"/>
            <family val="2"/>
          </rPr>
          <t>NOTE:</t>
        </r>
        <r>
          <rPr>
            <sz val="9"/>
            <color indexed="81"/>
            <rFont val="Tahoma"/>
            <family val="2"/>
          </rPr>
          <t xml:space="preserve">
</t>
        </r>
        <r>
          <rPr>
            <sz val="10"/>
            <color indexed="81"/>
            <rFont val="Tahoma"/>
            <family val="2"/>
          </rPr>
          <t>The Aviation share is only a guide for adoption. One may assume that that total aviation share remains fixed, but the Efficient Aviation adoption was bounded by IEA Aviation demand estimates in the model so adoption exceeding the historical aviation share might indicate that aviation grows worldwide</t>
        </r>
      </text>
    </comment>
    <comment ref="N58" authorId="0" shapeId="0" xr:uid="{0D7A24F4-3364-496A-B252-977AE4313AED}">
      <text>
        <r>
          <rPr>
            <b/>
            <sz val="9"/>
            <color indexed="81"/>
            <rFont val="Tahoma"/>
            <family val="2"/>
          </rPr>
          <t>NOTE:</t>
        </r>
        <r>
          <rPr>
            <sz val="9"/>
            <color indexed="81"/>
            <rFont val="Tahoma"/>
            <family val="2"/>
          </rPr>
          <t xml:space="preserve">
</t>
        </r>
        <r>
          <rPr>
            <sz val="10"/>
            <color indexed="81"/>
            <rFont val="Tahoma"/>
            <family val="2"/>
          </rPr>
          <t>The Aviation share is only a guide for adoption. One may assume that that total aviation share remains fixed, but the Efficient Aviation adoption was bounded by IEA Aviation demand estimates in the model so adoption exceeding the historical aviation share might indicate that aviation grows worldwide</t>
        </r>
      </text>
    </comment>
    <comment ref="N114" authorId="0" shapeId="0" xr:uid="{DDC3F03D-0444-45AF-A2AC-695DA52EFFB9}">
      <text>
        <r>
          <rPr>
            <b/>
            <sz val="9"/>
            <color indexed="81"/>
            <rFont val="Tahoma"/>
            <family val="2"/>
          </rPr>
          <t>NOTE:</t>
        </r>
        <r>
          <rPr>
            <sz val="9"/>
            <color indexed="81"/>
            <rFont val="Tahoma"/>
            <family val="2"/>
          </rPr>
          <t xml:space="preserve">
</t>
        </r>
        <r>
          <rPr>
            <sz val="10"/>
            <color indexed="81"/>
            <rFont val="Tahoma"/>
            <family val="2"/>
          </rPr>
          <t>The Aviation share is only a guide for adoption. One may assume that that total aviation share remains fixed, but the Efficient Aviation adoption was bounded by IEA Aviation demand estimates in the model so adoption exceeding the historical aviation share might indicate that aviation grows worldwide</t>
        </r>
      </text>
    </comment>
  </commentList>
</comments>
</file>

<file path=xl/sharedStrings.xml><?xml version="1.0" encoding="utf-8"?>
<sst xmlns="http://schemas.openxmlformats.org/spreadsheetml/2006/main" count="3986" uniqueCount="794">
  <si>
    <t>GENERAL ASSUMPTIONS:</t>
  </si>
  <si>
    <t>Walkable Cities</t>
  </si>
  <si>
    <t>Bike Infrastructure</t>
  </si>
  <si>
    <t>E-Bikes</t>
  </si>
  <si>
    <t>Mass Transit</t>
  </si>
  <si>
    <t>Telepresence</t>
  </si>
  <si>
    <t>High Speed Rail</t>
  </si>
  <si>
    <t>Truck Fuel Efficiency</t>
  </si>
  <si>
    <t>All increase in more sustainable passenger modes comes from mode shift from the most polluting modes to those modes: private car (chiefly ICE) and airplanes.</t>
  </si>
  <si>
    <t>Oceanic Freight</t>
  </si>
  <si>
    <t>Train Fuel Efficiency</t>
  </si>
  <si>
    <t>Modes are Prioritized according to their impact on the climate/environment and efficiency (in space, energy and cost terms). Higher priority modes are allocated larger proportions of their total individual projected demand than lower priority modes.</t>
  </si>
  <si>
    <t>Prioritization of Solutions:</t>
  </si>
  <si>
    <t>URBAN</t>
  </si>
  <si>
    <t>FREIGHT</t>
  </si>
  <si>
    <t>KEY INTEGRATION EFFECTS ACCOUNTED FOR:</t>
  </si>
  <si>
    <t>Total passenger-km is limited according to projections</t>
  </si>
  <si>
    <t>Total pass-km is limited according to projections</t>
  </si>
  <si>
    <t>Non-motorized modes are included in TAM</t>
  </si>
  <si>
    <t>Private Car Passenger Travel</t>
  </si>
  <si>
    <t>Urban Adoption</t>
  </si>
  <si>
    <t>Average of URBAN Baseline TAM's</t>
  </si>
  <si>
    <t>Average of NONURBAN Baseline TAM's</t>
  </si>
  <si>
    <t>EV Urban Driving Fraction</t>
  </si>
  <si>
    <t>Hybrid Urban Driving Fraction</t>
  </si>
  <si>
    <t>#6:</t>
  </si>
  <si>
    <t>#7:</t>
  </si>
  <si>
    <t>%</t>
  </si>
  <si>
    <t>billion pass-km</t>
  </si>
  <si>
    <t>Conservative Cases</t>
  </si>
  <si>
    <t xml:space="preserve"> </t>
  </si>
  <si>
    <t>Same Data In Passenger-km</t>
  </si>
  <si>
    <t>GLOBAL TAM FORECAST</t>
  </si>
  <si>
    <t>LIST REFERENCES BELOW</t>
  </si>
  <si>
    <t>Baseline Cases</t>
  </si>
  <si>
    <t>Ambitious Cases</t>
  </si>
  <si>
    <t>Maximum Cases</t>
  </si>
  <si>
    <t>ALL SOURCES</t>
  </si>
  <si>
    <t>[Source 3 - Base]</t>
  </si>
  <si>
    <t>[Source 3 - Conservative]</t>
  </si>
  <si>
    <t>[Source 3 - Ambitious]</t>
  </si>
  <si>
    <t>[Source 1 - Maximum]</t>
  </si>
  <si>
    <t>[Source 2 - Maximum]</t>
  </si>
  <si>
    <t>Functional Unit</t>
  </si>
  <si>
    <t>Pkm (urban)</t>
  </si>
  <si>
    <t>URBAN Passenger Travel</t>
  </si>
  <si>
    <t>Ambitious Adoption Projections: Rather aggressive adoptions</t>
  </si>
  <si>
    <t>Average of Baseline TAM's</t>
  </si>
  <si>
    <t>Remaining bpkms</t>
  </si>
  <si>
    <t>Remaining  %</t>
  </si>
  <si>
    <t>#1:</t>
  </si>
  <si>
    <t>#2:</t>
  </si>
  <si>
    <t>#3:</t>
  </si>
  <si>
    <t>#4:</t>
  </si>
  <si>
    <t>#5:</t>
  </si>
  <si>
    <t>Electric Vehicles (Click to Input)</t>
  </si>
  <si>
    <t>Car Fuel Efficiency (Hybrid EV's)    (Click to Input)</t>
  </si>
  <si>
    <t>NON-URBAN</t>
  </si>
  <si>
    <t>ICCT (2012) "Global Transport Roadmap Model", http://www.theicct.org/global-transportation-roadmap-model</t>
  </si>
  <si>
    <t>IEA (2016), "Energy Technology Perspectives - 4DS", IEA/OECD</t>
  </si>
  <si>
    <t>[Source 2 - Conservative]</t>
  </si>
  <si>
    <t>IEA (2016), "Energy Technology Perspectives - 2DS", IEA/OECD</t>
  </si>
  <si>
    <t>[Source 2 - Ambitious]</t>
  </si>
  <si>
    <t>IEA (2016), "Energy Technology Perspectives - 6DS", IEA/OECD</t>
  </si>
  <si>
    <t>Combined URBAN and NON-URBAN (sum of above)</t>
  </si>
  <si>
    <t>Optimizing for Drawdown: Maximum estimates from fellowship Work.</t>
  </si>
  <si>
    <t>Remaining (ICE) bpkms</t>
  </si>
  <si>
    <t>Remaining  (ICE) %</t>
  </si>
  <si>
    <t>Theoretical Maximum Impact: Assumptions of Modeshare in 2050:</t>
  </si>
  <si>
    <t>Average of BaselineTAM's</t>
  </si>
  <si>
    <t>NON URBAN Passenger Travel</t>
  </si>
  <si>
    <t>Freight Transport</t>
  </si>
  <si>
    <t>Theoretical Maximum: Assumptions of Modeshare in 2050:</t>
  </si>
  <si>
    <t>Interpolation for TAM (Global) -ITDP - UC Davis (2014)  'A Global High Shift Scenario' Updated Report Data</t>
  </si>
  <si>
    <t>Variable</t>
  </si>
  <si>
    <t>TAM</t>
  </si>
  <si>
    <t>Electric Vehicles (Split Page)</t>
  </si>
  <si>
    <t>Car Fuel Efficiency (See Split Page)</t>
  </si>
  <si>
    <t>Original Units</t>
  </si>
  <si>
    <t>R2 = 1.0000</t>
  </si>
  <si>
    <t>billion pass-km (urban)</t>
  </si>
  <si>
    <t>Trendline:3rd Poly</t>
  </si>
  <si>
    <t>Fit Data Harmonized with UN Pop Data (     2015-&gt;2015)</t>
  </si>
  <si>
    <t>Raw Values Used When Avail</t>
  </si>
  <si>
    <t>11. NOW COPY SELECTED TRENDLINE RESULTS TO YOUR "TAM" INPUT SHEET (only 2012 onwards)</t>
  </si>
  <si>
    <t>Region</t>
  </si>
  <si>
    <t>DO NOT COPY pre-2012 Values. Leave them here for record keeping.</t>
  </si>
  <si>
    <t>Global</t>
  </si>
  <si>
    <t>Source</t>
  </si>
  <si>
    <t>ITDP - UC Davis (2014)  'A Global High Shift Scenario' Updated Report Data - Baseline Scenario</t>
  </si>
  <si>
    <t>Copy under this line</t>
  </si>
  <si>
    <t>Base Year</t>
  </si>
  <si>
    <t>Original Unit</t>
  </si>
  <si>
    <t>Multiplier</t>
  </si>
  <si>
    <t>Interpolation for TAM (Global) -ITDP - UC Davis (2014)  'A Global High Shift Scenario' Updated  Report Data - High Shift Scenario</t>
  </si>
  <si>
    <t>R2 = 0.9998</t>
  </si>
  <si>
    <t>ITDP - UC Davis (2014)  'A Global High Shift Scenario' Updated  Report Data - High Shift Scenario</t>
  </si>
  <si>
    <t>Interpolation for TAM (Global) -ICCT, 2012, "Global Transportation Roadmap Model"</t>
  </si>
  <si>
    <t>Fit Data Harmonized with UN Pop Data (     2012-&gt;2015)</t>
  </si>
  <si>
    <t>Adjusted with Baseline Non-Motorized Data</t>
  </si>
  <si>
    <t>ICCT, 2012, "Global Transportation Roadmap Model"</t>
  </si>
  <si>
    <t>NOTE:</t>
  </si>
  <si>
    <t>The source data used for this projection does not seem to include non-motorized (NM) modes (walking, bike and e-bikes) and so we have included these values from the data available in the ITDP/UCD Projection below. The NM data have been extracted from the second (updated) data file of the ITDP/UCD and interpolated. The interpolated numbers have been added to the projections shown here. ITDP/UCD provides a Baseline and a High Shift scenario. The Baseline NM projection has been added to the Baseline and Conservative scenarios of other sources, and the High Shift to the Ambitious Scenarios.</t>
  </si>
  <si>
    <t>Interpolation for TAM (Global) -ETP 2016, URBAN 2 DS</t>
  </si>
  <si>
    <t>Adjusted with High Shift Non-Motorized Data</t>
  </si>
  <si>
    <t>ETP 2016, URBAN 2 DS</t>
  </si>
  <si>
    <t>Interpolation for TAM (Global) -ETP 2016, URBAN 4 DS</t>
  </si>
  <si>
    <t>R2 = 0.9997</t>
  </si>
  <si>
    <t>ETP 2016, URBAN 4 DS</t>
  </si>
  <si>
    <t>Interpolation for TAM (Global) -ETP 2016, URBAN 6 DS</t>
  </si>
  <si>
    <t>R2 = 0.9999</t>
  </si>
  <si>
    <t>ETP 2016, URBAN 6 DS</t>
  </si>
  <si>
    <t>Interpolation for TAM (Global) -IEA (2016), "Energy Technology Perspectives - 6DS", IEA/OECD</t>
  </si>
  <si>
    <t>Interpolation for TAM (Global) -ITDP - UC Davis (2014)  'A Global High Shift Scenario' Updated  Report Data - Baseline Scenario for ONLY Non-Motorized Modes</t>
  </si>
  <si>
    <t>R2 = 0.9979</t>
  </si>
  <si>
    <t>billion pass-km (nonurban)</t>
  </si>
  <si>
    <t>ITDP - UC Davis (2014)  'A Global High Shift Scenario' Updated  Report Data - Baseline Scenario for ONLY Non-Motorized Modes</t>
  </si>
  <si>
    <t>Interpolation for TAM (Global) -ITDP - UC Davis (2014)  'A Global High Shift Scenario' Updated  Report Data - High Shift Scenario for ONLY Non-Motorized Modes</t>
  </si>
  <si>
    <t>R2 = 0.9879</t>
  </si>
  <si>
    <t>Trendline:2nd Poly</t>
  </si>
  <si>
    <t>ITDP - UC Davis (2014)  'A Global High Shift Scenario' Updated  Report Data - High Shift Scenario for ONLY Non-Motorized Modes</t>
  </si>
  <si>
    <t>Interpolation for TAM (Global) -IEA (2016), "Energy Technology Perspectives - 4DS", IEA/OECD</t>
  </si>
  <si>
    <t>Interpolation for TAM (Global) -IEA (2016), "Energy Technology Perspectives - 2DS", IEA/OECD</t>
  </si>
  <si>
    <t>Interpolation for TAM (Global) -ICCT (2012) "Global Transport Roadmap Model", http://www.theicct.org/global-transportation-roadmap-model</t>
  </si>
  <si>
    <t>billion tonne-km</t>
  </si>
  <si>
    <t>Billion Ton - nmiles</t>
  </si>
  <si>
    <t>Fit Data Harmonized with UN Pop Data (     2014-&gt;2015)</t>
  </si>
  <si>
    <t>OPRF study Pg 30 Appdx 1</t>
  </si>
  <si>
    <t>PDS1</t>
  </si>
  <si>
    <t>PDS2</t>
  </si>
  <si>
    <t>PDS3</t>
  </si>
  <si>
    <t>Include</t>
  </si>
  <si>
    <t>Urban:</t>
  </si>
  <si>
    <t>NonUrban:</t>
  </si>
  <si>
    <t>Adoption Projection:</t>
  </si>
  <si>
    <t>Total tonne-km is limited according to projections</t>
  </si>
  <si>
    <t>Trucks</t>
  </si>
  <si>
    <t>Private-car based solutions are used in the urban and nonurban (intercity) clusters and hence must be integrated across clusters.</t>
  </si>
  <si>
    <t>Billion pass-km</t>
  </si>
  <si>
    <t>Billion pass-km (nonurban)</t>
  </si>
  <si>
    <t>Billion pass-km (urban)</t>
  </si>
  <si>
    <t>Pass-km</t>
  </si>
  <si>
    <t>Based on IEA (2016), "Energy Technology Perspectives - 6DS", IEA/OECD</t>
  </si>
  <si>
    <t>Based on ICCT (2012) "Global Transport Roadmap Model", http://www.theicct.org/global-transportation-roadmap-model</t>
  </si>
  <si>
    <t>Based on IEA (2016), "Energy Technology Perspectives - 4DS", IEA/OECD</t>
  </si>
  <si>
    <t>Based on IEA (2016), "Energy Technology Perspectives - 2DS", IEA/OECD</t>
  </si>
  <si>
    <t>Based on ETP 2016, URBAN 6 DS + Non-motorized Travel Adjustment</t>
  </si>
  <si>
    <t>Based on ICCT, 2012, "Global Transportation Roadmap Model" + Non-motorized Travel Adjustment</t>
  </si>
  <si>
    <t>Based on ETP 2016, URBAN 4 DS + Non-motorized Travel Adjustment</t>
  </si>
  <si>
    <t>Based on ITDP/UC Davis (2014)  'A Global High Shift Scenario' Updated Report Data - Baseline Scenario</t>
  </si>
  <si>
    <t>Based on ETP 2016, URBAN 2 DS + Non-motorized Travel Adjustment</t>
  </si>
  <si>
    <t>Based on ITDP/UC Davis (2014)  'A Global High Shift Scenario' Updated Report Data - HighShift Scenario</t>
  </si>
  <si>
    <t>COLOR SCHEME:</t>
  </si>
  <si>
    <t>SCOPE OF MODELED SOLUTIONS:</t>
  </si>
  <si>
    <t>Adoption of aircraft of intermediate efficiency</t>
  </si>
  <si>
    <t>Adoption of hybrid cars</t>
  </si>
  <si>
    <t>Bike riding due to installation of more bike lanes</t>
  </si>
  <si>
    <t>Adoption of electric bikes</t>
  </si>
  <si>
    <t>Adoption of electric vehicles</t>
  </si>
  <si>
    <t>HSR use due to increased track construction</t>
  </si>
  <si>
    <t>Intensification of use of existing mass transit systems</t>
  </si>
  <si>
    <t>Adoption of more efficient ships (with 17 technologies from GloMEEP)</t>
  </si>
  <si>
    <t>Replacement of business-aviation trips with telepresence meetings</t>
  </si>
  <si>
    <t>Electrification of freight tracks</t>
  </si>
  <si>
    <t>Adoption of more efficient trucks</t>
  </si>
  <si>
    <t>Replacement of car use in cities with walking</t>
  </si>
  <si>
    <t>Note: Train and Truck Fuel Efficiency Share a Combined TAM of Total Freight, but Oceanic Freight has a TAM of only Ocean Freight. All Interpolations are below, but only the global combined freight is used in the Integration Calculations.</t>
  </si>
  <si>
    <t>[Source 2 - Base]</t>
  </si>
  <si>
    <t>FREIGHT - ALL MODES</t>
  </si>
  <si>
    <t>Same Data In Billion tonne-nautical miles</t>
  </si>
  <si>
    <t>Based on Smith et al, 2014 (max scenario); Fig 82,83 Pg 159,160</t>
  </si>
  <si>
    <t>Based on Buhaug et al,2009 (max scenario) Table 7.4 pg 94</t>
  </si>
  <si>
    <t>Based on  RACE (max) Table 30 pg 126</t>
  </si>
  <si>
    <t>[Source 1 - Conservative]</t>
  </si>
  <si>
    <t>Based on Smith et al, 2014 (min BAU scenario); Fig 82,83 Pg 159,160</t>
  </si>
  <si>
    <t>Based on Buhaug et al,2009 (min BAU) Table 7.4 pg 94</t>
  </si>
  <si>
    <t>Based on RACE (min BAU) Table 30 pg 126</t>
  </si>
  <si>
    <t>FREIGHT SHIPPING ONLY</t>
  </si>
  <si>
    <t>Remaining mtonne-kms</t>
  </si>
  <si>
    <t>million tonne-km</t>
  </si>
  <si>
    <t>billion tonne-nautical mile</t>
  </si>
  <si>
    <t>Million tonne-km</t>
  </si>
  <si>
    <t>*</t>
  </si>
  <si>
    <t>URBAN PASSENGER</t>
  </si>
  <si>
    <t>NONURBAN PASSENGER</t>
  </si>
  <si>
    <t>Shipping Only from Here</t>
  </si>
  <si>
    <t>Air Only from Here</t>
  </si>
  <si>
    <t>Interpolation for TAM (Global) -Airbus, 2014, 'Global market Forecast: Flying by the Numbers 2015-2034', Available at:http://www.airbus.com/company/market/forecast/ combined with (pre-2013) ICAO, 2014, 'Annual Report 2014, Appendix 1', Available at: http://www.icao.int/annual-report-2014/Documents/Appendix_1_en.pdf/</t>
  </si>
  <si>
    <t>R2 = 1</t>
  </si>
  <si>
    <t>Airbus, 2014, 'Global market Forecast: Flying by the Numbers 2015-2034', Available at:http://www.airbus.com/company/market/forecast/ combined with (pre-2013) ICAO, 2014, 'Annual Report 2014, Appendix 1', Available at: http://www.icao.int/annual-report-2014/Documents/Appendix_1_en.pdf/</t>
  </si>
  <si>
    <t>Back to top</t>
  </si>
  <si>
    <t>Interpolation for TAM (Global) -Boeing, 2013, LOW SCENARIO - 'World Air cargo Forecast 2014-2015', Available at:http://www.boeing.com/resources/boeingdotcom/commercial/about-our-market/cargo-market-detail-wacf/download-report/assets/pdfs/wacf.pdf combined with (pre-2013) ICAO, 2014, 'Annual Report 2014, Appendix 1', Available at: http://www.icao.int/annual-report-2014/Documents/Appendix_1_en.pdf/</t>
  </si>
  <si>
    <t>Boeing, 2013, LOW SCENARIO - 'World Air cargo Forecast 2014-2015', Available at:http://www.boeing.com/resources/boeingdotcom/commercial/about-our-market/cargo-market-detail-wacf/download-report/assets/pdfs/wacf.pdf combined with (pre-2013) ICAO, 2014, 'Annual Report 2014, Appendix 1', Available at: http://www.icao.int/annual-report-2014/Documents/Appendix_1_en.pdf/</t>
  </si>
  <si>
    <t>Interpolation for TAM (Global) -Boeing, 2013, BASE SCENARIO - 'World Air cargo Forecast 2014-2015', Available at:http://www.boeing.com/resources/boeingdotcom/commercial/about-our-market/cargo-market-detail-wacf/download-report/assets/pdfs/wacf.pdf combined with (pre-2013) ICAO, 2014, 'Annual Report 2014, Appendix 1', Available at: http://www.icao.int/annual-report-2014/Documents/Appendix_1_en.pdf/</t>
  </si>
  <si>
    <t>Boeing, 2013, BASE SCENARIO - 'World Air cargo Forecast 2014-2015', Available at:http://www.boeing.com/resources/boeingdotcom/commercial/about-our-market/cargo-market-detail-wacf/download-report/assets/pdfs/wacf.pdf combined with (pre-2013) ICAO, 2014, 'Annual Report 2014, Appendix 1', Available at: http://www.icao.int/annual-report-2014/Documents/Appendix_1_en.pdf/</t>
  </si>
  <si>
    <t>Interpolation for TAM (Global) -Boeing, 2013, HIGH SCENARIO - 'World Air cargo Forecast 2014-2015', Available at:http://www.boeing.com/resources/boeingdotcom/commercial/about-our-market/cargo-market-detail-wacf/download-report/assets/pdfs/wacf.pdf combined with (pre-2013) ICAO, 2014, 'Annual Report 2014, Appendix 1', Available at: http://www.icao.int/annual-report-2014/Documents/Appendix_1_en.pdf/</t>
  </si>
  <si>
    <t>Boeing, 2013, HIGH SCENARIO - 'World Air cargo Forecast 2014-2015', Available at:http://www.boeing.com/resources/boeingdotcom/commercial/about-our-market/cargo-market-detail-wacf/download-report/assets/pdfs/wacf.pdf combined with (pre-2013) ICAO, 2014, 'Annual Report 2014, Appendix 1', Available at: http://www.icao.int/annual-report-2014/Documents/Appendix_1_en.pdf/</t>
  </si>
  <si>
    <t>Land Only from Here (Truck + Rail)</t>
  </si>
  <si>
    <t>Interpolation for TAM (Global) -IEA (2016) 6DS - Energy Technology Perspectives 2016, IEA/OECD, Paris</t>
  </si>
  <si>
    <t>IEA (2016) 6DS - Energy Technology Perspectives 2016, IEA/OECD, Paris</t>
  </si>
  <si>
    <t>Interpolation for TAM (Global) -IEA (2016) 4DS - Energy Technology Perspectives 2016, IEA/OECD, Paris</t>
  </si>
  <si>
    <t>R2 = 00.001</t>
  </si>
  <si>
    <t>IEA (2016) 4DS - Energy Technology Perspectives 2016, IEA/OECD, Paris</t>
  </si>
  <si>
    <t>Interpolation for TAM (Global) -IEA (2016) 2DS - Energy Technology Perspectives 2016, IEA/OECD, Paris</t>
  </si>
  <si>
    <t>IEA (2016) 2DS - Energy Technology Perspectives 2016, IEA/OECD, Paris</t>
  </si>
  <si>
    <t>Interpolation for TAM (Global) -ICCT, 2012, Base Scenario "Global Transportation Roadmap Model", Available at http://www.theicct.org/global-transportation-roadmap-model</t>
  </si>
  <si>
    <t>ICCT, 2012, Base Scenario "Global Transportation Roadmap Model", Available at http://www.theicct.org/global-transportation-roadmap-model</t>
  </si>
  <si>
    <t>INTERPOLATED VALUES IN Billion Tonne-Nautical Miles</t>
  </si>
  <si>
    <t>This sheet takes the adoption of each solution that shares the urban TAM and shows the fraction of TAM adopted as well as the remaining TAM. It allows prevention of TAM overshoot.</t>
  </si>
  <si>
    <t>This sheet takes the adoption of each solution that shares the Nonurban TAM and shows the fraction of TAM adopted as well as the remaining TAM. It allows prevention of TAM overshoot.</t>
  </si>
  <si>
    <t>This sheet takes the adoption of each solution that shares the freight TAM and shows the fraction of TAM adopted as well as the remaining TAM. It allows prevention of TAM overshoot.</t>
  </si>
  <si>
    <t>Interpolations for Urban Passenger Transportation Projections</t>
  </si>
  <si>
    <t>Interpolations for Freight Transportation Projections</t>
  </si>
  <si>
    <t>Interpolations for Nonurban Passenger Transportation Projections</t>
  </si>
  <si>
    <t>Below are the Interpolations of all the Sources used for the Freight TAM. These feed the Summary data on other sheets. The interpolations are broken up by mode to allow separation as needed by some solutions (particularly Ships/Oceanic Freight).</t>
  </si>
  <si>
    <t>URBAN And NON URBAN Passenger Travel</t>
  </si>
  <si>
    <t>This sheet takes the global passenger travel data for Urban and Non-urban and shows the fraction of TAM adopted as well as the remaining TAM. It ashows the global mode share of all modes.</t>
  </si>
  <si>
    <t>#8:</t>
  </si>
  <si>
    <t>#9:</t>
  </si>
  <si>
    <t>#10:</t>
  </si>
  <si>
    <t>2014 Global Mode Shares</t>
  </si>
  <si>
    <t>Other</t>
  </si>
  <si>
    <t>2050 Global Mode Shares</t>
  </si>
  <si>
    <t>Urban Mass Transit</t>
  </si>
  <si>
    <t>pkm</t>
  </si>
  <si>
    <t>passenger-km avoided</t>
  </si>
  <si>
    <t>11. NOW COPY SELECTED TRENDLINE RESULTS TO YOUR "Adoption Data" INPUT SHEET (only 2012 onwards)</t>
  </si>
  <si>
    <t>R2 = 0.9987</t>
  </si>
  <si>
    <t>R2 = 0.9996</t>
  </si>
  <si>
    <t>Passenger-km</t>
  </si>
  <si>
    <t>passenger-km/ pkm equivalent</t>
  </si>
  <si>
    <t>R2 = 0.9994</t>
  </si>
  <si>
    <t>pass-km</t>
  </si>
  <si>
    <t>Estimated 2014 Adoption of Telepresence:</t>
  </si>
  <si>
    <t>Final Total including Telepresence</t>
  </si>
  <si>
    <t>Note:</t>
  </si>
  <si>
    <t>Numbers Exclude Accessibility Impacts ('avoided' pkm) of Currently Adopted Telepresence. These are added into the projection. This assumes that the adoption of telepresence replaces international air mobility that would have happened, and that induced demand/rebound effects are minimal, but it allows the impact of Telepresence to be fitted into the Transportation non-urban passenger solutions in a way that allows fair comparison.</t>
  </si>
  <si>
    <t>(see Telepresence model for more information)</t>
  </si>
  <si>
    <t>This sheet summarizes all the TAM data collected from several sources for  passenger travel. Since different solutions supply different types of passenger travel (urban, nonurban and both), there are three sets of tables- showing each of those datasets.  Some solutions need these data in billions of passenger-km and others use just passenger-km. Both units are shown below. All data come from the interpolations on the "Interp-..." sheets.</t>
  </si>
  <si>
    <t>Contents</t>
  </si>
  <si>
    <t>Urban-Bpkms</t>
  </si>
  <si>
    <t>Urban-pkms</t>
  </si>
  <si>
    <t>NonUrban-Bpkms</t>
  </si>
  <si>
    <t>NonUrban-pkms</t>
  </si>
  <si>
    <t>Air-Bpkms</t>
  </si>
  <si>
    <t>Air-pkms</t>
  </si>
  <si>
    <t>Back to Top Left</t>
  </si>
  <si>
    <t>Combined-Bpkm</t>
  </si>
  <si>
    <t>Combined-pkm</t>
  </si>
  <si>
    <t>AIR TRAVEL</t>
  </si>
  <si>
    <t>Based on IEA (2016), "Energy Technology Perspectives - 6DS", IEA/OECD + Telepresence Adjustment</t>
  </si>
  <si>
    <t>Based on IEA (2016), "Energy Technology Perspectives - 4DS", IEA/OECD + Telepresence Adjustment</t>
  </si>
  <si>
    <t>Based on IEA (2016), "Energy Technology Perspectives - 2DS", IEA/OECD + Telepresence Adjustment</t>
  </si>
  <si>
    <t>Based on ICCT (2012) "Global Transport Roadmap Model", http://www.theicct.org/global-transportation-roadmap-model + Telepresence Adjustment</t>
  </si>
  <si>
    <t>Based on IEA (2016) ETP 6DS/4DS Projection of Air Travel + Telepresence Adjustment</t>
  </si>
  <si>
    <t>Based on IEA (2016) ETP 2DS Projection of Air Travel + Telepresence Adjustment</t>
  </si>
  <si>
    <t>All Freight - Million ton-km</t>
  </si>
  <si>
    <t>All Freight - Billion Ton-nautical Mile</t>
  </si>
  <si>
    <t>Maritime Freight - Million ton-km</t>
  </si>
  <si>
    <t>Maritime Freight - Billion Ton-nautical Mile</t>
  </si>
  <si>
    <t>EV</t>
  </si>
  <si>
    <t>Hybrids</t>
  </si>
  <si>
    <t>Intercity Bus Share:</t>
  </si>
  <si>
    <t>Urban 2W, 3W Share:</t>
  </si>
  <si>
    <t>Intercity Rail Share:</t>
  </si>
  <si>
    <t>Total Aviation Share:</t>
  </si>
  <si>
    <t>Ridesharing/ Carpooling</t>
  </si>
  <si>
    <t>Carpooling</t>
  </si>
  <si>
    <t>Carpooling (Click to Input)</t>
  </si>
  <si>
    <t xml:space="preserve">This sheet performs all the required calculations for the car solutions: 1) ensures all car solutions stay within the CAR TAM (note that CAR TAM excludes higher priority solutions and modes that are unaffected such as motorcycles and intercity bus), 2) splits the EV and Hybrid solutions between Urban abd NonUrban realms, and if necessary 3) balances the overlap of Ridesharing with EV and Hybrid use. </t>
  </si>
  <si>
    <t>URBAN Car Remainder  %</t>
  </si>
  <si>
    <t>NONURBAN Car Remainder  %</t>
  </si>
  <si>
    <t>Total URBAN -Estimated Car TAM</t>
  </si>
  <si>
    <t>Total NONURBAN Estimated Car TAM</t>
  </si>
  <si>
    <t>Note that In the Urban Realm, Carpooling is checked separately from EV+Hybrids for Car TAM limits.</t>
  </si>
  <si>
    <t>Increased carpooling for all urban car trips</t>
  </si>
  <si>
    <t>Scenario:</t>
  </si>
  <si>
    <t>IEA (2016) ETP 2DS Projection of BUSINESS Air Travel (Assuming 36% of Air Travel is for Business)</t>
  </si>
  <si>
    <t>Interpolation for TAM (Global) -IEA (2016) ETP 2DS Projection of BUSINESS Air Travel (Assuming 36% of Air Travel is for Business)</t>
  </si>
  <si>
    <t>Interpolation for TAM (Global) -IEA (2016) ETP 6DS/4DS Projection of BUSINESS Air Travel assuming 36% of all Air Travel is for Business.</t>
  </si>
  <si>
    <t>IEA (2016) ETP 6DS/4DS Projection of BUSINESS Air Travel assuming 36% of all Air Travel is for Business.</t>
  </si>
  <si>
    <t>Airbus (2015) Global Market Forecast 2016-2035 for BUSINESS Air Travel with projections extended - assuming 32.3% of Air Travel is for Business</t>
  </si>
  <si>
    <t>Interpolation for TAM (Global) -Airbus (2015) Global Market Forecast 2016-2035 for BUSINESS Air Travel with projections extended - assuming 32.3% of Air Travel is for Business</t>
  </si>
  <si>
    <t>BUSINESS Air Travel - Boeing (2017) Current Market Outlook 2017 -2036 -4.7% CAGR for all Air Travel - assuming 32.3% of Air Travel is for Business</t>
  </si>
  <si>
    <t>Interpolation for TAM (Global) -BUSINESS Air Travel - Boeing (2017) Current Market Outlook 2017 -2036 -4.7% CAGR for all Air Travel - assuming 32.3% of Air Travel is for Business</t>
  </si>
  <si>
    <t>BUSINESS AIR TRAVEL</t>
  </si>
  <si>
    <t>Business Air-Bpkms</t>
  </si>
  <si>
    <t>Business Air-pkms</t>
  </si>
  <si>
    <t>Based on IEA (2016) ETP 6DS/4DS Projection of BUSINESS Air Travel + Telepresence Adjustment</t>
  </si>
  <si>
    <t>Based on Airbus (2015) Global Market Forecast BUSINESS  Air Travel 2016-2035 with projections extended + Telepresence Adjustment</t>
  </si>
  <si>
    <t>Based on Boeing (2017) Current Market Outlook BUSINESS  Air Travel 2017-2036 + Telepresence Adjustment</t>
  </si>
  <si>
    <t>Based on IEA (2016) ETP 2DS Projection of BUSINESS Air Travel + Telepresence Adjustment</t>
  </si>
  <si>
    <t>billion passenger-km</t>
  </si>
  <si>
    <t>Billion passenger km</t>
  </si>
  <si>
    <t>Interpolation for TAM (Global) -IEA (2016) ETP Projected Interurban Passenger-km by Air - 4DS Scenario</t>
  </si>
  <si>
    <t>Interpolation for TAM (Global) -IEA (2016) ETP Projected Interurban Passenger-km by Air - 2DS Scenario</t>
  </si>
  <si>
    <t>IEA (2016) ETP Projected Interurban Passenger-km by Air - 2DS Scenario</t>
  </si>
  <si>
    <t>Interpolation for TAM (Global) -ICCT (2012) Global Roadmap Model Aviation Projections</t>
  </si>
  <si>
    <t>R2 = 0.9986</t>
  </si>
  <si>
    <t>Trendline:Exp</t>
  </si>
  <si>
    <t>ICCT (2012) Global Roadmap Model Aviation Projections</t>
  </si>
  <si>
    <t>BUSINESS AVIATION BELOW HERE</t>
  </si>
  <si>
    <t>AVIATION BELOW HERE</t>
  </si>
  <si>
    <t>IEA (2016) ETP Projected Interurban Passenger-km by Air - 4DS/6DS Scenario</t>
  </si>
  <si>
    <t>Based on ICCT (2012) Base Scenario + Telepresence Adjustment</t>
  </si>
  <si>
    <t>Optimizing for Drawdown</t>
  </si>
  <si>
    <t>Theoretical Maximum</t>
  </si>
  <si>
    <t>Urban Ridesharing/ Carpooling</t>
  </si>
  <si>
    <t>Calculate the urban modal share</t>
  </si>
  <si>
    <t>Note: There are two ways that modal share can be calculated, trip based or pkm based. In this approach we are calculating pkm. Studies that calculate using pkm, often exclude non-motorized trips (walk/bike) due to their short trip length</t>
  </si>
  <si>
    <t>mode</t>
  </si>
  <si>
    <t>share</t>
  </si>
  <si>
    <t>Source:</t>
  </si>
  <si>
    <t>LDV</t>
  </si>
  <si>
    <t>Assumptions</t>
  </si>
  <si>
    <t>Motor 2W</t>
  </si>
  <si>
    <t>Includes pkm for Non-Motorized modes</t>
  </si>
  <si>
    <t>Urban bus</t>
  </si>
  <si>
    <t>2015 approximates 2014 data well</t>
  </si>
  <si>
    <t>BRT</t>
  </si>
  <si>
    <t>Minibus</t>
  </si>
  <si>
    <t>Metro</t>
  </si>
  <si>
    <t>Tram/LRT</t>
  </si>
  <si>
    <t>Commuter rail</t>
  </si>
  <si>
    <t>e-bike</t>
  </si>
  <si>
    <t>cycle</t>
  </si>
  <si>
    <t>walk</t>
  </si>
  <si>
    <t>Total</t>
  </si>
  <si>
    <t>Total w/o NM</t>
  </si>
  <si>
    <t>ETP 16 URBAN figure 5.1</t>
  </si>
  <si>
    <t>OECD</t>
  </si>
  <si>
    <t>Non-OECD</t>
  </si>
  <si>
    <t>sum</t>
  </si>
  <si>
    <t>2-wheelers</t>
  </si>
  <si>
    <t>3-wheelers</t>
  </si>
  <si>
    <t>Does not include pkm for Non-Motorized modes</t>
  </si>
  <si>
    <t>Small and medium cars</t>
  </si>
  <si>
    <t>Large cars</t>
  </si>
  <si>
    <t>Minibuses</t>
  </si>
  <si>
    <t>Buses</t>
  </si>
  <si>
    <t>Rail</t>
  </si>
  <si>
    <t>ICCT Roadmap</t>
  </si>
  <si>
    <t>both urban and interurban</t>
  </si>
  <si>
    <t>urban share*</t>
  </si>
  <si>
    <t>urban pkm</t>
  </si>
  <si>
    <t>urban mode share</t>
  </si>
  <si>
    <t>LDV*</t>
  </si>
  <si>
    <t>Bus*</t>
  </si>
  <si>
    <t>2W*</t>
  </si>
  <si>
    <t xml:space="preserve">ICCT data is for all mobility; urban share is the percentage of each mode that corresponds to urban pkm. All 2/3W pkm are urban, no aviation pkm are urban. LDV, Bus, Passenger rail have both urban and non-urban trips. ICCT calculates urban share for LDV through population (percent of population living in urban areas). In an effort to be consistent, we have calculated the urban share for all modes through IEA data (IEA provides figures for both urban and non-urban trips - IEA ETP 16, Figure 5,1). </t>
  </si>
  <si>
    <t>3W*</t>
  </si>
  <si>
    <t>Passenger Rail*</t>
  </si>
  <si>
    <t>Aviation*</t>
  </si>
  <si>
    <t>TOTAL</t>
  </si>
  <si>
    <t>Special Calculations</t>
  </si>
  <si>
    <t>bikes</t>
  </si>
  <si>
    <t>est annual distance (km)</t>
  </si>
  <si>
    <t>Urban pkms (billion pkms)</t>
  </si>
  <si>
    <t>10km travelled on weekday, 5km per weekend day</t>
  </si>
  <si>
    <t>Occupancy 1.05</t>
  </si>
  <si>
    <t>Summary from Sources Above</t>
  </si>
  <si>
    <t>IEA Car Data</t>
  </si>
  <si>
    <t>average</t>
  </si>
  <si>
    <t>Modeshare</t>
  </si>
  <si>
    <t>Gasoline ICE</t>
  </si>
  <si>
    <t>Diesel ICE</t>
  </si>
  <si>
    <t>CNG/LPG</t>
  </si>
  <si>
    <t>Plug-in electric</t>
  </si>
  <si>
    <t>Battery electric</t>
  </si>
  <si>
    <t>Fuel cell</t>
  </si>
  <si>
    <t>Combined Data</t>
  </si>
  <si>
    <t>bill. Pkms</t>
  </si>
  <si>
    <t>NonUrban (Car only)</t>
  </si>
  <si>
    <t>URBAN Summarized for Drawdown</t>
  </si>
  <si>
    <t>Where in Drawdown</t>
  </si>
  <si>
    <t>ICE Cars</t>
  </si>
  <si>
    <t>Conventional</t>
  </si>
  <si>
    <t>Hybrid Cars</t>
  </si>
  <si>
    <t>Car FE</t>
  </si>
  <si>
    <t>Electric/CNG/LPG/Fuel Cell</t>
  </si>
  <si>
    <t>Electric Cars</t>
  </si>
  <si>
    <t>Motor 2W and 3W</t>
  </si>
  <si>
    <t>Other Cars (CNG/LPG, Fuel cell)</t>
  </si>
  <si>
    <t>All Biking</t>
  </si>
  <si>
    <t>Walking</t>
  </si>
  <si>
    <t>E-bike</t>
  </si>
  <si>
    <t>Bicycle</t>
  </si>
  <si>
    <t>Bike Infra</t>
  </si>
  <si>
    <t>Walk</t>
  </si>
  <si>
    <t>Combined Data on URBAN Modes Only: IEA (2016) ETP, ICCT (2012) Global Roadmap Model, ITDP/UCD (2015) A Global Highshift Cycling Scenario</t>
  </si>
  <si>
    <t>Calculate the Nonurban modal share</t>
  </si>
  <si>
    <t>ETP 16 NONURBAN figure 5.1</t>
  </si>
  <si>
    <t>Air</t>
  </si>
  <si>
    <t>nonurban pkm</t>
  </si>
  <si>
    <t>nonurban mode share</t>
  </si>
  <si>
    <t>Rail split</t>
  </si>
  <si>
    <t>HSR</t>
  </si>
  <si>
    <t xml:space="preserve">Conventional </t>
  </si>
  <si>
    <t>= remainder</t>
  </si>
  <si>
    <t>1+3</t>
  </si>
  <si>
    <t>2+3</t>
  </si>
  <si>
    <t>Bus</t>
  </si>
  <si>
    <t>Conventional Rail</t>
  </si>
  <si>
    <t>bpkms</t>
  </si>
  <si>
    <t>NONURBAN Summarized for Drawdown</t>
  </si>
  <si>
    <t>Car</t>
  </si>
  <si>
    <t>Intercity Bus</t>
  </si>
  <si>
    <t>Airplane FE</t>
  </si>
  <si>
    <t>pkms</t>
  </si>
  <si>
    <t>Average</t>
  </si>
  <si>
    <t>Current Adoption URBAN tab</t>
  </si>
  <si>
    <t>NONURBAN</t>
  </si>
  <si>
    <t>Current Adoption NONURBAN tab</t>
  </si>
  <si>
    <t>COMBINED</t>
  </si>
  <si>
    <t>Summarized for Drawdown Models</t>
  </si>
  <si>
    <t>Pkms</t>
  </si>
  <si>
    <t>LDV: Gasoline ICE</t>
  </si>
  <si>
    <t>LDV: Diesel ICE</t>
  </si>
  <si>
    <t>LDV: CNG/LPG</t>
  </si>
  <si>
    <t>LDV: Hybrids</t>
  </si>
  <si>
    <t>LDV: Plug-in electric</t>
  </si>
  <si>
    <t>LDV: Battery electric</t>
  </si>
  <si>
    <t>LDV: Fuel cell</t>
  </si>
  <si>
    <t>Conventional Intercity Rail</t>
  </si>
  <si>
    <t>E-bikes</t>
  </si>
  <si>
    <t>Intercity Mass Transit</t>
  </si>
  <si>
    <t>Intercity Conventional Rail</t>
  </si>
  <si>
    <t>Nonmotorized</t>
  </si>
  <si>
    <t>Car Urban Share</t>
  </si>
  <si>
    <t>Cycle</t>
  </si>
  <si>
    <t>World</t>
  </si>
  <si>
    <t>light duty (3W, Light commercial vehicles etc)</t>
  </si>
  <si>
    <t>Maritime</t>
  </si>
  <si>
    <t>Truck category Breakout</t>
  </si>
  <si>
    <t>Truck Share</t>
  </si>
  <si>
    <t>Land Mode</t>
  </si>
  <si>
    <t>billion tkm</t>
  </si>
  <si>
    <t>Truck*</t>
  </si>
  <si>
    <t>Truck Category: LHDT*</t>
  </si>
  <si>
    <t>Truck Category:MHDT*</t>
  </si>
  <si>
    <t>Truck Category:HHDT*</t>
  </si>
  <si>
    <t>Freight Rail*</t>
  </si>
  <si>
    <t>All*</t>
  </si>
  <si>
    <t>Air Freight</t>
  </si>
  <si>
    <t>billion ton-nauticalmiles</t>
  </si>
  <si>
    <t>billion ton-km</t>
  </si>
  <si>
    <t>Maritime Freight</t>
  </si>
  <si>
    <t>2+3+4</t>
  </si>
  <si>
    <t>Light Duty (3W, Light commercial vehicles etc)</t>
  </si>
  <si>
    <t>Calculate the Freight modal share</t>
  </si>
  <si>
    <t>Projections of Market Demand/ TAM</t>
  </si>
  <si>
    <t>Estimates of Global Mode Shares</t>
  </si>
  <si>
    <t>Urban Passenger Sheet</t>
  </si>
  <si>
    <t>Nonurban Passenger Sheet</t>
  </si>
  <si>
    <t>Freight Sheet</t>
  </si>
  <si>
    <t>Urban + Nonurban Passenger Sheet</t>
  </si>
  <si>
    <t>Urban Passenger Interpolations of Source Data</t>
  </si>
  <si>
    <t>Nonurban Passenger Interpolations of Source Data</t>
  </si>
  <si>
    <t>Freight Interpolations of Source Data</t>
  </si>
  <si>
    <t>Summary of Passenger TAM Data</t>
  </si>
  <si>
    <t>Summary of Freight TAM Data</t>
  </si>
  <si>
    <t>Solution Adoption Projections</t>
  </si>
  <si>
    <t>Urban Passenger Adoptions</t>
  </si>
  <si>
    <t>Nonurban Passenger Adoptions</t>
  </si>
  <si>
    <t>Freight Adoptions</t>
  </si>
  <si>
    <t>Urban + Nonurban Passenger Summary</t>
  </si>
  <si>
    <t>Private Car Adoption Split</t>
  </si>
  <si>
    <t>Back to Table of Contents</t>
  </si>
  <si>
    <t>This is the Integration Model for Project Drawdown's Transportation Modeling which has data on urban passenger, nonurban passenger,and freight transport. Specifically, it has 1) summaries of several datasets for estimating 2014 mode shares, 2) summaries of several projections for mobility demand/Total Addressable Market (TAM), 3) Projections of Project Drawdown's scenarios for each Transport solution including the split of Car solutions among the urban and nonurban realms.</t>
  </si>
  <si>
    <t>Grid Demand Reduction Estimates</t>
  </si>
  <si>
    <t>Jump:</t>
  </si>
  <si>
    <t>ALL SOLUTIONS</t>
  </si>
  <si>
    <r>
      <t xml:space="preserve">Net Grid Electricity Used - </t>
    </r>
    <r>
      <rPr>
        <b/>
        <sz val="10"/>
        <color rgb="FFFF0000"/>
        <rFont val="Arial"/>
        <family val="2"/>
      </rPr>
      <t>Electricity Increase</t>
    </r>
    <r>
      <rPr>
        <b/>
        <sz val="10"/>
        <rFont val="Arial"/>
        <family val="2"/>
      </rPr>
      <t xml:space="preserve"> -(negative means saved)</t>
    </r>
  </si>
  <si>
    <r>
      <t xml:space="preserve">Net Grid Electricity Saved - </t>
    </r>
    <r>
      <rPr>
        <b/>
        <sz val="10"/>
        <color rgb="FFFF0000"/>
        <rFont val="Arial"/>
        <family val="2"/>
      </rPr>
      <t>Electricity Decrease</t>
    </r>
    <r>
      <rPr>
        <b/>
        <sz val="10"/>
        <rFont val="Arial"/>
        <family val="2"/>
      </rPr>
      <t xml:space="preserve"> -(negative means penalty)</t>
    </r>
  </si>
  <si>
    <t>TOTAL:</t>
  </si>
  <si>
    <t>TWh</t>
  </si>
  <si>
    <t>Back to Top</t>
  </si>
  <si>
    <t>The Changes in Grid Electricity Demand are entered here from the models for easy integration with the grid technologies. They are all converted to REDUCTIONS in TWh.</t>
  </si>
  <si>
    <t>Passenger Light Duty Vehicles (PLDVs)</t>
  </si>
  <si>
    <t>6DS</t>
  </si>
  <si>
    <t>Prediction -&gt;</t>
  </si>
  <si>
    <t>4DS</t>
  </si>
  <si>
    <t>2DS</t>
  </si>
  <si>
    <t>Millions</t>
  </si>
  <si>
    <t>More detail than available in the IEA ETP 2016 report</t>
  </si>
  <si>
    <t>Source:  OECD/IEA (2016), "Energy Technology Perspectives 2016: Towards Sustainable Urban Energy Systems", Available at http://www.iea.org/etp/</t>
  </si>
  <si>
    <t>Calculate the Shares of Cars of Various Types</t>
  </si>
  <si>
    <t>Current Year:</t>
  </si>
  <si>
    <t>Car Technology Shares</t>
  </si>
  <si>
    <t>Interpolation between known years is appropriate</t>
  </si>
  <si>
    <t>ITDP &amp; UCD 2015 base scenario</t>
  </si>
  <si>
    <t>ITDP &amp; UC Davis (2015) A Global High Shift Cycling Scenario. www.itdp.org</t>
  </si>
  <si>
    <t>IEA (2016) Energy Technology Perspectives, OECD/IEA, Paris</t>
  </si>
  <si>
    <t>ICCT (2012) Global Roadmap Model v1.0</t>
  </si>
  <si>
    <t>Cherry (2013) Electric Bikes: what experiences in china can tell us. https://www.theguardian.com/local-government-network/2013/nov/20/lessons-electric-bikes-china</t>
  </si>
  <si>
    <t>van schaik (2016) China Bans e-bike Use in Major Cities, http://www.bike-eu.com/home/nieuws/2016/4/china-bans-e-bike-use-in-major-cities-10126136</t>
  </si>
  <si>
    <t>Carshare Tab</t>
  </si>
  <si>
    <t>(See Modeshare URBAN tab)</t>
  </si>
  <si>
    <t>(See Modeshare NONURBAN tab)</t>
  </si>
  <si>
    <t>ICCT (2012) Global Roadmap Model v1.0, www.theicct.org</t>
  </si>
  <si>
    <t>IEA (2016), "Energy Technology Perspectives 2016: Towards Sustainable Urban Energy Systems", http://www.iea.org/etp/</t>
  </si>
  <si>
    <t>Year</t>
  </si>
  <si>
    <t>Total Ridership - UIC</t>
  </si>
  <si>
    <t>Note: There are two ways that modal share can be calculated, trip based or pkm based. In this approach we are calculating pkm. Studies that calculate using pkm, often exclude non-motorized trips (walk/bike) due to their short trip length. Modeshare data often comes from the past, but some recent data are available, so we scale up to recent year assuming a ratio of total mobility.</t>
  </si>
  <si>
    <t>Nonurban Mobility</t>
  </si>
  <si>
    <t>pkm - 2015</t>
  </si>
  <si>
    <t>Combined Data: IEA (2016) ETP, ICCT (2012) Global Roadmap Model, UIC (2019) High Speed Traffic in the World</t>
  </si>
  <si>
    <t>UIC (2019) High Speed Traffic in the World, Paris, https://uic.org/IMG/pdf/20190122_high_speed_passenger_km.pdf</t>
  </si>
  <si>
    <t>UNCTAD (2018) Review of Maritime Freight</t>
  </si>
  <si>
    <t>UNCTAD (2018)  Review of Maritime Freight, https://unctad.org/en/PublicationsLibrary/rmt2018_en.pdf</t>
  </si>
  <si>
    <t>ICAO (2019) Annual Report: 4.5% growth over 2017, https://www.icao.int/Newsroom/Pages/Solid-passenger-traffic-growth-and-moderate-air-cargo-demand-in-2018.aspx</t>
  </si>
  <si>
    <t>ICAO (2019)</t>
  </si>
  <si>
    <t>Freight tonne kilometres (billion)</t>
  </si>
  <si>
    <t>Light road</t>
  </si>
  <si>
    <t>Heavy road</t>
  </si>
  <si>
    <t>IEA (2017) Energy Technology Perspectives, OECD/IEA, Paris - RTS Scenario</t>
  </si>
  <si>
    <t>Total Land Freight</t>
  </si>
  <si>
    <t>FREIGHT ACTIVITY BY MODE (billion tonne-km)</t>
  </si>
  <si>
    <t>Mode</t>
  </si>
  <si>
    <t>LHDT</t>
  </si>
  <si>
    <t>MHDT</t>
  </si>
  <si>
    <t>HHDT</t>
  </si>
  <si>
    <t>Freight Rail</t>
  </si>
  <si>
    <t>1+3+4</t>
  </si>
  <si>
    <t>Sea</t>
  </si>
  <si>
    <t>Road</t>
  </si>
  <si>
    <t>Inland waterways</t>
  </si>
  <si>
    <t>ITF (2019) ITF Transport Outlook 2019 - Figure 1.12 data, https://read.oecd-ilibrary.org/transport/itf-transport-outlook-2019_transp_outlook-en-2019-en#page38</t>
  </si>
  <si>
    <t>Inland Waterways</t>
  </si>
  <si>
    <t>Linear interpolation between known years is acceptable</t>
  </si>
  <si>
    <t>Drawdown Calculations based on Data from IEA (2017) ETP Transport Summary, ICCT (2012) Global Roadmap Model 1.0, ICAO (2019) Annual Report 2018 and UNCTAD (2018) Review of Maritime Freight, ITF (2019) Transportation Outlook 2019.</t>
  </si>
  <si>
    <t>FREIGHT Summarized for Drawdown</t>
  </si>
  <si>
    <t>bill. Tonne-km</t>
  </si>
  <si>
    <t>All Trucks</t>
  </si>
  <si>
    <t>ICCT (2017) Transitioning to Zero-emission Heavy Duty freight vehicles, https://theicct.org/publications/transitioning-zero-emission-heavy-duty-freight-vehicles (Truck Data extracted from Plot)</t>
  </si>
  <si>
    <t>ICCT (2012) Global Roadmap Model v1.0 (for Rail data)</t>
  </si>
  <si>
    <t>US DOE (nd) Alternative Fuels Data Center, https://afdc.energy.gov/data/</t>
  </si>
  <si>
    <t>Japanese Automobile Manufacturers Association - JAMA (2010 - 2018) The motor Industry of Japan 2010 to 2018, http://www.jama-english.jp/</t>
  </si>
  <si>
    <t>European Automobile Manufacturer Association (ACEA) (2014 - 2019) Alternative Fuel Vehicle Registration Statistics, https://www.acea.be/statistics</t>
  </si>
  <si>
    <t>ICCT (2013) EU Vehicle Market Pocketbook, https://theicct.org/sites/default/files/publications/EU_vehiclemarket_pocketbook_2013_Web.pdf</t>
  </si>
  <si>
    <t>ICCT (2019) EU Vehicle Market Pocketbook 2018/19, https://theicct.org/sites/default/files/publications/ICCT_Pocketbook_2018_Final_20181205.pdf</t>
  </si>
  <si>
    <t>Sustainable Waterloo (2010) Calculating GHG Emissions from Personal Vehicle Travel,  https://web.archive.org/web/20111113094027/http://www.sustainablewaterlooregion.ca/files/downloads/RCIM/CalculatingGHGEmissionsfromPersonalVehicleTravel.pdf</t>
  </si>
  <si>
    <t>Flavelle (2015) Why hybrid car sales are stalling, https://www.thestar.com/business/2015/06/19/why-hybrid-car-sales-are-stalling.html</t>
  </si>
  <si>
    <t>HEV:</t>
  </si>
  <si>
    <t>EV:</t>
  </si>
  <si>
    <t>IEA (2019) Global EV Outlook (extracted from Plots)</t>
  </si>
  <si>
    <t>IEA (2018) Global EV Outlook (extracted from Plots)</t>
  </si>
  <si>
    <t>IEA (2017) Global EV Outlook (extracted from Plots)</t>
  </si>
  <si>
    <t>IEA (2016) Global EV Outlook (extracted from Plots)</t>
  </si>
  <si>
    <t>IEA (2015) Global EV Outlook (extracted from Plots)</t>
  </si>
  <si>
    <t>Source:  OECD/IEA (2016), "Energy Technology Perspectives 2016: Towards Sustainable Urban Energy Systems", Available at http://www.iea.org/etp/- Personal Communication of Expanded data</t>
  </si>
  <si>
    <t xml:space="preserve">More Updated Data on EV and Hybrid sales and stock obtained from </t>
  </si>
  <si>
    <t>(EV's assumed even split between BEV and PHEV)</t>
  </si>
  <si>
    <t>Combined Data: IEA (2016) ETP, ICCT (2012) Global Roadmap Model, ITDP/UCD (2015) A Global highshift Cycling Scenario, UIC (2016) Railway Statistics 2015 Synopsis, Amtrak (2016) Amtrak FY15 Ridership and Revenue, and Many Sources for EV and HEV sales</t>
  </si>
  <si>
    <t>(Actuals in blue)</t>
  </si>
  <si>
    <t>ELECTRICITY DEMAND DECREASE FROM SOLUTIONS</t>
  </si>
  <si>
    <t>TOTAL Car TAM</t>
  </si>
  <si>
    <t>Car TAM Share %</t>
  </si>
  <si>
    <t>EV Cars</t>
  </si>
  <si>
    <t>ICE Cars (assumed all of remainder)</t>
  </si>
  <si>
    <t>ICE</t>
  </si>
  <si>
    <t>Electricity Consumed</t>
  </si>
  <si>
    <t>Fuel Consumed</t>
  </si>
  <si>
    <t>TWh/ billion pas-km</t>
  </si>
  <si>
    <t>liter/billion pass-km</t>
  </si>
  <si>
    <t>(HEV)</t>
  </si>
  <si>
    <t>(BEV, PHEV)</t>
  </si>
  <si>
    <t>(Gasoline, Diesel)</t>
  </si>
  <si>
    <t>Urban Car TAM</t>
  </si>
  <si>
    <t>passengers /vehicle</t>
  </si>
  <si>
    <t>TWh/ billion pass-km</t>
  </si>
  <si>
    <t>Reference Car Occupancy</t>
  </si>
  <si>
    <t>Private Car Variable Integration</t>
  </si>
  <si>
    <t>Private Car Integration</t>
  </si>
  <si>
    <t>liter/pass-km</t>
  </si>
  <si>
    <t>TWh/ pass-km</t>
  </si>
  <si>
    <t>Biking reduces use of Electrically powered Mass transit and some EV use.</t>
  </si>
  <si>
    <t>E-bikes increase electricity use for battery charging.</t>
  </si>
  <si>
    <t>EV's increase electricity use for battery charging.</t>
  </si>
  <si>
    <t>High Speed Rail increases electricity use for train motion.</t>
  </si>
  <si>
    <t>Mass Transit increases electricity use for train motion.</t>
  </si>
  <si>
    <t>Telepresence increases electricity usage for communication.</t>
  </si>
  <si>
    <t>Train Fuel Efficiency increases electricity for train motion.</t>
  </si>
  <si>
    <t>Biking in the PDS3 is assumed to replace only Conventional Gasoline/Diesel Cars, no EV's, transit.</t>
  </si>
  <si>
    <t>EMISSIONS DECREASE</t>
  </si>
  <si>
    <t>MMT CO2e</t>
  </si>
  <si>
    <t>Annual Emissions Reduction (PDS vs REF)</t>
  </si>
  <si>
    <t>(2020-2050)</t>
  </si>
  <si>
    <t>MMT</t>
  </si>
  <si>
    <t>TOTAL (GT CO2e):</t>
  </si>
  <si>
    <t>Total Emissions Reduction (2020-2050) - Drawdown Scenario</t>
  </si>
  <si>
    <t>Total Emissions Reduction (2020-2050) - Optimum Scenario</t>
  </si>
  <si>
    <t>Total Emissions Reduction (2020-2050) - Plausible Scenario</t>
  </si>
  <si>
    <t>Results</t>
  </si>
  <si>
    <t>Emissions Results</t>
  </si>
  <si>
    <t>Slight overallocation in very late years: this is caused by a slightly over ambitious projection of EV, but as % is so small, and it doesn't affect out main analysis period, it's ignored.</t>
  </si>
  <si>
    <t>EV's</t>
  </si>
  <si>
    <t>HEVs</t>
  </si>
  <si>
    <t>Actual EV, HEV Stock</t>
  </si>
  <si>
    <t>future can be extrapolated from 2012-2017 data linearly</t>
  </si>
  <si>
    <t>Public Transit</t>
  </si>
  <si>
    <t>% Fuel Saved</t>
  </si>
  <si>
    <r>
      <rPr>
        <sz val="11"/>
        <color rgb="FFFF0000"/>
        <rFont val="Calibri"/>
        <family val="2"/>
      </rPr>
      <t>Conventional and Solution</t>
    </r>
    <r>
      <rPr>
        <sz val="11"/>
        <color rgb="FF000000"/>
        <rFont val="Calibri"/>
        <family val="2"/>
      </rPr>
      <t xml:space="preserve"> Car Occupancy</t>
    </r>
  </si>
  <si>
    <t>For Conventional Inputs</t>
  </si>
  <si>
    <t>Electric Trains</t>
  </si>
  <si>
    <t>E-bicycles</t>
  </si>
  <si>
    <t>Bicycle Infrastructure</t>
  </si>
  <si>
    <t>Carpooling reduces electricity used for some trips in Electric Vehicles.</t>
  </si>
  <si>
    <t>LAST UPDATE:</t>
  </si>
  <si>
    <t>Efficient Aviation</t>
  </si>
  <si>
    <t>Efficient Trucks</t>
  </si>
  <si>
    <t>Efficient Ocean Shipping</t>
  </si>
  <si>
    <t>Electric Bicycles</t>
  </si>
  <si>
    <t>These solutions were modeled as transport solutions, but may be presented as Buildings and Cities solutions</t>
  </si>
  <si>
    <t>Variables Adjusted for Carpooling Model:</t>
  </si>
  <si>
    <t>EV and Hybrid Models Variable Adjustments:</t>
  </si>
  <si>
    <t>This sheet performs the adjustments to the Carpooling, EV and Hybrid model inputs to account for the combined effects of having some Carpooling cars be EVs, Hybrids, and some EV's and Hybrid cars to be ridden with higher occupancy levels over time. Note that the adjustments to the EV and Hybrid models account for the increased occupancy of Carpooling only in the urban environment, It's assumed that the non-urban environment sees no change in occupancy.</t>
  </si>
  <si>
    <t>Private Car Variable Adjustment: Carpooling with EV, Hybrid</t>
  </si>
  <si>
    <t>The carpooling assignment is accounted for in the use of EV and Hybrid Car solution as an increased load factor only in Urban realm.</t>
  </si>
  <si>
    <t>The Changes in Emissions entered here from the models for easy Summary.</t>
  </si>
  <si>
    <t>The Financial Impacts and Adoptions are copied here from all models for  Easy summary.</t>
  </si>
  <si>
    <t>Financial and Adoption Results</t>
  </si>
  <si>
    <t>Preliminary Financial Results (in billions US$2014)</t>
  </si>
  <si>
    <t>Adoption Results</t>
  </si>
  <si>
    <t>Cumulative First Cost (Install/Implementation + Replacement)</t>
  </si>
  <si>
    <t>Marginal First Cost (Install/Implementation + Replacement)</t>
  </si>
  <si>
    <t>Net Operating Savings 2020-2050</t>
  </si>
  <si>
    <t>Lifetime Savings</t>
  </si>
  <si>
    <t>Lifetime Savings NPV</t>
  </si>
  <si>
    <t>Global Units of Measure Installed by 2050</t>
  </si>
  <si>
    <t>Implementation Unit</t>
  </si>
  <si>
    <t>Functional Unit Adoption by 2050 (e.g., Twh)</t>
  </si>
  <si>
    <t>% Adoption in 2050</t>
  </si>
  <si>
    <t>bike lane km/ car lane km</t>
  </si>
  <si>
    <t>Billion PKM</t>
  </si>
  <si>
    <t>vehicle</t>
  </si>
  <si>
    <t>HSR: km of track OR Air: Available Seat-km (ASK)</t>
  </si>
  <si>
    <t>veh-trip</t>
  </si>
  <si>
    <t>passenger-km</t>
  </si>
  <si>
    <t>Truck</t>
  </si>
  <si>
    <t>million tonne-kms</t>
  </si>
  <si>
    <t>Ship</t>
  </si>
  <si>
    <t>trip</t>
  </si>
  <si>
    <t>Aircraft</t>
  </si>
  <si>
    <t>km of track converted</t>
  </si>
  <si>
    <t>Person-trip (urban)</t>
  </si>
  <si>
    <t>Savings in Blue</t>
  </si>
  <si>
    <t>Costs in Red</t>
  </si>
  <si>
    <t>Adoption in Green</t>
  </si>
  <si>
    <t>URBAN TAM</t>
  </si>
  <si>
    <t>2020 DATA</t>
  </si>
  <si>
    <t>NM Adjustment</t>
  </si>
  <si>
    <t>NONURBAN TAM</t>
  </si>
  <si>
    <t>Published</t>
  </si>
  <si>
    <t>ITDP</t>
  </si>
  <si>
    <t>ICCT</t>
  </si>
  <si>
    <t>URB+NONURB TAM</t>
  </si>
  <si>
    <t>TP Adjustment</t>
  </si>
  <si>
    <t>Uses 2020 Data from all TAM Sources</t>
  </si>
  <si>
    <t>Illustration of TAM Methodology</t>
  </si>
  <si>
    <t>Sc.1</t>
  </si>
  <si>
    <t>Sc.2</t>
  </si>
  <si>
    <t>Sc.3</t>
  </si>
  <si>
    <t>Sc.4</t>
  </si>
  <si>
    <t>Sc.5</t>
  </si>
  <si>
    <t>Sc.6</t>
  </si>
  <si>
    <t>of ICE</t>
  </si>
  <si>
    <t>Baseline</t>
  </si>
  <si>
    <t>Conserv</t>
  </si>
  <si>
    <t>Ambit</t>
  </si>
  <si>
    <t>OPRF (2008)</t>
  </si>
  <si>
    <t>RACE (2013)</t>
  </si>
  <si>
    <t>Smith et al (2014) (3rd IMO st)</t>
  </si>
  <si>
    <t>Buhaug et al (2009) (2nd IMO st)</t>
  </si>
  <si>
    <t>ICAO (2014)</t>
  </si>
  <si>
    <t>Boeing (2013)</t>
  </si>
  <si>
    <t>Airbus (2014)</t>
  </si>
  <si>
    <t>Note</t>
  </si>
  <si>
    <r>
      <t xml:space="preserve">See: </t>
    </r>
    <r>
      <rPr>
        <b/>
        <u/>
        <sz val="11"/>
        <color rgb="FF000000"/>
        <rFont val="Calibri"/>
        <family val="2"/>
      </rPr>
      <t>Common Data- Freight Projections (TAM for ALL MODES).xlsx</t>
    </r>
  </si>
  <si>
    <t>IEA (2016)</t>
  </si>
  <si>
    <t>ICCT (2012)</t>
  </si>
  <si>
    <t>Land Projection</t>
  </si>
  <si>
    <t>Shipping projection</t>
  </si>
  <si>
    <t>Air projection</t>
  </si>
  <si>
    <t>When authoritative historical data are used, they are included</t>
  </si>
  <si>
    <t>Projection Data for each period are averaged within each subsector (air, land, sea), and summed</t>
  </si>
  <si>
    <t>max scenario</t>
  </si>
  <si>
    <t>min scenario</t>
  </si>
  <si>
    <t>used</t>
  </si>
  <si>
    <t>This sheet summarizes all the TAM data collected from several sources for  freight transport. Since different solutions supply different types of freight transport (land, oceanic shipping), there are two sets of tables- showing a combined TAM and a shipping-only dataset.  Some solutions need these data in millions of tonne-km and the shipping solution uses billion tonne-nautical miles. Both units are shown below. All data come from the interpolations on the "Interp-FREIGHT" sheet. (See explanation table at top of sheet)</t>
  </si>
  <si>
    <t>EXPLANATION TABLE</t>
  </si>
  <si>
    <t>high scenario</t>
  </si>
  <si>
    <t>base scenario</t>
  </si>
  <si>
    <t>low scenario</t>
  </si>
  <si>
    <t>Air historical to 2014</t>
  </si>
  <si>
    <t>UNCTAD (2018)*</t>
  </si>
  <si>
    <r>
      <t>Note On Mapped Input Interpolations on "</t>
    </r>
    <r>
      <rPr>
        <b/>
        <i/>
        <sz val="11"/>
        <color rgb="FF000000"/>
        <rFont val="Calibri"/>
        <family val="2"/>
      </rPr>
      <t>Freight TAM Data</t>
    </r>
    <r>
      <rPr>
        <sz val="11"/>
        <color rgb="FF000000"/>
        <rFont val="Calibri"/>
        <family val="2"/>
      </rPr>
      <t>"</t>
    </r>
  </si>
  <si>
    <t>* UNCTAD (2018) Review of Maritime Transport Sector 2018, United Nations Conference on Trade and Development, https://unctad.org/en/Pages/Publications/Review-of-Maritime-Transport-(Series).aspx, Accessed 22 May, 2020</t>
  </si>
  <si>
    <t>Convert billion ton-nautical mile to million tonne-km: multiply by 1852</t>
  </si>
  <si>
    <r>
      <t xml:space="preserve">Below are the Interpolations of all the Sources used for the Urban Passenger Transport TAM. These feed the Summary data on other sheets. Some of these values have been extracted from sources documented in another File: </t>
    </r>
    <r>
      <rPr>
        <b/>
        <u/>
        <sz val="14"/>
        <color rgb="FF000000"/>
        <rFont val="Calibri"/>
        <family val="2"/>
      </rPr>
      <t>Common Data- Passenger Travel Projections (TAM for ALL MODES ).xlsx</t>
    </r>
  </si>
  <si>
    <r>
      <t xml:space="preserve">Below are the Interpolations of all the Sources used for the Nonurban Passenger Transport TAM, Business Aviation only, and Aviation only. These are copied to the Summary data on other sheets. Some of these values have been extracted from sources documented in another File: </t>
    </r>
    <r>
      <rPr>
        <b/>
        <u/>
        <sz val="14"/>
        <color rgb="FF000000"/>
        <rFont val="Calibri"/>
        <family val="2"/>
      </rPr>
      <t>Common Data- Passenger Travel Projections (TAM for ALL MODES ).xlsx</t>
    </r>
  </si>
  <si>
    <t xml:space="preserve">From: UNCTAD (2018) Review of Maritime Transport Sector 2018, United Nations Conference on Trade and Development, https://unctad.org/en/Pages/Publications/Review-of-Maritime-Transport-(Series).aspx, Accessed 22 May, 2020 </t>
  </si>
  <si>
    <t>Interpolation for TAM (Global) -UN UNCTAD Review (2018) of Maritime Transport combined with IMO (2014) Projections on Shipping</t>
  </si>
  <si>
    <t>R2 = 0.9995</t>
  </si>
  <si>
    <t>Billion Ton-Nmile</t>
  </si>
  <si>
    <t>No Population Harmonization Performed. Data are same as Curve Fit Data</t>
  </si>
  <si>
    <t>UN UNCTAD Review (2018) of Maritime Transport combined with IMO (2014) Projections on Shipping (Max Values from Fig 82 and 83 for each type)</t>
  </si>
  <si>
    <t>1. Much Shipping data come from a combination of sources. For Raw data and conversions, see the Shipping Data Tab.
2. Some early year values were removed since they were too low compared to recent actuals.</t>
  </si>
  <si>
    <t>Interpolation for TAM (Global) -UN UNCTAD Review (2018) of Maritime Transport combined with IMO (2014) Projections on Shipping (Min Values)</t>
  </si>
  <si>
    <t>R2 = 0.9895</t>
  </si>
  <si>
    <t>UN UNCTAD Review (2018) of Maritime Transport combined with IMO (2014) Projections on Shipping from Fig 82 and 83 (Min Values for each type)</t>
  </si>
  <si>
    <t>Interpolation for TAM (Global) -UN UNCTAD Review (2018) of Maritime Transport combined with Buhaug et al, 2009 Table 7.4-7.6 pg 94-95 (2nd IMO GHG Study - Max Values)</t>
  </si>
  <si>
    <t>UN UNCTAD Review (2018) of Maritime Transport combined with Buhaug et al, 2009 Table 7.4-7.6 pg 94-95 (2nd IMO GHG Study - Max Values)</t>
  </si>
  <si>
    <t>Much Shipping data come from a combination of sources. For Raw data and conversions, see the Shipping Data Tab.</t>
  </si>
  <si>
    <t>Interpolation for TAM (Global) -UN UNCTAD Review (2018) of Maritime Transport combined with Buhaug et al, 2009 Table 7.4-7.6 pg 94-95 (2nd IMO GHG Study - Min Values)</t>
  </si>
  <si>
    <t>R2 = 0.980</t>
  </si>
  <si>
    <t>Trendline:S-Curve</t>
  </si>
  <si>
    <t>UN UNCTAD Review (2018) of Maritime Transport combined with Buhaug et al, 2009 Table 7.4-7.6 pg 94-95 (2nd IMO GHG Study - Min Values)</t>
  </si>
  <si>
    <t>Interpolation for TAM (Global) -UN UNCTAD Review (2018) of Maritime Transport combined with RACE Project Report D5.1 (Max scenario) Table 30 pg 126</t>
  </si>
  <si>
    <t>R2 = 0.9978</t>
  </si>
  <si>
    <t>UN UNCTAD Review (2018) of Maritime Transport combined with RACE Project Report D5.1 (Max scenario) Table 30 pg 126</t>
  </si>
  <si>
    <t>Interpolation for TAM (Global) -UN UNCTAD Review (2018) of Maritime Transport combined with RACE Project Report D5.1 (Min scenario) Table 30 pg 126</t>
  </si>
  <si>
    <t>R2 = 0.9893</t>
  </si>
  <si>
    <t>UN UNCTAD Review (2018) of Maritime Transport combined with RACE Project Report D5.1 (Min scenario) Table 30 pg 126</t>
  </si>
  <si>
    <t>Interpolation for TAM (Global) -UN UNCTAD Review (2018) of Maritime Transport combined with OPRF (2008) The World's Changing Maritime Industry - a Vision for Japan</t>
  </si>
  <si>
    <t>R2 = 0.9709</t>
  </si>
  <si>
    <t>UN UNCTAD Review (2018) of Maritime Transport combined with OPRF (2008) The World's Changing Maritime Industry - a Vision for Japan</t>
  </si>
  <si>
    <t>Combined from Several Sources for Each Mode  (Shipping-4, Land-2, Air-3) - See "Common Data- Freight Projections (TAM for ALL MODES).xlsx" - Base Ranges</t>
  </si>
  <si>
    <t>Combined from Several Sources for Each Mode (Shipping-4, Land-1, Air-2) - See "Common Data- Freight Projections (TAM for ALL MODES).xlsx" - Highest Ranges</t>
  </si>
  <si>
    <t>Combined from Several Sources for Each Mode (Shipping-5, Land-1, Air-2) - See "Common Data- Freight Projections (TAM for ALL MODES).xlsx" - Lowest Ranges</t>
  </si>
  <si>
    <t>Shipping historical to 2018</t>
  </si>
  <si>
    <t>Excluded Modes - Assumed Constant</t>
  </si>
  <si>
    <t>(Urban + Nonurban)</t>
  </si>
  <si>
    <t>(Urban Only)</t>
  </si>
  <si>
    <t>(Walk, Bike/Ebike, Transit, 2W/3W removed)</t>
  </si>
  <si>
    <t>(Telep, HSR, InterCRail, Bus, all Aviation Removed)</t>
  </si>
  <si>
    <t>(Solutions on this Tab Removed)</t>
  </si>
  <si>
    <t>Part of Total Aviation - AA5</t>
  </si>
  <si>
    <t>Part of Total Aviation - AA63</t>
  </si>
  <si>
    <t>Part of Total Aviation - AA121</t>
  </si>
  <si>
    <t>Electric Cars (Click to Input)</t>
  </si>
  <si>
    <t>Hybrids (Click to Input)</t>
  </si>
  <si>
    <t>Hybrids  (Click to Input)</t>
  </si>
  <si>
    <t>(Modes on this tab removed)</t>
  </si>
  <si>
    <t>URBAN Remainder  (After Solutions)</t>
  </si>
  <si>
    <t>NONURBAN Remainder  (After Solutions)</t>
  </si>
  <si>
    <t/>
  </si>
  <si>
    <t>MWh(i) (MWh of Installed Battery equ.)</t>
  </si>
  <si>
    <t>(array formula)</t>
  </si>
  <si>
    <t>Carpooling (IGNORED FOR PLOT)</t>
  </si>
  <si>
    <t>Urban Public Transit</t>
  </si>
  <si>
    <t>Biking</t>
  </si>
  <si>
    <t>Nonurban Telepresence</t>
  </si>
  <si>
    <t>Fit Data Harmonized with UN Pop Data (     2017-&gt;2015)</t>
  </si>
  <si>
    <t>Only Trend Values Used</t>
  </si>
  <si>
    <t>PDS1-21p2050-Bass Diffusion to 20%</t>
  </si>
  <si>
    <t>PDS2-29p2050-Bass Diffusion to 30%</t>
  </si>
  <si>
    <t>PDS3-71p2050-Bass Diffusion to 75%</t>
  </si>
  <si>
    <t>Regular VC User or Biz Flight</t>
  </si>
  <si>
    <t>passenger-km equivalent</t>
  </si>
  <si>
    <t>PDS3-100p2050-3.0 Veh Occupancy</t>
  </si>
  <si>
    <t>(62% BEV, 38% PHEV)</t>
  </si>
  <si>
    <t>PDS1-9p2050-Oct21ComDat</t>
  </si>
  <si>
    <t>PDS2-9p2050-Oct21ComDat</t>
  </si>
  <si>
    <t>PDS3-9p2050-Oct21ComDat</t>
  </si>
  <si>
    <t>PDS1-49p2050-EEOI (Mean values)</t>
  </si>
  <si>
    <t>PDS2-66p2050-EEOI (1SD Below Mean)</t>
  </si>
  <si>
    <t>PDS3-75p2050-EEOI (1.5SD Below Mean)</t>
  </si>
  <si>
    <t>PDS1-6p2050-Oct21ComDat</t>
  </si>
  <si>
    <t>PDS2-7p2050-Oct21ComDat</t>
  </si>
  <si>
    <t>PDS3-10p2050-Oct21ComDat</t>
  </si>
  <si>
    <t>PDS1-3p2050-Oct21ComDat</t>
  </si>
  <si>
    <t>PDS2-4p2050-Oct21ComDat</t>
  </si>
  <si>
    <t>PDS1-73p2050-Oct21ComDatCustPDS1</t>
  </si>
  <si>
    <t>PDS2-79p2050-Oct21ComDatNewPDS2</t>
  </si>
  <si>
    <t>PDS3-100p2050-Oct21ComDatNewPDS3</t>
  </si>
  <si>
    <t>PDS1-5p2050-Oct21ComDat</t>
  </si>
  <si>
    <t>PDS2-5p2050-Oct21ComDat</t>
  </si>
  <si>
    <t>PDS3-7p2050-Oct21ComDat</t>
  </si>
  <si>
    <t>PDS2-6p2050-Oct21ComDat</t>
  </si>
  <si>
    <t>PDS2-3p2050-Oct21ComDat</t>
  </si>
  <si>
    <t>PDS3-3p2050-Oct21ComDat</t>
  </si>
  <si>
    <t>PDS1-29p2050-Oct21ComDat</t>
  </si>
  <si>
    <t>PDS2-34p2050-Oct21ComDat</t>
  </si>
  <si>
    <t>PDS3-45p2050-Oct21ComDat</t>
  </si>
  <si>
    <t>PDS1-38p2050-Oct21ComDat1</t>
  </si>
  <si>
    <t>PDS2-50p2050-Oct21ComDat2</t>
  </si>
  <si>
    <t>PDS1-20p2050-LRate at 11%</t>
  </si>
  <si>
    <t>PDS2-33p2050-LRate at 11%</t>
  </si>
  <si>
    <t>PDS3-100p2050-LRate at 11%</t>
  </si>
  <si>
    <t>PDS1-8p2050-Oct21ComDat</t>
  </si>
  <si>
    <t>PDS2-31p2050-Oct21ComDat-Conservative</t>
  </si>
  <si>
    <t>PDS3-0p2050-Oct21ComDat-PeakandDecline</t>
  </si>
  <si>
    <t>14 October,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</si>
</sst>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4" formatCode="_(&quot;$&quot;* #,##0.00_);_(&quot;$&quot;* \(#,##0.00\);_(&quot;$&quot;* &quot;-&quot;??_);_(@_)"/>
    <numFmt numFmtId="43" formatCode="_(* #,##0.00_);_(* \(#,##0.00\);_(* &quot;-&quot;??_);_(@_)"/>
    <numFmt numFmtId="164" formatCode="_-* #,##0.00\ _€_-;\-* #,##0.00\ _€_-;_-* &quot;-&quot;??\ _€_-;_-@_-"/>
    <numFmt numFmtId="165" formatCode="_-* #,##0\ _€_-;\-* #,##0\ _€_-;_-* &quot;-&quot;??\ _€_-;_-@"/>
    <numFmt numFmtId="166" formatCode="_-* #,##0.00\ _€_-;\-* #,##0.00\ _€_-;_-* &quot;-&quot;??\ _€_-;_-@"/>
    <numFmt numFmtId="167" formatCode="0.0"/>
    <numFmt numFmtId="168" formatCode="_-* #,##0\ _€_-;\-* #,##0\ _€_-;_-* &quot;-&quot;??\ _€_-;_-@_-"/>
    <numFmt numFmtId="169" formatCode="#,##0.0"/>
    <numFmt numFmtId="170" formatCode="0.0%"/>
    <numFmt numFmtId="171" formatCode="_-* #,##0.00_-;\-* #,##0.00_-;_-* &quot;-&quot;??_-;_-@_-"/>
    <numFmt numFmtId="172" formatCode="_(* #,##0_);_(* \(#,##0\);_(* &quot;-&quot;??_);_(@_)"/>
    <numFmt numFmtId="173" formatCode="_-* #,##0_-;\-* #,##0_-;_-* &quot;-&quot;??_-;_-@_-"/>
    <numFmt numFmtId="174" formatCode="_(* #,##0.0_);_(* \(#,##0.0\);_(* &quot;-&quot;??_);_(@_)"/>
    <numFmt numFmtId="175" formatCode="_-* #,##0\ _€_-;\-* #,##0\ _€_-;_-* &quot;-&quot;???\ _€_-;_-@_-"/>
    <numFmt numFmtId="176" formatCode="0.00000"/>
    <numFmt numFmtId="177" formatCode="0.000"/>
    <numFmt numFmtId="178" formatCode="_-* #,##0.0000\ _€_-;\-* #,##0.0000\ _€_-;_-* &quot;-&quot;??\ _€_-;_-@_-"/>
    <numFmt numFmtId="179" formatCode="_-* #,##0.0\ _€_-;\-* #,##0.0\ _€_-;_-* &quot;-&quot;??\ _€_-;_-@_-"/>
    <numFmt numFmtId="180" formatCode="0.00000000E+00"/>
    <numFmt numFmtId="181" formatCode="#,##0.00\ ;&quot;  (&quot;#,##0.00\);&quot; - &quot;;@\ "/>
    <numFmt numFmtId="182" formatCode="#,###,##0"/>
    <numFmt numFmtId="183" formatCode="0.0000"/>
    <numFmt numFmtId="184" formatCode="_-* #,##0.000\ _€_-;\-* #,##0.000\ _€_-;_-* &quot;-&quot;??\ _€_-;_-@_-"/>
  </numFmts>
  <fonts count="85"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rgb="FFA5A5A5"/>
      <name val="Calibri"/>
      <family val="2"/>
    </font>
    <font>
      <sz val="11"/>
      <name val="Arial"/>
      <family val="2"/>
    </font>
    <font>
      <b/>
      <sz val="12"/>
      <color rgb="FF000000"/>
      <name val="Calibri"/>
      <family val="2"/>
    </font>
    <font>
      <b/>
      <sz val="14"/>
      <color rgb="FF000000"/>
      <name val="Calibri"/>
      <family val="2"/>
    </font>
    <font>
      <b/>
      <sz val="11"/>
      <color rgb="FF000000"/>
      <name val="Calibri"/>
      <family val="2"/>
    </font>
    <font>
      <b/>
      <i/>
      <sz val="14"/>
      <color rgb="FF1F497D"/>
      <name val="Arial"/>
      <family val="2"/>
    </font>
    <font>
      <u/>
      <sz val="11"/>
      <color rgb="FF0000FF"/>
      <name val="Calibri"/>
      <family val="2"/>
    </font>
    <font>
      <b/>
      <sz val="12"/>
      <name val="Arial"/>
      <family val="2"/>
    </font>
    <font>
      <b/>
      <u/>
      <sz val="10"/>
      <color rgb="FF000000"/>
      <name val="Arial"/>
      <family val="2"/>
    </font>
    <font>
      <b/>
      <u/>
      <sz val="10"/>
      <color rgb="FF000000"/>
      <name val="Arial"/>
      <family val="2"/>
    </font>
    <font>
      <b/>
      <u/>
      <sz val="10"/>
      <color rgb="FF000000"/>
      <name val="Arial"/>
      <family val="2"/>
    </font>
    <font>
      <b/>
      <u/>
      <sz val="10"/>
      <color rgb="FF000000"/>
      <name val="Arial"/>
      <family val="2"/>
    </font>
    <font>
      <sz val="11"/>
      <name val="Arial"/>
      <family val="2"/>
    </font>
    <font>
      <b/>
      <sz val="10"/>
      <name val="Arial"/>
      <family val="2"/>
    </font>
    <font>
      <sz val="8"/>
      <name val="Arial"/>
      <family val="2"/>
    </font>
    <font>
      <sz val="10"/>
      <name val="Arial"/>
      <family val="2"/>
    </font>
    <font>
      <b/>
      <i/>
      <sz val="10"/>
      <color rgb="FF1F497D"/>
      <name val="Arial"/>
      <family val="2"/>
    </font>
    <font>
      <b/>
      <sz val="11"/>
      <name val="Arial"/>
      <family val="2"/>
    </font>
    <font>
      <sz val="11"/>
      <color rgb="FFEEECE1"/>
      <name val="Arial"/>
      <family val="2"/>
    </font>
    <font>
      <sz val="10"/>
      <color rgb="FF7F7F7F"/>
      <name val="Arial"/>
      <family val="2"/>
    </font>
    <font>
      <sz val="11"/>
      <color rgb="FF000000"/>
      <name val="Calibri"/>
      <family val="2"/>
    </font>
    <font>
      <b/>
      <sz val="16"/>
      <color rgb="FF000000"/>
      <name val="Calibri"/>
      <family val="2"/>
    </font>
    <font>
      <sz val="16"/>
      <color rgb="FF000000"/>
      <name val="Calibri"/>
      <family val="2"/>
    </font>
    <font>
      <sz val="11"/>
      <color rgb="FF000000"/>
      <name val="Calibri"/>
      <family val="2"/>
    </font>
    <font>
      <u/>
      <sz val="11"/>
      <color theme="10"/>
      <name val="Calibri"/>
      <family val="2"/>
    </font>
    <font>
      <sz val="12"/>
      <color rgb="FF000000"/>
      <name val="Calibri"/>
      <family val="2"/>
    </font>
    <font>
      <sz val="9"/>
      <name val="Arial"/>
      <family val="2"/>
    </font>
    <font>
      <sz val="9"/>
      <color rgb="FF000000"/>
      <name val="Calibri"/>
      <family val="2"/>
    </font>
    <font>
      <sz val="10"/>
      <color rgb="FF000000"/>
      <name val="Calibri"/>
      <family val="2"/>
    </font>
    <font>
      <sz val="14"/>
      <color rgb="FF000000"/>
      <name val="Calibri"/>
      <family val="2"/>
    </font>
    <font>
      <sz val="11"/>
      <name val="Calibri"/>
      <family val="2"/>
      <scheme val="minor"/>
    </font>
    <font>
      <b/>
      <u/>
      <sz val="14"/>
      <color theme="10"/>
      <name val="Calibri"/>
      <family val="2"/>
    </font>
    <font>
      <sz val="11"/>
      <color theme="1"/>
      <name val="Calibri"/>
      <family val="2"/>
    </font>
    <font>
      <b/>
      <sz val="11"/>
      <color theme="1"/>
      <name val="Calibri"/>
      <family val="2"/>
    </font>
    <font>
      <b/>
      <sz val="9"/>
      <color rgb="FF000000"/>
      <name val="Calibri"/>
      <family val="2"/>
    </font>
    <font>
      <b/>
      <sz val="11"/>
      <color theme="1"/>
      <name val="Calibri"/>
      <family val="2"/>
      <scheme val="minor"/>
    </font>
    <font>
      <b/>
      <sz val="10"/>
      <name val="Arial"/>
      <family val="2"/>
      <charset val="161"/>
    </font>
    <font>
      <u/>
      <sz val="12"/>
      <color theme="10"/>
      <name val="Arial"/>
      <family val="2"/>
    </font>
    <font>
      <b/>
      <sz val="11"/>
      <name val="Calibri"/>
      <family val="2"/>
      <scheme val="minor"/>
    </font>
    <font>
      <sz val="10"/>
      <color theme="1"/>
      <name val="Arial"/>
      <family val="2"/>
    </font>
    <font>
      <b/>
      <sz val="10"/>
      <color theme="1"/>
      <name val="Arial"/>
      <family val="2"/>
    </font>
    <font>
      <b/>
      <sz val="11"/>
      <name val="Cambria"/>
      <family val="2"/>
      <scheme val="major"/>
    </font>
    <font>
      <sz val="11"/>
      <color indexed="8"/>
      <name val="Arial"/>
      <family val="2"/>
    </font>
    <font>
      <sz val="10"/>
      <name val="Calibri"/>
      <family val="2"/>
      <scheme val="minor"/>
    </font>
    <font>
      <sz val="10"/>
      <color rgb="FF000000"/>
      <name val="Arial"/>
      <family val="2"/>
    </font>
    <font>
      <u/>
      <sz val="10"/>
      <color theme="10"/>
      <name val="Arial"/>
      <family val="2"/>
    </font>
    <font>
      <sz val="12"/>
      <color rgb="FF000000"/>
      <name val="Arial"/>
      <family val="2"/>
    </font>
    <font>
      <b/>
      <sz val="10"/>
      <color rgb="FFFF0000"/>
      <name val="Arial"/>
      <family val="2"/>
    </font>
    <font>
      <b/>
      <sz val="10"/>
      <color rgb="FF000000"/>
      <name val="Arial"/>
      <family val="2"/>
    </font>
    <font>
      <b/>
      <sz val="11"/>
      <color theme="0"/>
      <name val="Cambria"/>
      <family val="2"/>
      <scheme val="major"/>
    </font>
    <font>
      <sz val="10"/>
      <color theme="0"/>
      <name val="Cambria"/>
      <family val="2"/>
      <scheme val="major"/>
    </font>
    <font>
      <sz val="10"/>
      <name val="Cambria"/>
      <family val="2"/>
      <scheme val="major"/>
    </font>
    <font>
      <sz val="11"/>
      <color theme="0"/>
      <name val="Cambria"/>
      <family val="2"/>
      <scheme val="major"/>
    </font>
    <font>
      <b/>
      <sz val="12"/>
      <color theme="0"/>
      <name val="Cambria"/>
      <family val="2"/>
      <scheme val="major"/>
    </font>
    <font>
      <sz val="11"/>
      <name val="Cambria"/>
      <family val="2"/>
      <scheme val="major"/>
    </font>
    <font>
      <sz val="11"/>
      <color theme="1"/>
      <name val="Cambria"/>
      <family val="2"/>
      <scheme val="major"/>
    </font>
    <font>
      <sz val="8"/>
      <color theme="1"/>
      <name val="Calibri"/>
      <family val="2"/>
      <scheme val="minor"/>
    </font>
    <font>
      <sz val="10"/>
      <color indexed="8"/>
      <name val="Arial"/>
      <family val="2"/>
    </font>
    <font>
      <u/>
      <sz val="10"/>
      <color theme="10"/>
      <name val="Calibri"/>
      <family val="2"/>
    </font>
    <font>
      <sz val="10"/>
      <name val="Arial"/>
      <family val="2"/>
      <charset val="161"/>
    </font>
    <font>
      <u/>
      <sz val="10"/>
      <color indexed="12"/>
      <name val="Arial"/>
      <family val="2"/>
    </font>
    <font>
      <sz val="12"/>
      <color theme="1"/>
      <name val="Calibri"/>
      <family val="2"/>
      <scheme val="minor"/>
    </font>
    <font>
      <sz val="12"/>
      <color indexed="8"/>
      <name val="Calibri"/>
      <family val="2"/>
    </font>
    <font>
      <sz val="11"/>
      <color indexed="62"/>
      <name val="Calibri"/>
      <family val="2"/>
    </font>
    <font>
      <b/>
      <sz val="11"/>
      <color indexed="53"/>
      <name val="Calibri"/>
      <family val="2"/>
    </font>
    <font>
      <u/>
      <sz val="11"/>
      <color theme="10"/>
      <name val="Calibri"/>
      <family val="2"/>
      <scheme val="minor"/>
    </font>
    <font>
      <sz val="9"/>
      <color theme="1"/>
      <name val="Calibri"/>
      <family val="2"/>
      <scheme val="minor"/>
    </font>
    <font>
      <sz val="11"/>
      <color rgb="FFFF0000"/>
      <name val="Calibri"/>
      <family val="2"/>
    </font>
    <font>
      <b/>
      <sz val="12"/>
      <color rgb="FFFFFFFF"/>
      <name val="Arial"/>
      <family val="2"/>
    </font>
    <font>
      <b/>
      <u/>
      <sz val="11"/>
      <color rgb="FF000000"/>
      <name val="Calibri"/>
      <family val="2"/>
    </font>
    <font>
      <b/>
      <i/>
      <sz val="11"/>
      <color rgb="FF000000"/>
      <name val="Calibri"/>
      <family val="2"/>
    </font>
    <font>
      <b/>
      <u/>
      <sz val="14"/>
      <color rgb="FF000000"/>
      <name val="Calibri"/>
      <family val="2"/>
    </font>
    <font>
      <b/>
      <i/>
      <sz val="10"/>
      <color theme="3"/>
      <name val="Arial"/>
      <family val="2"/>
    </font>
    <font>
      <sz val="11"/>
      <color theme="2"/>
      <name val="Arial"/>
      <family val="2"/>
    </font>
    <font>
      <sz val="10"/>
      <color theme="0" tint="-0.499984740745262"/>
      <name val="Arial"/>
      <family val="2"/>
    </font>
    <font>
      <sz val="9"/>
      <color indexed="81"/>
      <name val="Tahoma"/>
      <family val="2"/>
    </font>
    <font>
      <b/>
      <sz val="9"/>
      <color indexed="81"/>
      <name val="Tahoma"/>
      <family val="2"/>
    </font>
    <font>
      <sz val="10"/>
      <color indexed="81"/>
      <name val="Tahoma"/>
      <family val="2"/>
    </font>
  </fonts>
  <fills count="55">
    <fill>
      <patternFill patternType="none"/>
    </fill>
    <fill>
      <patternFill patternType="gray125"/>
    </fill>
    <fill>
      <patternFill patternType="solid">
        <fgColor rgb="FFFFC000"/>
        <bgColor rgb="FFFFC000"/>
      </patternFill>
    </fill>
    <fill>
      <patternFill patternType="solid">
        <fgColor rgb="FFFFFF00"/>
        <bgColor rgb="FFFFFF00"/>
      </patternFill>
    </fill>
    <fill>
      <patternFill patternType="solid">
        <fgColor rgb="FFFBD4B4"/>
        <bgColor rgb="FFFBD4B4"/>
      </patternFill>
    </fill>
    <fill>
      <patternFill patternType="solid">
        <fgColor rgb="FFD6E3BC"/>
        <bgColor rgb="FFD6E3BC"/>
      </patternFill>
    </fill>
    <fill>
      <patternFill patternType="solid">
        <fgColor rgb="FFB8CCE4"/>
        <bgColor rgb="FFB8CCE4"/>
      </patternFill>
    </fill>
    <fill>
      <patternFill patternType="solid">
        <fgColor rgb="FFFDE9D9"/>
        <bgColor rgb="FFFDE9D9"/>
      </patternFill>
    </fill>
    <fill>
      <patternFill patternType="solid">
        <fgColor rgb="FFE5DFEC"/>
        <bgColor rgb="FFE5DFEC"/>
      </patternFill>
    </fill>
    <fill>
      <patternFill patternType="solid">
        <fgColor rgb="FFDBE5F1"/>
        <bgColor rgb="FFDBE5F1"/>
      </patternFill>
    </fill>
    <fill>
      <patternFill patternType="solid">
        <fgColor rgb="FFD99594"/>
        <bgColor rgb="FFD99594"/>
      </patternFill>
    </fill>
    <fill>
      <patternFill patternType="solid">
        <fgColor rgb="FFEEECE1"/>
        <bgColor rgb="FFEEECE1"/>
      </patternFill>
    </fill>
    <fill>
      <patternFill patternType="solid">
        <fgColor rgb="FFFFFF99"/>
        <bgColor rgb="FFFFFF99"/>
      </patternFill>
    </fill>
    <fill>
      <patternFill patternType="solid">
        <fgColor theme="6" tint="0.59999389629810485"/>
        <bgColor indexed="64"/>
      </patternFill>
    </fill>
    <fill>
      <patternFill patternType="solid">
        <fgColor theme="6" tint="0.59999389629810485"/>
        <bgColor rgb="FFD6E3BC"/>
      </patternFill>
    </fill>
    <fill>
      <patternFill patternType="solid">
        <fgColor theme="6" tint="0.59999389629810485"/>
        <bgColor rgb="FF953734"/>
      </patternFill>
    </fill>
    <fill>
      <patternFill patternType="solid">
        <fgColor theme="9" tint="0.59999389629810485"/>
        <bgColor indexed="64"/>
      </patternFill>
    </fill>
    <fill>
      <patternFill patternType="solid">
        <fgColor theme="9" tint="0.59999389629810485"/>
        <bgColor rgb="FFE5B8B7"/>
      </patternFill>
    </fill>
    <fill>
      <patternFill patternType="solid">
        <fgColor rgb="FFFFFF00"/>
        <bgColor indexed="64"/>
      </patternFill>
    </fill>
    <fill>
      <patternFill patternType="solid">
        <fgColor theme="5" tint="0.39997558519241921"/>
        <bgColor rgb="FFB8CCE4"/>
      </patternFill>
    </fill>
    <fill>
      <patternFill patternType="solid">
        <fgColor theme="2" tint="-0.249977111117893"/>
        <bgColor indexed="64"/>
      </patternFill>
    </fill>
    <fill>
      <patternFill patternType="solid">
        <fgColor theme="7" tint="0.59999389629810485"/>
        <bgColor indexed="64"/>
      </patternFill>
    </fill>
    <fill>
      <patternFill patternType="solid">
        <fgColor theme="9" tint="0.59999389629810485"/>
        <bgColor rgb="FFD6E3BC"/>
      </patternFill>
    </fill>
    <fill>
      <patternFill patternType="solid">
        <fgColor theme="4" tint="0.59999389629810485"/>
        <bgColor rgb="FFE5B8B7"/>
      </patternFill>
    </fill>
    <fill>
      <patternFill patternType="solid">
        <fgColor rgb="FFFAF2B6"/>
        <bgColor rgb="FFFBD4B4"/>
      </patternFill>
    </fill>
    <fill>
      <patternFill patternType="solid">
        <fgColor theme="0" tint="-0.14999847407452621"/>
        <bgColor indexed="64"/>
      </patternFill>
    </fill>
    <fill>
      <patternFill patternType="solid">
        <fgColor theme="5" tint="0.59999389629810485"/>
        <bgColor indexed="64"/>
      </patternFill>
    </fill>
    <fill>
      <patternFill patternType="solid">
        <fgColor rgb="FFFFFF99"/>
        <bgColor indexed="64"/>
      </patternFill>
    </fill>
    <fill>
      <patternFill patternType="solid">
        <fgColor theme="0" tint="-0.14999847407452621"/>
        <bgColor theme="5"/>
      </patternFill>
    </fill>
    <fill>
      <patternFill patternType="solid">
        <fgColor theme="4" tint="0.39997558519241921"/>
        <bgColor indexed="64"/>
      </patternFill>
    </fill>
    <fill>
      <patternFill patternType="solid">
        <fgColor rgb="FFD82626"/>
        <bgColor indexed="64"/>
      </patternFill>
    </fill>
    <fill>
      <patternFill patternType="solid">
        <fgColor theme="0" tint="-4.9989318521683403E-2"/>
        <bgColor indexed="64"/>
      </patternFill>
    </fill>
    <fill>
      <patternFill patternType="solid">
        <fgColor theme="0"/>
        <bgColor indexed="64"/>
      </patternFill>
    </fill>
    <fill>
      <patternFill patternType="solid">
        <fgColor theme="9" tint="0.59999389629810485"/>
        <bgColor rgb="FFB8CCE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59999389629810485"/>
        <bgColor indexed="65"/>
      </patternFill>
    </fill>
    <fill>
      <patternFill patternType="solid">
        <fgColor indexed="47"/>
        <bgColor indexed="45"/>
      </patternFill>
    </fill>
    <fill>
      <patternFill patternType="solid">
        <fgColor indexed="26"/>
        <bgColor indexed="27"/>
      </patternFill>
    </fill>
    <fill>
      <patternFill patternType="solid">
        <fgColor indexed="9"/>
        <bgColor indexed="9"/>
      </patternFill>
    </fill>
    <fill>
      <patternFill patternType="solid">
        <fgColor rgb="FFFFFFFF"/>
        <bgColor indexed="9"/>
      </patternFill>
    </fill>
    <fill>
      <patternFill patternType="solid">
        <fgColor rgb="FFFFFF99"/>
        <bgColor rgb="FFD6E3BC"/>
      </patternFill>
    </fill>
    <fill>
      <patternFill patternType="solid">
        <fgColor rgb="FFFFC000"/>
        <bgColor indexed="64"/>
      </patternFill>
    </fill>
    <fill>
      <patternFill patternType="solid">
        <fgColor rgb="FF7030A0"/>
        <bgColor indexed="64"/>
      </patternFill>
    </fill>
    <fill>
      <gradientFill degree="180">
        <stop position="0">
          <color theme="0"/>
        </stop>
        <stop position="1">
          <color rgb="FF008AEF"/>
        </stop>
      </gradientFill>
    </fill>
    <fill>
      <gradientFill degree="180">
        <stop position="0">
          <color theme="0"/>
        </stop>
        <stop position="1">
          <color rgb="FFFF555A"/>
        </stop>
      </gradientFill>
    </fill>
    <fill>
      <gradientFill degree="180">
        <stop position="0">
          <color theme="0"/>
        </stop>
        <stop position="1">
          <color rgb="FF63C384"/>
        </stop>
      </gradientFill>
    </fill>
    <fill>
      <patternFill patternType="solid">
        <fgColor theme="4"/>
        <bgColor indexed="64"/>
      </patternFill>
    </fill>
    <fill>
      <patternFill patternType="solid">
        <fgColor rgb="FFFF0000"/>
        <bgColor indexed="64"/>
      </patternFill>
    </fill>
    <fill>
      <patternFill patternType="solid">
        <fgColor theme="6"/>
        <bgColor indexed="64"/>
      </patternFill>
    </fill>
    <fill>
      <patternFill patternType="solid">
        <fgColor theme="2"/>
        <bgColor indexed="41"/>
      </patternFill>
    </fill>
    <fill>
      <patternFill patternType="solid">
        <fgColor theme="2"/>
        <bgColor indexed="64"/>
      </patternFill>
    </fill>
    <fill>
      <patternFill patternType="solid">
        <fgColor theme="4" tint="0.59999389629810485"/>
        <bgColor rgb="FFD6E3BC"/>
      </patternFill>
    </fill>
    <fill>
      <patternFill patternType="solid">
        <fgColor theme="5" tint="0.59999389629810485"/>
        <bgColor indexed="41"/>
      </patternFill>
    </fill>
    <fill>
      <patternFill patternType="solid">
        <fgColor rgb="FFFFFF99"/>
        <bgColor indexed="41"/>
      </patternFill>
    </fill>
  </fills>
  <borders count="115">
    <border>
      <left/>
      <right/>
      <top/>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diagonal/>
    </border>
    <border>
      <left/>
      <right/>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medium">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
      <left/>
      <right/>
      <top style="medium">
        <color rgb="FF000000"/>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top style="medium">
        <color auto="1"/>
      </top>
      <bottom/>
      <diagonal/>
    </border>
    <border>
      <left/>
      <right style="medium">
        <color auto="1"/>
      </right>
      <top style="medium">
        <color auto="1"/>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64"/>
      </left>
      <right/>
      <top style="medium">
        <color indexed="64"/>
      </top>
      <bottom style="medium">
        <color indexed="64"/>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indexed="64"/>
      </top>
      <bottom style="medium">
        <color indexed="64"/>
      </bottom>
      <diagonal/>
    </border>
    <border>
      <left style="medium">
        <color indexed="64"/>
      </left>
      <right style="thin">
        <color indexed="64"/>
      </right>
      <top/>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theme="5"/>
      </left>
      <right/>
      <top/>
      <bottom/>
      <diagonal/>
    </border>
    <border>
      <left/>
      <right style="thin">
        <color rgb="FFC00000"/>
      </right>
      <top/>
      <bottom/>
      <diagonal/>
    </border>
    <border>
      <left style="thin">
        <color rgb="FFC00000"/>
      </left>
      <right/>
      <top/>
      <bottom/>
      <diagonal/>
    </border>
    <border>
      <left style="thin">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top/>
      <bottom style="dashed">
        <color theme="0" tint="-0.24994659260841701"/>
      </bottom>
      <diagonal/>
    </border>
    <border>
      <left/>
      <right style="thin">
        <color auto="1"/>
      </right>
      <top/>
      <bottom/>
      <diagonal/>
    </border>
    <border>
      <left style="thin">
        <color indexed="64"/>
      </left>
      <right style="thin">
        <color indexed="64"/>
      </right>
      <top style="thin">
        <color indexed="64"/>
      </top>
      <bottom/>
      <diagonal/>
    </border>
    <border>
      <left style="thin">
        <color rgb="FF008AEF"/>
      </left>
      <right style="thin">
        <color rgb="FF008AEF"/>
      </right>
      <top style="thin">
        <color rgb="FF008AEF"/>
      </top>
      <bottom style="thin">
        <color rgb="FF008AEF"/>
      </bottom>
      <diagonal/>
    </border>
    <border>
      <left style="thin">
        <color rgb="FFFF555A"/>
      </left>
      <right/>
      <top style="thin">
        <color rgb="FFFF555A"/>
      </top>
      <bottom style="thin">
        <color rgb="FFFF555A"/>
      </bottom>
      <diagonal/>
    </border>
    <border>
      <left style="thin">
        <color rgb="FF63C384"/>
      </left>
      <right style="thin">
        <color rgb="FF63C384"/>
      </right>
      <top style="thin">
        <color rgb="FF63C384"/>
      </top>
      <bottom style="thin">
        <color rgb="FF63C384"/>
      </bottom>
      <diagonal/>
    </border>
    <border>
      <left style="medium">
        <color indexed="64"/>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indexed="64"/>
      </left>
      <right style="thin">
        <color indexed="8"/>
      </right>
      <top/>
      <bottom/>
      <diagonal/>
    </border>
    <border>
      <left style="thin">
        <color indexed="8"/>
      </left>
      <right style="medium">
        <color indexed="64"/>
      </right>
      <top/>
      <bottom/>
      <diagonal/>
    </border>
    <border>
      <left style="thin">
        <color auto="1"/>
      </left>
      <right style="thin">
        <color auto="1"/>
      </right>
      <top style="thin">
        <color auto="1"/>
      </top>
      <bottom style="medium">
        <color auto="1"/>
      </bottom>
      <diagonal/>
    </border>
    <border>
      <left style="thin">
        <color indexed="8"/>
      </left>
      <right style="thin">
        <color auto="1"/>
      </right>
      <top/>
      <bottom style="thin">
        <color indexed="8"/>
      </bottom>
      <diagonal/>
    </border>
    <border>
      <left style="thin">
        <color auto="1"/>
      </left>
      <right/>
      <top style="medium">
        <color auto="1"/>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indexed="8"/>
      </right>
      <top style="thin">
        <color indexed="8"/>
      </top>
      <bottom style="thin">
        <color indexed="8"/>
      </bottom>
      <diagonal/>
    </border>
    <border>
      <left style="thin">
        <color indexed="8"/>
      </left>
      <right style="thin">
        <color auto="1"/>
      </right>
      <top style="thin">
        <color indexed="8"/>
      </top>
      <bottom style="thin">
        <color indexed="8"/>
      </bottom>
      <diagonal/>
    </border>
    <border>
      <left style="thin">
        <color auto="1"/>
      </left>
      <right style="thin">
        <color auto="1"/>
      </right>
      <top/>
      <bottom/>
      <diagonal/>
    </border>
    <border>
      <left/>
      <right/>
      <top/>
      <bottom style="thin">
        <color indexed="8"/>
      </bottom>
      <diagonal/>
    </border>
    <border>
      <left style="thin">
        <color auto="1"/>
      </left>
      <right style="thin">
        <color indexed="8"/>
      </right>
      <top style="thin">
        <color indexed="8"/>
      </top>
      <bottom style="thin">
        <color auto="1"/>
      </bottom>
      <diagonal/>
    </border>
    <border>
      <left style="thin">
        <color indexed="8"/>
      </left>
      <right style="thin">
        <color auto="1"/>
      </right>
      <top style="thin">
        <color indexed="8"/>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style="thin">
        <color auto="1"/>
      </bottom>
      <diagonal/>
    </border>
    <border>
      <left style="thin">
        <color auto="1"/>
      </left>
      <right style="thin">
        <color auto="1"/>
      </right>
      <top style="thin">
        <color auto="1"/>
      </top>
      <bottom style="medium">
        <color auto="1"/>
      </bottom>
      <diagonal/>
    </border>
    <border>
      <left style="thin">
        <color indexed="64"/>
      </left>
      <right style="thin">
        <color indexed="64"/>
      </right>
      <top style="thin">
        <color indexed="64"/>
      </top>
      <bottom style="thin">
        <color indexed="64"/>
      </bottom>
      <diagonal/>
    </border>
  </borders>
  <cellStyleXfs count="445">
    <xf numFmtId="0" fontId="0" fillId="0" borderId="0"/>
    <xf numFmtId="164" fontId="30" fillId="0" borderId="0" applyFont="0" applyFill="0" applyBorder="0" applyAlignment="0" applyProtection="0"/>
    <xf numFmtId="0" fontId="31" fillId="0" borderId="0" applyNumberFormat="0" applyFill="0" applyBorder="0" applyAlignment="0" applyProtection="0"/>
    <xf numFmtId="0" fontId="27" fillId="0" borderId="0"/>
    <xf numFmtId="0" fontId="22" fillId="0" borderId="0"/>
    <xf numFmtId="9" fontId="22" fillId="0" borderId="0" applyBorder="0"/>
    <xf numFmtId="0" fontId="44" fillId="0" borderId="0" applyNumberFormat="0" applyFill="0" applyBorder="0" applyAlignment="0" applyProtection="0"/>
    <xf numFmtId="0" fontId="5" fillId="0" borderId="0"/>
    <xf numFmtId="171"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4" fontId="22" fillId="0" borderId="0" applyFont="0" applyFill="0" applyBorder="0" applyAlignment="0" applyProtection="0"/>
    <xf numFmtId="9" fontId="22" fillId="0" borderId="0" applyFont="0" applyFill="0" applyBorder="0" applyAlignment="0" applyProtection="0"/>
    <xf numFmtId="0" fontId="5" fillId="0" borderId="0"/>
    <xf numFmtId="0" fontId="5" fillId="0" borderId="0"/>
    <xf numFmtId="164" fontId="5" fillId="0" borderId="0" applyFont="0" applyFill="0" applyBorder="0" applyAlignment="0" applyProtection="0"/>
    <xf numFmtId="0" fontId="51" fillId="0" borderId="0"/>
    <xf numFmtId="0" fontId="52" fillId="0" borderId="0" applyNumberFormat="0" applyFill="0" applyBorder="0" applyAlignment="0" applyProtection="0"/>
    <xf numFmtId="164" fontId="51" fillId="0" borderId="0" applyFont="0" applyFill="0" applyBorder="0" applyAlignment="0" applyProtection="0"/>
    <xf numFmtId="0" fontId="4" fillId="0" borderId="0"/>
    <xf numFmtId="0" fontId="4" fillId="0" borderId="0"/>
    <xf numFmtId="43" fontId="22" fillId="0" borderId="0" applyFont="0" applyFill="0" applyBorder="0" applyAlignment="0" applyProtection="0"/>
    <xf numFmtId="44" fontId="22" fillId="0" borderId="0" applyFont="0" applyFill="0" applyBorder="0" applyAlignment="0" applyProtection="0"/>
    <xf numFmtId="0" fontId="63" fillId="0" borderId="0"/>
    <xf numFmtId="0" fontId="3" fillId="0" borderId="0"/>
    <xf numFmtId="9" fontId="3" fillId="0" borderId="0" applyFont="0" applyFill="0" applyBorder="0" applyAlignment="0" applyProtection="0"/>
    <xf numFmtId="0" fontId="67" fillId="0" borderId="0" applyNumberFormat="0" applyFill="0" applyBorder="0" applyAlignment="0" applyProtection="0">
      <alignment vertical="top"/>
      <protection locked="0"/>
    </xf>
    <xf numFmtId="181" fontId="22" fillId="0" borderId="0" applyBorder="0"/>
    <xf numFmtId="0" fontId="70" fillId="37" borderId="83" applyNumberFormat="0" applyAlignment="0" applyProtection="0"/>
    <xf numFmtId="0" fontId="71" fillId="38" borderId="83" applyNumberFormat="0" applyAlignment="0" applyProtection="0"/>
    <xf numFmtId="0" fontId="69" fillId="0" borderId="0"/>
    <xf numFmtId="0" fontId="68" fillId="0" borderId="0"/>
    <xf numFmtId="44" fontId="68" fillId="0" borderId="0" applyFont="0" applyFill="0" applyBorder="0" applyAlignment="0" applyProtection="0"/>
    <xf numFmtId="43" fontId="68" fillId="0" borderId="0" applyFont="0" applyFill="0" applyBorder="0" applyAlignment="0" applyProtection="0"/>
    <xf numFmtId="0" fontId="2" fillId="0" borderId="0"/>
    <xf numFmtId="0" fontId="68"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72" fillId="0" borderId="0" applyNumberFormat="0" applyFill="0" applyBorder="0" applyAlignment="0" applyProtection="0"/>
    <xf numFmtId="182" fontId="64" fillId="39" borderId="0" applyNumberFormat="0" applyBorder="0">
      <alignment horizontal="left"/>
      <protection locked="0"/>
    </xf>
    <xf numFmtId="0" fontId="2" fillId="0" borderId="0"/>
    <xf numFmtId="43" fontId="2" fillId="0" borderId="0" applyFont="0" applyFill="0" applyBorder="0" applyAlignment="0" applyProtection="0"/>
    <xf numFmtId="0" fontId="51" fillId="0" borderId="0"/>
    <xf numFmtId="43" fontId="51" fillId="0" borderId="0" applyFont="0" applyFill="0" applyBorder="0" applyAlignment="0" applyProtection="0"/>
    <xf numFmtId="9" fontId="51" fillId="0" borderId="0"/>
    <xf numFmtId="0" fontId="2" fillId="0" borderId="0"/>
    <xf numFmtId="182" fontId="51" fillId="40" borderId="0">
      <alignment horizontal="right"/>
      <protection locked="0"/>
    </xf>
    <xf numFmtId="182" fontId="51" fillId="40" borderId="0">
      <alignment horizontal="left"/>
      <protection locked="0"/>
    </xf>
    <xf numFmtId="0" fontId="2" fillId="0" borderId="0"/>
    <xf numFmtId="0" fontId="68" fillId="0" borderId="0"/>
    <xf numFmtId="0" fontId="2" fillId="0" borderId="0"/>
    <xf numFmtId="0" fontId="22" fillId="0" borderId="0"/>
    <xf numFmtId="44" fontId="68" fillId="0" borderId="0" applyFont="0" applyFill="0" applyBorder="0" applyAlignment="0" applyProtection="0"/>
    <xf numFmtId="43" fontId="68" fillId="0" borderId="0" applyFont="0" applyFill="0" applyBorder="0" applyAlignment="0" applyProtection="0"/>
    <xf numFmtId="0" fontId="2" fillId="0" borderId="0"/>
    <xf numFmtId="0" fontId="68"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70" fillId="37" borderId="83" applyNumberFormat="0" applyAlignment="0" applyProtection="0"/>
    <xf numFmtId="0" fontId="71" fillId="38" borderId="83" applyNumberFormat="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71" fillId="38" borderId="83" applyNumberFormat="0" applyAlignment="0" applyProtection="0"/>
    <xf numFmtId="0" fontId="70" fillId="37" borderId="83" applyNumberFormat="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181" fontId="22" fillId="0" borderId="0" applyBorder="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43" fontId="2" fillId="0" borderId="0" applyFont="0" applyFill="0" applyBorder="0" applyAlignment="0" applyProtection="0"/>
    <xf numFmtId="0" fontId="2" fillId="0" borderId="0"/>
    <xf numFmtId="0" fontId="73" fillId="0" borderId="88" applyNumberFormat="0" applyFont="0" applyProtection="0">
      <alignment wrapText="1"/>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0" fontId="71" fillId="38" borderId="83" applyNumberFormat="0" applyAlignment="0" applyProtection="0"/>
    <xf numFmtId="0" fontId="71" fillId="38" borderId="83" applyNumberFormat="0" applyAlignment="0" applyProtection="0"/>
    <xf numFmtId="0" fontId="71" fillId="38" borderId="83" applyNumberFormat="0" applyAlignment="0" applyProtection="0"/>
    <xf numFmtId="0" fontId="70" fillId="37" borderId="83" applyNumberFormat="0" applyAlignment="0" applyProtection="0"/>
    <xf numFmtId="0" fontId="70" fillId="37" borderId="83" applyNumberFormat="0" applyAlignment="0" applyProtection="0"/>
    <xf numFmtId="0" fontId="70" fillId="37" borderId="83" applyNumberFormat="0" applyAlignment="0" applyProtection="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68" fillId="36" borderId="0" applyNumberFormat="0" applyBorder="0" applyAlignment="0" applyProtection="0"/>
    <xf numFmtId="43" fontId="22" fillId="0" borderId="0" applyFont="0" applyFill="0" applyBorder="0" applyAlignment="0" applyProtection="0"/>
    <xf numFmtId="44" fontId="22" fillId="0" borderId="0" applyFont="0" applyFill="0" applyBorder="0" applyAlignment="0" applyProtection="0"/>
    <xf numFmtId="0" fontId="2" fillId="0" borderId="0"/>
    <xf numFmtId="0" fontId="2" fillId="0" borderId="0"/>
    <xf numFmtId="9" fontId="22" fillId="0" borderId="0" applyFont="0" applyFill="0" applyBorder="0" applyAlignment="0" applyProtection="0"/>
    <xf numFmtId="0" fontId="31" fillId="0" borderId="0" applyNumberFormat="0" applyFill="0" applyBorder="0" applyAlignment="0" applyProtection="0"/>
    <xf numFmtId="0" fontId="44" fillId="0" borderId="0" applyNumberFormat="0" applyFill="0" applyBorder="0" applyAlignment="0" applyProtection="0"/>
    <xf numFmtId="0" fontId="2" fillId="0" borderId="0"/>
    <xf numFmtId="171" fontId="2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4" fontId="22" fillId="0" borderId="0" applyFont="0" applyFill="0" applyBorder="0" applyAlignment="0" applyProtection="0"/>
    <xf numFmtId="9" fontId="22" fillId="0" borderId="0" applyFont="0" applyFill="0" applyBorder="0" applyAlignment="0" applyProtection="0"/>
    <xf numFmtId="0" fontId="2" fillId="0" borderId="0"/>
    <xf numFmtId="43" fontId="22"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4"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171" fontId="22" fillId="0" borderId="0" applyFont="0" applyFill="0" applyBorder="0" applyAlignment="0" applyProtection="0"/>
    <xf numFmtId="0" fontId="52" fillId="0" borderId="0" applyNumberFormat="0" applyFill="0" applyBorder="0" applyAlignment="0" applyProtection="0"/>
    <xf numFmtId="0" fontId="46" fillId="0" borderId="0"/>
    <xf numFmtId="0" fontId="1" fillId="0" borderId="0"/>
    <xf numFmtId="0" fontId="1" fillId="0" borderId="0"/>
    <xf numFmtId="0" fontId="1" fillId="0" borderId="0"/>
    <xf numFmtId="0" fontId="1" fillId="0" borderId="0"/>
  </cellStyleXfs>
  <cellXfs count="961">
    <xf numFmtId="0" fontId="0" fillId="0" borderId="0" xfId="0" applyFont="1" applyAlignment="1"/>
    <xf numFmtId="0" fontId="0" fillId="2" borderId="0" xfId="0" applyFont="1" applyFill="1" applyBorder="1"/>
    <xf numFmtId="0" fontId="0" fillId="0" borderId="0" xfId="0" applyFont="1"/>
    <xf numFmtId="0" fontId="7" fillId="0" borderId="0" xfId="0" applyFont="1"/>
    <xf numFmtId="0" fontId="9" fillId="0" borderId="0" xfId="0" applyFont="1"/>
    <xf numFmtId="0" fontId="0" fillId="0" borderId="0" xfId="0" applyFont="1"/>
    <xf numFmtId="0" fontId="10" fillId="0" borderId="0" xfId="0" applyFont="1" applyAlignment="1">
      <alignment horizontal="center"/>
    </xf>
    <xf numFmtId="0" fontId="11" fillId="0" borderId="0" xfId="0" applyFont="1" applyAlignment="1">
      <alignment horizontal="center"/>
    </xf>
    <xf numFmtId="0" fontId="10" fillId="0" borderId="0" xfId="0" applyFont="1" applyAlignment="1">
      <alignment horizontal="center" vertical="center"/>
    </xf>
    <xf numFmtId="0" fontId="11" fillId="4" borderId="0"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0" borderId="0" xfId="0" applyFont="1" applyAlignment="1">
      <alignment horizontal="center" vertical="center" wrapText="1"/>
    </xf>
    <xf numFmtId="0" fontId="11" fillId="4" borderId="3" xfId="0" applyFont="1" applyFill="1" applyBorder="1" applyAlignment="1">
      <alignment horizontal="center" vertical="center" wrapText="1"/>
    </xf>
    <xf numFmtId="0" fontId="11" fillId="0" borderId="0" xfId="0" applyFont="1"/>
    <xf numFmtId="0" fontId="11" fillId="0" borderId="0" xfId="0" applyFont="1" applyAlignment="1">
      <alignment horizontal="center" vertical="center"/>
    </xf>
    <xf numFmtId="0" fontId="11" fillId="4" borderId="4" xfId="0" applyFont="1" applyFill="1" applyBorder="1" applyAlignment="1">
      <alignment horizontal="center" vertical="center" wrapText="1"/>
    </xf>
    <xf numFmtId="0" fontId="10" fillId="0" borderId="0" xfId="0" applyFont="1" applyAlignment="1">
      <alignment horizontal="left" vertical="center"/>
    </xf>
    <xf numFmtId="0" fontId="11" fillId="0" borderId="0" xfId="0" applyFont="1" applyAlignment="1">
      <alignment horizontal="left" vertical="center"/>
    </xf>
    <xf numFmtId="9" fontId="0" fillId="5" borderId="4" xfId="0" applyNumberFormat="1" applyFont="1" applyFill="1" applyBorder="1" applyAlignment="1">
      <alignment horizontal="center"/>
    </xf>
    <xf numFmtId="165" fontId="0" fillId="4" borderId="4" xfId="0" applyNumberFormat="1" applyFont="1" applyFill="1" applyBorder="1"/>
    <xf numFmtId="165" fontId="0" fillId="0" borderId="4" xfId="0" applyNumberFormat="1" applyFont="1" applyBorder="1"/>
    <xf numFmtId="9" fontId="0" fillId="4" borderId="4" xfId="0" applyNumberFormat="1" applyFont="1" applyFill="1" applyBorder="1"/>
    <xf numFmtId="9" fontId="0" fillId="0" borderId="4" xfId="0" applyNumberFormat="1" applyFont="1" applyBorder="1"/>
    <xf numFmtId="9" fontId="0" fillId="6" borderId="4" xfId="0" applyNumberFormat="1" applyFont="1" applyFill="1" applyBorder="1" applyAlignment="1">
      <alignment horizontal="center"/>
    </xf>
    <xf numFmtId="9" fontId="0" fillId="0" borderId="0" xfId="0" applyNumberFormat="1" applyFont="1"/>
    <xf numFmtId="165" fontId="0" fillId="5" borderId="4" xfId="0" applyNumberFormat="1" applyFont="1" applyFill="1" applyBorder="1"/>
    <xf numFmtId="9" fontId="0" fillId="4" borderId="4" xfId="0" applyNumberFormat="1" applyFont="1" applyFill="1" applyBorder="1" applyAlignment="1">
      <alignment horizontal="center" vertical="center"/>
    </xf>
    <xf numFmtId="0" fontId="12" fillId="0" borderId="0" xfId="0" applyFont="1" applyAlignment="1">
      <alignment horizontal="center"/>
    </xf>
    <xf numFmtId="0" fontId="13" fillId="0" borderId="0" xfId="0" applyFont="1"/>
    <xf numFmtId="0" fontId="14" fillId="0" borderId="0" xfId="0" applyFont="1" applyAlignment="1">
      <alignment horizontal="center" vertical="center"/>
    </xf>
    <xf numFmtId="0" fontId="0" fillId="3" borderId="0" xfId="0" applyFont="1" applyFill="1" applyBorder="1"/>
    <xf numFmtId="165" fontId="0" fillId="3" borderId="4" xfId="0" applyNumberFormat="1" applyFont="1" applyFill="1" applyBorder="1"/>
    <xf numFmtId="9" fontId="0" fillId="3" borderId="4" xfId="0" applyNumberFormat="1" applyFont="1" applyFill="1" applyBorder="1"/>
    <xf numFmtId="0" fontId="11" fillId="3" borderId="0" xfId="0" applyFont="1" applyFill="1" applyBorder="1" applyAlignment="1">
      <alignment horizontal="center"/>
    </xf>
    <xf numFmtId="9" fontId="0" fillId="3" borderId="0" xfId="0" applyNumberFormat="1" applyFont="1" applyFill="1" applyBorder="1"/>
    <xf numFmtId="165" fontId="0" fillId="5" borderId="4" xfId="0" applyNumberFormat="1" applyFont="1" applyFill="1" applyBorder="1" applyAlignment="1"/>
    <xf numFmtId="0" fontId="0" fillId="5" borderId="11" xfId="0" applyFont="1" applyFill="1" applyBorder="1" applyAlignment="1">
      <alignment horizontal="center" wrapText="1"/>
    </xf>
    <xf numFmtId="0" fontId="20" fillId="0" borderId="0" xfId="0" applyFont="1" applyAlignment="1">
      <alignment horizontal="right" vertical="center"/>
    </xf>
    <xf numFmtId="11" fontId="21" fillId="5" borderId="12" xfId="0" applyNumberFormat="1" applyFont="1" applyFill="1" applyBorder="1" applyAlignment="1">
      <alignment wrapText="1"/>
    </xf>
    <xf numFmtId="11" fontId="21" fillId="5" borderId="4" xfId="0" applyNumberFormat="1" applyFont="1" applyFill="1" applyBorder="1" applyAlignment="1">
      <alignment wrapText="1"/>
    </xf>
    <xf numFmtId="11" fontId="21" fillId="5" borderId="13" xfId="0" applyNumberFormat="1" applyFont="1" applyFill="1" applyBorder="1" applyAlignment="1">
      <alignment wrapText="1"/>
    </xf>
    <xf numFmtId="166" fontId="0" fillId="5" borderId="13" xfId="0" applyNumberFormat="1" applyFont="1" applyFill="1" applyBorder="1" applyAlignment="1">
      <alignment wrapText="1"/>
    </xf>
    <xf numFmtId="166" fontId="0" fillId="5" borderId="12" xfId="0" applyNumberFormat="1" applyFont="1" applyFill="1" applyBorder="1" applyAlignment="1">
      <alignment wrapText="1"/>
    </xf>
    <xf numFmtId="0" fontId="0" fillId="5" borderId="14" xfId="0" applyFont="1" applyFill="1" applyBorder="1" applyAlignment="1">
      <alignment horizontal="center" wrapText="1"/>
    </xf>
    <xf numFmtId="0" fontId="0" fillId="5" borderId="15" xfId="0" applyFont="1" applyFill="1" applyBorder="1" applyAlignment="1">
      <alignment horizontal="center" wrapText="1"/>
    </xf>
    <xf numFmtId="11" fontId="21" fillId="5" borderId="16" xfId="0" applyNumberFormat="1" applyFont="1" applyFill="1" applyBorder="1" applyAlignment="1">
      <alignment wrapText="1"/>
    </xf>
    <xf numFmtId="11" fontId="21" fillId="5" borderId="17" xfId="0" applyNumberFormat="1" applyFont="1" applyFill="1" applyBorder="1" applyAlignment="1">
      <alignment wrapText="1"/>
    </xf>
    <xf numFmtId="11" fontId="21" fillId="5" borderId="18" xfId="0" applyNumberFormat="1" applyFont="1" applyFill="1" applyBorder="1" applyAlignment="1">
      <alignment wrapText="1"/>
    </xf>
    <xf numFmtId="11" fontId="21" fillId="5" borderId="19" xfId="0" applyNumberFormat="1" applyFont="1" applyFill="1" applyBorder="1" applyAlignment="1">
      <alignment wrapText="1"/>
    </xf>
    <xf numFmtId="166" fontId="0" fillId="5" borderId="18" xfId="0" applyNumberFormat="1" applyFont="1" applyFill="1" applyBorder="1" applyAlignment="1">
      <alignment wrapText="1"/>
    </xf>
    <xf numFmtId="166" fontId="0" fillId="5" borderId="19" xfId="0" applyNumberFormat="1" applyFont="1" applyFill="1" applyBorder="1" applyAlignment="1">
      <alignment wrapText="1"/>
    </xf>
    <xf numFmtId="9" fontId="0" fillId="10" borderId="4" xfId="0" applyNumberFormat="1" applyFont="1" applyFill="1" applyBorder="1" applyAlignment="1">
      <alignment horizontal="center"/>
    </xf>
    <xf numFmtId="0" fontId="11" fillId="4" borderId="0" xfId="0" applyFont="1" applyFill="1" applyBorder="1" applyAlignment="1">
      <alignment vertical="center" wrapText="1"/>
    </xf>
    <xf numFmtId="0" fontId="11" fillId="0" borderId="0" xfId="0" applyFont="1" applyAlignment="1">
      <alignment horizontal="left"/>
    </xf>
    <xf numFmtId="0" fontId="0" fillId="5" borderId="15" xfId="0" applyFont="1" applyFill="1" applyBorder="1" applyAlignment="1">
      <alignment horizontal="center"/>
    </xf>
    <xf numFmtId="11" fontId="21" fillId="5" borderId="1" xfId="0" applyNumberFormat="1" applyFont="1" applyFill="1" applyBorder="1" applyAlignment="1">
      <alignment wrapText="1"/>
    </xf>
    <xf numFmtId="11" fontId="21" fillId="5" borderId="20" xfId="0" applyNumberFormat="1" applyFont="1" applyFill="1" applyBorder="1" applyAlignment="1">
      <alignment wrapText="1"/>
    </xf>
    <xf numFmtId="166" fontId="0" fillId="5" borderId="20" xfId="0" applyNumberFormat="1" applyFont="1" applyFill="1" applyBorder="1" applyAlignment="1">
      <alignment wrapText="1"/>
    </xf>
    <xf numFmtId="166" fontId="0" fillId="5" borderId="16" xfId="0" applyNumberFormat="1" applyFont="1" applyFill="1" applyBorder="1" applyAlignment="1">
      <alignment wrapText="1"/>
    </xf>
    <xf numFmtId="0" fontId="0" fillId="7" borderId="4" xfId="0" applyFont="1" applyFill="1" applyBorder="1"/>
    <xf numFmtId="0" fontId="0" fillId="8" borderId="4" xfId="0" applyFont="1" applyFill="1" applyBorder="1"/>
    <xf numFmtId="0" fontId="0" fillId="9" borderId="4" xfId="0" applyFont="1" applyFill="1" applyBorder="1"/>
    <xf numFmtId="0" fontId="0" fillId="0" borderId="4" xfId="0" applyFont="1" applyBorder="1"/>
    <xf numFmtId="166" fontId="0" fillId="5" borderId="21" xfId="0" applyNumberFormat="1" applyFont="1" applyFill="1" applyBorder="1" applyAlignment="1">
      <alignment wrapText="1"/>
    </xf>
    <xf numFmtId="11" fontId="8" fillId="0" borderId="0" xfId="0" applyNumberFormat="1" applyFont="1" applyAlignment="1"/>
    <xf numFmtId="0" fontId="9" fillId="0" borderId="0" xfId="0" applyFont="1" applyAlignment="1"/>
    <xf numFmtId="0" fontId="11" fillId="4" borderId="0" xfId="0" applyFont="1" applyFill="1" applyBorder="1" applyAlignment="1">
      <alignment horizontal="center" vertical="center" wrapText="1"/>
    </xf>
    <xf numFmtId="165" fontId="0" fillId="4" borderId="4" xfId="0" applyNumberFormat="1" applyFont="1" applyFill="1" applyBorder="1" applyAlignment="1">
      <alignment vertical="center"/>
    </xf>
    <xf numFmtId="0" fontId="11" fillId="0" borderId="0" xfId="0" applyFont="1" applyAlignment="1">
      <alignment horizontal="left"/>
    </xf>
    <xf numFmtId="9" fontId="0" fillId="4" borderId="4" xfId="0" applyNumberFormat="1" applyFont="1" applyFill="1" applyBorder="1" applyAlignment="1">
      <alignment horizontal="center"/>
    </xf>
    <xf numFmtId="0" fontId="10" fillId="0" borderId="0" xfId="0" applyFont="1" applyAlignment="1">
      <alignment horizontal="center"/>
    </xf>
    <xf numFmtId="0" fontId="14" fillId="11" borderId="0" xfId="0" applyFont="1" applyFill="1" applyBorder="1" applyAlignment="1">
      <alignment horizontal="left" vertical="center"/>
    </xf>
    <xf numFmtId="0" fontId="14" fillId="11" borderId="0" xfId="0" applyFont="1" applyFill="1" applyBorder="1"/>
    <xf numFmtId="0" fontId="22" fillId="11" borderId="0" xfId="0" applyFont="1" applyFill="1" applyBorder="1"/>
    <xf numFmtId="0" fontId="14" fillId="0" borderId="0" xfId="0" applyFont="1" applyAlignment="1">
      <alignment horizontal="center"/>
    </xf>
    <xf numFmtId="0" fontId="23" fillId="0" borderId="0" xfId="0" applyFont="1"/>
    <xf numFmtId="0" fontId="20" fillId="0" borderId="0" xfId="0" applyFont="1" applyAlignment="1">
      <alignment horizontal="center" vertical="center"/>
    </xf>
    <xf numFmtId="0" fontId="14" fillId="0" borderId="0" xfId="0" applyFont="1" applyAlignment="1">
      <alignment horizontal="center" wrapText="1"/>
    </xf>
    <xf numFmtId="0" fontId="20" fillId="0" borderId="0" xfId="0" applyFont="1" applyAlignment="1">
      <alignment horizontal="center" vertical="top" wrapText="1"/>
    </xf>
    <xf numFmtId="0" fontId="22" fillId="0" borderId="0" xfId="0" applyFont="1"/>
    <xf numFmtId="0" fontId="19" fillId="0" borderId="0" xfId="0" applyFont="1"/>
    <xf numFmtId="0" fontId="19" fillId="0" borderId="0" xfId="0" applyFont="1" applyAlignment="1">
      <alignment horizontal="center" vertical="center"/>
    </xf>
    <xf numFmtId="0" fontId="19" fillId="0" borderId="0" xfId="0" applyFont="1" applyAlignment="1">
      <alignment horizontal="center"/>
    </xf>
    <xf numFmtId="0" fontId="14" fillId="0" borderId="0" xfId="0" applyFont="1" applyAlignment="1">
      <alignment horizontal="right" vertical="center"/>
    </xf>
    <xf numFmtId="167" fontId="26" fillId="12" borderId="1" xfId="0" applyNumberFormat="1" applyFont="1" applyFill="1" applyBorder="1"/>
    <xf numFmtId="167" fontId="26" fillId="12" borderId="4" xfId="0" applyNumberFormat="1" applyFont="1" applyFill="1" applyBorder="1"/>
    <xf numFmtId="167" fontId="22" fillId="12" borderId="4" xfId="0" applyNumberFormat="1" applyFont="1" applyFill="1" applyBorder="1"/>
    <xf numFmtId="0" fontId="19" fillId="3" borderId="0" xfId="0" applyFont="1" applyFill="1" applyBorder="1" applyAlignment="1">
      <alignment horizontal="left"/>
    </xf>
    <xf numFmtId="0" fontId="14" fillId="0" borderId="23" xfId="0" applyFont="1" applyBorder="1" applyAlignment="1">
      <alignment horizontal="center" wrapText="1"/>
    </xf>
    <xf numFmtId="0" fontId="24" fillId="0" borderId="0" xfId="0" applyFont="1" applyAlignment="1">
      <alignment horizontal="right" vertical="center"/>
    </xf>
    <xf numFmtId="0" fontId="0" fillId="0" borderId="0" xfId="0" applyFont="1" applyAlignment="1"/>
    <xf numFmtId="0" fontId="0" fillId="0" borderId="0" xfId="0" applyFont="1" applyAlignment="1"/>
    <xf numFmtId="0" fontId="0" fillId="13" borderId="30" xfId="0" applyFont="1" applyFill="1" applyBorder="1" applyAlignment="1">
      <alignment horizontal="center" vertical="center"/>
    </xf>
    <xf numFmtId="168" fontId="0" fillId="4" borderId="4" xfId="0" applyNumberFormat="1" applyFont="1" applyFill="1" applyBorder="1"/>
    <xf numFmtId="167" fontId="0" fillId="0" borderId="0" xfId="0" applyNumberFormat="1" applyFont="1" applyAlignment="1"/>
    <xf numFmtId="0" fontId="0" fillId="0" borderId="0" xfId="0" applyFont="1" applyAlignment="1"/>
    <xf numFmtId="165" fontId="0" fillId="14" borderId="4" xfId="0" applyNumberFormat="1" applyFont="1" applyFill="1" applyBorder="1"/>
    <xf numFmtId="165" fontId="0" fillId="15" borderId="4" xfId="0" applyNumberFormat="1" applyFont="1" applyFill="1" applyBorder="1"/>
    <xf numFmtId="0" fontId="27" fillId="0" borderId="0" xfId="0" applyFont="1" applyAlignment="1">
      <alignment horizontal="right"/>
    </xf>
    <xf numFmtId="0" fontId="0" fillId="0" borderId="0" xfId="0" applyFont="1" applyAlignment="1"/>
    <xf numFmtId="0" fontId="0" fillId="0" borderId="0" xfId="0" applyFont="1" applyAlignment="1"/>
    <xf numFmtId="0" fontId="20" fillId="17" borderId="24" xfId="0" applyFont="1" applyFill="1" applyBorder="1" applyAlignment="1">
      <alignment horizontal="center" vertical="center" wrapText="1"/>
    </xf>
    <xf numFmtId="0" fontId="24" fillId="17" borderId="25" xfId="0" applyFont="1" applyFill="1" applyBorder="1" applyAlignment="1">
      <alignment horizontal="right" vertical="center"/>
    </xf>
    <xf numFmtId="0" fontId="25" fillId="17" borderId="26" xfId="0" applyFont="1" applyFill="1" applyBorder="1" applyAlignment="1">
      <alignment horizontal="center" vertical="center"/>
    </xf>
    <xf numFmtId="0" fontId="22" fillId="17" borderId="1" xfId="0" applyFont="1" applyFill="1" applyBorder="1"/>
    <xf numFmtId="167" fontId="22" fillId="17" borderId="1" xfId="0" applyNumberFormat="1" applyFont="1" applyFill="1" applyBorder="1"/>
    <xf numFmtId="0" fontId="24" fillId="17" borderId="3" xfId="0" applyFont="1" applyFill="1" applyBorder="1" applyAlignment="1">
      <alignment horizontal="right" vertical="center"/>
    </xf>
    <xf numFmtId="0" fontId="25" fillId="17" borderId="2" xfId="0" applyFont="1" applyFill="1" applyBorder="1" applyAlignment="1">
      <alignment horizontal="center" vertical="center"/>
    </xf>
    <xf numFmtId="0" fontId="22" fillId="17" borderId="4" xfId="0" applyFont="1" applyFill="1" applyBorder="1"/>
    <xf numFmtId="0" fontId="24" fillId="17" borderId="22" xfId="0" applyFont="1" applyFill="1" applyBorder="1" applyAlignment="1">
      <alignment horizontal="center" vertical="center" wrapText="1"/>
    </xf>
    <xf numFmtId="0" fontId="14" fillId="17" borderId="4" xfId="0" applyFont="1" applyFill="1" applyBorder="1" applyAlignment="1">
      <alignment horizontal="center" vertical="center"/>
    </xf>
    <xf numFmtId="0" fontId="25" fillId="17" borderId="29" xfId="0" applyFont="1" applyFill="1" applyBorder="1" applyAlignment="1">
      <alignment horizontal="center" vertical="center"/>
    </xf>
    <xf numFmtId="0" fontId="24" fillId="17" borderId="28" xfId="0" applyFont="1" applyFill="1" applyBorder="1" applyAlignment="1">
      <alignment horizontal="right" vertical="center"/>
    </xf>
    <xf numFmtId="0" fontId="9" fillId="18" borderId="0" xfId="0" applyFont="1" applyFill="1"/>
    <xf numFmtId="0" fontId="0" fillId="18" borderId="0" xfId="0" applyFont="1" applyFill="1"/>
    <xf numFmtId="0" fontId="28" fillId="18" borderId="0" xfId="0" applyFont="1" applyFill="1"/>
    <xf numFmtId="0" fontId="29" fillId="18" borderId="0" xfId="0" applyFont="1" applyFill="1"/>
    <xf numFmtId="0" fontId="11" fillId="18" borderId="0" xfId="0" applyFont="1" applyFill="1" applyAlignment="1">
      <alignment horizontal="center"/>
    </xf>
    <xf numFmtId="9" fontId="0" fillId="18" borderId="0" xfId="0" applyNumberFormat="1" applyFont="1" applyFill="1"/>
    <xf numFmtId="0" fontId="0" fillId="18" borderId="0" xfId="0" applyFont="1" applyFill="1" applyAlignment="1"/>
    <xf numFmtId="0" fontId="0" fillId="0" borderId="0" xfId="0" applyFont="1" applyAlignment="1"/>
    <xf numFmtId="0" fontId="31" fillId="0" borderId="0" xfId="2" applyAlignment="1">
      <alignment horizontal="center" vertical="center" wrapText="1"/>
    </xf>
    <xf numFmtId="0" fontId="11" fillId="0" borderId="0" xfId="0" applyFont="1" applyAlignment="1">
      <alignment horizontal="right" vertical="center"/>
    </xf>
    <xf numFmtId="9" fontId="0" fillId="19" borderId="4" xfId="0" applyNumberFormat="1" applyFont="1" applyFill="1" applyBorder="1" applyAlignment="1">
      <alignment horizontal="center"/>
    </xf>
    <xf numFmtId="0" fontId="27" fillId="0" borderId="0" xfId="0" applyFont="1" applyAlignment="1"/>
    <xf numFmtId="0" fontId="27" fillId="0" borderId="0" xfId="0" applyFont="1"/>
    <xf numFmtId="0" fontId="27" fillId="0" borderId="0" xfId="0" applyFont="1" applyAlignment="1">
      <alignment wrapText="1"/>
    </xf>
    <xf numFmtId="166" fontId="19" fillId="17" borderId="8" xfId="0" applyNumberFormat="1" applyFont="1" applyFill="1" applyBorder="1" applyAlignment="1">
      <alignment horizontal="center" vertical="center" wrapText="1"/>
    </xf>
    <xf numFmtId="166" fontId="19" fillId="17" borderId="9" xfId="0" applyNumberFormat="1" applyFont="1" applyFill="1" applyBorder="1" applyAlignment="1">
      <alignment horizontal="center" vertical="center" wrapText="1"/>
    </xf>
    <xf numFmtId="166" fontId="19" fillId="17" borderId="10" xfId="0" applyNumberFormat="1" applyFont="1" applyFill="1" applyBorder="1" applyAlignment="1">
      <alignment horizontal="center" vertical="center" wrapText="1"/>
    </xf>
    <xf numFmtId="0" fontId="20" fillId="17" borderId="10" xfId="0" applyFont="1" applyFill="1" applyBorder="1" applyAlignment="1">
      <alignment horizontal="center" vertical="center" wrapText="1"/>
    </xf>
    <xf numFmtId="0" fontId="10" fillId="0" borderId="0" xfId="0" applyFont="1"/>
    <xf numFmtId="0" fontId="27" fillId="5" borderId="11" xfId="0" applyFont="1" applyFill="1" applyBorder="1" applyAlignment="1">
      <alignment horizontal="center" wrapText="1"/>
    </xf>
    <xf numFmtId="0" fontId="27" fillId="5" borderId="14" xfId="0" applyFont="1" applyFill="1" applyBorder="1" applyAlignment="1">
      <alignment horizontal="center" wrapText="1"/>
    </xf>
    <xf numFmtId="0" fontId="27" fillId="5" borderId="15" xfId="0" applyFont="1" applyFill="1" applyBorder="1" applyAlignment="1">
      <alignment horizontal="center" wrapText="1"/>
    </xf>
    <xf numFmtId="0" fontId="27" fillId="2" borderId="0" xfId="0" applyFont="1" applyFill="1" applyBorder="1"/>
    <xf numFmtId="0" fontId="12" fillId="0" borderId="0" xfId="0" applyFont="1" applyAlignment="1">
      <alignment horizontal="left"/>
    </xf>
    <xf numFmtId="0" fontId="29" fillId="0" borderId="0" xfId="0" applyFont="1" applyAlignment="1"/>
    <xf numFmtId="0" fontId="29" fillId="18" borderId="0" xfId="0" applyFont="1" applyFill="1" applyAlignment="1"/>
    <xf numFmtId="168" fontId="33" fillId="5" borderId="12" xfId="1" applyNumberFormat="1" applyFont="1" applyFill="1" applyBorder="1" applyAlignment="1">
      <alignment wrapText="1"/>
    </xf>
    <xf numFmtId="168" fontId="33" fillId="5" borderId="4" xfId="1" applyNumberFormat="1" applyFont="1" applyFill="1" applyBorder="1" applyAlignment="1">
      <alignment wrapText="1"/>
    </xf>
    <xf numFmtId="168" fontId="33" fillId="5" borderId="13" xfId="1" applyNumberFormat="1" applyFont="1" applyFill="1" applyBorder="1" applyAlignment="1">
      <alignment wrapText="1"/>
    </xf>
    <xf numFmtId="168" fontId="34" fillId="5" borderId="13" xfId="1" applyNumberFormat="1" applyFont="1" applyFill="1" applyBorder="1" applyAlignment="1">
      <alignment wrapText="1"/>
    </xf>
    <xf numFmtId="168" fontId="33" fillId="5" borderId="17" xfId="1" applyNumberFormat="1" applyFont="1" applyFill="1" applyBorder="1" applyAlignment="1">
      <alignment wrapText="1"/>
    </xf>
    <xf numFmtId="168" fontId="33" fillId="5" borderId="18" xfId="1" applyNumberFormat="1" applyFont="1" applyFill="1" applyBorder="1" applyAlignment="1">
      <alignment wrapText="1"/>
    </xf>
    <xf numFmtId="168" fontId="33" fillId="5" borderId="19" xfId="1" applyNumberFormat="1" applyFont="1" applyFill="1" applyBorder="1" applyAlignment="1">
      <alignment wrapText="1"/>
    </xf>
    <xf numFmtId="168" fontId="34" fillId="5" borderId="18" xfId="1" applyNumberFormat="1" applyFont="1" applyFill="1" applyBorder="1" applyAlignment="1">
      <alignment wrapText="1"/>
    </xf>
    <xf numFmtId="168" fontId="33" fillId="5" borderId="1" xfId="1" applyNumberFormat="1" applyFont="1" applyFill="1" applyBorder="1" applyAlignment="1">
      <alignment wrapText="1"/>
    </xf>
    <xf numFmtId="168" fontId="33" fillId="5" borderId="20" xfId="1" applyNumberFormat="1" applyFont="1" applyFill="1" applyBorder="1" applyAlignment="1">
      <alignment wrapText="1"/>
    </xf>
    <xf numFmtId="168" fontId="33" fillId="5" borderId="16" xfId="1" applyNumberFormat="1" applyFont="1" applyFill="1" applyBorder="1" applyAlignment="1">
      <alignment wrapText="1"/>
    </xf>
    <xf numFmtId="168" fontId="34" fillId="5" borderId="20" xfId="1" applyNumberFormat="1" applyFont="1" applyFill="1" applyBorder="1" applyAlignment="1">
      <alignment wrapText="1"/>
    </xf>
    <xf numFmtId="168" fontId="34" fillId="5" borderId="21" xfId="1" applyNumberFormat="1" applyFont="1" applyFill="1" applyBorder="1" applyAlignment="1">
      <alignment wrapText="1"/>
    </xf>
    <xf numFmtId="0" fontId="32" fillId="5" borderId="11" xfId="0" applyFont="1" applyFill="1" applyBorder="1" applyAlignment="1">
      <alignment horizontal="center" wrapText="1"/>
    </xf>
    <xf numFmtId="0" fontId="32" fillId="5" borderId="14" xfId="0" applyFont="1" applyFill="1" applyBorder="1" applyAlignment="1">
      <alignment horizontal="center" wrapText="1"/>
    </xf>
    <xf numFmtId="0" fontId="32" fillId="5" borderId="15" xfId="0" applyFont="1" applyFill="1" applyBorder="1" applyAlignment="1">
      <alignment horizontal="center" wrapText="1"/>
    </xf>
    <xf numFmtId="168" fontId="33" fillId="14" borderId="4" xfId="1" applyNumberFormat="1" applyFont="1" applyFill="1" applyBorder="1" applyAlignment="1">
      <alignment wrapText="1"/>
    </xf>
    <xf numFmtId="168" fontId="33" fillId="14" borderId="13" xfId="1" applyNumberFormat="1" applyFont="1" applyFill="1" applyBorder="1" applyAlignment="1">
      <alignment wrapText="1"/>
    </xf>
    <xf numFmtId="168" fontId="33" fillId="14" borderId="17" xfId="1" applyNumberFormat="1" applyFont="1" applyFill="1" applyBorder="1" applyAlignment="1">
      <alignment wrapText="1"/>
    </xf>
    <xf numFmtId="168" fontId="33" fillId="14" borderId="18" xfId="1" applyNumberFormat="1" applyFont="1" applyFill="1" applyBorder="1" applyAlignment="1">
      <alignment wrapText="1"/>
    </xf>
    <xf numFmtId="168" fontId="33" fillId="14" borderId="1" xfId="1" applyNumberFormat="1" applyFont="1" applyFill="1" applyBorder="1" applyAlignment="1">
      <alignment wrapText="1"/>
    </xf>
    <xf numFmtId="168" fontId="33" fillId="14" borderId="20" xfId="1" applyNumberFormat="1" applyFont="1" applyFill="1" applyBorder="1" applyAlignment="1">
      <alignment wrapText="1"/>
    </xf>
    <xf numFmtId="0" fontId="32" fillId="14" borderId="11" xfId="0" applyFont="1" applyFill="1" applyBorder="1" applyAlignment="1">
      <alignment horizontal="center" wrapText="1"/>
    </xf>
    <xf numFmtId="0" fontId="32" fillId="14" borderId="14" xfId="0" applyFont="1" applyFill="1" applyBorder="1" applyAlignment="1">
      <alignment horizontal="center" wrapText="1"/>
    </xf>
    <xf numFmtId="0" fontId="32" fillId="14" borderId="15" xfId="0" applyFont="1" applyFill="1" applyBorder="1" applyAlignment="1">
      <alignment horizontal="center" wrapText="1"/>
    </xf>
    <xf numFmtId="168" fontId="22" fillId="5" borderId="12" xfId="1" applyNumberFormat="1" applyFont="1" applyFill="1" applyBorder="1" applyAlignment="1">
      <alignment wrapText="1"/>
    </xf>
    <xf numFmtId="168" fontId="22" fillId="5" borderId="4" xfId="1" applyNumberFormat="1" applyFont="1" applyFill="1" applyBorder="1" applyAlignment="1">
      <alignment wrapText="1"/>
    </xf>
    <xf numFmtId="168" fontId="22" fillId="5" borderId="13" xfId="1" applyNumberFormat="1" applyFont="1" applyFill="1" applyBorder="1" applyAlignment="1">
      <alignment wrapText="1"/>
    </xf>
    <xf numFmtId="168" fontId="22" fillId="5" borderId="17" xfId="1" applyNumberFormat="1" applyFont="1" applyFill="1" applyBorder="1" applyAlignment="1">
      <alignment wrapText="1"/>
    </xf>
    <xf numFmtId="168" fontId="22" fillId="5" borderId="18" xfId="1" applyNumberFormat="1" applyFont="1" applyFill="1" applyBorder="1" applyAlignment="1">
      <alignment wrapText="1"/>
    </xf>
    <xf numFmtId="168" fontId="22" fillId="5" borderId="1" xfId="1" applyNumberFormat="1" applyFont="1" applyFill="1" applyBorder="1" applyAlignment="1">
      <alignment wrapText="1"/>
    </xf>
    <xf numFmtId="168" fontId="22" fillId="5" borderId="20" xfId="1" applyNumberFormat="1" applyFont="1" applyFill="1" applyBorder="1" applyAlignment="1">
      <alignment wrapText="1"/>
    </xf>
    <xf numFmtId="0" fontId="11" fillId="18" borderId="0" xfId="0" applyFont="1" applyFill="1" applyAlignment="1"/>
    <xf numFmtId="0" fontId="11" fillId="20" borderId="0" xfId="0" applyFont="1" applyFill="1" applyAlignment="1"/>
    <xf numFmtId="0" fontId="11" fillId="20" borderId="0" xfId="0" applyFont="1" applyFill="1"/>
    <xf numFmtId="0" fontId="0" fillId="20" borderId="0" xfId="0" applyFont="1" applyFill="1" applyAlignment="1"/>
    <xf numFmtId="0" fontId="0" fillId="20" borderId="0" xfId="0" applyFont="1" applyFill="1"/>
    <xf numFmtId="0" fontId="27" fillId="20" borderId="0" xfId="0" applyFont="1" applyFill="1"/>
    <xf numFmtId="0" fontId="0" fillId="21" borderId="0" xfId="0" applyFont="1" applyFill="1"/>
    <xf numFmtId="0" fontId="0" fillId="21" borderId="0" xfId="0" applyFont="1" applyFill="1" applyAlignment="1"/>
    <xf numFmtId="0" fontId="11" fillId="21" borderId="0" xfId="0" applyFont="1" applyFill="1"/>
    <xf numFmtId="0" fontId="11" fillId="21" borderId="0" xfId="0" applyFont="1" applyFill="1" applyAlignment="1"/>
    <xf numFmtId="0" fontId="27" fillId="21" borderId="0" xfId="0" applyFont="1" applyFill="1"/>
    <xf numFmtId="0" fontId="7" fillId="21" borderId="0" xfId="0" applyFont="1" applyFill="1"/>
    <xf numFmtId="0" fontId="0" fillId="0" borderId="0" xfId="0" applyFont="1" applyAlignment="1">
      <alignment horizontal="right"/>
    </xf>
    <xf numFmtId="0" fontId="0" fillId="0" borderId="0" xfId="0" applyFont="1" applyAlignment="1"/>
    <xf numFmtId="0" fontId="28" fillId="18" borderId="0" xfId="3" applyFont="1" applyFill="1" applyAlignment="1"/>
    <xf numFmtId="0" fontId="27" fillId="0" borderId="0" xfId="3" applyFont="1" applyAlignment="1"/>
    <xf numFmtId="0" fontId="14" fillId="11" borderId="0" xfId="3" applyFont="1" applyFill="1" applyBorder="1" applyAlignment="1">
      <alignment horizontal="left" vertical="center"/>
    </xf>
    <xf numFmtId="0" fontId="14" fillId="11" borderId="0" xfId="3" applyFont="1" applyFill="1" applyBorder="1"/>
    <xf numFmtId="0" fontId="22" fillId="11" borderId="0" xfId="3" applyFont="1" applyFill="1" applyBorder="1"/>
    <xf numFmtId="0" fontId="14" fillId="0" borderId="0" xfId="3" applyFont="1" applyAlignment="1">
      <alignment horizontal="center"/>
    </xf>
    <xf numFmtId="0" fontId="23" fillId="0" borderId="0" xfId="3" applyFont="1"/>
    <xf numFmtId="0" fontId="20" fillId="0" borderId="0" xfId="3" applyFont="1" applyAlignment="1">
      <alignment horizontal="center" vertical="center"/>
    </xf>
    <xf numFmtId="0" fontId="14" fillId="0" borderId="0" xfId="3" applyFont="1" applyAlignment="1">
      <alignment horizontal="center" wrapText="1"/>
    </xf>
    <xf numFmtId="0" fontId="20" fillId="0" borderId="0" xfId="3" applyFont="1" applyAlignment="1">
      <alignment horizontal="center" vertical="top" wrapText="1"/>
    </xf>
    <xf numFmtId="0" fontId="22" fillId="0" borderId="0" xfId="3" applyFont="1"/>
    <xf numFmtId="0" fontId="14" fillId="17" borderId="4" xfId="3" applyFont="1" applyFill="1" applyBorder="1" applyAlignment="1">
      <alignment horizontal="center" vertical="center"/>
    </xf>
    <xf numFmtId="0" fontId="8" fillId="0" borderId="0" xfId="3" applyFont="1"/>
    <xf numFmtId="0" fontId="8" fillId="0" borderId="0" xfId="3" applyFont="1" applyAlignment="1">
      <alignment horizontal="center" vertical="center"/>
    </xf>
    <xf numFmtId="0" fontId="24" fillId="17" borderId="22" xfId="3" applyFont="1" applyFill="1" applyBorder="1" applyAlignment="1">
      <alignment horizontal="center" vertical="center" wrapText="1"/>
    </xf>
    <xf numFmtId="0" fontId="20" fillId="17" borderId="24" xfId="3" applyFont="1" applyFill="1" applyBorder="1" applyAlignment="1">
      <alignment horizontal="center" vertical="center"/>
    </xf>
    <xf numFmtId="0" fontId="8" fillId="0" borderId="0" xfId="3" applyFont="1" applyAlignment="1">
      <alignment horizontal="center"/>
    </xf>
    <xf numFmtId="0" fontId="14" fillId="0" borderId="0" xfId="3" applyFont="1" applyAlignment="1">
      <alignment horizontal="right" vertical="center"/>
    </xf>
    <xf numFmtId="0" fontId="20" fillId="17" borderId="24" xfId="3" applyFont="1" applyFill="1" applyBorder="1" applyAlignment="1">
      <alignment horizontal="center" vertical="center" wrapText="1"/>
    </xf>
    <xf numFmtId="0" fontId="24" fillId="17" borderId="25" xfId="3" applyFont="1" applyFill="1" applyBorder="1" applyAlignment="1">
      <alignment horizontal="right" vertical="center"/>
    </xf>
    <xf numFmtId="0" fontId="25" fillId="17" borderId="26" xfId="3" applyFont="1" applyFill="1" applyBorder="1" applyAlignment="1">
      <alignment horizontal="center" vertical="center"/>
    </xf>
    <xf numFmtId="0" fontId="24" fillId="17" borderId="3" xfId="3" applyFont="1" applyFill="1" applyBorder="1" applyAlignment="1">
      <alignment horizontal="right" vertical="center"/>
    </xf>
    <xf numFmtId="0" fontId="25" fillId="17" borderId="2" xfId="3" applyFont="1" applyFill="1" applyBorder="1" applyAlignment="1">
      <alignment horizontal="center" vertical="center"/>
    </xf>
    <xf numFmtId="0" fontId="14" fillId="0" borderId="0" xfId="3" applyFont="1" applyAlignment="1">
      <alignment horizontal="center" vertical="center"/>
    </xf>
    <xf numFmtId="0" fontId="8" fillId="3" borderId="0" xfId="3" applyFont="1" applyFill="1" applyBorder="1" applyAlignment="1">
      <alignment horizontal="left"/>
    </xf>
    <xf numFmtId="0" fontId="14" fillId="0" borderId="23" xfId="3" applyFont="1" applyBorder="1" applyAlignment="1">
      <alignment horizontal="center" wrapText="1"/>
    </xf>
    <xf numFmtId="0" fontId="27" fillId="0" borderId="0" xfId="3" applyFont="1"/>
    <xf numFmtId="0" fontId="24" fillId="0" borderId="0" xfId="3" applyFont="1" applyAlignment="1">
      <alignment horizontal="right" vertical="center"/>
    </xf>
    <xf numFmtId="0" fontId="25" fillId="17" borderId="29" xfId="3" applyFont="1" applyFill="1" applyBorder="1" applyAlignment="1">
      <alignment horizontal="center" vertical="center"/>
    </xf>
    <xf numFmtId="0" fontId="24" fillId="17" borderId="28" xfId="3" applyFont="1" applyFill="1" applyBorder="1" applyAlignment="1">
      <alignment horizontal="right" vertical="center"/>
    </xf>
    <xf numFmtId="0" fontId="10" fillId="18" borderId="0" xfId="3" applyFont="1" applyFill="1"/>
    <xf numFmtId="0" fontId="10" fillId="18" borderId="0" xfId="3" applyFont="1" applyFill="1" applyAlignment="1"/>
    <xf numFmtId="0" fontId="0" fillId="0" borderId="0" xfId="0" applyFont="1" applyAlignment="1"/>
    <xf numFmtId="0" fontId="0" fillId="0" borderId="32" xfId="0" applyFont="1" applyBorder="1" applyAlignment="1"/>
    <xf numFmtId="0" fontId="0" fillId="0" borderId="0" xfId="0" applyFont="1" applyAlignment="1"/>
    <xf numFmtId="0" fontId="11" fillId="22" borderId="4" xfId="0" applyFont="1" applyFill="1" applyBorder="1" applyAlignment="1">
      <alignment horizontal="left" vertical="center"/>
    </xf>
    <xf numFmtId="0" fontId="27" fillId="16" borderId="31" xfId="0" applyFont="1" applyFill="1" applyBorder="1" applyAlignment="1"/>
    <xf numFmtId="168" fontId="0" fillId="16" borderId="31" xfId="0" applyNumberFormat="1" applyFont="1" applyFill="1" applyBorder="1" applyAlignment="1"/>
    <xf numFmtId="0" fontId="0" fillId="16" borderId="31" xfId="0" applyFont="1" applyFill="1" applyBorder="1" applyAlignment="1"/>
    <xf numFmtId="0" fontId="0" fillId="0" borderId="32" xfId="0" applyFont="1" applyBorder="1" applyAlignment="1"/>
    <xf numFmtId="0" fontId="0" fillId="0" borderId="0" xfId="0" applyFont="1" applyAlignment="1"/>
    <xf numFmtId="11" fontId="22" fillId="17" borderId="1" xfId="0" applyNumberFormat="1" applyFont="1" applyFill="1" applyBorder="1"/>
    <xf numFmtId="11" fontId="26" fillId="12" borderId="1" xfId="0" applyNumberFormat="1" applyFont="1" applyFill="1" applyBorder="1"/>
    <xf numFmtId="11" fontId="22" fillId="17" borderId="4" xfId="0" applyNumberFormat="1" applyFont="1" applyFill="1" applyBorder="1"/>
    <xf numFmtId="11" fontId="26" fillId="12" borderId="4" xfId="0" applyNumberFormat="1" applyFont="1" applyFill="1" applyBorder="1"/>
    <xf numFmtId="11" fontId="22" fillId="12" borderId="4" xfId="0" applyNumberFormat="1" applyFont="1" applyFill="1" applyBorder="1"/>
    <xf numFmtId="0" fontId="31" fillId="0" borderId="0" xfId="2"/>
    <xf numFmtId="11" fontId="22" fillId="23" borderId="4" xfId="0" applyNumberFormat="1" applyFont="1" applyFill="1" applyBorder="1"/>
    <xf numFmtId="11" fontId="26" fillId="12" borderId="31" xfId="0" applyNumberFormat="1" applyFont="1" applyFill="1" applyBorder="1"/>
    <xf numFmtId="0" fontId="22" fillId="18" borderId="0" xfId="0" applyFont="1" applyFill="1" applyAlignment="1">
      <alignment horizontal="center"/>
    </xf>
    <xf numFmtId="0" fontId="27" fillId="18" borderId="0" xfId="0" applyFont="1" applyFill="1" applyAlignment="1">
      <alignment horizontal="center"/>
    </xf>
    <xf numFmtId="0" fontId="0" fillId="18" borderId="0" xfId="0" applyFont="1" applyFill="1" applyAlignment="1">
      <alignment horizontal="center"/>
    </xf>
    <xf numFmtId="0" fontId="11" fillId="0" borderId="32" xfId="0" applyFont="1" applyBorder="1" applyAlignment="1"/>
    <xf numFmtId="0" fontId="31" fillId="0" borderId="0" xfId="2" applyAlignment="1">
      <alignment horizontal="center" vertical="center"/>
    </xf>
    <xf numFmtId="0" fontId="31" fillId="0" borderId="0" xfId="2" applyAlignment="1"/>
    <xf numFmtId="0" fontId="35" fillId="5" borderId="11" xfId="0" applyFont="1" applyFill="1" applyBorder="1" applyAlignment="1">
      <alignment horizontal="center" wrapText="1"/>
    </xf>
    <xf numFmtId="0" fontId="35" fillId="5" borderId="14" xfId="0" applyFont="1" applyFill="1" applyBorder="1" applyAlignment="1">
      <alignment horizontal="center" vertical="center" wrapText="1"/>
    </xf>
    <xf numFmtId="0" fontId="35" fillId="5" borderId="15" xfId="0" applyFont="1" applyFill="1" applyBorder="1" applyAlignment="1">
      <alignment horizontal="center" wrapText="1"/>
    </xf>
    <xf numFmtId="0" fontId="35" fillId="5" borderId="14" xfId="0" applyFont="1" applyFill="1" applyBorder="1" applyAlignment="1">
      <alignment horizontal="center" wrapText="1"/>
    </xf>
    <xf numFmtId="0" fontId="35" fillId="5" borderId="15" xfId="0" applyFont="1" applyFill="1" applyBorder="1" applyAlignment="1">
      <alignment horizontal="center"/>
    </xf>
    <xf numFmtId="0" fontId="0" fillId="0" borderId="0" xfId="0" applyFont="1" applyAlignment="1"/>
    <xf numFmtId="0" fontId="27" fillId="0" borderId="32" xfId="0" applyFont="1" applyBorder="1"/>
    <xf numFmtId="0" fontId="0" fillId="0" borderId="32" xfId="0" applyFont="1" applyBorder="1"/>
    <xf numFmtId="0" fontId="38" fillId="0" borderId="0" xfId="2" applyFont="1" applyAlignment="1"/>
    <xf numFmtId="0" fontId="0" fillId="0" borderId="0" xfId="0" applyFont="1" applyAlignment="1"/>
    <xf numFmtId="0" fontId="0" fillId="18" borderId="0" xfId="0" applyFont="1" applyFill="1" applyAlignment="1"/>
    <xf numFmtId="0" fontId="0" fillId="0" borderId="0" xfId="0" applyFont="1" applyAlignment="1"/>
    <xf numFmtId="165" fontId="0" fillId="24" borderId="4" xfId="0" applyNumberFormat="1" applyFont="1" applyFill="1" applyBorder="1"/>
    <xf numFmtId="9" fontId="0" fillId="24" borderId="4" xfId="0" applyNumberFormat="1" applyFont="1" applyFill="1" applyBorder="1" applyAlignment="1">
      <alignment horizontal="center" vertical="center"/>
    </xf>
    <xf numFmtId="0" fontId="39" fillId="0" borderId="0" xfId="0" applyFont="1" applyAlignment="1"/>
    <xf numFmtId="0" fontId="39" fillId="0" borderId="0" xfId="0" applyFont="1" applyAlignment="1">
      <alignment horizontal="right"/>
    </xf>
    <xf numFmtId="0" fontId="40" fillId="0" borderId="0" xfId="0" applyFont="1" applyAlignment="1">
      <alignment horizontal="center" vertical="center"/>
    </xf>
    <xf numFmtId="0" fontId="39" fillId="0" borderId="0" xfId="0" applyFont="1"/>
    <xf numFmtId="0" fontId="39" fillId="3" borderId="0" xfId="0" applyFont="1" applyFill="1" applyBorder="1"/>
    <xf numFmtId="0" fontId="11" fillId="3" borderId="0" xfId="0" applyFont="1" applyFill="1" applyBorder="1" applyAlignment="1">
      <alignment horizontal="center" vertical="center"/>
    </xf>
    <xf numFmtId="0" fontId="0" fillId="0" borderId="0" xfId="0" applyFont="1" applyAlignment="1">
      <alignment horizontal="center" vertical="center"/>
    </xf>
    <xf numFmtId="0" fontId="27" fillId="16" borderId="30" xfId="0" applyFont="1" applyFill="1" applyBorder="1" applyAlignment="1">
      <alignment horizontal="center" vertical="center"/>
    </xf>
    <xf numFmtId="0" fontId="0" fillId="16" borderId="30" xfId="0" applyFont="1" applyFill="1" applyBorder="1" applyAlignment="1">
      <alignment horizontal="center" vertical="center"/>
    </xf>
    <xf numFmtId="0" fontId="41" fillId="5" borderId="4" xfId="0" applyFont="1" applyFill="1" applyBorder="1" applyAlignment="1">
      <alignment horizontal="center" vertical="center" wrapText="1"/>
    </xf>
    <xf numFmtId="0" fontId="41" fillId="4" borderId="4" xfId="0" applyFont="1" applyFill="1" applyBorder="1" applyAlignment="1">
      <alignment horizontal="center" vertical="center" wrapText="1"/>
    </xf>
    <xf numFmtId="0" fontId="34" fillId="5" borderId="4" xfId="0" applyFont="1" applyFill="1" applyBorder="1" applyAlignment="1">
      <alignment horizontal="center" vertical="center" wrapText="1"/>
    </xf>
    <xf numFmtId="165" fontId="34" fillId="4" borderId="4" xfId="0" applyNumberFormat="1" applyFont="1" applyFill="1" applyBorder="1" applyAlignment="1">
      <alignment horizontal="center" vertical="center" wrapText="1"/>
    </xf>
    <xf numFmtId="0" fontId="34" fillId="14" borderId="4" xfId="0" applyFont="1" applyFill="1" applyBorder="1" applyAlignment="1">
      <alignment horizontal="center" vertical="center" wrapText="1"/>
    </xf>
    <xf numFmtId="11" fontId="0" fillId="5" borderId="13" xfId="0" applyNumberFormat="1" applyFont="1" applyFill="1" applyBorder="1" applyAlignment="1">
      <alignment wrapText="1"/>
    </xf>
    <xf numFmtId="11" fontId="0" fillId="5" borderId="18" xfId="0" applyNumberFormat="1" applyFont="1" applyFill="1" applyBorder="1" applyAlignment="1">
      <alignment wrapText="1"/>
    </xf>
    <xf numFmtId="11" fontId="0" fillId="5" borderId="20" xfId="0" applyNumberFormat="1" applyFont="1" applyFill="1" applyBorder="1" applyAlignment="1">
      <alignment wrapText="1"/>
    </xf>
    <xf numFmtId="0" fontId="41" fillId="14" borderId="4" xfId="0" applyFont="1" applyFill="1" applyBorder="1" applyAlignment="1">
      <alignment horizontal="center" vertical="center" wrapText="1"/>
    </xf>
    <xf numFmtId="0" fontId="0" fillId="0" borderId="0" xfId="0" applyFont="1" applyAlignment="1"/>
    <xf numFmtId="165" fontId="0" fillId="0" borderId="0" xfId="0" applyNumberFormat="1" applyFont="1" applyAlignment="1"/>
    <xf numFmtId="10" fontId="21" fillId="5" borderId="12" xfId="0" applyNumberFormat="1" applyFont="1" applyFill="1" applyBorder="1" applyAlignment="1">
      <alignment wrapText="1"/>
    </xf>
    <xf numFmtId="10" fontId="21" fillId="5" borderId="4" xfId="0" applyNumberFormat="1" applyFont="1" applyFill="1" applyBorder="1" applyAlignment="1">
      <alignment wrapText="1"/>
    </xf>
    <xf numFmtId="0" fontId="22" fillId="0" borderId="0" xfId="4"/>
    <xf numFmtId="0" fontId="43" fillId="0" borderId="0" xfId="4" applyFont="1" applyAlignment="1">
      <alignment horizontal="center" wrapText="1"/>
    </xf>
    <xf numFmtId="0" fontId="22" fillId="0" borderId="0" xfId="4" applyAlignment="1">
      <alignment horizontal="center" wrapText="1"/>
    </xf>
    <xf numFmtId="0" fontId="43" fillId="0" borderId="0" xfId="4" applyFont="1" applyFill="1" applyAlignment="1"/>
    <xf numFmtId="0" fontId="43" fillId="25" borderId="50" xfId="4" applyFont="1" applyFill="1" applyBorder="1"/>
    <xf numFmtId="0" fontId="43" fillId="25" borderId="31" xfId="4" applyFont="1" applyFill="1" applyBorder="1"/>
    <xf numFmtId="10" fontId="22" fillId="0" borderId="51" xfId="5" applyNumberFormat="1" applyBorder="1"/>
    <xf numFmtId="0" fontId="44" fillId="0" borderId="0" xfId="6"/>
    <xf numFmtId="0" fontId="22" fillId="25" borderId="50" xfId="4" applyFill="1" applyBorder="1"/>
    <xf numFmtId="169" fontId="22" fillId="16" borderId="31" xfId="4" applyNumberFormat="1" applyFill="1" applyBorder="1"/>
    <xf numFmtId="0" fontId="43" fillId="25" borderId="52" xfId="4" applyFont="1" applyFill="1" applyBorder="1"/>
    <xf numFmtId="10" fontId="22" fillId="0" borderId="54" xfId="5" applyNumberFormat="1" applyBorder="1"/>
    <xf numFmtId="0" fontId="43" fillId="0" borderId="0" xfId="4" applyFont="1" applyAlignment="1">
      <alignment horizontal="center"/>
    </xf>
    <xf numFmtId="0" fontId="43" fillId="25" borderId="31" xfId="4" applyFont="1" applyFill="1" applyBorder="1" applyAlignment="1">
      <alignment horizontal="center"/>
    </xf>
    <xf numFmtId="0" fontId="43" fillId="25" borderId="51" xfId="4" applyFont="1" applyFill="1" applyBorder="1" applyAlignment="1">
      <alignment horizontal="center"/>
    </xf>
    <xf numFmtId="0" fontId="43" fillId="25" borderId="55" xfId="4" applyFont="1" applyFill="1" applyBorder="1" applyAlignment="1">
      <alignment horizontal="center"/>
    </xf>
    <xf numFmtId="0" fontId="43" fillId="25" borderId="56" xfId="4" applyFont="1" applyFill="1" applyBorder="1" applyAlignment="1">
      <alignment horizontal="center"/>
    </xf>
    <xf numFmtId="1" fontId="45" fillId="25" borderId="50" xfId="4" applyNumberFormat="1" applyFont="1" applyFill="1" applyBorder="1"/>
    <xf numFmtId="1" fontId="45" fillId="25" borderId="52" xfId="4" applyNumberFormat="1" applyFont="1" applyFill="1" applyBorder="1"/>
    <xf numFmtId="2" fontId="22" fillId="0" borderId="0" xfId="4" applyNumberFormat="1" applyFill="1"/>
    <xf numFmtId="0" fontId="22" fillId="0" borderId="0" xfId="4" applyFill="1"/>
    <xf numFmtId="0" fontId="42" fillId="0" borderId="0" xfId="4" applyFont="1" applyFill="1" applyBorder="1"/>
    <xf numFmtId="2" fontId="37" fillId="0" borderId="0" xfId="4" applyNumberFormat="1" applyFont="1" applyFill="1" applyBorder="1"/>
    <xf numFmtId="10" fontId="43" fillId="0" borderId="0" xfId="5" applyNumberFormat="1" applyFont="1" applyFill="1" applyBorder="1"/>
    <xf numFmtId="0" fontId="22" fillId="25" borderId="31" xfId="4" applyFill="1" applyBorder="1"/>
    <xf numFmtId="0" fontId="22" fillId="25" borderId="51" xfId="4" applyFill="1" applyBorder="1"/>
    <xf numFmtId="0" fontId="43" fillId="25" borderId="51" xfId="4" applyFont="1" applyFill="1" applyBorder="1"/>
    <xf numFmtId="0" fontId="46" fillId="25" borderId="50" xfId="7" applyFont="1" applyFill="1" applyBorder="1" applyAlignment="1"/>
    <xf numFmtId="0" fontId="47" fillId="25" borderId="52" xfId="7" applyFont="1" applyFill="1" applyBorder="1" applyAlignment="1"/>
    <xf numFmtId="0" fontId="22" fillId="0" borderId="55" xfId="4" applyBorder="1"/>
    <xf numFmtId="0" fontId="22" fillId="0" borderId="64" xfId="4" applyBorder="1"/>
    <xf numFmtId="0" fontId="22" fillId="0" borderId="56" xfId="4" applyBorder="1"/>
    <xf numFmtId="0" fontId="22" fillId="0" borderId="65" xfId="4" applyBorder="1"/>
    <xf numFmtId="0" fontId="22" fillId="0" borderId="66" xfId="4" applyBorder="1"/>
    <xf numFmtId="0" fontId="22" fillId="0" borderId="67" xfId="4" applyBorder="1"/>
    <xf numFmtId="0" fontId="22" fillId="0" borderId="68" xfId="4" applyBorder="1"/>
    <xf numFmtId="0" fontId="43" fillId="25" borderId="46" xfId="4" applyFont="1" applyFill="1" applyBorder="1" applyAlignment="1">
      <alignment horizontal="center"/>
    </xf>
    <xf numFmtId="0" fontId="22" fillId="25" borderId="59" xfId="4" applyFill="1" applyBorder="1"/>
    <xf numFmtId="10" fontId="22" fillId="27" borderId="31" xfId="4" applyNumberFormat="1" applyFill="1" applyBorder="1"/>
    <xf numFmtId="0" fontId="46" fillId="25" borderId="73" xfId="7" applyFont="1" applyFill="1" applyBorder="1" applyAlignment="1"/>
    <xf numFmtId="0" fontId="43" fillId="25" borderId="41" xfId="4" applyFont="1" applyFill="1" applyBorder="1" applyAlignment="1">
      <alignment horizontal="center"/>
    </xf>
    <xf numFmtId="0" fontId="22" fillId="25" borderId="45" xfId="4" applyFill="1" applyBorder="1"/>
    <xf numFmtId="0" fontId="43" fillId="25" borderId="48" xfId="4" applyFont="1" applyFill="1" applyBorder="1" applyAlignment="1">
      <alignment horizontal="center"/>
    </xf>
    <xf numFmtId="0" fontId="43" fillId="25" borderId="49" xfId="4" applyFont="1" applyFill="1" applyBorder="1" applyAlignment="1">
      <alignment horizontal="center"/>
    </xf>
    <xf numFmtId="0" fontId="46" fillId="25" borderId="47" xfId="7" applyFont="1" applyFill="1" applyBorder="1" applyAlignment="1"/>
    <xf numFmtId="0" fontId="22" fillId="25" borderId="52" xfId="4" applyFill="1" applyBorder="1"/>
    <xf numFmtId="10" fontId="22" fillId="27" borderId="53" xfId="4" applyNumberFormat="1" applyFill="1" applyBorder="1"/>
    <xf numFmtId="10" fontId="0" fillId="27" borderId="31" xfId="12" applyNumberFormat="1" applyFont="1" applyFill="1" applyBorder="1"/>
    <xf numFmtId="0" fontId="22" fillId="18" borderId="0" xfId="4" applyFill="1"/>
    <xf numFmtId="0" fontId="43" fillId="25" borderId="53" xfId="4" applyFont="1" applyFill="1" applyBorder="1" applyAlignment="1">
      <alignment horizontal="center"/>
    </xf>
    <xf numFmtId="0" fontId="43" fillId="25" borderId="54" xfId="4" applyFont="1" applyFill="1" applyBorder="1" applyAlignment="1">
      <alignment horizontal="center"/>
    </xf>
    <xf numFmtId="0" fontId="43" fillId="25" borderId="75" xfId="4" applyFont="1" applyFill="1" applyBorder="1"/>
    <xf numFmtId="0" fontId="20" fillId="25" borderId="47" xfId="14" applyFont="1" applyFill="1" applyBorder="1"/>
    <xf numFmtId="2" fontId="50" fillId="25" borderId="48" xfId="4" applyNumberFormat="1" applyFont="1" applyFill="1" applyBorder="1"/>
    <xf numFmtId="0" fontId="22" fillId="25" borderId="48" xfId="4" applyFont="1" applyFill="1" applyBorder="1"/>
    <xf numFmtId="0" fontId="22" fillId="25" borderId="49" xfId="4" applyFont="1" applyFill="1" applyBorder="1"/>
    <xf numFmtId="0" fontId="20" fillId="28" borderId="50" xfId="4" applyFont="1" applyFill="1" applyBorder="1" applyAlignment="1">
      <alignment vertical="center" wrapText="1"/>
    </xf>
    <xf numFmtId="0" fontId="20" fillId="28" borderId="31" xfId="4" applyFont="1" applyFill="1" applyBorder="1" applyAlignment="1">
      <alignment horizontal="center" vertical="center" wrapText="1"/>
    </xf>
    <xf numFmtId="0" fontId="22" fillId="25" borderId="51" xfId="4" applyFont="1" applyFill="1" applyBorder="1"/>
    <xf numFmtId="0" fontId="22" fillId="25" borderId="50" xfId="4" applyFont="1" applyFill="1" applyBorder="1" applyAlignment="1"/>
    <xf numFmtId="0" fontId="22" fillId="16" borderId="31" xfId="4" applyFont="1" applyFill="1" applyBorder="1"/>
    <xf numFmtId="0" fontId="22" fillId="25" borderId="50" xfId="4" applyFont="1" applyFill="1" applyBorder="1" applyAlignment="1">
      <alignment horizontal="left" indent="2"/>
    </xf>
    <xf numFmtId="0" fontId="22" fillId="25" borderId="52" xfId="14" applyFont="1" applyFill="1" applyBorder="1"/>
    <xf numFmtId="0" fontId="22" fillId="25" borderId="54" xfId="4" applyFont="1" applyFill="1" applyBorder="1"/>
    <xf numFmtId="0" fontId="20" fillId="25" borderId="47" xfId="4" applyFont="1" applyFill="1" applyBorder="1"/>
    <xf numFmtId="0" fontId="20" fillId="25" borderId="49" xfId="4" applyFont="1" applyFill="1" applyBorder="1"/>
    <xf numFmtId="0" fontId="20" fillId="25" borderId="55" xfId="4" applyFont="1" applyFill="1" applyBorder="1"/>
    <xf numFmtId="0" fontId="20" fillId="25" borderId="64" xfId="4" applyFont="1" applyFill="1" applyBorder="1"/>
    <xf numFmtId="0" fontId="20" fillId="25" borderId="56" xfId="4" applyFont="1" applyFill="1" applyBorder="1"/>
    <xf numFmtId="0" fontId="20" fillId="25" borderId="66" xfId="4" applyFont="1" applyFill="1" applyBorder="1"/>
    <xf numFmtId="0" fontId="20" fillId="25" borderId="50" xfId="4" applyFont="1" applyFill="1" applyBorder="1"/>
    <xf numFmtId="169" fontId="22" fillId="16" borderId="53" xfId="4" applyNumberFormat="1" applyFill="1" applyBorder="1"/>
    <xf numFmtId="10" fontId="22" fillId="16" borderId="31" xfId="5" applyNumberFormat="1" applyFill="1" applyBorder="1"/>
    <xf numFmtId="10" fontId="22" fillId="16" borderId="51" xfId="5" applyNumberFormat="1" applyFill="1" applyBorder="1"/>
    <xf numFmtId="170" fontId="22" fillId="16" borderId="50" xfId="5" applyNumberFormat="1" applyFill="1" applyBorder="1"/>
    <xf numFmtId="170" fontId="22" fillId="16" borderId="51" xfId="5" applyNumberFormat="1" applyFill="1" applyBorder="1"/>
    <xf numFmtId="170" fontId="22" fillId="16" borderId="57" xfId="5" applyNumberFormat="1" applyFill="1" applyBorder="1"/>
    <xf numFmtId="170" fontId="22" fillId="16" borderId="58" xfId="5" applyNumberFormat="1" applyFill="1" applyBorder="1"/>
    <xf numFmtId="170" fontId="22" fillId="16" borderId="54" xfId="4" applyNumberFormat="1" applyFill="1" applyBorder="1"/>
    <xf numFmtId="170" fontId="22" fillId="16" borderId="59" xfId="5" applyNumberFormat="1" applyFill="1" applyBorder="1"/>
    <xf numFmtId="170" fontId="22" fillId="16" borderId="60" xfId="5" applyNumberFormat="1" applyFill="1" applyBorder="1"/>
    <xf numFmtId="170" fontId="46" fillId="16" borderId="31" xfId="9" applyNumberFormat="1" applyFont="1" applyFill="1" applyBorder="1" applyAlignment="1">
      <alignment shrinkToFit="1"/>
    </xf>
    <xf numFmtId="170" fontId="47" fillId="16" borderId="53" xfId="9" applyNumberFormat="1" applyFont="1" applyFill="1" applyBorder="1" applyAlignment="1">
      <alignment shrinkToFit="1"/>
    </xf>
    <xf numFmtId="169" fontId="47" fillId="16" borderId="53" xfId="7" applyNumberFormat="1" applyFont="1" applyFill="1" applyBorder="1" applyAlignment="1"/>
    <xf numFmtId="164" fontId="22" fillId="16" borderId="31" xfId="4" applyNumberFormat="1" applyFill="1" applyBorder="1" applyAlignment="1">
      <alignment horizontal="center" vertical="center"/>
    </xf>
    <xf numFmtId="0" fontId="22" fillId="16" borderId="31" xfId="4" applyFill="1" applyBorder="1"/>
    <xf numFmtId="0" fontId="22" fillId="16" borderId="51" xfId="4" applyFill="1" applyBorder="1"/>
    <xf numFmtId="164" fontId="43" fillId="16" borderId="53" xfId="4" applyNumberFormat="1" applyFont="1" applyFill="1" applyBorder="1"/>
    <xf numFmtId="0" fontId="22" fillId="16" borderId="54" xfId="4" applyFill="1" applyBorder="1"/>
    <xf numFmtId="0" fontId="22" fillId="16" borderId="53" xfId="4" applyFill="1" applyBorder="1"/>
    <xf numFmtId="168" fontId="0" fillId="16" borderId="31" xfId="11" applyNumberFormat="1" applyFont="1" applyFill="1" applyBorder="1"/>
    <xf numFmtId="168" fontId="43" fillId="16" borderId="31" xfId="11" applyNumberFormat="1" applyFont="1" applyFill="1" applyBorder="1"/>
    <xf numFmtId="9" fontId="0" fillId="16" borderId="31" xfId="12" applyFont="1" applyFill="1" applyBorder="1"/>
    <xf numFmtId="168" fontId="0" fillId="16" borderId="44" xfId="11" applyNumberFormat="1" applyFont="1" applyFill="1" applyBorder="1"/>
    <xf numFmtId="168" fontId="43" fillId="16" borderId="44" xfId="11" applyNumberFormat="1" applyFont="1" applyFill="1" applyBorder="1"/>
    <xf numFmtId="168" fontId="0" fillId="16" borderId="72" xfId="11" applyNumberFormat="1" applyFont="1" applyFill="1" applyBorder="1"/>
    <xf numFmtId="168" fontId="43" fillId="16" borderId="72" xfId="11" applyNumberFormat="1" applyFont="1" applyFill="1" applyBorder="1"/>
    <xf numFmtId="0" fontId="49" fillId="18" borderId="0" xfId="4" applyFont="1" applyFill="1" applyProtection="1">
      <protection locked="0"/>
    </xf>
    <xf numFmtId="0" fontId="48" fillId="18" borderId="0" xfId="13" applyFont="1" applyFill="1" applyBorder="1"/>
    <xf numFmtId="169" fontId="37" fillId="13" borderId="31" xfId="4" applyNumberFormat="1" applyFont="1" applyFill="1" applyBorder="1"/>
    <xf numFmtId="170" fontId="22" fillId="13" borderId="31" xfId="5" applyNumberFormat="1" applyFont="1" applyFill="1" applyBorder="1"/>
    <xf numFmtId="172" fontId="46" fillId="13" borderId="31" xfId="8" applyNumberFormat="1" applyFont="1" applyFill="1" applyBorder="1" applyAlignment="1">
      <alignment shrinkToFit="1"/>
    </xf>
    <xf numFmtId="170" fontId="0" fillId="16" borderId="60" xfId="11" applyNumberFormat="1" applyFont="1" applyFill="1" applyBorder="1"/>
    <xf numFmtId="168" fontId="0" fillId="27" borderId="31" xfId="11" applyNumberFormat="1" applyFont="1" applyFill="1" applyBorder="1"/>
    <xf numFmtId="168" fontId="0" fillId="27" borderId="51" xfId="11" applyNumberFormat="1" applyFont="1" applyFill="1" applyBorder="1"/>
    <xf numFmtId="168" fontId="0" fillId="27" borderId="54" xfId="11" applyNumberFormat="1" applyFont="1" applyFill="1" applyBorder="1"/>
    <xf numFmtId="170" fontId="22" fillId="27" borderId="31" xfId="4" applyNumberFormat="1" applyFill="1" applyBorder="1"/>
    <xf numFmtId="170" fontId="22" fillId="27" borderId="53" xfId="4" applyNumberFormat="1" applyFill="1" applyBorder="1"/>
    <xf numFmtId="10" fontId="22" fillId="16" borderId="41" xfId="5" applyNumberFormat="1" applyFill="1" applyBorder="1"/>
    <xf numFmtId="170" fontId="22" fillId="16" borderId="74" xfId="4" applyNumberFormat="1" applyFill="1" applyBorder="1"/>
    <xf numFmtId="169" fontId="46" fillId="13" borderId="31" xfId="8" applyNumberFormat="1" applyFont="1" applyFill="1" applyBorder="1" applyAlignment="1">
      <alignment shrinkToFit="1"/>
    </xf>
    <xf numFmtId="168" fontId="43" fillId="27" borderId="31" xfId="11" applyNumberFormat="1" applyFont="1" applyFill="1" applyBorder="1"/>
    <xf numFmtId="10" fontId="0" fillId="16" borderId="31" xfId="12" applyNumberFormat="1" applyFont="1" applyFill="1" applyBorder="1"/>
    <xf numFmtId="9" fontId="22" fillId="16" borderId="76" xfId="5" applyNumberFormat="1" applyFill="1" applyBorder="1"/>
    <xf numFmtId="9" fontId="22" fillId="16" borderId="51" xfId="5" applyNumberFormat="1" applyFill="1" applyBorder="1"/>
    <xf numFmtId="10" fontId="22" fillId="16" borderId="54" xfId="5" applyNumberFormat="1" applyFill="1" applyBorder="1"/>
    <xf numFmtId="172" fontId="22" fillId="16" borderId="53" xfId="15" applyNumberFormat="1" applyFont="1" applyFill="1" applyBorder="1"/>
    <xf numFmtId="0" fontId="22" fillId="16" borderId="53" xfId="4" applyFont="1" applyFill="1" applyBorder="1"/>
    <xf numFmtId="9" fontId="22" fillId="16" borderId="53" xfId="5" applyNumberFormat="1" applyFont="1" applyFill="1" applyBorder="1"/>
    <xf numFmtId="9" fontId="22" fillId="16" borderId="31" xfId="5" applyNumberFormat="1" applyFont="1" applyFill="1" applyBorder="1"/>
    <xf numFmtId="175" fontId="22" fillId="16" borderId="68" xfId="4" applyNumberFormat="1" applyFill="1" applyBorder="1"/>
    <xf numFmtId="9" fontId="0" fillId="27" borderId="51" xfId="11" applyNumberFormat="1" applyFont="1" applyFill="1" applyBorder="1"/>
    <xf numFmtId="10" fontId="0" fillId="27" borderId="51" xfId="11" applyNumberFormat="1" applyFont="1" applyFill="1" applyBorder="1"/>
    <xf numFmtId="168" fontId="43" fillId="27" borderId="53" xfId="11" applyNumberFormat="1" applyFont="1" applyFill="1" applyBorder="1"/>
    <xf numFmtId="9" fontId="43" fillId="27" borderId="54" xfId="11" applyNumberFormat="1" applyFont="1" applyFill="1" applyBorder="1"/>
    <xf numFmtId="168" fontId="20" fillId="16" borderId="52" xfId="11" applyNumberFormat="1" applyFont="1" applyFill="1" applyBorder="1"/>
    <xf numFmtId="0" fontId="22" fillId="25" borderId="73" xfId="4" applyFill="1" applyBorder="1"/>
    <xf numFmtId="168" fontId="0" fillId="16" borderId="53" xfId="11" applyNumberFormat="1" applyFont="1" applyFill="1" applyBorder="1"/>
    <xf numFmtId="168" fontId="43" fillId="16" borderId="53" xfId="11" applyNumberFormat="1" applyFont="1" applyFill="1" applyBorder="1"/>
    <xf numFmtId="0" fontId="46" fillId="25" borderId="78" xfId="7" applyFont="1" applyFill="1" applyBorder="1" applyAlignment="1"/>
    <xf numFmtId="164" fontId="22" fillId="16" borderId="51" xfId="4" applyNumberFormat="1" applyFill="1" applyBorder="1" applyAlignment="1">
      <alignment horizontal="center" vertical="center"/>
    </xf>
    <xf numFmtId="0" fontId="46" fillId="25" borderId="52" xfId="7" applyFont="1" applyFill="1" applyBorder="1" applyAlignment="1"/>
    <xf numFmtId="164" fontId="22" fillId="26" borderId="54" xfId="4" applyNumberFormat="1" applyFill="1" applyBorder="1" applyAlignment="1">
      <alignment horizontal="center" vertical="center"/>
    </xf>
    <xf numFmtId="0" fontId="22" fillId="25" borderId="47" xfId="4" applyFill="1" applyBorder="1"/>
    <xf numFmtId="168" fontId="43" fillId="27" borderId="51" xfId="11" applyNumberFormat="1" applyFont="1" applyFill="1" applyBorder="1"/>
    <xf numFmtId="10" fontId="0" fillId="27" borderId="53" xfId="12" applyNumberFormat="1" applyFont="1" applyFill="1" applyBorder="1"/>
    <xf numFmtId="168" fontId="43" fillId="27" borderId="54" xfId="11" applyNumberFormat="1" applyFont="1" applyFill="1" applyBorder="1"/>
    <xf numFmtId="0" fontId="46" fillId="25" borderId="59" xfId="7" applyFont="1" applyFill="1" applyBorder="1" applyAlignment="1"/>
    <xf numFmtId="10" fontId="0" fillId="27" borderId="60" xfId="12" applyNumberFormat="1" applyFont="1" applyFill="1" applyBorder="1"/>
    <xf numFmtId="9" fontId="0" fillId="16" borderId="51" xfId="12" applyFont="1" applyFill="1" applyBorder="1"/>
    <xf numFmtId="9" fontId="0" fillId="16" borderId="54" xfId="12" applyFont="1" applyFill="1" applyBorder="1"/>
    <xf numFmtId="164" fontId="22" fillId="27" borderId="53" xfId="4" applyNumberFormat="1" applyFill="1" applyBorder="1"/>
    <xf numFmtId="0" fontId="11" fillId="0" borderId="0" xfId="0" applyFont="1" applyAlignment="1"/>
    <xf numFmtId="0" fontId="31" fillId="29" borderId="0" xfId="2" applyFill="1" applyAlignment="1"/>
    <xf numFmtId="0" fontId="31" fillId="13" borderId="0" xfId="2" applyFill="1" applyAlignment="1"/>
    <xf numFmtId="0" fontId="31" fillId="27" borderId="0" xfId="2" applyFill="1" applyAlignment="1"/>
    <xf numFmtId="0" fontId="31" fillId="18" borderId="0" xfId="2" applyFill="1" applyAlignment="1"/>
    <xf numFmtId="0" fontId="0" fillId="0" borderId="0" xfId="0" applyFont="1" applyAlignment="1"/>
    <xf numFmtId="0" fontId="51" fillId="0" borderId="0" xfId="16" applyFont="1" applyAlignment="1"/>
    <xf numFmtId="0" fontId="51" fillId="18" borderId="31" xfId="16" applyFont="1" applyFill="1" applyBorder="1" applyAlignment="1">
      <alignment horizontal="center"/>
    </xf>
    <xf numFmtId="0" fontId="52" fillId="18" borderId="31" xfId="17" applyFill="1" applyBorder="1" applyAlignment="1">
      <alignment horizontal="center" vertical="center"/>
    </xf>
    <xf numFmtId="0" fontId="51" fillId="18" borderId="0" xfId="16" applyFont="1" applyFill="1" applyAlignment="1"/>
    <xf numFmtId="0" fontId="55" fillId="0" borderId="0" xfId="16" applyFont="1" applyAlignment="1">
      <alignment horizontal="right" vertical="center"/>
    </xf>
    <xf numFmtId="0" fontId="52" fillId="18" borderId="0" xfId="17" applyFill="1" applyAlignment="1">
      <alignment horizontal="center" vertical="center" wrapText="1"/>
    </xf>
    <xf numFmtId="164" fontId="0" fillId="13" borderId="31" xfId="18" applyFont="1" applyFill="1" applyBorder="1" applyAlignment="1"/>
    <xf numFmtId="0" fontId="14" fillId="16" borderId="31" xfId="16" applyFont="1" applyFill="1" applyBorder="1" applyAlignment="1">
      <alignment horizontal="center" vertical="center" wrapText="1"/>
    </xf>
    <xf numFmtId="176" fontId="20" fillId="16" borderId="37" xfId="16" applyNumberFormat="1" applyFont="1" applyFill="1" applyBorder="1" applyAlignment="1">
      <alignment horizontal="center" vertical="center"/>
    </xf>
    <xf numFmtId="176" fontId="20" fillId="16" borderId="45" xfId="16" applyNumberFormat="1" applyFont="1" applyFill="1" applyBorder="1" applyAlignment="1">
      <alignment horizontal="center" vertical="center"/>
    </xf>
    <xf numFmtId="1" fontId="20" fillId="16" borderId="39" xfId="16" applyNumberFormat="1" applyFont="1" applyFill="1" applyBorder="1" applyAlignment="1">
      <alignment horizontal="center" vertical="center"/>
    </xf>
    <xf numFmtId="1" fontId="20" fillId="16" borderId="46" xfId="16" applyNumberFormat="1" applyFont="1" applyFill="1" applyBorder="1" applyAlignment="1">
      <alignment horizontal="center" vertical="center"/>
    </xf>
    <xf numFmtId="0" fontId="53" fillId="16" borderId="31" xfId="16" applyFont="1" applyFill="1" applyBorder="1" applyAlignment="1">
      <alignment horizontal="center" vertical="center"/>
    </xf>
    <xf numFmtId="168" fontId="55" fillId="16" borderId="31" xfId="18" applyNumberFormat="1" applyFont="1" applyFill="1" applyBorder="1" applyAlignment="1">
      <alignment vertical="center"/>
    </xf>
    <xf numFmtId="164" fontId="0" fillId="16" borderId="31" xfId="18" applyFont="1" applyFill="1" applyBorder="1" applyAlignment="1"/>
    <xf numFmtId="0" fontId="14" fillId="16" borderId="41" xfId="16" applyFont="1" applyFill="1" applyBorder="1" applyAlignment="1">
      <alignment horizontal="center" vertical="center" wrapText="1"/>
    </xf>
    <xf numFmtId="0" fontId="14" fillId="16" borderId="41" xfId="16" applyFont="1" applyFill="1" applyBorder="1" applyAlignment="1">
      <alignment horizontal="center" vertical="center"/>
    </xf>
    <xf numFmtId="0" fontId="20" fillId="16" borderId="45" xfId="16" applyFont="1" applyFill="1" applyBorder="1" applyAlignment="1">
      <alignment horizontal="center" vertical="center" wrapText="1"/>
    </xf>
    <xf numFmtId="0" fontId="20" fillId="16" borderId="37" xfId="16" applyFont="1" applyFill="1" applyBorder="1" applyAlignment="1">
      <alignment horizontal="center" vertical="center" wrapText="1"/>
    </xf>
    <xf numFmtId="0" fontId="0" fillId="21" borderId="0" xfId="0" applyFont="1" applyFill="1" applyAlignment="1"/>
    <xf numFmtId="170" fontId="22" fillId="13" borderId="31" xfId="10" applyNumberFormat="1" applyFont="1" applyFill="1" applyBorder="1"/>
    <xf numFmtId="0" fontId="56" fillId="30" borderId="0" xfId="4" applyFont="1" applyFill="1"/>
    <xf numFmtId="0" fontId="57" fillId="30" borderId="0" xfId="4" applyFont="1" applyFill="1"/>
    <xf numFmtId="0" fontId="58" fillId="30" borderId="0" xfId="4" applyFont="1" applyFill="1"/>
    <xf numFmtId="0" fontId="58" fillId="0" borderId="0" xfId="4" applyFont="1"/>
    <xf numFmtId="0" fontId="59" fillId="30" borderId="0" xfId="4" applyFont="1" applyFill="1"/>
    <xf numFmtId="0" fontId="60" fillId="30" borderId="0" xfId="4" applyFont="1" applyFill="1"/>
    <xf numFmtId="0" fontId="61" fillId="30" borderId="0" xfId="4" applyFont="1" applyFill="1"/>
    <xf numFmtId="0" fontId="61" fillId="0" borderId="0" xfId="4" applyFont="1" applyFill="1"/>
    <xf numFmtId="0" fontId="56" fillId="30" borderId="79" xfId="4" applyFont="1" applyFill="1" applyBorder="1"/>
    <xf numFmtId="0" fontId="61" fillId="31" borderId="0" xfId="4" applyFont="1" applyFill="1"/>
    <xf numFmtId="0" fontId="48" fillId="0" borderId="0" xfId="19" applyFont="1" applyFill="1" applyBorder="1"/>
    <xf numFmtId="170" fontId="61" fillId="0" borderId="0" xfId="12" applyNumberFormat="1" applyFont="1" applyFill="1"/>
    <xf numFmtId="170" fontId="61" fillId="0" borderId="0" xfId="4" applyNumberFormat="1" applyFont="1" applyFill="1"/>
    <xf numFmtId="177" fontId="62" fillId="0" borderId="0" xfId="20" applyNumberFormat="1" applyFont="1" applyFill="1"/>
    <xf numFmtId="0" fontId="48" fillId="31" borderId="0" xfId="19" applyFont="1" applyFill="1" applyBorder="1"/>
    <xf numFmtId="168" fontId="48" fillId="31" borderId="0" xfId="11" applyNumberFormat="1" applyFont="1" applyFill="1"/>
    <xf numFmtId="170" fontId="61" fillId="31" borderId="0" xfId="12" applyNumberFormat="1" applyFont="1" applyFill="1"/>
    <xf numFmtId="0" fontId="48" fillId="0" borderId="0" xfId="4" applyFont="1"/>
    <xf numFmtId="178" fontId="58" fillId="0" borderId="0" xfId="11" applyNumberFormat="1" applyFont="1"/>
    <xf numFmtId="0" fontId="61" fillId="16" borderId="0" xfId="4" applyFont="1" applyFill="1"/>
    <xf numFmtId="0" fontId="37" fillId="32" borderId="0" xfId="20" applyFont="1" applyFill="1"/>
    <xf numFmtId="0" fontId="4" fillId="18" borderId="0" xfId="20" applyFont="1" applyFill="1"/>
    <xf numFmtId="0" fontId="58" fillId="18" borderId="0" xfId="4" applyFont="1" applyFill="1"/>
    <xf numFmtId="0" fontId="42" fillId="18" borderId="0" xfId="20" applyFont="1" applyFill="1"/>
    <xf numFmtId="170" fontId="61" fillId="16" borderId="0" xfId="12" applyNumberFormat="1" applyFont="1" applyFill="1"/>
    <xf numFmtId="0" fontId="56" fillId="30" borderId="0" xfId="4" applyFont="1" applyFill="1" applyBorder="1"/>
    <xf numFmtId="0" fontId="61" fillId="16" borderId="0" xfId="4" applyFont="1" applyFill="1" applyBorder="1"/>
    <xf numFmtId="170" fontId="61" fillId="16" borderId="0" xfId="12" applyNumberFormat="1" applyFont="1" applyFill="1" applyBorder="1"/>
    <xf numFmtId="0" fontId="61" fillId="16" borderId="81" xfId="4" applyFont="1" applyFill="1" applyBorder="1"/>
    <xf numFmtId="179" fontId="61" fillId="16" borderId="0" xfId="1" applyNumberFormat="1" applyFont="1" applyFill="1"/>
    <xf numFmtId="1" fontId="61" fillId="13" borderId="0" xfId="20" applyNumberFormat="1" applyFont="1" applyFill="1"/>
    <xf numFmtId="2" fontId="61" fillId="13" borderId="0" xfId="20" applyNumberFormat="1" applyFont="1" applyFill="1"/>
    <xf numFmtId="177" fontId="61" fillId="13" borderId="0" xfId="4" applyNumberFormat="1" applyFont="1" applyFill="1"/>
    <xf numFmtId="177" fontId="62" fillId="13" borderId="0" xfId="20" applyNumberFormat="1" applyFont="1" applyFill="1"/>
    <xf numFmtId="0" fontId="61" fillId="13" borderId="0" xfId="4" applyFont="1" applyFill="1"/>
    <xf numFmtId="168" fontId="48" fillId="16" borderId="0" xfId="11" applyNumberFormat="1" applyFont="1" applyFill="1"/>
    <xf numFmtId="2" fontId="37" fillId="13" borderId="0" xfId="20" applyNumberFormat="1" applyFont="1" applyFill="1"/>
    <xf numFmtId="0" fontId="22" fillId="13" borderId="31" xfId="4" applyFill="1" applyBorder="1"/>
    <xf numFmtId="0" fontId="61" fillId="31" borderId="80" xfId="4" applyFont="1" applyFill="1" applyBorder="1"/>
    <xf numFmtId="170" fontId="61" fillId="16" borderId="80" xfId="12" applyNumberFormat="1" applyFont="1" applyFill="1" applyBorder="1"/>
    <xf numFmtId="170" fontId="61" fillId="16" borderId="81" xfId="12" applyNumberFormat="1" applyFont="1" applyFill="1" applyBorder="1"/>
    <xf numFmtId="179" fontId="61" fillId="16" borderId="81" xfId="1" applyNumberFormat="1" applyFont="1" applyFill="1" applyBorder="1"/>
    <xf numFmtId="168" fontId="48" fillId="16" borderId="81" xfId="11" applyNumberFormat="1" applyFont="1" applyFill="1" applyBorder="1"/>
    <xf numFmtId="1" fontId="61" fillId="16" borderId="0" xfId="20" applyNumberFormat="1" applyFont="1" applyFill="1"/>
    <xf numFmtId="2" fontId="61" fillId="16" borderId="0" xfId="20" applyNumberFormat="1" applyFont="1" applyFill="1"/>
    <xf numFmtId="167" fontId="61" fillId="16" borderId="0" xfId="20" applyNumberFormat="1" applyFont="1" applyFill="1"/>
    <xf numFmtId="167" fontId="58" fillId="16" borderId="0" xfId="4" applyNumberFormat="1" applyFont="1" applyFill="1"/>
    <xf numFmtId="170" fontId="61" fillId="16" borderId="0" xfId="4" applyNumberFormat="1" applyFont="1" applyFill="1"/>
    <xf numFmtId="177" fontId="62" fillId="16" borderId="0" xfId="20" applyNumberFormat="1" applyFont="1" applyFill="1"/>
    <xf numFmtId="0" fontId="22" fillId="0" borderId="0" xfId="4" applyBorder="1" applyAlignment="1">
      <alignment horizontal="right" vertical="center"/>
    </xf>
    <xf numFmtId="164" fontId="22" fillId="16" borderId="53" xfId="4" applyNumberFormat="1" applyFill="1" applyBorder="1" applyAlignment="1">
      <alignment horizontal="center" vertical="center"/>
    </xf>
    <xf numFmtId="173" fontId="52" fillId="18" borderId="0" xfId="6" applyNumberFormat="1" applyFont="1" applyFill="1" applyBorder="1"/>
    <xf numFmtId="10" fontId="22" fillId="0" borderId="0" xfId="5" applyNumberFormat="1" applyBorder="1"/>
    <xf numFmtId="0" fontId="52" fillId="18" borderId="0" xfId="6" applyFont="1" applyFill="1"/>
    <xf numFmtId="0" fontId="22" fillId="18" borderId="0" xfId="4" applyFont="1" applyFill="1"/>
    <xf numFmtId="10" fontId="22" fillId="16" borderId="53" xfId="5" applyNumberFormat="1" applyFill="1" applyBorder="1"/>
    <xf numFmtId="3" fontId="22" fillId="16" borderId="53" xfId="4" applyNumberFormat="1" applyFill="1" applyBorder="1"/>
    <xf numFmtId="3" fontId="22" fillId="13" borderId="31" xfId="4" applyNumberFormat="1" applyFill="1" applyBorder="1"/>
    <xf numFmtId="3" fontId="22" fillId="16" borderId="31" xfId="4" applyNumberFormat="1" applyFill="1" applyBorder="1"/>
    <xf numFmtId="0" fontId="22" fillId="0" borderId="0" xfId="4"/>
    <xf numFmtId="0" fontId="22" fillId="18" borderId="0" xfId="4" applyFill="1"/>
    <xf numFmtId="0" fontId="0" fillId="18" borderId="0" xfId="0" applyFont="1" applyFill="1" applyAlignment="1"/>
    <xf numFmtId="0" fontId="43" fillId="25" borderId="31" xfId="4" applyFont="1" applyFill="1" applyBorder="1" applyAlignment="1">
      <alignment horizontal="center"/>
    </xf>
    <xf numFmtId="0" fontId="43" fillId="25" borderId="51" xfId="4" applyFont="1" applyFill="1" applyBorder="1" applyAlignment="1">
      <alignment horizontal="center"/>
    </xf>
    <xf numFmtId="0" fontId="31" fillId="18" borderId="0" xfId="2" applyFill="1"/>
    <xf numFmtId="0" fontId="22" fillId="25" borderId="75" xfId="4" applyFill="1" applyBorder="1"/>
    <xf numFmtId="0" fontId="43" fillId="25" borderId="76" xfId="4" applyFont="1" applyFill="1" applyBorder="1" applyAlignment="1">
      <alignment horizontal="center"/>
    </xf>
    <xf numFmtId="170" fontId="0" fillId="16" borderId="51" xfId="11" applyNumberFormat="1" applyFont="1" applyFill="1" applyBorder="1"/>
    <xf numFmtId="0" fontId="22" fillId="25" borderId="57" xfId="4" applyFill="1" applyBorder="1"/>
    <xf numFmtId="170" fontId="0" fillId="16" borderId="58" xfId="11" applyNumberFormat="1" applyFont="1" applyFill="1" applyBorder="1"/>
    <xf numFmtId="10" fontId="0" fillId="33" borderId="4" xfId="0" applyNumberFormat="1" applyFont="1" applyFill="1" applyBorder="1" applyAlignment="1">
      <alignment horizontal="center"/>
    </xf>
    <xf numFmtId="0" fontId="22" fillId="0" borderId="0" xfId="4" applyFont="1"/>
    <xf numFmtId="0" fontId="22" fillId="0" borderId="31" xfId="4" applyBorder="1"/>
    <xf numFmtId="0" fontId="46" fillId="25" borderId="78" xfId="7" applyFont="1" applyFill="1" applyBorder="1" applyAlignment="1">
      <alignment horizontal="center" vertical="center" wrapText="1"/>
    </xf>
    <xf numFmtId="170" fontId="0" fillId="16" borderId="54" xfId="11" applyNumberFormat="1" applyFont="1" applyFill="1" applyBorder="1"/>
    <xf numFmtId="0" fontId="43" fillId="25" borderId="47" xfId="4" applyFont="1" applyFill="1" applyBorder="1"/>
    <xf numFmtId="0" fontId="43" fillId="25" borderId="48" xfId="4" applyFont="1" applyFill="1" applyBorder="1"/>
    <xf numFmtId="0" fontId="43" fillId="16" borderId="48" xfId="4" applyFont="1" applyFill="1" applyBorder="1"/>
    <xf numFmtId="0" fontId="43" fillId="25" borderId="49" xfId="4" applyFont="1" applyFill="1" applyBorder="1"/>
    <xf numFmtId="3" fontId="22" fillId="13" borderId="51" xfId="4" applyNumberFormat="1" applyFill="1" applyBorder="1"/>
    <xf numFmtId="3" fontId="22" fillId="16" borderId="54" xfId="4" applyNumberFormat="1" applyFill="1" applyBorder="1"/>
    <xf numFmtId="0" fontId="43" fillId="25" borderId="47" xfId="4" applyFont="1" applyFill="1" applyBorder="1" applyAlignment="1">
      <alignment horizontal="center" wrapText="1"/>
    </xf>
    <xf numFmtId="0" fontId="43" fillId="25" borderId="48" xfId="4" applyFont="1" applyFill="1" applyBorder="1" applyAlignment="1">
      <alignment horizontal="center" wrapText="1"/>
    </xf>
    <xf numFmtId="0" fontId="43" fillId="25" borderId="49" xfId="4" applyFont="1" applyFill="1" applyBorder="1" applyAlignment="1">
      <alignment horizontal="center" wrapText="1"/>
    </xf>
    <xf numFmtId="0" fontId="43" fillId="25" borderId="38" xfId="4" applyFont="1" applyFill="1" applyBorder="1" applyAlignment="1">
      <alignment horizontal="center" wrapText="1"/>
    </xf>
    <xf numFmtId="0" fontId="22" fillId="0" borderId="0" xfId="4" applyAlignment="1">
      <alignment wrapText="1"/>
    </xf>
    <xf numFmtId="170" fontId="22" fillId="27" borderId="49" xfId="4" applyNumberFormat="1" applyFill="1" applyBorder="1"/>
    <xf numFmtId="170" fontId="22" fillId="27" borderId="51" xfId="4" applyNumberFormat="1" applyFill="1" applyBorder="1"/>
    <xf numFmtId="170" fontId="22" fillId="27" borderId="54" xfId="4" applyNumberFormat="1" applyFill="1" applyBorder="1"/>
    <xf numFmtId="0" fontId="27" fillId="18" borderId="0" xfId="0" applyFont="1" applyFill="1" applyAlignment="1">
      <alignment horizontal="center" vertical="center" wrapText="1"/>
    </xf>
    <xf numFmtId="0" fontId="0" fillId="0" borderId="0" xfId="0" applyFont="1" applyAlignment="1"/>
    <xf numFmtId="0" fontId="65" fillId="18" borderId="0" xfId="2" applyFont="1" applyFill="1"/>
    <xf numFmtId="0" fontId="31" fillId="18" borderId="0" xfId="2" applyFill="1" applyAlignment="1">
      <alignment horizontal="left"/>
    </xf>
    <xf numFmtId="0" fontId="43" fillId="0" borderId="0" xfId="4" applyFont="1" applyAlignment="1">
      <alignment horizontal="left"/>
    </xf>
    <xf numFmtId="168" fontId="37" fillId="16" borderId="46" xfId="1" applyNumberFormat="1" applyFont="1" applyFill="1" applyBorder="1"/>
    <xf numFmtId="168" fontId="22" fillId="16" borderId="53" xfId="1" applyNumberFormat="1" applyFont="1" applyFill="1" applyBorder="1"/>
    <xf numFmtId="3" fontId="22" fillId="13" borderId="53" xfId="4" applyNumberFormat="1" applyFill="1" applyBorder="1"/>
    <xf numFmtId="3" fontId="22" fillId="13" borderId="54" xfId="4" applyNumberFormat="1" applyFill="1" applyBorder="1"/>
    <xf numFmtId="174" fontId="46" fillId="35" borderId="54" xfId="11" applyNumberFormat="1" applyFont="1" applyFill="1" applyBorder="1" applyAlignment="1">
      <alignment shrinkToFit="1"/>
    </xf>
    <xf numFmtId="173" fontId="0" fillId="35" borderId="53" xfId="8" applyNumberFormat="1" applyFont="1" applyFill="1" applyBorder="1"/>
    <xf numFmtId="0" fontId="20" fillId="0" borderId="0" xfId="0" applyFont="1"/>
    <xf numFmtId="172" fontId="20" fillId="16" borderId="67" xfId="1" applyNumberFormat="1" applyFont="1" applyFill="1" applyBorder="1"/>
    <xf numFmtId="172" fontId="20" fillId="16" borderId="68" xfId="1" applyNumberFormat="1" applyFont="1" applyFill="1" applyBorder="1"/>
    <xf numFmtId="172" fontId="22" fillId="13" borderId="31" xfId="1" applyNumberFormat="1" applyFont="1" applyFill="1" applyBorder="1"/>
    <xf numFmtId="172" fontId="22" fillId="16" borderId="31" xfId="11" applyNumberFormat="1" applyFont="1" applyFill="1" applyBorder="1" applyAlignment="1">
      <alignment shrinkToFit="1"/>
    </xf>
    <xf numFmtId="172" fontId="22" fillId="13" borderId="51" xfId="1" applyNumberFormat="1" applyFont="1" applyFill="1" applyBorder="1"/>
    <xf numFmtId="0" fontId="20" fillId="25" borderId="52" xfId="4" applyFont="1" applyFill="1" applyBorder="1"/>
    <xf numFmtId="0" fontId="22" fillId="16" borderId="50" xfId="4" applyFill="1" applyBorder="1"/>
    <xf numFmtId="168" fontId="22" fillId="16" borderId="31" xfId="1" applyNumberFormat="1" applyFont="1" applyFill="1" applyBorder="1" applyAlignment="1">
      <alignment shrinkToFit="1"/>
    </xf>
    <xf numFmtId="170" fontId="22" fillId="16" borderId="76" xfId="5" applyNumberFormat="1" applyFill="1" applyBorder="1"/>
    <xf numFmtId="170" fontId="22" fillId="16" borderId="82" xfId="5" applyNumberFormat="1" applyFill="1" applyBorder="1"/>
    <xf numFmtId="0" fontId="66" fillId="25" borderId="75" xfId="4" applyFont="1" applyFill="1" applyBorder="1"/>
    <xf numFmtId="1" fontId="37" fillId="25" borderId="50" xfId="4" applyNumberFormat="1" applyFont="1" applyFill="1" applyBorder="1"/>
    <xf numFmtId="0" fontId="20" fillId="25" borderId="52" xfId="14" applyFont="1" applyFill="1" applyBorder="1"/>
    <xf numFmtId="170" fontId="22" fillId="16" borderId="54" xfId="5" applyNumberFormat="1" applyFill="1" applyBorder="1"/>
    <xf numFmtId="3" fontId="22" fillId="16" borderId="51" xfId="4" applyNumberFormat="1" applyFill="1" applyBorder="1"/>
    <xf numFmtId="168" fontId="11" fillId="27" borderId="54" xfId="11" applyNumberFormat="1" applyFont="1" applyFill="1" applyBorder="1"/>
    <xf numFmtId="170" fontId="20" fillId="27" borderId="53" xfId="4" applyNumberFormat="1" applyFont="1" applyFill="1" applyBorder="1"/>
    <xf numFmtId="0" fontId="3" fillId="0" borderId="0" xfId="20" applyFont="1"/>
    <xf numFmtId="0" fontId="67" fillId="18" borderId="0" xfId="26" applyFill="1" applyAlignment="1" applyProtection="1"/>
    <xf numFmtId="0" fontId="0" fillId="18" borderId="0" xfId="0" applyFill="1"/>
    <xf numFmtId="0" fontId="20" fillId="18" borderId="0" xfId="0" applyFont="1" applyFill="1"/>
    <xf numFmtId="167" fontId="61" fillId="34" borderId="0" xfId="20" applyNumberFormat="1" applyFont="1" applyFill="1"/>
    <xf numFmtId="1" fontId="61" fillId="34" borderId="0" xfId="20" applyNumberFormat="1" applyFont="1" applyFill="1"/>
    <xf numFmtId="2" fontId="61" fillId="34" borderId="0" xfId="20" applyNumberFormat="1" applyFont="1" applyFill="1"/>
    <xf numFmtId="179" fontId="61" fillId="34" borderId="81" xfId="1" applyNumberFormat="1" applyFont="1" applyFill="1" applyBorder="1"/>
    <xf numFmtId="177" fontId="62" fillId="34" borderId="0" xfId="20" applyNumberFormat="1" applyFont="1" applyFill="1"/>
    <xf numFmtId="0" fontId="61" fillId="34" borderId="0" xfId="4" applyFont="1" applyFill="1"/>
    <xf numFmtId="0" fontId="0" fillId="0" borderId="0" xfId="4" applyFont="1"/>
    <xf numFmtId="180" fontId="21" fillId="5" borderId="4" xfId="0" applyNumberFormat="1" applyFont="1" applyFill="1" applyBorder="1" applyAlignment="1">
      <alignment wrapText="1"/>
    </xf>
    <xf numFmtId="180" fontId="21" fillId="5" borderId="13" xfId="0" applyNumberFormat="1" applyFont="1" applyFill="1" applyBorder="1" applyAlignment="1">
      <alignment wrapText="1"/>
    </xf>
    <xf numFmtId="0" fontId="58" fillId="34" borderId="0" xfId="4" applyFont="1" applyFill="1"/>
    <xf numFmtId="11" fontId="41" fillId="41" borderId="4" xfId="0" applyNumberFormat="1" applyFont="1" applyFill="1" applyBorder="1" applyAlignment="1">
      <alignment horizontal="center" vertical="center" wrapText="1"/>
    </xf>
    <xf numFmtId="183" fontId="41" fillId="41" borderId="4" xfId="0" applyNumberFormat="1" applyFont="1" applyFill="1" applyBorder="1" applyAlignment="1">
      <alignment horizontal="center" vertical="center" wrapText="1"/>
    </xf>
    <xf numFmtId="164" fontId="0" fillId="13" borderId="84" xfId="18" applyFont="1" applyFill="1" applyBorder="1" applyAlignment="1"/>
    <xf numFmtId="0" fontId="14" fillId="16" borderId="84" xfId="16" applyFont="1" applyFill="1" applyBorder="1" applyAlignment="1">
      <alignment horizontal="center" vertical="center" wrapText="1"/>
    </xf>
    <xf numFmtId="2" fontId="0" fillId="27" borderId="84" xfId="0" applyNumberFormat="1" applyFont="1" applyFill="1" applyBorder="1" applyAlignment="1">
      <alignment horizontal="center" vertical="center"/>
    </xf>
    <xf numFmtId="3" fontId="41" fillId="41" borderId="4" xfId="0" applyNumberFormat="1" applyFont="1" applyFill="1" applyBorder="1" applyAlignment="1">
      <alignment horizontal="center" vertical="center" wrapText="1"/>
    </xf>
    <xf numFmtId="177" fontId="41" fillId="41" borderId="4" xfId="0" applyNumberFormat="1" applyFont="1" applyFill="1" applyBorder="1" applyAlignment="1">
      <alignment horizontal="center" vertical="center" wrapText="1"/>
    </xf>
    <xf numFmtId="0" fontId="11" fillId="0" borderId="0" xfId="0" applyFont="1" applyAlignment="1">
      <alignment horizontal="left" vertical="center" wrapText="1"/>
    </xf>
    <xf numFmtId="9" fontId="27" fillId="22" borderId="4" xfId="0" applyNumberFormat="1" applyFont="1" applyFill="1" applyBorder="1" applyAlignment="1">
      <alignment horizontal="center" vertical="center" wrapText="1"/>
    </xf>
    <xf numFmtId="2" fontId="0" fillId="16" borderId="84" xfId="0" applyNumberFormat="1" applyFont="1" applyFill="1" applyBorder="1" applyAlignment="1">
      <alignment horizontal="center" vertical="center" wrapText="1"/>
    </xf>
    <xf numFmtId="4" fontId="41" fillId="5" borderId="4" xfId="0" applyNumberFormat="1" applyFont="1" applyFill="1" applyBorder="1" applyAlignment="1">
      <alignment horizontal="center" vertical="center" wrapText="1"/>
    </xf>
    <xf numFmtId="9" fontId="27" fillId="0" borderId="0" xfId="0" applyNumberFormat="1" applyFont="1" applyAlignment="1">
      <alignment horizontal="center" wrapText="1"/>
    </xf>
    <xf numFmtId="0" fontId="27" fillId="0" borderId="0" xfId="0" applyFont="1" applyAlignment="1">
      <alignment horizontal="center" vertical="center" wrapText="1"/>
    </xf>
    <xf numFmtId="3" fontId="41" fillId="5" borderId="4" xfId="0" applyNumberFormat="1" applyFont="1" applyFill="1" applyBorder="1" applyAlignment="1">
      <alignment horizontal="center" vertical="center" wrapText="1"/>
    </xf>
    <xf numFmtId="177" fontId="41" fillId="5" borderId="4" xfId="0" applyNumberFormat="1" applyFont="1" applyFill="1" applyBorder="1" applyAlignment="1">
      <alignment horizontal="center" vertical="center" wrapText="1"/>
    </xf>
    <xf numFmtId="9" fontId="27" fillId="5" borderId="4" xfId="0" applyNumberFormat="1" applyFont="1" applyFill="1" applyBorder="1" applyAlignment="1">
      <alignment horizontal="center" vertical="center" wrapText="1"/>
    </xf>
    <xf numFmtId="166" fontId="0" fillId="22" borderId="4" xfId="0" applyNumberFormat="1" applyFont="1" applyFill="1" applyBorder="1" applyAlignment="1"/>
    <xf numFmtId="166" fontId="0" fillId="5" borderId="4" xfId="0" applyNumberFormat="1" applyFont="1" applyFill="1" applyBorder="1" applyAlignment="1"/>
    <xf numFmtId="0" fontId="55" fillId="18" borderId="0" xfId="16" applyFont="1" applyFill="1" applyAlignment="1">
      <alignment horizontal="center" vertical="center" wrapText="1"/>
    </xf>
    <xf numFmtId="0" fontId="0" fillId="0" borderId="0" xfId="0" applyFont="1" applyAlignment="1"/>
    <xf numFmtId="0" fontId="55" fillId="0" borderId="0" xfId="0" applyFont="1" applyAlignment="1">
      <alignment horizontal="center" vertical="center"/>
    </xf>
    <xf numFmtId="0" fontId="51" fillId="18" borderId="84" xfId="0" applyFont="1" applyFill="1" applyBorder="1" applyAlignment="1">
      <alignment horizontal="center" vertical="center" wrapText="1"/>
    </xf>
    <xf numFmtId="0" fontId="22" fillId="18" borderId="84" xfId="0" applyFont="1" applyFill="1" applyBorder="1" applyAlignment="1">
      <alignment horizontal="center" vertical="center" wrapText="1"/>
    </xf>
    <xf numFmtId="0" fontId="27" fillId="18" borderId="84" xfId="0" applyFont="1" applyFill="1" applyBorder="1" applyAlignment="1">
      <alignment horizontal="center" vertical="center" wrapText="1"/>
    </xf>
    <xf numFmtId="176" fontId="20" fillId="16" borderId="39" xfId="16" applyNumberFormat="1" applyFont="1" applyFill="1" applyBorder="1" applyAlignment="1">
      <alignment horizontal="center" vertical="center"/>
    </xf>
    <xf numFmtId="0" fontId="31" fillId="18" borderId="31" xfId="2" applyFill="1" applyBorder="1" applyAlignment="1">
      <alignment horizontal="center" vertical="center"/>
    </xf>
    <xf numFmtId="0" fontId="31" fillId="18" borderId="0" xfId="2" applyFill="1" applyAlignment="1">
      <alignment horizontal="center" vertical="center" wrapText="1"/>
    </xf>
    <xf numFmtId="168" fontId="27" fillId="16" borderId="84" xfId="0" applyNumberFormat="1" applyFont="1" applyFill="1" applyBorder="1" applyAlignment="1">
      <alignment horizontal="center" vertical="center" wrapText="1"/>
    </xf>
    <xf numFmtId="0" fontId="55" fillId="0" borderId="0" xfId="0" applyFont="1" applyAlignment="1">
      <alignment horizontal="right" vertical="center"/>
    </xf>
    <xf numFmtId="10" fontId="0" fillId="19" borderId="4" xfId="0" applyNumberFormat="1" applyFont="1" applyFill="1" applyBorder="1" applyAlignment="1">
      <alignment horizontal="center"/>
    </xf>
    <xf numFmtId="0" fontId="0" fillId="18" borderId="0" xfId="0" applyFont="1" applyFill="1" applyAlignment="1"/>
    <xf numFmtId="170" fontId="0" fillId="19" borderId="4" xfId="0" applyNumberFormat="1" applyFont="1" applyFill="1" applyBorder="1" applyAlignment="1">
      <alignment horizontal="center"/>
    </xf>
    <xf numFmtId="0" fontId="27" fillId="18" borderId="0" xfId="0" applyFont="1" applyFill="1"/>
    <xf numFmtId="0" fontId="39" fillId="18" borderId="0" xfId="0" applyFont="1" applyFill="1"/>
    <xf numFmtId="0" fontId="0" fillId="18" borderId="0" xfId="0" applyFont="1" applyFill="1" applyAlignment="1">
      <alignment horizontal="center" vertical="center"/>
    </xf>
    <xf numFmtId="168" fontId="61" fillId="34" borderId="0" xfId="1" applyNumberFormat="1" applyFont="1" applyFill="1"/>
    <xf numFmtId="179" fontId="22" fillId="0" borderId="0" xfId="1" applyNumberFormat="1" applyFont="1"/>
    <xf numFmtId="0" fontId="22" fillId="13" borderId="31" xfId="4" applyFill="1" applyBorder="1" applyAlignment="1">
      <alignment horizontal="center" vertical="center"/>
    </xf>
    <xf numFmtId="0" fontId="0" fillId="0" borderId="0" xfId="0" applyFont="1" applyAlignment="1"/>
    <xf numFmtId="0" fontId="0" fillId="18" borderId="0" xfId="0" applyFont="1" applyFill="1" applyAlignment="1"/>
    <xf numFmtId="0" fontId="0" fillId="0" borderId="0" xfId="0" applyFont="1" applyAlignment="1"/>
    <xf numFmtId="0" fontId="41" fillId="22" borderId="4" xfId="0" applyFont="1" applyFill="1" applyBorder="1" applyAlignment="1">
      <alignment horizontal="center" vertical="center" wrapText="1"/>
    </xf>
    <xf numFmtId="10" fontId="41" fillId="5" borderId="4" xfId="0" applyNumberFormat="1" applyFont="1" applyFill="1" applyBorder="1" applyAlignment="1">
      <alignment horizontal="center" vertical="center" wrapText="1"/>
    </xf>
    <xf numFmtId="9" fontId="11" fillId="18" borderId="0" xfId="0" applyNumberFormat="1" applyFont="1" applyFill="1"/>
    <xf numFmtId="9" fontId="74" fillId="0" borderId="0" xfId="0" applyNumberFormat="1" applyFont="1" applyAlignment="1">
      <alignment horizontal="center" vertical="center" wrapText="1"/>
    </xf>
    <xf numFmtId="0" fontId="20" fillId="16" borderId="90" xfId="16" applyFont="1" applyFill="1" applyBorder="1" applyAlignment="1">
      <alignment horizontal="center" vertical="center" wrapText="1"/>
    </xf>
    <xf numFmtId="176" fontId="20" fillId="16" borderId="46" xfId="16" applyNumberFormat="1" applyFont="1" applyFill="1" applyBorder="1" applyAlignment="1">
      <alignment horizontal="center" vertical="center"/>
    </xf>
    <xf numFmtId="0" fontId="14" fillId="42" borderId="84" xfId="0" applyFont="1" applyFill="1" applyBorder="1" applyAlignment="1">
      <alignment horizontal="center" vertical="center" wrapText="1"/>
    </xf>
    <xf numFmtId="0" fontId="75" fillId="43" borderId="84" xfId="0" applyFont="1" applyFill="1" applyBorder="1" applyAlignment="1">
      <alignment horizontal="center" vertical="center" wrapText="1"/>
    </xf>
    <xf numFmtId="164" fontId="55" fillId="16" borderId="84" xfId="1" applyFont="1" applyFill="1" applyBorder="1" applyAlignment="1"/>
    <xf numFmtId="164" fontId="51" fillId="13" borderId="84" xfId="1" applyFont="1" applyFill="1" applyBorder="1" applyAlignment="1">
      <alignment vertical="center"/>
    </xf>
    <xf numFmtId="0" fontId="51" fillId="13" borderId="84" xfId="16" applyFont="1" applyFill="1" applyBorder="1" applyAlignment="1">
      <alignment vertical="center" wrapText="1"/>
    </xf>
    <xf numFmtId="10" fontId="51" fillId="13" borderId="84" xfId="16" applyNumberFormat="1" applyFont="1" applyFill="1" applyBorder="1" applyAlignment="1">
      <alignment vertical="center"/>
    </xf>
    <xf numFmtId="168" fontId="51" fillId="13" borderId="84" xfId="1" applyNumberFormat="1" applyFont="1" applyFill="1" applyBorder="1" applyAlignment="1">
      <alignment vertical="center"/>
    </xf>
    <xf numFmtId="0" fontId="33" fillId="16" borderId="41" xfId="16" applyFont="1" applyFill="1" applyBorder="1" applyAlignment="1">
      <alignment horizontal="center" vertical="center" wrapText="1"/>
    </xf>
    <xf numFmtId="164" fontId="0" fillId="35" borderId="31" xfId="18" applyFont="1" applyFill="1" applyBorder="1" applyAlignment="1"/>
    <xf numFmtId="0" fontId="14" fillId="42" borderId="90" xfId="0" applyFont="1" applyFill="1" applyBorder="1" applyAlignment="1">
      <alignment horizontal="center" vertical="center" wrapText="1"/>
    </xf>
    <xf numFmtId="0" fontId="51" fillId="45" borderId="92" xfId="16" applyFont="1" applyFill="1" applyBorder="1" applyAlignment="1"/>
    <xf numFmtId="0" fontId="51" fillId="44" borderId="91" xfId="16" applyFont="1" applyFill="1" applyBorder="1" applyAlignment="1"/>
    <xf numFmtId="0" fontId="75" fillId="43" borderId="90" xfId="0" applyFont="1" applyFill="1" applyBorder="1" applyAlignment="1">
      <alignment horizontal="center" vertical="center" wrapText="1"/>
    </xf>
    <xf numFmtId="0" fontId="51" fillId="46" borderId="93" xfId="16" applyFont="1" applyFill="1" applyBorder="1" applyAlignment="1"/>
    <xf numFmtId="43" fontId="51" fillId="0" borderId="0" xfId="16" applyNumberFormat="1" applyFont="1" applyAlignment="1"/>
    <xf numFmtId="0" fontId="0" fillId="0" borderId="0" xfId="0" applyFont="1" applyAlignment="1"/>
    <xf numFmtId="0" fontId="0" fillId="18" borderId="0" xfId="0" applyFont="1" applyFill="1" applyAlignment="1"/>
    <xf numFmtId="164" fontId="51" fillId="0" borderId="0" xfId="16" applyNumberFormat="1" applyFont="1" applyAlignment="1"/>
    <xf numFmtId="0" fontId="0" fillId="0" borderId="0" xfId="0" applyFont="1" applyAlignment="1"/>
    <xf numFmtId="167" fontId="22" fillId="0" borderId="0" xfId="0" applyNumberFormat="1" applyFont="1"/>
    <xf numFmtId="168" fontId="0" fillId="0" borderId="0" xfId="1" applyNumberFormat="1" applyFont="1" applyAlignment="1"/>
    <xf numFmtId="168" fontId="0" fillId="47" borderId="0" xfId="1" applyNumberFormat="1" applyFont="1" applyFill="1" applyAlignment="1"/>
    <xf numFmtId="168" fontId="0" fillId="48" borderId="0" xfId="1" applyNumberFormat="1" applyFont="1" applyFill="1" applyAlignment="1"/>
    <xf numFmtId="168" fontId="0" fillId="49" borderId="0" xfId="1" applyNumberFormat="1" applyFont="1" applyFill="1" applyAlignment="1"/>
    <xf numFmtId="10" fontId="0" fillId="0" borderId="0" xfId="0" applyNumberFormat="1" applyFont="1" applyAlignment="1"/>
    <xf numFmtId="0" fontId="0" fillId="0" borderId="0" xfId="0" applyFont="1" applyAlignment="1"/>
    <xf numFmtId="0" fontId="0" fillId="18" borderId="0" xfId="0" applyFont="1" applyFill="1" applyAlignment="1"/>
    <xf numFmtId="184" fontId="43" fillId="27" borderId="51" xfId="11" applyNumberFormat="1" applyFont="1" applyFill="1" applyBorder="1"/>
    <xf numFmtId="0" fontId="27" fillId="18" borderId="0" xfId="3" applyFont="1" applyFill="1" applyAlignment="1"/>
    <xf numFmtId="0" fontId="27" fillId="0" borderId="31" xfId="0" applyFont="1" applyBorder="1" applyAlignment="1">
      <alignment horizontal="center" vertical="center"/>
    </xf>
    <xf numFmtId="0" fontId="27" fillId="0" borderId="31" xfId="3" applyFont="1" applyBorder="1" applyAlignment="1">
      <alignment horizontal="center" vertical="center"/>
    </xf>
    <xf numFmtId="0" fontId="27" fillId="25" borderId="31" xfId="3" applyFont="1" applyFill="1" applyBorder="1" applyAlignment="1">
      <alignment horizontal="center" vertical="center"/>
    </xf>
    <xf numFmtId="0" fontId="27" fillId="18" borderId="0" xfId="0" applyFont="1" applyFill="1" applyAlignment="1"/>
    <xf numFmtId="0" fontId="27" fillId="0" borderId="0" xfId="3" applyFont="1" applyBorder="1" applyAlignment="1"/>
    <xf numFmtId="0" fontId="27" fillId="0" borderId="67" xfId="3" applyFont="1" applyBorder="1" applyAlignment="1"/>
    <xf numFmtId="0" fontId="27" fillId="0" borderId="53" xfId="3" applyFont="1" applyBorder="1" applyAlignment="1">
      <alignment horizontal="center" vertical="center"/>
    </xf>
    <xf numFmtId="0" fontId="27" fillId="0" borderId="46" xfId="0" applyFont="1" applyBorder="1" applyAlignment="1">
      <alignment horizontal="center" vertical="center"/>
    </xf>
    <xf numFmtId="0" fontId="27" fillId="0" borderId="64" xfId="3" applyFont="1" applyBorder="1" applyAlignment="1"/>
    <xf numFmtId="0" fontId="27" fillId="0" borderId="48" xfId="3" applyFont="1" applyBorder="1" applyAlignment="1">
      <alignment horizontal="center" vertical="center"/>
    </xf>
    <xf numFmtId="0" fontId="27" fillId="25" borderId="53" xfId="3" applyFont="1" applyFill="1" applyBorder="1" applyAlignment="1">
      <alignment horizontal="center" vertical="center"/>
    </xf>
    <xf numFmtId="0" fontId="11" fillId="0" borderId="67" xfId="0" applyFont="1" applyBorder="1" applyAlignment="1">
      <alignment horizontal="center" vertical="center"/>
    </xf>
    <xf numFmtId="0" fontId="11" fillId="0" borderId="67" xfId="3" applyFont="1" applyBorder="1" applyAlignment="1"/>
    <xf numFmtId="0" fontId="27" fillId="0" borderId="53" xfId="0" applyFont="1" applyBorder="1" applyAlignment="1">
      <alignment horizontal="center" vertical="center"/>
    </xf>
    <xf numFmtId="0" fontId="0" fillId="18" borderId="0" xfId="0" applyFont="1" applyFill="1" applyAlignment="1"/>
    <xf numFmtId="173" fontId="0" fillId="50" borderId="94" xfId="8" applyNumberFormat="1" applyFont="1" applyFill="1" applyBorder="1" applyAlignment="1" applyProtection="1">
      <alignment wrapText="1"/>
      <protection locked="0"/>
    </xf>
    <xf numFmtId="173" fontId="0" fillId="50" borderId="84" xfId="8" applyNumberFormat="1" applyFont="1" applyFill="1" applyBorder="1" applyAlignment="1" applyProtection="1">
      <alignment wrapText="1"/>
      <protection locked="0"/>
    </xf>
    <xf numFmtId="173" fontId="0" fillId="50" borderId="95" xfId="8" applyNumberFormat="1" applyFont="1" applyFill="1" applyBorder="1" applyAlignment="1" applyProtection="1">
      <alignment wrapText="1"/>
      <protection locked="0"/>
    </xf>
    <xf numFmtId="173" fontId="0" fillId="50" borderId="96" xfId="8" applyNumberFormat="1" applyFont="1" applyFill="1" applyBorder="1" applyAlignment="1" applyProtection="1">
      <alignment wrapText="1"/>
      <protection locked="0"/>
    </xf>
    <xf numFmtId="173" fontId="0" fillId="50" borderId="97" xfId="8" applyNumberFormat="1" applyFont="1" applyFill="1" applyBorder="1" applyAlignment="1" applyProtection="1">
      <alignment wrapText="1"/>
      <protection locked="0"/>
    </xf>
    <xf numFmtId="0" fontId="12" fillId="18" borderId="0" xfId="0" applyFont="1" applyFill="1" applyAlignment="1">
      <alignment horizontal="center"/>
    </xf>
    <xf numFmtId="168" fontId="22" fillId="52" borderId="12" xfId="1" applyNumberFormat="1" applyFont="1" applyFill="1" applyBorder="1" applyAlignment="1">
      <alignment wrapText="1"/>
    </xf>
    <xf numFmtId="168" fontId="22" fillId="52" borderId="4" xfId="1" applyNumberFormat="1" applyFont="1" applyFill="1" applyBorder="1" applyAlignment="1">
      <alignment wrapText="1"/>
    </xf>
    <xf numFmtId="168" fontId="22" fillId="52" borderId="13" xfId="1" applyNumberFormat="1" applyFont="1" applyFill="1" applyBorder="1" applyAlignment="1">
      <alignment wrapText="1"/>
    </xf>
    <xf numFmtId="168" fontId="22" fillId="52" borderId="17" xfId="1" applyNumberFormat="1" applyFont="1" applyFill="1" applyBorder="1" applyAlignment="1">
      <alignment wrapText="1"/>
    </xf>
    <xf numFmtId="168" fontId="22" fillId="52" borderId="18" xfId="1" applyNumberFormat="1" applyFont="1" applyFill="1" applyBorder="1" applyAlignment="1">
      <alignment wrapText="1"/>
    </xf>
    <xf numFmtId="168" fontId="22" fillId="52" borderId="1" xfId="1" applyNumberFormat="1" applyFont="1" applyFill="1" applyBorder="1" applyAlignment="1">
      <alignment wrapText="1"/>
    </xf>
    <xf numFmtId="168" fontId="22" fillId="52" borderId="20" xfId="1" applyNumberFormat="1" applyFont="1" applyFill="1" applyBorder="1" applyAlignment="1">
      <alignment wrapText="1"/>
    </xf>
    <xf numFmtId="168" fontId="35" fillId="52" borderId="13" xfId="1" applyNumberFormat="1" applyFont="1" applyFill="1" applyBorder="1" applyAlignment="1">
      <alignment wrapText="1"/>
    </xf>
    <xf numFmtId="168" fontId="35" fillId="52" borderId="12" xfId="1" applyNumberFormat="1" applyFont="1" applyFill="1" applyBorder="1" applyAlignment="1">
      <alignment wrapText="1"/>
    </xf>
    <xf numFmtId="168" fontId="35" fillId="52" borderId="18" xfId="1" applyNumberFormat="1" applyFont="1" applyFill="1" applyBorder="1" applyAlignment="1">
      <alignment wrapText="1"/>
    </xf>
    <xf numFmtId="168" fontId="35" fillId="52" borderId="19" xfId="1" applyNumberFormat="1" applyFont="1" applyFill="1" applyBorder="1" applyAlignment="1">
      <alignment wrapText="1"/>
    </xf>
    <xf numFmtId="168" fontId="35" fillId="52" borderId="20" xfId="1" applyNumberFormat="1" applyFont="1" applyFill="1" applyBorder="1" applyAlignment="1">
      <alignment wrapText="1"/>
    </xf>
    <xf numFmtId="168" fontId="35" fillId="52" borderId="16" xfId="1" applyNumberFormat="1" applyFont="1" applyFill="1" applyBorder="1" applyAlignment="1">
      <alignment wrapText="1"/>
    </xf>
    <xf numFmtId="168" fontId="33" fillId="22" borderId="12" xfId="1" applyNumberFormat="1" applyFont="1" applyFill="1" applyBorder="1" applyAlignment="1">
      <alignment wrapText="1"/>
    </xf>
    <xf numFmtId="168" fontId="33" fillId="22" borderId="4" xfId="1" applyNumberFormat="1" applyFont="1" applyFill="1" applyBorder="1" applyAlignment="1">
      <alignment wrapText="1"/>
    </xf>
    <xf numFmtId="168" fontId="33" fillId="22" borderId="13" xfId="1" applyNumberFormat="1" applyFont="1" applyFill="1" applyBorder="1" applyAlignment="1">
      <alignment wrapText="1"/>
    </xf>
    <xf numFmtId="168" fontId="33" fillId="22" borderId="17" xfId="1" applyNumberFormat="1" applyFont="1" applyFill="1" applyBorder="1" applyAlignment="1">
      <alignment wrapText="1"/>
    </xf>
    <xf numFmtId="168" fontId="33" fillId="22" borderId="18" xfId="1" applyNumberFormat="1" applyFont="1" applyFill="1" applyBorder="1" applyAlignment="1">
      <alignment wrapText="1"/>
    </xf>
    <xf numFmtId="168" fontId="33" fillId="22" borderId="1" xfId="1" applyNumberFormat="1" applyFont="1" applyFill="1" applyBorder="1" applyAlignment="1">
      <alignment wrapText="1"/>
    </xf>
    <xf numFmtId="168" fontId="33" fillId="22" borderId="20" xfId="1" applyNumberFormat="1" applyFont="1" applyFill="1" applyBorder="1" applyAlignment="1">
      <alignment wrapText="1"/>
    </xf>
    <xf numFmtId="168" fontId="34" fillId="22" borderId="13" xfId="1" applyNumberFormat="1" applyFont="1" applyFill="1" applyBorder="1" applyAlignment="1">
      <alignment wrapText="1"/>
    </xf>
    <xf numFmtId="168" fontId="34" fillId="22" borderId="12" xfId="1" applyNumberFormat="1" applyFont="1" applyFill="1" applyBorder="1" applyAlignment="1">
      <alignment wrapText="1"/>
    </xf>
    <xf numFmtId="168" fontId="33" fillId="22" borderId="19" xfId="1" applyNumberFormat="1" applyFont="1" applyFill="1" applyBorder="1" applyAlignment="1">
      <alignment wrapText="1"/>
    </xf>
    <xf numFmtId="168" fontId="34" fillId="22" borderId="18" xfId="1" applyNumberFormat="1" applyFont="1" applyFill="1" applyBorder="1" applyAlignment="1">
      <alignment wrapText="1"/>
    </xf>
    <xf numFmtId="168" fontId="34" fillId="22" borderId="19" xfId="1" applyNumberFormat="1" applyFont="1" applyFill="1" applyBorder="1" applyAlignment="1">
      <alignment wrapText="1"/>
    </xf>
    <xf numFmtId="168" fontId="33" fillId="22" borderId="16" xfId="1" applyNumberFormat="1" applyFont="1" applyFill="1" applyBorder="1" applyAlignment="1">
      <alignment wrapText="1"/>
    </xf>
    <xf numFmtId="168" fontId="34" fillId="22" borderId="20" xfId="1" applyNumberFormat="1" applyFont="1" applyFill="1" applyBorder="1" applyAlignment="1">
      <alignment wrapText="1"/>
    </xf>
    <xf numFmtId="168" fontId="34" fillId="22" borderId="16" xfId="1" applyNumberFormat="1" applyFont="1" applyFill="1" applyBorder="1" applyAlignment="1">
      <alignment wrapText="1"/>
    </xf>
    <xf numFmtId="168" fontId="22" fillId="22" borderId="12" xfId="1" applyNumberFormat="1" applyFont="1" applyFill="1" applyBorder="1" applyAlignment="1">
      <alignment wrapText="1"/>
    </xf>
    <xf numFmtId="0" fontId="14" fillId="51" borderId="0" xfId="0" applyFont="1" applyFill="1" applyAlignment="1" applyProtection="1">
      <alignment horizontal="left" vertical="center"/>
    </xf>
    <xf numFmtId="0" fontId="14" fillId="51" borderId="0" xfId="0" applyFont="1" applyFill="1" applyProtection="1"/>
    <xf numFmtId="0" fontId="0" fillId="51" borderId="0" xfId="0" applyFill="1" applyProtection="1"/>
    <xf numFmtId="0" fontId="0" fillId="0" borderId="0" xfId="0" applyProtection="1"/>
    <xf numFmtId="0" fontId="14" fillId="0" borderId="0" xfId="0" applyFont="1" applyAlignment="1" applyProtection="1">
      <alignment horizontal="center"/>
    </xf>
    <xf numFmtId="0" fontId="79" fillId="0" borderId="0" xfId="0" applyFont="1" applyFill="1" applyBorder="1" applyAlignment="1" applyProtection="1"/>
    <xf numFmtId="0" fontId="20" fillId="0" borderId="0" xfId="0" applyFont="1" applyFill="1" applyBorder="1" applyAlignment="1" applyProtection="1">
      <alignment horizontal="center" vertical="center"/>
    </xf>
    <xf numFmtId="0" fontId="14" fillId="0" borderId="0" xfId="0" applyFont="1" applyFill="1" applyBorder="1" applyAlignment="1" applyProtection="1">
      <alignment horizontal="center" wrapText="1"/>
    </xf>
    <xf numFmtId="0" fontId="20" fillId="0" borderId="0" xfId="0" applyFont="1" applyAlignment="1" applyProtection="1">
      <alignment horizontal="center" vertical="top" wrapText="1"/>
    </xf>
    <xf numFmtId="0" fontId="14" fillId="26" borderId="84" xfId="0" applyFont="1" applyFill="1" applyBorder="1" applyAlignment="1" applyProtection="1">
      <alignment horizontal="center" vertical="center"/>
    </xf>
    <xf numFmtId="0" fontId="8" fillId="0" borderId="0" xfId="0" applyFont="1" applyProtection="1"/>
    <xf numFmtId="0" fontId="8" fillId="0" borderId="0" xfId="0" applyFont="1" applyAlignment="1" applyProtection="1">
      <alignment horizontal="center" vertical="center"/>
    </xf>
    <xf numFmtId="0" fontId="24" fillId="26" borderId="90" xfId="0" applyFont="1" applyFill="1" applyBorder="1" applyAlignment="1" applyProtection="1">
      <alignment horizontal="center" vertical="center" wrapText="1"/>
    </xf>
    <xf numFmtId="0" fontId="20" fillId="26" borderId="98" xfId="0" applyFont="1" applyFill="1" applyBorder="1" applyAlignment="1" applyProtection="1">
      <alignment horizontal="center" vertical="center"/>
    </xf>
    <xf numFmtId="0" fontId="8" fillId="0" borderId="0" xfId="0" applyFont="1" applyAlignment="1" applyProtection="1">
      <alignment horizontal="center"/>
    </xf>
    <xf numFmtId="0" fontId="14" fillId="0" borderId="0" xfId="0" applyFont="1" applyFill="1" applyBorder="1" applyAlignment="1" applyProtection="1">
      <alignment horizontal="right" vertical="center"/>
    </xf>
    <xf numFmtId="0" fontId="20" fillId="26" borderId="98" xfId="0" applyFont="1" applyFill="1" applyBorder="1" applyAlignment="1" applyProtection="1">
      <alignment horizontal="center" vertical="center" wrapText="1"/>
    </xf>
    <xf numFmtId="0" fontId="24" fillId="26" borderId="86" xfId="0" applyFont="1" applyFill="1" applyBorder="1" applyAlignment="1" applyProtection="1">
      <alignment horizontal="right" vertical="center"/>
    </xf>
    <xf numFmtId="0" fontId="80" fillId="26" borderId="87" xfId="0" applyFont="1" applyFill="1" applyBorder="1" applyAlignment="1" applyProtection="1">
      <alignment horizontal="center" vertical="center"/>
    </xf>
    <xf numFmtId="167" fontId="81" fillId="53" borderId="99" xfId="0" applyNumberFormat="1" applyFont="1" applyFill="1" applyBorder="1" applyProtection="1"/>
    <xf numFmtId="167" fontId="81" fillId="54" borderId="99" xfId="0" applyNumberFormat="1" applyFont="1" applyFill="1" applyBorder="1" applyProtection="1"/>
    <xf numFmtId="0" fontId="24" fillId="26" borderId="101" xfId="0" applyFont="1" applyFill="1" applyBorder="1" applyAlignment="1" applyProtection="1">
      <alignment horizontal="right" vertical="center"/>
    </xf>
    <xf numFmtId="0" fontId="80" fillId="26" borderId="89" xfId="0" applyFont="1" applyFill="1" applyBorder="1" applyAlignment="1" applyProtection="1">
      <alignment horizontal="center" vertical="center"/>
    </xf>
    <xf numFmtId="0" fontId="14" fillId="0" borderId="0" xfId="0" applyFont="1" applyAlignment="1" applyProtection="1">
      <alignment horizontal="center" vertical="center"/>
    </xf>
    <xf numFmtId="167" fontId="81" fillId="53" borderId="105" xfId="0" applyNumberFormat="1" applyFont="1" applyFill="1" applyBorder="1" applyProtection="1"/>
    <xf numFmtId="167" fontId="81" fillId="54" borderId="105" xfId="0" applyNumberFormat="1" applyFont="1" applyFill="1" applyBorder="1" applyProtection="1"/>
    <xf numFmtId="0" fontId="24" fillId="26" borderId="37" xfId="0" applyFont="1" applyFill="1" applyBorder="1" applyAlignment="1" applyProtection="1">
      <alignment horizontal="right" vertical="center"/>
    </xf>
    <xf numFmtId="167" fontId="0" fillId="53" borderId="105" xfId="0" applyNumberFormat="1" applyFont="1" applyFill="1" applyBorder="1" applyProtection="1"/>
    <xf numFmtId="167" fontId="0" fillId="54" borderId="105" xfId="0" applyNumberFormat="1" applyFont="1" applyFill="1" applyBorder="1" applyProtection="1"/>
    <xf numFmtId="0" fontId="8" fillId="18" borderId="0" xfId="0" applyFont="1" applyFill="1" applyAlignment="1" applyProtection="1">
      <alignment horizontal="left"/>
    </xf>
    <xf numFmtId="0" fontId="14" fillId="0" borderId="0" xfId="0" applyFont="1" applyAlignment="1" applyProtection="1">
      <alignment horizontal="center" wrapText="1"/>
    </xf>
    <xf numFmtId="0" fontId="14" fillId="53" borderId="104" xfId="0" applyFont="1" applyFill="1" applyBorder="1" applyAlignment="1" applyProtection="1">
      <alignment horizontal="center" vertical="center"/>
    </xf>
    <xf numFmtId="0" fontId="8" fillId="0" borderId="0" xfId="0" applyFont="1" applyFill="1" applyProtection="1"/>
    <xf numFmtId="0" fontId="14" fillId="0" borderId="107" xfId="0" applyFont="1" applyBorder="1" applyAlignment="1" applyProtection="1">
      <alignment horizontal="center" wrapText="1"/>
    </xf>
    <xf numFmtId="0" fontId="24" fillId="0" borderId="0" xfId="0" applyFont="1" applyFill="1" applyAlignment="1" applyProtection="1">
      <alignment horizontal="right" vertical="center"/>
    </xf>
    <xf numFmtId="0" fontId="8" fillId="0" borderId="0" xfId="0" applyFont="1" applyFill="1" applyBorder="1" applyProtection="1"/>
    <xf numFmtId="0" fontId="80" fillId="26" borderId="103" xfId="0" applyFont="1" applyFill="1" applyBorder="1" applyAlignment="1" applyProtection="1">
      <alignment horizontal="center" vertical="center"/>
    </xf>
    <xf numFmtId="167" fontId="0" fillId="53" borderId="109" xfId="0" applyNumberFormat="1" applyFont="1" applyFill="1" applyBorder="1" applyProtection="1"/>
    <xf numFmtId="167" fontId="0" fillId="54" borderId="109" xfId="0" applyNumberFormat="1" applyFont="1" applyFill="1" applyBorder="1" applyProtection="1"/>
    <xf numFmtId="0" fontId="24" fillId="26" borderId="39" xfId="0" applyFont="1" applyFill="1" applyBorder="1" applyAlignment="1" applyProtection="1">
      <alignment horizontal="right" vertical="center"/>
    </xf>
    <xf numFmtId="0" fontId="0" fillId="0" borderId="0" xfId="0" applyAlignment="1" applyProtection="1">
      <alignment horizontal="center" vertical="center"/>
    </xf>
    <xf numFmtId="0" fontId="14" fillId="26" borderId="110" xfId="0" applyFont="1" applyFill="1" applyBorder="1" applyAlignment="1" applyProtection="1">
      <alignment horizontal="center" vertical="center"/>
    </xf>
    <xf numFmtId="0" fontId="24" fillId="26" borderId="111" xfId="0" applyFont="1" applyFill="1" applyBorder="1" applyAlignment="1" applyProtection="1">
      <alignment horizontal="center" vertical="center" wrapText="1"/>
    </xf>
    <xf numFmtId="0" fontId="20" fillId="26" borderId="113" xfId="0" applyFont="1" applyFill="1" applyBorder="1" applyAlignment="1" applyProtection="1">
      <alignment horizontal="center" vertical="center"/>
    </xf>
    <xf numFmtId="0" fontId="20" fillId="26" borderId="113" xfId="0" applyFont="1" applyFill="1" applyBorder="1" applyAlignment="1" applyProtection="1">
      <alignment horizontal="center" vertical="center" wrapText="1"/>
    </xf>
    <xf numFmtId="0" fontId="31" fillId="0" borderId="0" xfId="2" applyProtection="1"/>
    <xf numFmtId="0" fontId="27" fillId="18" borderId="0" xfId="0" applyFont="1" applyFill="1" applyAlignment="1">
      <alignment horizontal="center" vertical="center" wrapText="1"/>
    </xf>
    <xf numFmtId="0" fontId="0" fillId="0" borderId="0" xfId="0" applyFont="1" applyAlignment="1"/>
    <xf numFmtId="168" fontId="33" fillId="52" borderId="12" xfId="1" applyNumberFormat="1" applyFont="1" applyFill="1" applyBorder="1" applyAlignment="1">
      <alignment wrapText="1"/>
    </xf>
    <xf numFmtId="168" fontId="33" fillId="52" borderId="16" xfId="1" applyNumberFormat="1" applyFont="1" applyFill="1" applyBorder="1" applyAlignment="1">
      <alignment wrapText="1"/>
    </xf>
    <xf numFmtId="168" fontId="33" fillId="52" borderId="19" xfId="1" applyNumberFormat="1" applyFont="1" applyFill="1" applyBorder="1" applyAlignment="1">
      <alignment wrapText="1"/>
    </xf>
    <xf numFmtId="0" fontId="11" fillId="16" borderId="0" xfId="0" applyFont="1" applyFill="1" applyAlignment="1">
      <alignment horizontal="center" vertical="center" wrapText="1"/>
    </xf>
    <xf numFmtId="0" fontId="27" fillId="18" borderId="30" xfId="0" applyFont="1" applyFill="1" applyBorder="1" applyAlignment="1">
      <alignment horizontal="center" vertical="center" wrapText="1"/>
    </xf>
    <xf numFmtId="37" fontId="0" fillId="4" borderId="4" xfId="0" applyNumberFormat="1" applyFont="1" applyFill="1" applyBorder="1" applyAlignment="1">
      <alignment horizontal="center"/>
    </xf>
    <xf numFmtId="43" fontId="0" fillId="0" borderId="0" xfId="0" applyNumberFormat="1" applyFont="1" applyAlignment="1"/>
    <xf numFmtId="0" fontId="14" fillId="42" borderId="110" xfId="0" applyFont="1" applyFill="1" applyBorder="1" applyAlignment="1">
      <alignment horizontal="center" vertical="center" wrapText="1"/>
    </xf>
    <xf numFmtId="164" fontId="51" fillId="13" borderId="110" xfId="1" applyFont="1" applyFill="1" applyBorder="1" applyAlignment="1">
      <alignment vertical="center"/>
    </xf>
    <xf numFmtId="0" fontId="0" fillId="0" borderId="0" xfId="0" applyFont="1" applyAlignment="1"/>
    <xf numFmtId="0" fontId="0" fillId="0" borderId="0" xfId="0" applyFont="1" applyAlignment="1"/>
    <xf numFmtId="0" fontId="0" fillId="53" borderId="46" xfId="0" applyFill="1" applyBorder="1"/>
    <xf numFmtId="167" fontId="0" fillId="53" borderId="99" xfId="0" applyNumberFormat="1" applyFill="1" applyBorder="1"/>
    <xf numFmtId="167" fontId="81" fillId="53" borderId="99" xfId="0" applyNumberFormat="1" applyFont="1" applyFill="1" applyBorder="1"/>
    <xf numFmtId="167" fontId="81" fillId="54" borderId="99" xfId="0" applyNumberFormat="1" applyFont="1" applyFill="1" applyBorder="1"/>
    <xf numFmtId="0" fontId="0" fillId="53" borderId="104" xfId="0" applyFill="1" applyBorder="1"/>
    <xf numFmtId="167" fontId="81" fillId="53" borderId="105" xfId="0" applyNumberFormat="1" applyFont="1" applyFill="1" applyBorder="1"/>
    <xf numFmtId="167" fontId="81" fillId="54" borderId="105" xfId="0" applyNumberFormat="1" applyFont="1" applyFill="1" applyBorder="1"/>
    <xf numFmtId="167" fontId="0" fillId="53" borderId="105" xfId="0" applyNumberFormat="1" applyFill="1" applyBorder="1"/>
    <xf numFmtId="167" fontId="0" fillId="54" borderId="105" xfId="0" applyNumberFormat="1" applyFill="1" applyBorder="1"/>
    <xf numFmtId="0" fontId="0" fillId="53" borderId="108" xfId="0" applyFill="1" applyBorder="1"/>
    <xf numFmtId="167" fontId="0" fillId="53" borderId="109" xfId="0" applyNumberFormat="1" applyFill="1" applyBorder="1"/>
    <xf numFmtId="167" fontId="0" fillId="54" borderId="109" xfId="0" applyNumberFormat="1" applyFill="1" applyBorder="1"/>
    <xf numFmtId="0" fontId="24" fillId="26" borderId="44" xfId="0" applyFont="1" applyFill="1" applyBorder="1" applyAlignment="1" applyProtection="1">
      <alignment horizontal="center" vertical="center" wrapText="1"/>
    </xf>
    <xf numFmtId="0" fontId="20" fillId="26" borderId="53" xfId="0" applyFont="1" applyFill="1" applyBorder="1" applyAlignment="1" applyProtection="1">
      <alignment horizontal="center" vertical="center"/>
    </xf>
    <xf numFmtId="0" fontId="20" fillId="26" borderId="53" xfId="0" applyFont="1" applyFill="1" applyBorder="1" applyAlignment="1" applyProtection="1">
      <alignment horizontal="center" vertical="center" wrapText="1"/>
    </xf>
    <xf numFmtId="0" fontId="20" fillId="26" borderId="53" xfId="0" applyFont="1" applyFill="1" applyBorder="1" applyAlignment="1">
      <alignment horizontal="center" vertical="center" wrapText="1"/>
    </xf>
    <xf numFmtId="0" fontId="20" fillId="26" borderId="113" xfId="0" applyFont="1" applyFill="1" applyBorder="1" applyAlignment="1">
      <alignment horizontal="center" vertical="center" wrapText="1"/>
    </xf>
    <xf numFmtId="11" fontId="21" fillId="22" borderId="12" xfId="0" applyNumberFormat="1" applyFont="1" applyFill="1" applyBorder="1" applyAlignment="1">
      <alignment wrapText="1"/>
    </xf>
    <xf numFmtId="11" fontId="21" fillId="22" borderId="4" xfId="0" applyNumberFormat="1" applyFont="1" applyFill="1" applyBorder="1" applyAlignment="1">
      <alignment wrapText="1"/>
    </xf>
    <xf numFmtId="11" fontId="21" fillId="22" borderId="19" xfId="0" applyNumberFormat="1" applyFont="1" applyFill="1" applyBorder="1" applyAlignment="1">
      <alignment wrapText="1"/>
    </xf>
    <xf numFmtId="11" fontId="21" fillId="22" borderId="17" xfId="0" applyNumberFormat="1" applyFont="1" applyFill="1" applyBorder="1" applyAlignment="1">
      <alignment wrapText="1"/>
    </xf>
    <xf numFmtId="11" fontId="21" fillId="22" borderId="16" xfId="0" applyNumberFormat="1" applyFont="1" applyFill="1" applyBorder="1" applyAlignment="1">
      <alignment wrapText="1"/>
    </xf>
    <xf numFmtId="11" fontId="21" fillId="22" borderId="1" xfId="0" applyNumberFormat="1" applyFont="1" applyFill="1" applyBorder="1" applyAlignment="1">
      <alignment wrapText="1"/>
    </xf>
    <xf numFmtId="11" fontId="21" fillId="22" borderId="13" xfId="0" applyNumberFormat="1" applyFont="1" applyFill="1" applyBorder="1" applyAlignment="1">
      <alignment wrapText="1"/>
    </xf>
    <xf numFmtId="11" fontId="21" fillId="22" borderId="18" xfId="0" applyNumberFormat="1" applyFont="1" applyFill="1" applyBorder="1" applyAlignment="1">
      <alignment wrapText="1"/>
    </xf>
    <xf numFmtId="11" fontId="21" fillId="22" borderId="20" xfId="0" applyNumberFormat="1" applyFont="1" applyFill="1" applyBorder="1" applyAlignment="1">
      <alignment wrapText="1"/>
    </xf>
    <xf numFmtId="0" fontId="0" fillId="0" borderId="0" xfId="0"/>
    <xf numFmtId="11" fontId="20" fillId="26" borderId="113" xfId="0" applyNumberFormat="1" applyFont="1" applyFill="1" applyBorder="1" applyAlignment="1" applyProtection="1">
      <alignment horizontal="center" vertical="center"/>
    </xf>
    <xf numFmtId="11" fontId="20" fillId="0" borderId="0" xfId="0" applyNumberFormat="1" applyFont="1" applyAlignment="1" applyProtection="1">
      <alignment horizontal="center" vertical="top" wrapText="1"/>
    </xf>
    <xf numFmtId="11" fontId="20" fillId="26" borderId="113" xfId="0" applyNumberFormat="1" applyFont="1" applyFill="1" applyBorder="1" applyAlignment="1" applyProtection="1">
      <alignment horizontal="center" vertical="center" wrapText="1"/>
    </xf>
    <xf numFmtId="11" fontId="81" fillId="53" borderId="99" xfId="0" applyNumberFormat="1" applyFont="1" applyFill="1" applyBorder="1" applyProtection="1"/>
    <xf numFmtId="11" fontId="81" fillId="54" borderId="99" xfId="0" applyNumberFormat="1" applyFont="1" applyFill="1" applyBorder="1" applyProtection="1"/>
    <xf numFmtId="11" fontId="81" fillId="53" borderId="105" xfId="0" applyNumberFormat="1" applyFont="1" applyFill="1" applyBorder="1" applyProtection="1"/>
    <xf numFmtId="11" fontId="81" fillId="54" borderId="105" xfId="0" applyNumberFormat="1" applyFont="1" applyFill="1" applyBorder="1" applyProtection="1"/>
    <xf numFmtId="11" fontId="0" fillId="53" borderId="105" xfId="0" applyNumberFormat="1" applyFont="1" applyFill="1" applyBorder="1" applyProtection="1"/>
    <xf numFmtId="11" fontId="0" fillId="54" borderId="105" xfId="0" applyNumberFormat="1" applyFont="1" applyFill="1" applyBorder="1" applyProtection="1"/>
    <xf numFmtId="11" fontId="0" fillId="53" borderId="109" xfId="0" applyNumberFormat="1" applyFont="1" applyFill="1" applyBorder="1" applyProtection="1"/>
    <xf numFmtId="11" fontId="0" fillId="54" borderId="109" xfId="0" applyNumberFormat="1" applyFont="1" applyFill="1" applyBorder="1" applyProtection="1"/>
    <xf numFmtId="11" fontId="0" fillId="0" borderId="0" xfId="0" applyNumberFormat="1"/>
    <xf numFmtId="11" fontId="0" fillId="0" borderId="0" xfId="0" applyNumberFormat="1" applyFont="1"/>
    <xf numFmtId="11" fontId="0" fillId="51" borderId="0" xfId="0" applyNumberFormat="1" applyFill="1" applyProtection="1"/>
    <xf numFmtId="11" fontId="14" fillId="0" borderId="0" xfId="0" applyNumberFormat="1" applyFont="1" applyFill="1" applyBorder="1" applyAlignment="1" applyProtection="1">
      <alignment horizontal="center" wrapText="1"/>
    </xf>
    <xf numFmtId="180" fontId="21" fillId="22" borderId="12" xfId="0" applyNumberFormat="1" applyFont="1" applyFill="1" applyBorder="1" applyAlignment="1">
      <alignment wrapText="1"/>
    </xf>
    <xf numFmtId="180" fontId="21" fillId="22" borderId="4" xfId="0" applyNumberFormat="1" applyFont="1" applyFill="1" applyBorder="1" applyAlignment="1">
      <alignment wrapText="1"/>
    </xf>
    <xf numFmtId="0" fontId="11" fillId="16" borderId="114" xfId="0" applyFont="1" applyFill="1" applyBorder="1"/>
    <xf numFmtId="0" fontId="0" fillId="0" borderId="114" xfId="0" applyFont="1" applyBorder="1" applyAlignment="1"/>
    <xf numFmtId="0" fontId="27" fillId="18" borderId="0" xfId="0" applyFont="1" applyFill="1" applyAlignment="1">
      <alignment horizontal="center" vertical="center" wrapText="1"/>
    </xf>
    <xf numFmtId="0" fontId="0" fillId="0" borderId="0" xfId="0" applyFont="1" applyAlignment="1"/>
    <xf numFmtId="43" fontId="0" fillId="16" borderId="31" xfId="0" applyNumberFormat="1" applyFont="1" applyFill="1" applyBorder="1" applyAlignment="1"/>
    <xf numFmtId="0" fontId="27" fillId="18" borderId="0" xfId="0" applyFont="1" applyFill="1" applyAlignment="1">
      <alignment horizontal="center" vertical="center" wrapText="1"/>
    </xf>
    <xf numFmtId="0" fontId="11" fillId="18" borderId="32" xfId="0" applyFont="1" applyFill="1" applyBorder="1" applyAlignment="1">
      <alignment horizontal="center" vertical="center" wrapText="1"/>
    </xf>
    <xf numFmtId="0" fontId="27" fillId="21" borderId="0" xfId="0" applyFont="1" applyFill="1" applyAlignment="1">
      <alignment horizontal="left" wrapText="1"/>
    </xf>
    <xf numFmtId="0" fontId="74" fillId="21" borderId="0" xfId="0" applyFont="1" applyFill="1" applyAlignment="1">
      <alignment horizontal="left" wrapText="1"/>
    </xf>
    <xf numFmtId="0" fontId="31" fillId="18" borderId="55" xfId="2" applyFill="1" applyBorder="1" applyAlignment="1">
      <alignment horizontal="center" vertical="center" wrapText="1"/>
    </xf>
    <xf numFmtId="0" fontId="31" fillId="18" borderId="64" xfId="2" applyFill="1" applyBorder="1" applyAlignment="1">
      <alignment horizontal="center" vertical="center" wrapText="1"/>
    </xf>
    <xf numFmtId="0" fontId="31" fillId="18" borderId="56" xfId="2" applyFill="1" applyBorder="1" applyAlignment="1">
      <alignment horizontal="center" vertical="center" wrapText="1"/>
    </xf>
    <xf numFmtId="0" fontId="31" fillId="18" borderId="66" xfId="2" applyFill="1" applyBorder="1" applyAlignment="1">
      <alignment horizontal="center" vertical="center" wrapText="1"/>
    </xf>
    <xf numFmtId="0" fontId="31" fillId="18" borderId="67" xfId="2" applyFill="1" applyBorder="1" applyAlignment="1">
      <alignment horizontal="center" vertical="center" wrapText="1"/>
    </xf>
    <xf numFmtId="0" fontId="31" fillId="18" borderId="68" xfId="2" applyFill="1" applyBorder="1" applyAlignment="1">
      <alignment horizontal="center" vertical="center" wrapText="1"/>
    </xf>
    <xf numFmtId="0" fontId="0" fillId="21" borderId="0" xfId="0" applyFont="1" applyFill="1" applyAlignment="1">
      <alignment horizontal="left" wrapText="1"/>
    </xf>
    <xf numFmtId="0" fontId="0" fillId="21" borderId="0" xfId="0" applyFont="1" applyFill="1" applyAlignment="1"/>
    <xf numFmtId="0" fontId="0" fillId="0" borderId="0" xfId="0" applyFont="1" applyBorder="1" applyAlignment="1">
      <alignment horizontal="left" wrapText="1"/>
    </xf>
    <xf numFmtId="0" fontId="0" fillId="0" borderId="0" xfId="0" applyFont="1" applyBorder="1" applyAlignment="1"/>
    <xf numFmtId="0" fontId="0" fillId="0" borderId="32" xfId="0" applyFont="1" applyBorder="1" applyAlignment="1"/>
    <xf numFmtId="0" fontId="0" fillId="21" borderId="0" xfId="0" applyFont="1" applyFill="1" applyAlignment="1">
      <alignment horizontal="left" vertical="center" wrapText="1"/>
    </xf>
    <xf numFmtId="0" fontId="27" fillId="21" borderId="0" xfId="0" applyFont="1" applyFill="1" applyAlignment="1">
      <alignment horizontal="left" vertical="top" wrapText="1"/>
    </xf>
    <xf numFmtId="0" fontId="27" fillId="20" borderId="0" xfId="0" applyFont="1" applyFill="1" applyAlignment="1">
      <alignment horizontal="left" vertical="top" wrapText="1"/>
    </xf>
    <xf numFmtId="0" fontId="0" fillId="0" borderId="33" xfId="0" applyFont="1" applyBorder="1" applyAlignment="1">
      <alignment horizontal="left" wrapText="1"/>
    </xf>
    <xf numFmtId="0" fontId="0" fillId="0" borderId="32" xfId="0" applyFont="1" applyBorder="1" applyAlignment="1">
      <alignment horizontal="left" wrapText="1"/>
    </xf>
    <xf numFmtId="0" fontId="11" fillId="0" borderId="0" xfId="0" applyFont="1" applyAlignment="1">
      <alignment horizontal="center" wrapText="1"/>
    </xf>
    <xf numFmtId="0" fontId="0" fillId="0" borderId="0" xfId="0" applyFont="1" applyAlignment="1"/>
    <xf numFmtId="0" fontId="27" fillId="18" borderId="31" xfId="0" applyFont="1" applyFill="1" applyBorder="1" applyAlignment="1">
      <alignment horizontal="center" vertical="center" wrapText="1"/>
    </xf>
    <xf numFmtId="0" fontId="27" fillId="18" borderId="41" xfId="0" applyFont="1" applyFill="1" applyBorder="1" applyAlignment="1">
      <alignment horizontal="center" wrapText="1"/>
    </xf>
    <xf numFmtId="0" fontId="0" fillId="18" borderId="42" xfId="0" applyFont="1" applyFill="1" applyBorder="1" applyAlignment="1">
      <alignment horizontal="center" wrapText="1"/>
    </xf>
    <xf numFmtId="0" fontId="0" fillId="18" borderId="43" xfId="0" applyFont="1" applyFill="1" applyBorder="1" applyAlignment="1">
      <alignment horizontal="center" wrapText="1"/>
    </xf>
    <xf numFmtId="0" fontId="11" fillId="0" borderId="23" xfId="0" applyFont="1" applyBorder="1" applyAlignment="1">
      <alignment horizontal="center" vertical="center" wrapText="1"/>
    </xf>
    <xf numFmtId="0" fontId="27" fillId="18" borderId="86" xfId="0" applyFont="1" applyFill="1" applyBorder="1" applyAlignment="1">
      <alignment horizontal="center" vertical="center" wrapText="1"/>
    </xf>
    <xf numFmtId="0" fontId="27" fillId="18" borderId="85" xfId="0" applyFont="1" applyFill="1" applyBorder="1" applyAlignment="1">
      <alignment horizontal="center" vertical="center" wrapText="1"/>
    </xf>
    <xf numFmtId="0" fontId="27" fillId="18" borderId="87" xfId="0" applyFont="1" applyFill="1" applyBorder="1" applyAlignment="1">
      <alignment horizontal="center" vertical="center" wrapText="1"/>
    </xf>
    <xf numFmtId="0" fontId="27" fillId="18" borderId="37" xfId="0" applyFont="1" applyFill="1" applyBorder="1" applyAlignment="1">
      <alignment horizontal="center" vertical="center" wrapText="1"/>
    </xf>
    <xf numFmtId="0" fontId="27" fillId="18" borderId="0" xfId="0" applyFont="1" applyFill="1" applyBorder="1" applyAlignment="1">
      <alignment horizontal="center" vertical="center" wrapText="1"/>
    </xf>
    <xf numFmtId="0" fontId="27" fillId="18" borderId="89" xfId="0" applyFont="1" applyFill="1" applyBorder="1" applyAlignment="1">
      <alignment horizontal="center" vertical="center" wrapText="1"/>
    </xf>
    <xf numFmtId="0" fontId="27" fillId="18" borderId="39" xfId="0" applyFont="1" applyFill="1" applyBorder="1" applyAlignment="1">
      <alignment horizontal="center" vertical="center" wrapText="1"/>
    </xf>
    <xf numFmtId="0" fontId="27" fillId="18" borderId="32" xfId="0" applyFont="1" applyFill="1" applyBorder="1" applyAlignment="1">
      <alignment horizontal="center" vertical="center" wrapText="1"/>
    </xf>
    <xf numFmtId="0" fontId="27" fillId="18" borderId="40" xfId="0" applyFont="1" applyFill="1" applyBorder="1" applyAlignment="1">
      <alignment horizontal="center" vertical="center" wrapText="1"/>
    </xf>
    <xf numFmtId="0" fontId="11" fillId="18" borderId="0" xfId="0" applyFont="1" applyFill="1" applyAlignment="1">
      <alignment horizontal="center" wrapText="1"/>
    </xf>
    <xf numFmtId="0" fontId="0" fillId="18" borderId="0" xfId="0" applyFont="1" applyFill="1" applyAlignment="1"/>
    <xf numFmtId="0" fontId="0" fillId="18" borderId="31" xfId="0" applyFont="1" applyFill="1" applyBorder="1" applyAlignment="1">
      <alignment horizontal="center" vertical="center" wrapText="1"/>
    </xf>
    <xf numFmtId="0" fontId="27" fillId="18" borderId="0" xfId="0" applyFont="1" applyFill="1" applyAlignment="1">
      <alignment horizontal="center" wrapText="1"/>
    </xf>
    <xf numFmtId="0" fontId="74" fillId="0" borderId="0" xfId="0" applyFont="1" applyAlignment="1">
      <alignment horizontal="center" vertical="center" wrapText="1"/>
    </xf>
    <xf numFmtId="0" fontId="27" fillId="16" borderId="31" xfId="0" applyFont="1" applyFill="1" applyBorder="1" applyAlignment="1">
      <alignment horizontal="center" vertical="center"/>
    </xf>
    <xf numFmtId="0" fontId="51" fillId="18" borderId="31" xfId="16" applyFont="1" applyFill="1" applyBorder="1" applyAlignment="1">
      <alignment horizontal="center" vertical="center" wrapText="1"/>
    </xf>
    <xf numFmtId="0" fontId="14" fillId="42" borderId="84" xfId="0" applyFont="1" applyFill="1" applyBorder="1" applyAlignment="1">
      <alignment horizontal="center" vertical="center" wrapText="1"/>
    </xf>
    <xf numFmtId="0" fontId="75" fillId="43" borderId="84" xfId="0" applyFont="1" applyFill="1" applyBorder="1" applyAlignment="1">
      <alignment horizontal="center" vertical="center" wrapText="1"/>
    </xf>
    <xf numFmtId="0" fontId="15" fillId="7" borderId="5" xfId="0" applyFont="1" applyFill="1" applyBorder="1" applyAlignment="1">
      <alignment horizontal="center" vertical="center" wrapText="1"/>
    </xf>
    <xf numFmtId="0" fontId="6" fillId="0" borderId="6" xfId="0" applyFont="1" applyBorder="1"/>
    <xf numFmtId="0" fontId="6" fillId="0" borderId="7" xfId="0" applyFont="1" applyBorder="1"/>
    <xf numFmtId="0" fontId="16" fillId="8" borderId="5" xfId="0" applyFont="1" applyFill="1" applyBorder="1" applyAlignment="1">
      <alignment horizontal="center" vertical="center" wrapText="1"/>
    </xf>
    <xf numFmtId="0" fontId="17" fillId="9" borderId="5" xfId="0" applyFont="1" applyFill="1" applyBorder="1" applyAlignment="1">
      <alignment horizontal="center" vertical="center" wrapText="1"/>
    </xf>
    <xf numFmtId="0" fontId="18" fillId="0" borderId="5" xfId="0" applyFont="1" applyBorder="1" applyAlignment="1">
      <alignment horizontal="center" vertical="center" wrapText="1"/>
    </xf>
    <xf numFmtId="0" fontId="14" fillId="0" borderId="0" xfId="0" applyFont="1" applyAlignment="1">
      <alignment horizontal="center" vertical="center" wrapText="1"/>
    </xf>
    <xf numFmtId="0" fontId="14" fillId="0" borderId="23" xfId="0" applyFont="1" applyBorder="1" applyAlignment="1">
      <alignment horizontal="center" vertical="center" wrapText="1"/>
    </xf>
    <xf numFmtId="0" fontId="36" fillId="18" borderId="31" xfId="0" applyFont="1" applyFill="1" applyBorder="1" applyAlignment="1">
      <alignment horizontal="center" vertical="center" wrapText="1"/>
    </xf>
    <xf numFmtId="0" fontId="14" fillId="3" borderId="25" xfId="0" applyFont="1" applyFill="1" applyBorder="1" applyAlignment="1">
      <alignment horizontal="center" vertical="center" wrapText="1"/>
    </xf>
    <xf numFmtId="0" fontId="6" fillId="0" borderId="26" xfId="0" applyFont="1" applyBorder="1"/>
    <xf numFmtId="0" fontId="6" fillId="0" borderId="3" xfId="0" applyFont="1" applyBorder="1"/>
    <xf numFmtId="0" fontId="6" fillId="0" borderId="2" xfId="0" applyFont="1" applyBorder="1"/>
    <xf numFmtId="0" fontId="6" fillId="0" borderId="28" xfId="0" applyFont="1" applyBorder="1"/>
    <xf numFmtId="0" fontId="6" fillId="0" borderId="29" xfId="0" applyFont="1" applyBorder="1"/>
    <xf numFmtId="0" fontId="24" fillId="3" borderId="27" xfId="0" applyFont="1" applyFill="1" applyBorder="1" applyAlignment="1">
      <alignment horizontal="center" vertical="center" wrapText="1"/>
    </xf>
    <xf numFmtId="0" fontId="19" fillId="17" borderId="22" xfId="0" applyFont="1" applyFill="1" applyBorder="1" applyAlignment="1">
      <alignment horizontal="center" vertical="center" wrapText="1"/>
    </xf>
    <xf numFmtId="0" fontId="6" fillId="16" borderId="17" xfId="0" applyFont="1" applyFill="1" applyBorder="1"/>
    <xf numFmtId="0" fontId="6" fillId="16" borderId="1" xfId="0" applyFont="1" applyFill="1" applyBorder="1"/>
    <xf numFmtId="0" fontId="14" fillId="3" borderId="26"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wrapText="1"/>
    </xf>
    <xf numFmtId="0" fontId="14" fillId="3" borderId="28" xfId="0" applyFont="1" applyFill="1" applyBorder="1" applyAlignment="1">
      <alignment horizontal="center" vertical="center" wrapText="1"/>
    </xf>
    <xf numFmtId="0" fontId="14" fillId="3" borderId="29" xfId="0" applyFont="1" applyFill="1" applyBorder="1" applyAlignment="1">
      <alignment horizontal="center" vertical="center" wrapText="1"/>
    </xf>
    <xf numFmtId="0" fontId="19" fillId="17" borderId="17" xfId="0" applyFont="1" applyFill="1" applyBorder="1" applyAlignment="1">
      <alignment horizontal="center" vertical="center" wrapText="1"/>
    </xf>
    <xf numFmtId="0" fontId="19" fillId="17" borderId="1" xfId="0" applyFont="1" applyFill="1" applyBorder="1" applyAlignment="1">
      <alignment horizontal="center" vertical="center" wrapText="1"/>
    </xf>
    <xf numFmtId="0" fontId="24" fillId="3" borderId="3" xfId="0" applyFont="1" applyFill="1" applyBorder="1" applyAlignment="1">
      <alignment horizontal="center" vertical="center" wrapText="1"/>
    </xf>
    <xf numFmtId="0" fontId="24" fillId="3" borderId="28" xfId="0" applyFont="1" applyFill="1" applyBorder="1" applyAlignment="1">
      <alignment horizontal="center" vertical="center" wrapText="1"/>
    </xf>
    <xf numFmtId="0" fontId="37" fillId="18" borderId="31" xfId="0" applyFont="1" applyFill="1" applyBorder="1" applyAlignment="1">
      <alignment horizontal="center" vertical="center" wrapText="1"/>
    </xf>
    <xf numFmtId="0" fontId="24" fillId="3" borderId="34" xfId="0" applyFont="1" applyFill="1" applyBorder="1" applyAlignment="1">
      <alignment horizontal="center" vertical="center" wrapText="1"/>
    </xf>
    <xf numFmtId="0" fontId="8" fillId="17" borderId="22" xfId="0" applyFont="1" applyFill="1" applyBorder="1" applyAlignment="1">
      <alignment horizontal="center" vertical="center" wrapText="1"/>
    </xf>
    <xf numFmtId="0" fontId="9" fillId="18" borderId="0" xfId="0" applyFont="1" applyFill="1" applyAlignment="1">
      <alignment horizontal="center" vertical="center" wrapText="1"/>
    </xf>
    <xf numFmtId="0" fontId="8" fillId="17" borderId="17" xfId="0" applyFont="1" applyFill="1" applyBorder="1" applyAlignment="1">
      <alignment horizontal="center" vertical="center" wrapText="1"/>
    </xf>
    <xf numFmtId="0" fontId="8" fillId="17" borderId="1" xfId="0" applyFont="1" applyFill="1" applyBorder="1" applyAlignment="1">
      <alignment horizontal="center" vertical="center" wrapText="1"/>
    </xf>
    <xf numFmtId="0" fontId="37" fillId="18" borderId="44" xfId="0" applyFont="1" applyFill="1" applyBorder="1" applyAlignment="1">
      <alignment horizontal="center" vertical="center" wrapText="1"/>
    </xf>
    <xf numFmtId="0" fontId="37" fillId="18" borderId="45" xfId="0" applyFont="1" applyFill="1" applyBorder="1" applyAlignment="1">
      <alignment horizontal="center" vertical="center" wrapText="1"/>
    </xf>
    <xf numFmtId="0" fontId="37" fillId="18" borderId="46" xfId="0" applyFont="1" applyFill="1" applyBorder="1" applyAlignment="1">
      <alignment horizontal="center" vertical="center" wrapText="1"/>
    </xf>
    <xf numFmtId="0" fontId="27" fillId="51" borderId="0" xfId="3" applyFont="1" applyFill="1" applyAlignment="1">
      <alignment horizontal="center" vertical="center" wrapText="1"/>
    </xf>
    <xf numFmtId="0" fontId="36" fillId="18" borderId="35" xfId="0" applyFont="1" applyFill="1" applyBorder="1" applyAlignment="1">
      <alignment horizontal="center" vertical="center" wrapText="1"/>
    </xf>
    <xf numFmtId="0" fontId="36" fillId="18" borderId="33" xfId="0" applyFont="1" applyFill="1" applyBorder="1" applyAlignment="1">
      <alignment horizontal="center" vertical="center" wrapText="1"/>
    </xf>
    <xf numFmtId="0" fontId="36" fillId="18" borderId="36" xfId="0" applyFont="1" applyFill="1" applyBorder="1" applyAlignment="1">
      <alignment horizontal="center" vertical="center" wrapText="1"/>
    </xf>
    <xf numFmtId="0" fontId="36" fillId="18" borderId="37" xfId="0" applyFont="1" applyFill="1" applyBorder="1" applyAlignment="1">
      <alignment horizontal="center" vertical="center" wrapText="1"/>
    </xf>
    <xf numFmtId="0" fontId="36" fillId="18" borderId="0" xfId="0" applyFont="1" applyFill="1" applyBorder="1" applyAlignment="1">
      <alignment horizontal="center" vertical="center" wrapText="1"/>
    </xf>
    <xf numFmtId="0" fontId="36" fillId="18" borderId="38" xfId="0" applyFont="1" applyFill="1" applyBorder="1" applyAlignment="1">
      <alignment horizontal="center" vertical="center" wrapText="1"/>
    </xf>
    <xf numFmtId="0" fontId="36" fillId="18" borderId="39" xfId="0" applyFont="1" applyFill="1" applyBorder="1" applyAlignment="1">
      <alignment horizontal="center" vertical="center" wrapText="1"/>
    </xf>
    <xf numFmtId="0" fontId="36" fillId="18" borderId="32" xfId="0" applyFont="1" applyFill="1" applyBorder="1" applyAlignment="1">
      <alignment horizontal="center" vertical="center" wrapText="1"/>
    </xf>
    <xf numFmtId="0" fontId="36" fillId="18" borderId="40" xfId="0" applyFont="1" applyFill="1" applyBorder="1" applyAlignment="1">
      <alignment horizontal="center" vertical="center" wrapText="1"/>
    </xf>
    <xf numFmtId="0" fontId="31" fillId="0" borderId="33" xfId="2" applyBorder="1" applyAlignment="1">
      <alignment horizontal="left" vertical="center" wrapText="1"/>
    </xf>
    <xf numFmtId="0" fontId="31" fillId="0" borderId="0" xfId="2" applyAlignment="1">
      <alignment horizontal="left" vertical="center" wrapText="1"/>
    </xf>
    <xf numFmtId="0" fontId="14" fillId="18" borderId="86" xfId="0" applyFont="1" applyFill="1" applyBorder="1" applyAlignment="1" applyProtection="1">
      <alignment horizontal="center" vertical="center" wrapText="1"/>
    </xf>
    <xf numFmtId="0" fontId="14" fillId="18" borderId="87" xfId="0" applyFont="1" applyFill="1" applyBorder="1" applyAlignment="1" applyProtection="1">
      <alignment horizontal="center" vertical="center" wrapText="1"/>
    </xf>
    <xf numFmtId="0" fontId="14" fillId="18" borderId="37" xfId="0" applyFont="1" applyFill="1" applyBorder="1" applyAlignment="1" applyProtection="1">
      <alignment horizontal="center" vertical="center" wrapText="1"/>
    </xf>
    <xf numFmtId="0" fontId="14" fillId="18" borderId="89" xfId="0" applyFont="1" applyFill="1" applyBorder="1" applyAlignment="1" applyProtection="1">
      <alignment horizontal="center" vertical="center" wrapText="1"/>
    </xf>
    <xf numFmtId="0" fontId="14" fillId="18" borderId="102" xfId="0" applyFont="1" applyFill="1" applyBorder="1" applyAlignment="1" applyProtection="1">
      <alignment horizontal="center" vertical="center" wrapText="1"/>
    </xf>
    <xf numFmtId="0" fontId="14" fillId="18" borderId="103" xfId="0" applyFont="1" applyFill="1" applyBorder="1" applyAlignment="1" applyProtection="1">
      <alignment horizontal="center" vertical="center" wrapText="1"/>
    </xf>
    <xf numFmtId="0" fontId="24" fillId="18" borderId="100" xfId="0" applyFont="1" applyFill="1" applyBorder="1" applyAlignment="1" applyProtection="1">
      <alignment horizontal="center" vertical="center" wrapText="1"/>
    </xf>
    <xf numFmtId="0" fontId="24" fillId="18" borderId="37" xfId="0" applyFont="1" applyFill="1" applyBorder="1" applyAlignment="1" applyProtection="1">
      <alignment horizontal="center" vertical="center" wrapText="1"/>
    </xf>
    <xf numFmtId="0" fontId="24" fillId="18" borderId="39" xfId="0" applyFont="1" applyFill="1" applyBorder="1" applyAlignment="1" applyProtection="1">
      <alignment horizontal="center" vertical="center" wrapText="1"/>
    </xf>
    <xf numFmtId="0" fontId="8" fillId="26" borderId="111" xfId="0" applyFont="1" applyFill="1" applyBorder="1" applyAlignment="1" applyProtection="1">
      <alignment horizontal="center" vertical="center" wrapText="1"/>
    </xf>
    <xf numFmtId="0" fontId="8" fillId="26" borderId="45" xfId="0" applyFont="1" applyFill="1" applyBorder="1" applyAlignment="1" applyProtection="1">
      <alignment horizontal="center" vertical="center" wrapText="1"/>
    </xf>
    <xf numFmtId="0" fontId="8" fillId="26" borderId="46" xfId="0" applyFont="1" applyFill="1" applyBorder="1" applyAlignment="1" applyProtection="1">
      <alignment horizontal="center" vertical="center" wrapText="1"/>
    </xf>
    <xf numFmtId="0" fontId="8" fillId="18" borderId="0" xfId="0" applyFont="1" applyFill="1" applyAlignment="1" applyProtection="1">
      <alignment horizontal="center" vertical="center" wrapText="1"/>
    </xf>
    <xf numFmtId="0" fontId="14" fillId="0" borderId="0" xfId="0" applyFont="1" applyAlignment="1" applyProtection="1">
      <alignment horizontal="center" vertical="center" wrapText="1"/>
    </xf>
    <xf numFmtId="0" fontId="14" fillId="0" borderId="112" xfId="0" applyFont="1" applyBorder="1" applyAlignment="1" applyProtection="1">
      <alignment horizontal="center" vertical="center" wrapText="1"/>
    </xf>
    <xf numFmtId="0" fontId="27" fillId="18" borderId="0" xfId="3" applyFont="1" applyFill="1" applyAlignment="1">
      <alignment horizontal="center" wrapText="1"/>
    </xf>
    <xf numFmtId="0" fontId="14" fillId="3" borderId="25" xfId="3" applyFont="1" applyFill="1" applyBorder="1" applyAlignment="1">
      <alignment horizontal="center" vertical="center" wrapText="1"/>
    </xf>
    <xf numFmtId="0" fontId="6" fillId="0" borderId="26" xfId="3" applyFont="1" applyBorder="1"/>
    <xf numFmtId="0" fontId="6" fillId="0" borderId="3" xfId="3" applyFont="1" applyBorder="1"/>
    <xf numFmtId="0" fontId="6" fillId="0" borderId="2" xfId="3" applyFont="1" applyBorder="1"/>
    <xf numFmtId="0" fontId="6" fillId="0" borderId="28" xfId="3" applyFont="1" applyBorder="1"/>
    <xf numFmtId="0" fontId="6" fillId="0" borderId="29" xfId="3" applyFont="1" applyBorder="1"/>
    <xf numFmtId="0" fontId="24" fillId="3" borderId="27" xfId="3" applyFont="1" applyFill="1" applyBorder="1" applyAlignment="1">
      <alignment horizontal="center" vertical="center" wrapText="1"/>
    </xf>
    <xf numFmtId="0" fontId="14" fillId="0" borderId="0" xfId="3" applyFont="1" applyAlignment="1">
      <alignment horizontal="center" vertical="center" wrapText="1"/>
    </xf>
    <xf numFmtId="0" fontId="14" fillId="0" borderId="23" xfId="3" applyFont="1" applyBorder="1" applyAlignment="1">
      <alignment horizontal="center" vertical="center" wrapText="1"/>
    </xf>
    <xf numFmtId="0" fontId="14" fillId="0" borderId="32" xfId="0" applyFont="1" applyBorder="1" applyAlignment="1" applyProtection="1">
      <alignment horizontal="center" vertical="center" wrapText="1"/>
    </xf>
    <xf numFmtId="0" fontId="14" fillId="18" borderId="101" xfId="0" applyFont="1" applyFill="1" applyBorder="1" applyAlignment="1" applyProtection="1">
      <alignment horizontal="center" vertical="center" wrapText="1"/>
    </xf>
    <xf numFmtId="0" fontId="24" fillId="18" borderId="101" xfId="0" applyFont="1" applyFill="1" applyBorder="1" applyAlignment="1" applyProtection="1">
      <alignment horizontal="center" vertical="center" wrapText="1"/>
    </xf>
    <xf numFmtId="0" fontId="8" fillId="26" borderId="90" xfId="0" applyFont="1" applyFill="1" applyBorder="1" applyAlignment="1" applyProtection="1">
      <alignment horizontal="center" vertical="center" wrapText="1"/>
    </xf>
    <xf numFmtId="0" fontId="8" fillId="26" borderId="106" xfId="0" applyFont="1" applyFill="1" applyBorder="1" applyAlignment="1" applyProtection="1">
      <alignment horizontal="center" vertical="center" wrapText="1"/>
    </xf>
    <xf numFmtId="0" fontId="8" fillId="17" borderId="22" xfId="3" applyFont="1" applyFill="1" applyBorder="1" applyAlignment="1">
      <alignment horizontal="center" vertical="center" wrapText="1"/>
    </xf>
    <xf numFmtId="0" fontId="6" fillId="16" borderId="17" xfId="3" applyFont="1" applyFill="1" applyBorder="1"/>
    <xf numFmtId="0" fontId="6" fillId="16" borderId="1" xfId="3" applyFont="1" applyFill="1" applyBorder="1"/>
    <xf numFmtId="0" fontId="43" fillId="18" borderId="0" xfId="4" applyFont="1" applyFill="1" applyAlignment="1">
      <alignment horizontal="center" vertical="center"/>
    </xf>
    <xf numFmtId="0" fontId="22" fillId="0" borderId="0" xfId="4" applyAlignment="1">
      <alignment horizontal="center" wrapText="1"/>
    </xf>
    <xf numFmtId="0" fontId="49" fillId="18" borderId="0" xfId="4" applyFont="1" applyFill="1" applyAlignment="1" applyProtection="1">
      <alignment horizontal="center" wrapText="1"/>
      <protection locked="0"/>
    </xf>
    <xf numFmtId="0" fontId="43" fillId="25" borderId="50" xfId="4" applyFont="1" applyFill="1" applyBorder="1" applyAlignment="1">
      <alignment horizontal="center"/>
    </xf>
    <xf numFmtId="0" fontId="43" fillId="25" borderId="31" xfId="4" applyFont="1" applyFill="1" applyBorder="1" applyAlignment="1">
      <alignment horizontal="center"/>
    </xf>
    <xf numFmtId="0" fontId="43" fillId="25" borderId="69" xfId="4" applyFont="1" applyFill="1" applyBorder="1" applyAlignment="1">
      <alignment horizontal="center"/>
    </xf>
    <xf numFmtId="0" fontId="43" fillId="25" borderId="70" xfId="4" applyFont="1" applyFill="1" applyBorder="1" applyAlignment="1">
      <alignment horizontal="center"/>
    </xf>
    <xf numFmtId="0" fontId="43" fillId="25" borderId="71" xfId="4" applyFont="1" applyFill="1" applyBorder="1" applyAlignment="1">
      <alignment horizontal="center"/>
    </xf>
    <xf numFmtId="0" fontId="43" fillId="25" borderId="47" xfId="4" applyFont="1" applyFill="1" applyBorder="1" applyAlignment="1">
      <alignment horizontal="center"/>
    </xf>
    <xf numFmtId="0" fontId="43" fillId="25" borderId="48" xfId="4" applyFont="1" applyFill="1" applyBorder="1" applyAlignment="1">
      <alignment horizontal="center"/>
    </xf>
    <xf numFmtId="0" fontId="43" fillId="25" borderId="49" xfId="4" applyFont="1" applyFill="1" applyBorder="1" applyAlignment="1">
      <alignment horizontal="center"/>
    </xf>
    <xf numFmtId="0" fontId="43" fillId="25" borderId="61" xfId="4" applyFont="1" applyFill="1" applyBorder="1" applyAlignment="1">
      <alignment horizontal="center"/>
    </xf>
    <xf numFmtId="0" fontId="43" fillId="25" borderId="62" xfId="4" applyFont="1" applyFill="1" applyBorder="1" applyAlignment="1">
      <alignment horizontal="center"/>
    </xf>
    <xf numFmtId="0" fontId="43" fillId="25" borderId="63" xfId="4" applyFont="1" applyFill="1" applyBorder="1" applyAlignment="1">
      <alignment horizontal="center"/>
    </xf>
    <xf numFmtId="0" fontId="64" fillId="18" borderId="0" xfId="4" applyFont="1" applyFill="1" applyAlignment="1" applyProtection="1">
      <alignment horizontal="left" wrapText="1"/>
      <protection locked="0"/>
    </xf>
    <xf numFmtId="0" fontId="22" fillId="18" borderId="0" xfId="4" applyFill="1" applyAlignment="1">
      <alignment horizontal="left"/>
    </xf>
    <xf numFmtId="0" fontId="52" fillId="18" borderId="0" xfId="6" applyFont="1" applyFill="1" applyAlignment="1">
      <alignment horizontal="left" wrapText="1"/>
    </xf>
    <xf numFmtId="0" fontId="22" fillId="18" borderId="0" xfId="4" applyFill="1" applyAlignment="1">
      <alignment horizontal="left" wrapText="1"/>
    </xf>
    <xf numFmtId="0" fontId="43" fillId="25" borderId="51" xfId="4" applyFont="1" applyFill="1" applyBorder="1" applyAlignment="1">
      <alignment horizontal="center"/>
    </xf>
    <xf numFmtId="0" fontId="22" fillId="25" borderId="77" xfId="4" applyFont="1" applyFill="1" applyBorder="1" applyAlignment="1">
      <alignment horizontal="center" vertical="center" wrapText="1"/>
    </xf>
    <xf numFmtId="0" fontId="22" fillId="25" borderId="46" xfId="4" applyFont="1" applyFill="1" applyBorder="1" applyAlignment="1">
      <alignment horizontal="center" vertical="center" wrapText="1"/>
    </xf>
    <xf numFmtId="0" fontId="22" fillId="25" borderId="77" xfId="4" applyFont="1" applyFill="1" applyBorder="1" applyAlignment="1">
      <alignment vertical="center" wrapText="1"/>
    </xf>
    <xf numFmtId="0" fontId="22" fillId="25" borderId="46" xfId="4" applyFont="1" applyFill="1" applyBorder="1" applyAlignment="1">
      <alignment vertical="center" wrapText="1"/>
    </xf>
  </cellXfs>
  <cellStyles count="445">
    <cellStyle name="40% - Accent6 2" xfId="238" xr:uid="{00000000-0005-0000-0000-000000000000}"/>
    <cellStyle name="Body: normal cell" xfId="142" xr:uid="{00000000-0005-0000-0000-000001000000}"/>
    <cellStyle name="Comma" xfId="1" builtinId="3"/>
    <cellStyle name="Comma 2" xfId="11" xr:uid="{78E93241-8374-40FA-8EFC-0D55A7C16501}"/>
    <cellStyle name="Comma 2 2" xfId="59" xr:uid="{00000000-0005-0000-0000-000004000000}"/>
    <cellStyle name="Comma 2 2 2" xfId="253" xr:uid="{8C6FF549-07CF-403B-986C-0E9A015D19A1}"/>
    <cellStyle name="Comma 2 3" xfId="250" xr:uid="{8DED4109-0DF7-4D9D-9FBD-D37672F2A795}"/>
    <cellStyle name="Comma 2 4" xfId="33" xr:uid="{00000000-0005-0000-0000-000003000000}"/>
    <cellStyle name="Comma 2 4 2" xfId="438" xr:uid="{2185E801-A97B-4C01-8641-D7C0607C5A56}"/>
    <cellStyle name="Comma 3" xfId="18" xr:uid="{8E342243-B130-4928-9537-A2E77A0956C2}"/>
    <cellStyle name="Comma 3 2" xfId="42" xr:uid="{00000000-0005-0000-0000-000006000000}"/>
    <cellStyle name="Comma 3 2 2" xfId="68" xr:uid="{00000000-0005-0000-0000-000007000000}"/>
    <cellStyle name="Comma 3 2 2 2" xfId="130" xr:uid="{00000000-0005-0000-0000-000008000000}"/>
    <cellStyle name="Comma 3 2 2 2 2" xfId="143" xr:uid="{00000000-0005-0000-0000-000009000000}"/>
    <cellStyle name="Comma 3 2 2 2 2 2" xfId="344" xr:uid="{00000000-0005-0000-0000-000009000000}"/>
    <cellStyle name="Comma 3 2 2 2 3" xfId="332" xr:uid="{00000000-0005-0000-0000-000008000000}"/>
    <cellStyle name="Comma 3 2 2 3" xfId="101" xr:uid="{00000000-0005-0000-0000-00000A000000}"/>
    <cellStyle name="Comma 3 2 2 3 2" xfId="144" xr:uid="{00000000-0005-0000-0000-00000B000000}"/>
    <cellStyle name="Comma 3 2 2 3 2 2" xfId="345" xr:uid="{00000000-0005-0000-0000-00000B000000}"/>
    <cellStyle name="Comma 3 2 2 3 3" xfId="304" xr:uid="{00000000-0005-0000-0000-00000A000000}"/>
    <cellStyle name="Comma 3 2 2 4" xfId="145" xr:uid="{00000000-0005-0000-0000-00000C000000}"/>
    <cellStyle name="Comma 3 2 2 4 2" xfId="346" xr:uid="{00000000-0005-0000-0000-00000C000000}"/>
    <cellStyle name="Comma 3 2 2 5" xfId="275" xr:uid="{00000000-0005-0000-0000-000007000000}"/>
    <cellStyle name="Comma 3 2 3" xfId="116" xr:uid="{00000000-0005-0000-0000-00000D000000}"/>
    <cellStyle name="Comma 3 2 3 2" xfId="146" xr:uid="{00000000-0005-0000-0000-00000E000000}"/>
    <cellStyle name="Comma 3 2 3 2 2" xfId="347" xr:uid="{00000000-0005-0000-0000-00000E000000}"/>
    <cellStyle name="Comma 3 2 3 3" xfId="318" xr:uid="{00000000-0005-0000-0000-00000D000000}"/>
    <cellStyle name="Comma 3 2 4" xfId="85" xr:uid="{00000000-0005-0000-0000-00000F000000}"/>
    <cellStyle name="Comma 3 2 4 2" xfId="147" xr:uid="{00000000-0005-0000-0000-000010000000}"/>
    <cellStyle name="Comma 3 2 4 2 2" xfId="348" xr:uid="{00000000-0005-0000-0000-000010000000}"/>
    <cellStyle name="Comma 3 2 4 3" xfId="290" xr:uid="{00000000-0005-0000-0000-00000F000000}"/>
    <cellStyle name="Comma 3 2 5" xfId="148" xr:uid="{00000000-0005-0000-0000-000011000000}"/>
    <cellStyle name="Comma 3 2 5 2" xfId="349" xr:uid="{00000000-0005-0000-0000-000011000000}"/>
    <cellStyle name="Comma 3 2 6" xfId="261" xr:uid="{00000000-0005-0000-0000-000006000000}"/>
    <cellStyle name="Comma 3 3" xfId="47" xr:uid="{00000000-0005-0000-0000-000012000000}"/>
    <cellStyle name="Comma 3 3 2" xfId="71" xr:uid="{00000000-0005-0000-0000-000013000000}"/>
    <cellStyle name="Comma 3 3 2 2" xfId="133" xr:uid="{00000000-0005-0000-0000-000014000000}"/>
    <cellStyle name="Comma 3 3 2 2 2" xfId="149" xr:uid="{00000000-0005-0000-0000-000015000000}"/>
    <cellStyle name="Comma 3 3 2 2 2 2" xfId="350" xr:uid="{00000000-0005-0000-0000-000015000000}"/>
    <cellStyle name="Comma 3 3 2 2 3" xfId="335" xr:uid="{00000000-0005-0000-0000-000014000000}"/>
    <cellStyle name="Comma 3 3 2 3" xfId="104" xr:uid="{00000000-0005-0000-0000-000016000000}"/>
    <cellStyle name="Comma 3 3 2 3 2" xfId="150" xr:uid="{00000000-0005-0000-0000-000017000000}"/>
    <cellStyle name="Comma 3 3 2 3 2 2" xfId="351" xr:uid="{00000000-0005-0000-0000-000017000000}"/>
    <cellStyle name="Comma 3 3 2 3 3" xfId="307" xr:uid="{00000000-0005-0000-0000-000016000000}"/>
    <cellStyle name="Comma 3 3 2 4" xfId="151" xr:uid="{00000000-0005-0000-0000-000018000000}"/>
    <cellStyle name="Comma 3 3 2 4 2" xfId="352" xr:uid="{00000000-0005-0000-0000-000018000000}"/>
    <cellStyle name="Comma 3 3 2 5" xfId="278" xr:uid="{00000000-0005-0000-0000-000013000000}"/>
    <cellStyle name="Comma 3 3 3" xfId="119" xr:uid="{00000000-0005-0000-0000-000019000000}"/>
    <cellStyle name="Comma 3 3 3 2" xfId="152" xr:uid="{00000000-0005-0000-0000-00001A000000}"/>
    <cellStyle name="Comma 3 3 3 2 2" xfId="353" xr:uid="{00000000-0005-0000-0000-00001A000000}"/>
    <cellStyle name="Comma 3 3 3 3" xfId="321" xr:uid="{00000000-0005-0000-0000-000019000000}"/>
    <cellStyle name="Comma 3 3 4" xfId="88" xr:uid="{00000000-0005-0000-0000-00001B000000}"/>
    <cellStyle name="Comma 3 3 4 2" xfId="153" xr:uid="{00000000-0005-0000-0000-00001C000000}"/>
    <cellStyle name="Comma 3 3 4 2 2" xfId="354" xr:uid="{00000000-0005-0000-0000-00001C000000}"/>
    <cellStyle name="Comma 3 3 4 3" xfId="293" xr:uid="{00000000-0005-0000-0000-00001B000000}"/>
    <cellStyle name="Comma 3 3 5" xfId="154" xr:uid="{00000000-0005-0000-0000-00001D000000}"/>
    <cellStyle name="Comma 3 3 5 2" xfId="355" xr:uid="{00000000-0005-0000-0000-00001D000000}"/>
    <cellStyle name="Comma 3 3 6" xfId="264" xr:uid="{00000000-0005-0000-0000-000012000000}"/>
    <cellStyle name="Comma 3 4" xfId="65" xr:uid="{00000000-0005-0000-0000-00001E000000}"/>
    <cellStyle name="Comma 3 4 2" xfId="127" xr:uid="{00000000-0005-0000-0000-00001F000000}"/>
    <cellStyle name="Comma 3 4 2 2" xfId="155" xr:uid="{00000000-0005-0000-0000-000020000000}"/>
    <cellStyle name="Comma 3 4 2 2 2" xfId="356" xr:uid="{00000000-0005-0000-0000-000020000000}"/>
    <cellStyle name="Comma 3 4 2 3" xfId="329" xr:uid="{00000000-0005-0000-0000-00001F000000}"/>
    <cellStyle name="Comma 3 4 3" xfId="98" xr:uid="{00000000-0005-0000-0000-000021000000}"/>
    <cellStyle name="Comma 3 4 3 2" xfId="156" xr:uid="{00000000-0005-0000-0000-000022000000}"/>
    <cellStyle name="Comma 3 4 3 2 2" xfId="357" xr:uid="{00000000-0005-0000-0000-000022000000}"/>
    <cellStyle name="Comma 3 4 3 3" xfId="301" xr:uid="{00000000-0005-0000-0000-000021000000}"/>
    <cellStyle name="Comma 3 4 4" xfId="157" xr:uid="{00000000-0005-0000-0000-000023000000}"/>
    <cellStyle name="Comma 3 4 4 2" xfId="358" xr:uid="{00000000-0005-0000-0000-000023000000}"/>
    <cellStyle name="Comma 3 4 5" xfId="272" xr:uid="{00000000-0005-0000-0000-00001E000000}"/>
    <cellStyle name="Comma 3 5" xfId="113" xr:uid="{00000000-0005-0000-0000-000024000000}"/>
    <cellStyle name="Comma 3 5 2" xfId="158" xr:uid="{00000000-0005-0000-0000-000025000000}"/>
    <cellStyle name="Comma 3 5 2 2" xfId="359" xr:uid="{00000000-0005-0000-0000-000025000000}"/>
    <cellStyle name="Comma 3 5 3" xfId="315" xr:uid="{00000000-0005-0000-0000-000024000000}"/>
    <cellStyle name="Comma 3 6" xfId="82" xr:uid="{00000000-0005-0000-0000-000026000000}"/>
    <cellStyle name="Comma 3 6 2" xfId="159" xr:uid="{00000000-0005-0000-0000-000027000000}"/>
    <cellStyle name="Comma 3 6 2 2" xfId="360" xr:uid="{00000000-0005-0000-0000-000027000000}"/>
    <cellStyle name="Comma 3 6 3" xfId="287" xr:uid="{00000000-0005-0000-0000-000026000000}"/>
    <cellStyle name="Comma 3 7" xfId="160" xr:uid="{00000000-0005-0000-0000-000028000000}"/>
    <cellStyle name="Comma 3 7 2" xfId="361" xr:uid="{00000000-0005-0000-0000-000028000000}"/>
    <cellStyle name="Comma 3 8" xfId="39" xr:uid="{00000000-0005-0000-0000-000005000000}"/>
    <cellStyle name="Comma 3 9" xfId="258" xr:uid="{00000000-0005-0000-0000-000005000000}"/>
    <cellStyle name="Comma 4" xfId="21" xr:uid="{00000000-0005-0000-0000-000043000000}"/>
    <cellStyle name="Comma 4 2" xfId="49" xr:uid="{00000000-0005-0000-0000-000029000000}"/>
    <cellStyle name="Comma 5" xfId="140" xr:uid="{00000000-0005-0000-0000-00002A000000}"/>
    <cellStyle name="Comma 5 2" xfId="161" xr:uid="{00000000-0005-0000-0000-00002B000000}"/>
    <cellStyle name="Comma 5 2 2" xfId="362" xr:uid="{00000000-0005-0000-0000-00002B000000}"/>
    <cellStyle name="Comma 5 3" xfId="342" xr:uid="{00000000-0005-0000-0000-00002A000000}"/>
    <cellStyle name="Comma 6" xfId="8" xr:uid="{AC9C9A61-98CE-4DEC-AADF-7E64486CFCD5}"/>
    <cellStyle name="Comma 6 2" xfId="247" xr:uid="{0644169F-9CE5-4566-B0E7-B2F29ADD4C6B}"/>
    <cellStyle name="Comma 6 3" xfId="239" xr:uid="{00000000-0005-0000-0000-00002C000000}"/>
    <cellStyle name="Comma 7" xfId="15" xr:uid="{D0FE3DC8-C6C9-4339-827C-2B9C9FFF9AA9}"/>
    <cellStyle name="Comma 7 2" xfId="162" xr:uid="{00000000-0005-0000-0000-00002E000000}"/>
    <cellStyle name="Comma 7 2 2" xfId="363" xr:uid="{00000000-0005-0000-0000-00002E000000}"/>
    <cellStyle name="Comma 7 3" xfId="139" xr:uid="{00000000-0005-0000-0000-00002D000000}"/>
    <cellStyle name="Comma 7 4" xfId="341" xr:uid="{00000000-0005-0000-0000-00002D000000}"/>
    <cellStyle name="Currency 2" xfId="22" xr:uid="{00000000-0005-0000-0000-000044000000}"/>
    <cellStyle name="Currency 2 2" xfId="58" xr:uid="{00000000-0005-0000-0000-000031000000}"/>
    <cellStyle name="Currency 2 3" xfId="32" xr:uid="{00000000-0005-0000-0000-000030000000}"/>
    <cellStyle name="Currency 3" xfId="108" xr:uid="{00000000-0005-0000-0000-000032000000}"/>
    <cellStyle name="Currency 4" xfId="240" xr:uid="{00000000-0005-0000-0000-000033000000}"/>
    <cellStyle name="Currency 5" xfId="27" xr:uid="{00000000-0005-0000-0000-00007A000000}"/>
    <cellStyle name="Excel Built-in Calculation" xfId="29" xr:uid="{00000000-0005-0000-0000-000034000000}"/>
    <cellStyle name="Excel Built-in Calculation 2" xfId="77" xr:uid="{00000000-0005-0000-0000-000035000000}"/>
    <cellStyle name="Excel Built-in Calculation 2 2" xfId="163" xr:uid="{00000000-0005-0000-0000-000036000000}"/>
    <cellStyle name="Excel Built-in Calculation 3" xfId="92" xr:uid="{00000000-0005-0000-0000-000037000000}"/>
    <cellStyle name="Excel Built-in Calculation 3 2" xfId="164" xr:uid="{00000000-0005-0000-0000-000038000000}"/>
    <cellStyle name="Excel Built-in Calculation 4" xfId="165" xr:uid="{00000000-0005-0000-0000-000039000000}"/>
    <cellStyle name="Excel Built-in Input" xfId="28" xr:uid="{00000000-0005-0000-0000-00003A000000}"/>
    <cellStyle name="Excel Built-in Input 2" xfId="76" xr:uid="{00000000-0005-0000-0000-00003B000000}"/>
    <cellStyle name="Excel Built-in Input 2 2" xfId="166" xr:uid="{00000000-0005-0000-0000-00003C000000}"/>
    <cellStyle name="Excel Built-in Input 3" xfId="93" xr:uid="{00000000-0005-0000-0000-00003D000000}"/>
    <cellStyle name="Excel Built-in Input 3 2" xfId="167" xr:uid="{00000000-0005-0000-0000-00003E000000}"/>
    <cellStyle name="Excel Built-in Input 4" xfId="168" xr:uid="{00000000-0005-0000-0000-00003F000000}"/>
    <cellStyle name="Excel Built-in Normal" xfId="30" xr:uid="{00000000-0005-0000-0000-000040000000}"/>
    <cellStyle name="Hyperlink" xfId="2" builtinId="8"/>
    <cellStyle name="Hyperlink 10" xfId="439" xr:uid="{E4FD61BD-DABB-463F-8CF4-E3CD32FD9AE6}"/>
    <cellStyle name="Hyperlink 2" xfId="6" xr:uid="{83B9F797-CB60-4859-B11C-1D5D8D1D0C5B}"/>
    <cellStyle name="Hyperlink 2 2" xfId="245" xr:uid="{A4AC93C1-AEE6-47CE-BB54-AC2EB00BBEBB}"/>
    <cellStyle name="Hyperlink 2 3" xfId="44" xr:uid="{00000000-0005-0000-0000-0000DF010000}"/>
    <cellStyle name="Hyperlink 3" xfId="17" xr:uid="{64842589-FC6F-4FB4-A0FE-2E621FD0B41F}"/>
    <cellStyle name="Hyperlink 3 2" xfId="244" xr:uid="{C2AC9ABA-E2B9-4D38-99AC-ECF64C856CDC}"/>
    <cellStyle name="Hyperlink 4" xfId="26" xr:uid="{ADCFF77B-DA25-4014-A025-7C9D29558283}"/>
    <cellStyle name="Ligne détail" xfId="52" xr:uid="{00000000-0005-0000-0000-0000E0010000}"/>
    <cellStyle name="Normal" xfId="0" builtinId="0"/>
    <cellStyle name="Normal 10" xfId="169" xr:uid="{00000000-0005-0000-0000-0000E2010000}"/>
    <cellStyle name="Normal 11" xfId="3" xr:uid="{F9B9D0F9-B6FA-4B2C-9E75-B7B2CD0F9C2D}"/>
    <cellStyle name="Normal 12 2" xfId="440" xr:uid="{71F2574C-1469-49AA-8795-C8B15AD5191E}"/>
    <cellStyle name="Normal 15" xfId="14" xr:uid="{009F7854-8CB0-4453-A205-DFEFD8FC2F31}"/>
    <cellStyle name="Normal 15 2" xfId="241" xr:uid="{00000000-0005-0000-0000-0000E3010000}"/>
    <cellStyle name="Normal 15 3" xfId="432" xr:uid="{00000000-0005-0000-0000-0000E3010000}"/>
    <cellStyle name="Normal 16" xfId="23" xr:uid="{00000000-0005-0000-0000-000025000000}"/>
    <cellStyle name="Normal 17" xfId="242" xr:uid="{00000000-0005-0000-0000-0000E5010000}"/>
    <cellStyle name="Normal 17 2" xfId="433" xr:uid="{00000000-0005-0000-0000-0000E5010000}"/>
    <cellStyle name="Normal 2" xfId="4" xr:uid="{B5255F45-0C7C-4B84-BD9F-EA948BD4EAF8}"/>
    <cellStyle name="Normal 2 2" xfId="35" xr:uid="{00000000-0005-0000-0000-0000E7010000}"/>
    <cellStyle name="Normal 2 2 2" xfId="61" xr:uid="{00000000-0005-0000-0000-0000E8010000}"/>
    <cellStyle name="Normal 3" xfId="16" xr:uid="{38645249-0961-41EF-A56E-3904C99B0268}"/>
    <cellStyle name="Normal 3 2" xfId="55" xr:uid="{00000000-0005-0000-0000-0000EA010000}"/>
    <cellStyle name="Normal 3 3" xfId="57" xr:uid="{00000000-0005-0000-0000-0000EB010000}"/>
    <cellStyle name="Normal 3 4" xfId="31" xr:uid="{00000000-0005-0000-0000-0000E9010000}"/>
    <cellStyle name="Normal 4" xfId="24" xr:uid="{00000000-0005-0000-0000-000046000000}"/>
    <cellStyle name="Normal 4 2" xfId="40" xr:uid="{00000000-0005-0000-0000-0000ED010000}"/>
    <cellStyle name="Normal 4 2 2" xfId="54" xr:uid="{00000000-0005-0000-0000-0000EE010000}"/>
    <cellStyle name="Normal 4 2 2 2" xfId="73" xr:uid="{00000000-0005-0000-0000-0000EF010000}"/>
    <cellStyle name="Normal 4 2 2 2 2" xfId="135" xr:uid="{00000000-0005-0000-0000-0000F0010000}"/>
    <cellStyle name="Normal 4 2 2 2 2 2" xfId="170" xr:uid="{00000000-0005-0000-0000-0000F1010000}"/>
    <cellStyle name="Normal 4 2 2 2 2 2 2" xfId="364" xr:uid="{00000000-0005-0000-0000-0000F1010000}"/>
    <cellStyle name="Normal 4 2 2 2 2 3" xfId="337" xr:uid="{00000000-0005-0000-0000-0000F0010000}"/>
    <cellStyle name="Normal 4 2 2 2 3" xfId="106" xr:uid="{00000000-0005-0000-0000-0000F2010000}"/>
    <cellStyle name="Normal 4 2 2 2 3 2" xfId="171" xr:uid="{00000000-0005-0000-0000-0000F3010000}"/>
    <cellStyle name="Normal 4 2 2 2 3 2 2" xfId="365" xr:uid="{00000000-0005-0000-0000-0000F3010000}"/>
    <cellStyle name="Normal 4 2 2 2 3 3" xfId="309" xr:uid="{00000000-0005-0000-0000-0000F2010000}"/>
    <cellStyle name="Normal 4 2 2 2 4" xfId="172" xr:uid="{00000000-0005-0000-0000-0000F4010000}"/>
    <cellStyle name="Normal 4 2 2 2 4 2" xfId="366" xr:uid="{00000000-0005-0000-0000-0000F4010000}"/>
    <cellStyle name="Normal 4 2 2 2 5" xfId="280" xr:uid="{00000000-0005-0000-0000-0000EF010000}"/>
    <cellStyle name="Normal 4 2 2 3" xfId="121" xr:uid="{00000000-0005-0000-0000-0000F5010000}"/>
    <cellStyle name="Normal 4 2 2 3 2" xfId="173" xr:uid="{00000000-0005-0000-0000-0000F6010000}"/>
    <cellStyle name="Normal 4 2 2 3 2 2" xfId="367" xr:uid="{00000000-0005-0000-0000-0000F6010000}"/>
    <cellStyle name="Normal 4 2 2 3 3" xfId="323" xr:uid="{00000000-0005-0000-0000-0000F5010000}"/>
    <cellStyle name="Normal 4 2 2 4" xfId="90" xr:uid="{00000000-0005-0000-0000-0000F7010000}"/>
    <cellStyle name="Normal 4 2 2 4 2" xfId="174" xr:uid="{00000000-0005-0000-0000-0000F8010000}"/>
    <cellStyle name="Normal 4 2 2 4 2 2" xfId="368" xr:uid="{00000000-0005-0000-0000-0000F8010000}"/>
    <cellStyle name="Normal 4 2 2 4 3" xfId="295" xr:uid="{00000000-0005-0000-0000-0000F7010000}"/>
    <cellStyle name="Normal 4 2 2 5" xfId="175" xr:uid="{00000000-0005-0000-0000-0000F9010000}"/>
    <cellStyle name="Normal 4 2 2 5 2" xfId="369" xr:uid="{00000000-0005-0000-0000-0000F9010000}"/>
    <cellStyle name="Normal 4 2 2 6" xfId="442" xr:uid="{DF9D845F-B678-457B-9C38-F7DEF33626AE}"/>
    <cellStyle name="Normal 4 2 2 7" xfId="266" xr:uid="{00000000-0005-0000-0000-0000EE010000}"/>
    <cellStyle name="Normal 4 2 3" xfId="66" xr:uid="{00000000-0005-0000-0000-0000FA010000}"/>
    <cellStyle name="Normal 4 2 3 2" xfId="128" xr:uid="{00000000-0005-0000-0000-0000FB010000}"/>
    <cellStyle name="Normal 4 2 3 2 2" xfId="176" xr:uid="{00000000-0005-0000-0000-0000FC010000}"/>
    <cellStyle name="Normal 4 2 3 2 2 2" xfId="370" xr:uid="{00000000-0005-0000-0000-0000FC010000}"/>
    <cellStyle name="Normal 4 2 3 2 3" xfId="330" xr:uid="{00000000-0005-0000-0000-0000FB010000}"/>
    <cellStyle name="Normal 4 2 3 3" xfId="99" xr:uid="{00000000-0005-0000-0000-0000FD010000}"/>
    <cellStyle name="Normal 4 2 3 3 2" xfId="177" xr:uid="{00000000-0005-0000-0000-0000FE010000}"/>
    <cellStyle name="Normal 4 2 3 3 2 2" xfId="371" xr:uid="{00000000-0005-0000-0000-0000FE010000}"/>
    <cellStyle name="Normal 4 2 3 3 3" xfId="302" xr:uid="{00000000-0005-0000-0000-0000FD010000}"/>
    <cellStyle name="Normal 4 2 3 4" xfId="178" xr:uid="{00000000-0005-0000-0000-0000FF010000}"/>
    <cellStyle name="Normal 4 2 3 4 2" xfId="372" xr:uid="{00000000-0005-0000-0000-0000FF010000}"/>
    <cellStyle name="Normal 4 2 3 5" xfId="273" xr:uid="{00000000-0005-0000-0000-0000FA010000}"/>
    <cellStyle name="Normal 4 2 4" xfId="114" xr:uid="{00000000-0005-0000-0000-000000020000}"/>
    <cellStyle name="Normal 4 2 4 2" xfId="179" xr:uid="{00000000-0005-0000-0000-000001020000}"/>
    <cellStyle name="Normal 4 2 4 2 2" xfId="373" xr:uid="{00000000-0005-0000-0000-000001020000}"/>
    <cellStyle name="Normal 4 2 4 3" xfId="316" xr:uid="{00000000-0005-0000-0000-000000020000}"/>
    <cellStyle name="Normal 4 2 5" xfId="83" xr:uid="{00000000-0005-0000-0000-000002020000}"/>
    <cellStyle name="Normal 4 2 5 2" xfId="180" xr:uid="{00000000-0005-0000-0000-000003020000}"/>
    <cellStyle name="Normal 4 2 5 2 2" xfId="374" xr:uid="{00000000-0005-0000-0000-000003020000}"/>
    <cellStyle name="Normal 4 2 5 3" xfId="288" xr:uid="{00000000-0005-0000-0000-000002020000}"/>
    <cellStyle name="Normal 4 2 6" xfId="181" xr:uid="{00000000-0005-0000-0000-000004020000}"/>
    <cellStyle name="Normal 4 2 6 2" xfId="375" xr:uid="{00000000-0005-0000-0000-000004020000}"/>
    <cellStyle name="Normal 4 2 7" xfId="259" xr:uid="{00000000-0005-0000-0000-0000ED010000}"/>
    <cellStyle name="Normal 4 3" xfId="60" xr:uid="{00000000-0005-0000-0000-000005020000}"/>
    <cellStyle name="Normal 4 3 2" xfId="123" xr:uid="{00000000-0005-0000-0000-000006020000}"/>
    <cellStyle name="Normal 4 3 2 2" xfId="182" xr:uid="{00000000-0005-0000-0000-000007020000}"/>
    <cellStyle name="Normal 4 3 2 2 2" xfId="376" xr:uid="{00000000-0005-0000-0000-000007020000}"/>
    <cellStyle name="Normal 4 3 2 3" xfId="325" xr:uid="{00000000-0005-0000-0000-000006020000}"/>
    <cellStyle name="Normal 4 3 3" xfId="94" xr:uid="{00000000-0005-0000-0000-000008020000}"/>
    <cellStyle name="Normal 4 3 3 2" xfId="183" xr:uid="{00000000-0005-0000-0000-000009020000}"/>
    <cellStyle name="Normal 4 3 3 2 2" xfId="377" xr:uid="{00000000-0005-0000-0000-000009020000}"/>
    <cellStyle name="Normal 4 3 3 3" xfId="297" xr:uid="{00000000-0005-0000-0000-000008020000}"/>
    <cellStyle name="Normal 4 3 4" xfId="184" xr:uid="{00000000-0005-0000-0000-00000A020000}"/>
    <cellStyle name="Normal 4 3 4 2" xfId="378" xr:uid="{00000000-0005-0000-0000-00000A020000}"/>
    <cellStyle name="Normal 4 3 5" xfId="268" xr:uid="{00000000-0005-0000-0000-000005020000}"/>
    <cellStyle name="Normal 4 4" xfId="109" xr:uid="{00000000-0005-0000-0000-00000B020000}"/>
    <cellStyle name="Normal 4 4 2" xfId="185" xr:uid="{00000000-0005-0000-0000-00000C020000}"/>
    <cellStyle name="Normal 4 4 2 2" xfId="379" xr:uid="{00000000-0005-0000-0000-00000C020000}"/>
    <cellStyle name="Normal 4 4 3" xfId="311" xr:uid="{00000000-0005-0000-0000-00000B020000}"/>
    <cellStyle name="Normal 4 5" xfId="78" xr:uid="{00000000-0005-0000-0000-00000D020000}"/>
    <cellStyle name="Normal 4 5 2" xfId="186" xr:uid="{00000000-0005-0000-0000-00000E020000}"/>
    <cellStyle name="Normal 4 5 2 2" xfId="380" xr:uid="{00000000-0005-0000-0000-00000E020000}"/>
    <cellStyle name="Normal 4 5 3" xfId="283" xr:uid="{00000000-0005-0000-0000-00000D020000}"/>
    <cellStyle name="Normal 4 6" xfId="187" xr:uid="{00000000-0005-0000-0000-00000F020000}"/>
    <cellStyle name="Normal 4 6 2" xfId="381" xr:uid="{00000000-0005-0000-0000-00000F020000}"/>
    <cellStyle name="Normal 4 7" xfId="34" xr:uid="{00000000-0005-0000-0000-0000EC010000}"/>
    <cellStyle name="Normal 4 8" xfId="254" xr:uid="{00000000-0005-0000-0000-0000EC010000}"/>
    <cellStyle name="Normal 5" xfId="37" xr:uid="{00000000-0005-0000-0000-000010020000}"/>
    <cellStyle name="Normal 5 2" xfId="41" xr:uid="{00000000-0005-0000-0000-000011020000}"/>
    <cellStyle name="Normal 5 2 2" xfId="67" xr:uid="{00000000-0005-0000-0000-000012020000}"/>
    <cellStyle name="Normal 5 2 2 2" xfId="129" xr:uid="{00000000-0005-0000-0000-000013020000}"/>
    <cellStyle name="Normal 5 2 2 2 2" xfId="188" xr:uid="{00000000-0005-0000-0000-000014020000}"/>
    <cellStyle name="Normal 5 2 2 2 2 2" xfId="382" xr:uid="{00000000-0005-0000-0000-000014020000}"/>
    <cellStyle name="Normal 5 2 2 2 3" xfId="331" xr:uid="{00000000-0005-0000-0000-000013020000}"/>
    <cellStyle name="Normal 5 2 2 3" xfId="100" xr:uid="{00000000-0005-0000-0000-000015020000}"/>
    <cellStyle name="Normal 5 2 2 3 2" xfId="189" xr:uid="{00000000-0005-0000-0000-000016020000}"/>
    <cellStyle name="Normal 5 2 2 3 2 2" xfId="383" xr:uid="{00000000-0005-0000-0000-000016020000}"/>
    <cellStyle name="Normal 5 2 2 3 3" xfId="303" xr:uid="{00000000-0005-0000-0000-000015020000}"/>
    <cellStyle name="Normal 5 2 2 4" xfId="190" xr:uid="{00000000-0005-0000-0000-000017020000}"/>
    <cellStyle name="Normal 5 2 2 4 2" xfId="384" xr:uid="{00000000-0005-0000-0000-000017020000}"/>
    <cellStyle name="Normal 5 2 2 5" xfId="274" xr:uid="{00000000-0005-0000-0000-000012020000}"/>
    <cellStyle name="Normal 5 2 3" xfId="115" xr:uid="{00000000-0005-0000-0000-000018020000}"/>
    <cellStyle name="Normal 5 2 3 2" xfId="191" xr:uid="{00000000-0005-0000-0000-000019020000}"/>
    <cellStyle name="Normal 5 2 3 2 2" xfId="385" xr:uid="{00000000-0005-0000-0000-000019020000}"/>
    <cellStyle name="Normal 5 2 3 3" xfId="317" xr:uid="{00000000-0005-0000-0000-000018020000}"/>
    <cellStyle name="Normal 5 2 4" xfId="84" xr:uid="{00000000-0005-0000-0000-00001A020000}"/>
    <cellStyle name="Normal 5 2 4 2" xfId="192" xr:uid="{00000000-0005-0000-0000-00001B020000}"/>
    <cellStyle name="Normal 5 2 4 2 2" xfId="386" xr:uid="{00000000-0005-0000-0000-00001B020000}"/>
    <cellStyle name="Normal 5 2 4 3" xfId="289" xr:uid="{00000000-0005-0000-0000-00001A020000}"/>
    <cellStyle name="Normal 5 2 5" xfId="193" xr:uid="{00000000-0005-0000-0000-00001C020000}"/>
    <cellStyle name="Normal 5 2 5 2" xfId="387" xr:uid="{00000000-0005-0000-0000-00001C020000}"/>
    <cellStyle name="Normal 5 2 6" xfId="260" xr:uid="{00000000-0005-0000-0000-000011020000}"/>
    <cellStyle name="Normal 5 3" xfId="46" xr:uid="{00000000-0005-0000-0000-00001D020000}"/>
    <cellStyle name="Normal 5 3 2" xfId="70" xr:uid="{00000000-0005-0000-0000-00001E020000}"/>
    <cellStyle name="Normal 5 3 2 2" xfId="132" xr:uid="{00000000-0005-0000-0000-00001F020000}"/>
    <cellStyle name="Normal 5 3 2 2 2" xfId="194" xr:uid="{00000000-0005-0000-0000-000020020000}"/>
    <cellStyle name="Normal 5 3 2 2 2 2" xfId="388" xr:uid="{00000000-0005-0000-0000-000020020000}"/>
    <cellStyle name="Normal 5 3 2 2 3" xfId="334" xr:uid="{00000000-0005-0000-0000-00001F020000}"/>
    <cellStyle name="Normal 5 3 2 3" xfId="103" xr:uid="{00000000-0005-0000-0000-000021020000}"/>
    <cellStyle name="Normal 5 3 2 3 2" xfId="195" xr:uid="{00000000-0005-0000-0000-000022020000}"/>
    <cellStyle name="Normal 5 3 2 3 2 2" xfId="389" xr:uid="{00000000-0005-0000-0000-000022020000}"/>
    <cellStyle name="Normal 5 3 2 3 3" xfId="306" xr:uid="{00000000-0005-0000-0000-000021020000}"/>
    <cellStyle name="Normal 5 3 2 4" xfId="196" xr:uid="{00000000-0005-0000-0000-000023020000}"/>
    <cellStyle name="Normal 5 3 2 4 2" xfId="390" xr:uid="{00000000-0005-0000-0000-000023020000}"/>
    <cellStyle name="Normal 5 3 2 5" xfId="277" xr:uid="{00000000-0005-0000-0000-00001E020000}"/>
    <cellStyle name="Normal 5 3 3" xfId="118" xr:uid="{00000000-0005-0000-0000-000024020000}"/>
    <cellStyle name="Normal 5 3 3 2" xfId="197" xr:uid="{00000000-0005-0000-0000-000025020000}"/>
    <cellStyle name="Normal 5 3 3 2 2" xfId="391" xr:uid="{00000000-0005-0000-0000-000025020000}"/>
    <cellStyle name="Normal 5 3 3 3" xfId="320" xr:uid="{00000000-0005-0000-0000-000024020000}"/>
    <cellStyle name="Normal 5 3 4" xfId="87" xr:uid="{00000000-0005-0000-0000-000026020000}"/>
    <cellStyle name="Normal 5 3 4 2" xfId="198" xr:uid="{00000000-0005-0000-0000-000027020000}"/>
    <cellStyle name="Normal 5 3 4 2 2" xfId="392" xr:uid="{00000000-0005-0000-0000-000027020000}"/>
    <cellStyle name="Normal 5 3 4 3" xfId="292" xr:uid="{00000000-0005-0000-0000-000026020000}"/>
    <cellStyle name="Normal 5 3 5" xfId="199" xr:uid="{00000000-0005-0000-0000-000028020000}"/>
    <cellStyle name="Normal 5 3 5 2" xfId="393" xr:uid="{00000000-0005-0000-0000-000028020000}"/>
    <cellStyle name="Normal 5 3 6" xfId="263" xr:uid="{00000000-0005-0000-0000-00001D020000}"/>
    <cellStyle name="Normal 5 4" xfId="63" xr:uid="{00000000-0005-0000-0000-000029020000}"/>
    <cellStyle name="Normal 5 4 2" xfId="125" xr:uid="{00000000-0005-0000-0000-00002A020000}"/>
    <cellStyle name="Normal 5 4 2 2" xfId="200" xr:uid="{00000000-0005-0000-0000-00002B020000}"/>
    <cellStyle name="Normal 5 4 2 2 2" xfId="394" xr:uid="{00000000-0005-0000-0000-00002B020000}"/>
    <cellStyle name="Normal 5 4 2 3" xfId="327" xr:uid="{00000000-0005-0000-0000-00002A020000}"/>
    <cellStyle name="Normal 5 4 3" xfId="96" xr:uid="{00000000-0005-0000-0000-00002C020000}"/>
    <cellStyle name="Normal 5 4 3 2" xfId="201" xr:uid="{00000000-0005-0000-0000-00002D020000}"/>
    <cellStyle name="Normal 5 4 3 2 2" xfId="395" xr:uid="{00000000-0005-0000-0000-00002D020000}"/>
    <cellStyle name="Normal 5 4 3 3" xfId="299" xr:uid="{00000000-0005-0000-0000-00002C020000}"/>
    <cellStyle name="Normal 5 4 4" xfId="202" xr:uid="{00000000-0005-0000-0000-00002E020000}"/>
    <cellStyle name="Normal 5 4 4 2" xfId="396" xr:uid="{00000000-0005-0000-0000-00002E020000}"/>
    <cellStyle name="Normal 5 4 5" xfId="270" xr:uid="{00000000-0005-0000-0000-000029020000}"/>
    <cellStyle name="Normal 5 5" xfId="111" xr:uid="{00000000-0005-0000-0000-00002F020000}"/>
    <cellStyle name="Normal 5 5 2" xfId="203" xr:uid="{00000000-0005-0000-0000-000030020000}"/>
    <cellStyle name="Normal 5 5 2 2" xfId="397" xr:uid="{00000000-0005-0000-0000-000030020000}"/>
    <cellStyle name="Normal 5 5 3" xfId="313" xr:uid="{00000000-0005-0000-0000-00002F020000}"/>
    <cellStyle name="Normal 5 6" xfId="80" xr:uid="{00000000-0005-0000-0000-000031020000}"/>
    <cellStyle name="Normal 5 6 2" xfId="204" xr:uid="{00000000-0005-0000-0000-000032020000}"/>
    <cellStyle name="Normal 5 6 2 2" xfId="398" xr:uid="{00000000-0005-0000-0000-000032020000}"/>
    <cellStyle name="Normal 5 6 3" xfId="285" xr:uid="{00000000-0005-0000-0000-000031020000}"/>
    <cellStyle name="Normal 5 7" xfId="205" xr:uid="{00000000-0005-0000-0000-000033020000}"/>
    <cellStyle name="Normal 5 7 2" xfId="399" xr:uid="{00000000-0005-0000-0000-000033020000}"/>
    <cellStyle name="Normal 5 8" xfId="256" xr:uid="{00000000-0005-0000-0000-000010020000}"/>
    <cellStyle name="Normal 6" xfId="43" xr:uid="{00000000-0005-0000-0000-000034020000}"/>
    <cellStyle name="Normal 6 2" xfId="69" xr:uid="{00000000-0005-0000-0000-000035020000}"/>
    <cellStyle name="Normal 6 2 2" xfId="131" xr:uid="{00000000-0005-0000-0000-000036020000}"/>
    <cellStyle name="Normal 6 2 2 2" xfId="206" xr:uid="{00000000-0005-0000-0000-000037020000}"/>
    <cellStyle name="Normal 6 2 2 2 2" xfId="400" xr:uid="{00000000-0005-0000-0000-000037020000}"/>
    <cellStyle name="Normal 6 2 2 3" xfId="333" xr:uid="{00000000-0005-0000-0000-000036020000}"/>
    <cellStyle name="Normal 6 2 3" xfId="102" xr:uid="{00000000-0005-0000-0000-000038020000}"/>
    <cellStyle name="Normal 6 2 3 2" xfId="207" xr:uid="{00000000-0005-0000-0000-000039020000}"/>
    <cellStyle name="Normal 6 2 3 2 2" xfId="401" xr:uid="{00000000-0005-0000-0000-000039020000}"/>
    <cellStyle name="Normal 6 2 3 3" xfId="305" xr:uid="{00000000-0005-0000-0000-000038020000}"/>
    <cellStyle name="Normal 6 2 4" xfId="208" xr:uid="{00000000-0005-0000-0000-00003A020000}"/>
    <cellStyle name="Normal 6 2 4 2" xfId="402" xr:uid="{00000000-0005-0000-0000-00003A020000}"/>
    <cellStyle name="Normal 6 2 5" xfId="276" xr:uid="{00000000-0005-0000-0000-000035020000}"/>
    <cellStyle name="Normal 6 3" xfId="56" xr:uid="{00000000-0005-0000-0000-00003B020000}"/>
    <cellStyle name="Normal 6 3 2" xfId="74" xr:uid="{00000000-0005-0000-0000-00003C020000}"/>
    <cellStyle name="Normal 6 3 2 2" xfId="136" xr:uid="{00000000-0005-0000-0000-00003D020000}"/>
    <cellStyle name="Normal 6 3 2 2 2" xfId="209" xr:uid="{00000000-0005-0000-0000-00003E020000}"/>
    <cellStyle name="Normal 6 3 2 2 2 2" xfId="403" xr:uid="{00000000-0005-0000-0000-00003E020000}"/>
    <cellStyle name="Normal 6 3 2 2 3" xfId="338" xr:uid="{00000000-0005-0000-0000-00003D020000}"/>
    <cellStyle name="Normal 6 3 2 3" xfId="107" xr:uid="{00000000-0005-0000-0000-00003F020000}"/>
    <cellStyle name="Normal 6 3 2 3 2" xfId="210" xr:uid="{00000000-0005-0000-0000-000040020000}"/>
    <cellStyle name="Normal 6 3 2 3 2 2" xfId="404" xr:uid="{00000000-0005-0000-0000-000040020000}"/>
    <cellStyle name="Normal 6 3 2 3 3" xfId="310" xr:uid="{00000000-0005-0000-0000-00003F020000}"/>
    <cellStyle name="Normal 6 3 2 4" xfId="211" xr:uid="{00000000-0005-0000-0000-000041020000}"/>
    <cellStyle name="Normal 6 3 2 4 2" xfId="405" xr:uid="{00000000-0005-0000-0000-000041020000}"/>
    <cellStyle name="Normal 6 3 2 5" xfId="281" xr:uid="{00000000-0005-0000-0000-00003C020000}"/>
    <cellStyle name="Normal 6 3 3" xfId="122" xr:uid="{00000000-0005-0000-0000-000042020000}"/>
    <cellStyle name="Normal 6 3 3 2" xfId="212" xr:uid="{00000000-0005-0000-0000-000043020000}"/>
    <cellStyle name="Normal 6 3 3 2 2" xfId="406" xr:uid="{00000000-0005-0000-0000-000043020000}"/>
    <cellStyle name="Normal 6 3 3 3" xfId="324" xr:uid="{00000000-0005-0000-0000-000042020000}"/>
    <cellStyle name="Normal 6 3 4" xfId="91" xr:uid="{00000000-0005-0000-0000-000044020000}"/>
    <cellStyle name="Normal 6 3 4 2" xfId="213" xr:uid="{00000000-0005-0000-0000-000045020000}"/>
    <cellStyle name="Normal 6 3 4 2 2" xfId="407" xr:uid="{00000000-0005-0000-0000-000045020000}"/>
    <cellStyle name="Normal 6 3 4 3" xfId="296" xr:uid="{00000000-0005-0000-0000-000044020000}"/>
    <cellStyle name="Normal 6 3 5" xfId="214" xr:uid="{00000000-0005-0000-0000-000046020000}"/>
    <cellStyle name="Normal 6 3 5 2" xfId="408" xr:uid="{00000000-0005-0000-0000-000046020000}"/>
    <cellStyle name="Normal 6 3 6" xfId="267" xr:uid="{00000000-0005-0000-0000-00003B020000}"/>
    <cellStyle name="Normal 6 4" xfId="117" xr:uid="{00000000-0005-0000-0000-000047020000}"/>
    <cellStyle name="Normal 6 4 2" xfId="215" xr:uid="{00000000-0005-0000-0000-000048020000}"/>
    <cellStyle name="Normal 6 4 2 2" xfId="409" xr:uid="{00000000-0005-0000-0000-000048020000}"/>
    <cellStyle name="Normal 6 4 3" xfId="319" xr:uid="{00000000-0005-0000-0000-000047020000}"/>
    <cellStyle name="Normal 6 5" xfId="86" xr:uid="{00000000-0005-0000-0000-000049020000}"/>
    <cellStyle name="Normal 6 5 2" xfId="216" xr:uid="{00000000-0005-0000-0000-00004A020000}"/>
    <cellStyle name="Normal 6 5 2 2" xfId="410" xr:uid="{00000000-0005-0000-0000-00004A020000}"/>
    <cellStyle name="Normal 6 5 3" xfId="291" xr:uid="{00000000-0005-0000-0000-000049020000}"/>
    <cellStyle name="Normal 6 6" xfId="141" xr:uid="{00000000-0005-0000-0000-00004B020000}"/>
    <cellStyle name="Normal 6 6 2" xfId="343" xr:uid="{00000000-0005-0000-0000-00004B020000}"/>
    <cellStyle name="Normal 6 7" xfId="262" xr:uid="{00000000-0005-0000-0000-000034020000}"/>
    <cellStyle name="Normal 7" xfId="48" xr:uid="{00000000-0005-0000-0000-00004C020000}"/>
    <cellStyle name="Normal 7 2" xfId="51" xr:uid="{00000000-0005-0000-0000-00004D020000}"/>
    <cellStyle name="Normal 7 2 2" xfId="72" xr:uid="{00000000-0005-0000-0000-00004E020000}"/>
    <cellStyle name="Normal 7 2 2 2" xfId="134" xr:uid="{00000000-0005-0000-0000-00004F020000}"/>
    <cellStyle name="Normal 7 2 2 2 2" xfId="217" xr:uid="{00000000-0005-0000-0000-000050020000}"/>
    <cellStyle name="Normal 7 2 2 2 2 2" xfId="411" xr:uid="{00000000-0005-0000-0000-000050020000}"/>
    <cellStyle name="Normal 7 2 2 2 3" xfId="336" xr:uid="{00000000-0005-0000-0000-00004F020000}"/>
    <cellStyle name="Normal 7 2 2 3" xfId="105" xr:uid="{00000000-0005-0000-0000-000051020000}"/>
    <cellStyle name="Normal 7 2 2 3 2" xfId="218" xr:uid="{00000000-0005-0000-0000-000052020000}"/>
    <cellStyle name="Normal 7 2 2 3 2 2" xfId="412" xr:uid="{00000000-0005-0000-0000-000052020000}"/>
    <cellStyle name="Normal 7 2 2 3 3" xfId="308" xr:uid="{00000000-0005-0000-0000-000051020000}"/>
    <cellStyle name="Normal 7 2 2 4" xfId="219" xr:uid="{00000000-0005-0000-0000-000053020000}"/>
    <cellStyle name="Normal 7 2 2 4 2" xfId="413" xr:uid="{00000000-0005-0000-0000-000053020000}"/>
    <cellStyle name="Normal 7 2 2 5" xfId="279" xr:uid="{00000000-0005-0000-0000-00004E020000}"/>
    <cellStyle name="Normal 7 2 3" xfId="120" xr:uid="{00000000-0005-0000-0000-000054020000}"/>
    <cellStyle name="Normal 7 2 3 2" xfId="220" xr:uid="{00000000-0005-0000-0000-000055020000}"/>
    <cellStyle name="Normal 7 2 3 2 2" xfId="414" xr:uid="{00000000-0005-0000-0000-000055020000}"/>
    <cellStyle name="Normal 7 2 3 3" xfId="322" xr:uid="{00000000-0005-0000-0000-000054020000}"/>
    <cellStyle name="Normal 7 2 4" xfId="89" xr:uid="{00000000-0005-0000-0000-000056020000}"/>
    <cellStyle name="Normal 7 2 4 2" xfId="221" xr:uid="{00000000-0005-0000-0000-000057020000}"/>
    <cellStyle name="Normal 7 2 4 2 2" xfId="415" xr:uid="{00000000-0005-0000-0000-000057020000}"/>
    <cellStyle name="Normal 7 2 4 3" xfId="294" xr:uid="{00000000-0005-0000-0000-000056020000}"/>
    <cellStyle name="Normal 7 2 5" xfId="222" xr:uid="{00000000-0005-0000-0000-000058020000}"/>
    <cellStyle name="Normal 7 2 5 2" xfId="416" xr:uid="{00000000-0005-0000-0000-000058020000}"/>
    <cellStyle name="Normal 7 2 6" xfId="265" xr:uid="{00000000-0005-0000-0000-00004D020000}"/>
    <cellStyle name="Normal 8" xfId="75" xr:uid="{00000000-0005-0000-0000-000059020000}"/>
    <cellStyle name="Normal 8 2" xfId="20" xr:uid="{4A177286-B770-4B3E-AA1B-EB155C683C7E}"/>
    <cellStyle name="Normal 8 2 2" xfId="223" xr:uid="{00000000-0005-0000-0000-00005B020000}"/>
    <cellStyle name="Normal 8 2 2 2" xfId="417" xr:uid="{00000000-0005-0000-0000-00005B020000}"/>
    <cellStyle name="Normal 8 2 3" xfId="137" xr:uid="{00000000-0005-0000-0000-00005A020000}"/>
    <cellStyle name="Normal 8 2 4" xfId="339" xr:uid="{00000000-0005-0000-0000-00005A020000}"/>
    <cellStyle name="Normal 8 3" xfId="7" xr:uid="{0F85C17A-2BD4-499D-8BE2-37EF2D57EDAE}"/>
    <cellStyle name="Normal 8 3 2" xfId="246" xr:uid="{1C16A301-3063-4236-82DF-9A0675580EF9}"/>
    <cellStyle name="Normal 8 3 2 2" xfId="434" xr:uid="{1C16A301-3063-4236-82DF-9A0675580EF9}"/>
    <cellStyle name="Normal 8 3 3" xfId="224" xr:uid="{00000000-0005-0000-0000-00005C020000}"/>
    <cellStyle name="Normal 8 3 3 2" xfId="441" xr:uid="{F05F1C59-ED20-458E-81C8-69AE5537A661}"/>
    <cellStyle name="Normal 8 3 4" xfId="418" xr:uid="{00000000-0005-0000-0000-00005C020000}"/>
    <cellStyle name="Normal 8 4" xfId="282" xr:uid="{00000000-0005-0000-0000-000059020000}"/>
    <cellStyle name="Normal 9" xfId="138" xr:uid="{00000000-0005-0000-0000-00005D020000}"/>
    <cellStyle name="Normal 9 2" xfId="13" xr:uid="{FA19CC39-F972-48AF-8E1B-0AB080E230A6}"/>
    <cellStyle name="Normal 9 2 2" xfId="19" xr:uid="{68ED7CA6-B381-4B35-B379-2913FD029D5B}"/>
    <cellStyle name="Normal 9 2 2 2" xfId="252" xr:uid="{10783C11-B7E3-4B0F-8621-6FE08A347EEF}"/>
    <cellStyle name="Normal 9 2 2 2 2" xfId="444" xr:uid="{EAB59F99-0BE6-4F5C-B5B4-CC7584A9EBAC}"/>
    <cellStyle name="Normal 9 2 2 3" xfId="437" xr:uid="{10783C11-B7E3-4B0F-8621-6FE08A347EEF}"/>
    <cellStyle name="Normal 9 2 3" xfId="225" xr:uid="{00000000-0005-0000-0000-00005E020000}"/>
    <cellStyle name="Normal 9 2 4" xfId="419" xr:uid="{00000000-0005-0000-0000-00005E020000}"/>
    <cellStyle name="Normal 9 3" xfId="443" xr:uid="{3126B98E-79D0-49E8-A430-AD18D9DAFCDF}"/>
    <cellStyle name="Normal 9 4" xfId="340" xr:uid="{00000000-0005-0000-0000-00005D020000}"/>
    <cellStyle name="Percent 11" xfId="10" xr:uid="{480D4B9D-268A-478C-B712-79B5BF75FC05}"/>
    <cellStyle name="Percent 11 2" xfId="249" xr:uid="{6623752E-B0AB-4372-A1B8-95B3E385098B}"/>
    <cellStyle name="Percent 11 3" xfId="436" xr:uid="{6623752E-B0AB-4372-A1B8-95B3E385098B}"/>
    <cellStyle name="Percent 2" xfId="12" xr:uid="{53472B49-960C-4C2A-A7C7-1F6BAE66046B}"/>
    <cellStyle name="Percent 2 2" xfId="62" xr:uid="{00000000-0005-0000-0000-000061020000}"/>
    <cellStyle name="Percent 2 2 2" xfId="124" xr:uid="{00000000-0005-0000-0000-000062020000}"/>
    <cellStyle name="Percent 2 2 2 2" xfId="226" xr:uid="{00000000-0005-0000-0000-000063020000}"/>
    <cellStyle name="Percent 2 2 2 2 2" xfId="420" xr:uid="{00000000-0005-0000-0000-000063020000}"/>
    <cellStyle name="Percent 2 2 2 3" xfId="326" xr:uid="{00000000-0005-0000-0000-000062020000}"/>
    <cellStyle name="Percent 2 2 3" xfId="95" xr:uid="{00000000-0005-0000-0000-000064020000}"/>
    <cellStyle name="Percent 2 2 3 2" xfId="227" xr:uid="{00000000-0005-0000-0000-000065020000}"/>
    <cellStyle name="Percent 2 2 3 2 2" xfId="421" xr:uid="{00000000-0005-0000-0000-000065020000}"/>
    <cellStyle name="Percent 2 2 3 3" xfId="298" xr:uid="{00000000-0005-0000-0000-000064020000}"/>
    <cellStyle name="Percent 2 2 4" xfId="228" xr:uid="{00000000-0005-0000-0000-000066020000}"/>
    <cellStyle name="Percent 2 2 4 2" xfId="422" xr:uid="{00000000-0005-0000-0000-000066020000}"/>
    <cellStyle name="Percent 2 2 5" xfId="269" xr:uid="{00000000-0005-0000-0000-000061020000}"/>
    <cellStyle name="Percent 2 3" xfId="110" xr:uid="{00000000-0005-0000-0000-000067020000}"/>
    <cellStyle name="Percent 2 3 2" xfId="229" xr:uid="{00000000-0005-0000-0000-000068020000}"/>
    <cellStyle name="Percent 2 3 2 2" xfId="423" xr:uid="{00000000-0005-0000-0000-000068020000}"/>
    <cellStyle name="Percent 2 3 3" xfId="312" xr:uid="{00000000-0005-0000-0000-000067020000}"/>
    <cellStyle name="Percent 2 4" xfId="79" xr:uid="{00000000-0005-0000-0000-000069020000}"/>
    <cellStyle name="Percent 2 4 2" xfId="230" xr:uid="{00000000-0005-0000-0000-00006A020000}"/>
    <cellStyle name="Percent 2 4 2 2" xfId="424" xr:uid="{00000000-0005-0000-0000-00006A020000}"/>
    <cellStyle name="Percent 2 4 3" xfId="284" xr:uid="{00000000-0005-0000-0000-000069020000}"/>
    <cellStyle name="Percent 2 5" xfId="231" xr:uid="{00000000-0005-0000-0000-00006B020000}"/>
    <cellStyle name="Percent 2 5 2" xfId="425" xr:uid="{00000000-0005-0000-0000-00006B020000}"/>
    <cellStyle name="Percent 2 6" xfId="251" xr:uid="{B6DE2A19-16D0-4524-9F6B-513CB29DA2A7}"/>
    <cellStyle name="Percent 2 7" xfId="36" xr:uid="{00000000-0005-0000-0000-000060020000}"/>
    <cellStyle name="Percent 2 8" xfId="255" xr:uid="{00000000-0005-0000-0000-000060020000}"/>
    <cellStyle name="Percent 3" xfId="25" xr:uid="{00000000-0005-0000-0000-000047000000}"/>
    <cellStyle name="Percent 3 2" xfId="64" xr:uid="{00000000-0005-0000-0000-00006D020000}"/>
    <cellStyle name="Percent 3 2 2" xfId="126" xr:uid="{00000000-0005-0000-0000-00006E020000}"/>
    <cellStyle name="Percent 3 2 2 2" xfId="232" xr:uid="{00000000-0005-0000-0000-00006F020000}"/>
    <cellStyle name="Percent 3 2 2 2 2" xfId="426" xr:uid="{00000000-0005-0000-0000-00006F020000}"/>
    <cellStyle name="Percent 3 2 2 3" xfId="328" xr:uid="{00000000-0005-0000-0000-00006E020000}"/>
    <cellStyle name="Percent 3 2 3" xfId="97" xr:uid="{00000000-0005-0000-0000-000070020000}"/>
    <cellStyle name="Percent 3 2 3 2" xfId="233" xr:uid="{00000000-0005-0000-0000-000071020000}"/>
    <cellStyle name="Percent 3 2 3 2 2" xfId="427" xr:uid="{00000000-0005-0000-0000-000071020000}"/>
    <cellStyle name="Percent 3 2 3 3" xfId="300" xr:uid="{00000000-0005-0000-0000-000070020000}"/>
    <cellStyle name="Percent 3 2 4" xfId="234" xr:uid="{00000000-0005-0000-0000-000072020000}"/>
    <cellStyle name="Percent 3 2 4 2" xfId="428" xr:uid="{00000000-0005-0000-0000-000072020000}"/>
    <cellStyle name="Percent 3 2 5" xfId="271" xr:uid="{00000000-0005-0000-0000-00006D020000}"/>
    <cellStyle name="Percent 3 3" xfId="112" xr:uid="{00000000-0005-0000-0000-000073020000}"/>
    <cellStyle name="Percent 3 3 2" xfId="235" xr:uid="{00000000-0005-0000-0000-000074020000}"/>
    <cellStyle name="Percent 3 3 2 2" xfId="429" xr:uid="{00000000-0005-0000-0000-000074020000}"/>
    <cellStyle name="Percent 3 3 3" xfId="314" xr:uid="{00000000-0005-0000-0000-000073020000}"/>
    <cellStyle name="Percent 3 4" xfId="81" xr:uid="{00000000-0005-0000-0000-000075020000}"/>
    <cellStyle name="Percent 3 4 2" xfId="236" xr:uid="{00000000-0005-0000-0000-000076020000}"/>
    <cellStyle name="Percent 3 4 2 2" xfId="430" xr:uid="{00000000-0005-0000-0000-000076020000}"/>
    <cellStyle name="Percent 3 4 3" xfId="286" xr:uid="{00000000-0005-0000-0000-000075020000}"/>
    <cellStyle name="Percent 3 5" xfId="237" xr:uid="{00000000-0005-0000-0000-000077020000}"/>
    <cellStyle name="Percent 3 5 2" xfId="431" xr:uid="{00000000-0005-0000-0000-000077020000}"/>
    <cellStyle name="Percent 3 6" xfId="38" xr:uid="{00000000-0005-0000-0000-00006C020000}"/>
    <cellStyle name="Percent 3 7" xfId="257" xr:uid="{00000000-0005-0000-0000-00006C020000}"/>
    <cellStyle name="Percent 4" xfId="50" xr:uid="{00000000-0005-0000-0000-000078020000}"/>
    <cellStyle name="Percent 5" xfId="243" xr:uid="{00000000-0005-0000-0000-000079020000}"/>
    <cellStyle name="Percent 5 2" xfId="9" xr:uid="{4253C2E4-788B-479D-B842-126C7657A99C}"/>
    <cellStyle name="Percent 5 2 2" xfId="248" xr:uid="{FB3A7186-EE64-4E19-B2EA-090E360AF929}"/>
    <cellStyle name="Percent 5 2 3" xfId="435" xr:uid="{FB3A7186-EE64-4E19-B2EA-090E360AF929}"/>
    <cellStyle name="Percent 7" xfId="5" xr:uid="{A34D34D2-CC21-489E-B04C-7FF2A7B5B8B8}"/>
    <cellStyle name="Titre colonnes" xfId="53" xr:uid="{00000000-0005-0000-0000-00007A020000}"/>
    <cellStyle name="Titre lignes" xfId="45" xr:uid="{00000000-0005-0000-0000-00007B020000}"/>
  </cellStyles>
  <dxfs count="193">
    <dxf>
      <font>
        <color theme="3" tint="0.59999389629810485"/>
      </font>
      <fill>
        <patternFill patternType="none">
          <fgColor indexed="64"/>
          <bgColor auto="1"/>
        </patternFill>
      </fill>
    </dxf>
    <dxf>
      <font>
        <color theme="3" tint="0.59999389629810485"/>
      </font>
      <fill>
        <patternFill patternType="none">
          <fgColor indexed="64"/>
          <bgColor auto="1"/>
        </patternFill>
      </fill>
    </dxf>
    <dxf>
      <font>
        <color theme="3" tint="0.59999389629810485"/>
      </font>
      <fill>
        <patternFill patternType="none">
          <fgColor indexed="64"/>
          <bgColor auto="1"/>
        </patternFill>
      </fill>
    </dxf>
    <dxf>
      <font>
        <color theme="3" tint="0.59999389629810485"/>
      </font>
      <fill>
        <patternFill patternType="none">
          <fgColor indexed="64"/>
          <bgColor auto="1"/>
        </patternFill>
      </fill>
    </dxf>
    <dxf>
      <font>
        <color theme="3" tint="0.59999389629810485"/>
      </font>
      <fill>
        <patternFill patternType="none">
          <fgColor indexed="64"/>
          <bgColor auto="1"/>
        </patternFill>
      </fill>
    </dxf>
    <dxf>
      <font>
        <color theme="3" tint="0.59999389629810485"/>
      </font>
      <fill>
        <patternFill patternType="none">
          <fgColor indexed="64"/>
          <bgColor auto="1"/>
        </patternFill>
      </fill>
    </dxf>
    <dxf>
      <font>
        <color theme="3" tint="0.59999389629810485"/>
      </font>
      <fill>
        <patternFill patternType="none">
          <fgColor indexed="64"/>
          <bgColor auto="1"/>
        </patternFill>
      </fill>
    </dxf>
    <dxf>
      <font>
        <color theme="3" tint="0.59999389629810485"/>
      </font>
      <fill>
        <patternFill patternType="none">
          <fgColor indexed="64"/>
          <bgColor auto="1"/>
        </patternFill>
      </fill>
    </dxf>
    <dxf>
      <font>
        <color theme="3" tint="0.59999389629810485"/>
      </font>
      <fill>
        <patternFill patternType="none">
          <fgColor indexed="64"/>
          <bgColor auto="1"/>
        </patternFill>
      </fill>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ill>
        <patternFill patternType="solid">
          <fgColor rgb="FFFF0000"/>
          <bgColor rgb="FFFF0000"/>
        </patternFill>
      </fill>
      <border>
        <left/>
        <right/>
        <top/>
        <bottom/>
      </border>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ill>
        <patternFill patternType="solid">
          <fgColor rgb="FFFF0000"/>
          <bgColor rgb="FFFF0000"/>
        </patternFill>
      </fill>
      <border>
        <left/>
        <right/>
        <top/>
        <bottom/>
      </border>
    </dxf>
    <dxf>
      <font>
        <b/>
        <i val="0"/>
        <color theme="0"/>
      </font>
      <fill>
        <patternFill>
          <bgColor rgb="FFFF0000"/>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ill>
        <patternFill patternType="solid">
          <fgColor rgb="FFFF0000"/>
          <bgColor rgb="FFFF0000"/>
        </patternFill>
      </fill>
      <border>
        <left/>
        <right/>
        <top/>
        <bottom/>
      </border>
    </dxf>
    <dxf>
      <font>
        <b/>
        <i val="0"/>
        <color theme="0"/>
      </font>
      <fill>
        <patternFill>
          <bgColor rgb="FFFFC000"/>
        </patternFill>
      </fill>
    </dxf>
    <dxf>
      <font>
        <b/>
        <i val="0"/>
        <color theme="0"/>
      </font>
      <fill>
        <patternFill>
          <bgColor rgb="FFFFC000"/>
        </patternFill>
      </fill>
    </dxf>
    <dxf>
      <font>
        <b/>
        <i val="0"/>
        <color theme="0"/>
      </font>
      <fill>
        <patternFill>
          <bgColor rgb="FFFFC000"/>
        </patternFill>
      </fill>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theme="0"/>
      </font>
      <fill>
        <patternFill patternType="solid">
          <fgColor rgb="FFFF0000"/>
          <bgColor rgb="FFFF0000"/>
        </patternFill>
      </fill>
      <border>
        <left/>
        <right/>
        <top/>
        <bottom/>
      </border>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theme="0"/>
      </font>
      <fill>
        <patternFill patternType="solid">
          <fgColor rgb="FFFF0000"/>
          <bgColor rgb="FFFF0000"/>
        </patternFill>
      </fill>
      <border>
        <left/>
        <right/>
        <top/>
        <bottom/>
      </border>
    </dxf>
  </dxfs>
  <tableStyles count="0" defaultTableStyle="TableStyleMedium2" defaultPivotStyle="PivotStyleLight16"/>
  <colors>
    <mruColors>
      <color rgb="FFFFFF99"/>
      <color rgb="FFFF555A"/>
      <color rgb="FF63C384"/>
      <color rgb="FF008AEF"/>
      <color rgb="FF00882B"/>
      <color rgb="FFDE6A10"/>
      <color rgb="FF781604"/>
      <color rgb="FF85400A"/>
      <color rgb="FF773F9B"/>
      <color rgb="FF0365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5779427451268858E-2"/>
          <c:y val="0.10761787637213389"/>
          <c:w val="0.27395259491157403"/>
          <c:h val="0.61969505713674244"/>
        </c:manualLayout>
      </c:layout>
      <c:pieChart>
        <c:varyColors val="1"/>
        <c:ser>
          <c:idx val="0"/>
          <c:order val="0"/>
          <c:tx>
            <c:strRef>
              <c:f>'Global Pass-Km ModeShare'!$AK$10:$AL$10</c:f>
              <c:strCache>
                <c:ptCount val="1"/>
                <c:pt idx="0">
                  <c:v>2014 Global Mode Shares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B2-4C85-87EE-6EC8EF0E91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B2-4C85-87EE-6EC8EF0E91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B2-4C85-87EE-6EC8EF0E91B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B2-4C85-87EE-6EC8EF0E91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B2-4C85-87EE-6EC8EF0E91B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9B2-4C85-87EE-6EC8EF0E91B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9B2-4C85-87EE-6EC8EF0E91B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9B2-4C85-87EE-6EC8EF0E91B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9B2-4C85-87EE-6EC8EF0E91B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9B2-4C85-87EE-6EC8EF0E91B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9B2-4C85-87EE-6EC8EF0E91B1}"/>
              </c:ext>
            </c:extLst>
          </c:dPt>
          <c:cat>
            <c:strRef>
              <c:f>'Global Pass-Km ModeShare'!$AK$47:$AK$57</c:f>
              <c:strCache>
                <c:ptCount val="11"/>
                <c:pt idx="0">
                  <c:v>Other</c:v>
                </c:pt>
                <c:pt idx="1">
                  <c:v>Walking</c:v>
                </c:pt>
                <c:pt idx="2">
                  <c:v>Biking</c:v>
                </c:pt>
                <c:pt idx="3">
                  <c:v>E-Bikes</c:v>
                </c:pt>
                <c:pt idx="4">
                  <c:v>Urban Public Transit</c:v>
                </c:pt>
                <c:pt idx="5">
                  <c:v>Carpooling (IGNORED FOR PLOT)</c:v>
                </c:pt>
                <c:pt idx="6">
                  <c:v>Electric Cars</c:v>
                </c:pt>
                <c:pt idx="7">
                  <c:v>Hybrid Cars</c:v>
                </c:pt>
                <c:pt idx="8">
                  <c:v>Nonurban Telepresence</c:v>
                </c:pt>
                <c:pt idx="9">
                  <c:v>High Speed Rail</c:v>
                </c:pt>
                <c:pt idx="10">
                  <c:v>Efficient Aviation</c:v>
                </c:pt>
              </c:strCache>
            </c:strRef>
          </c:cat>
          <c:val>
            <c:numRef>
              <c:f>'Global Pass-Km ModeShare'!$AL$11:$AL$21</c:f>
              <c:numCache>
                <c:formatCode>_-* #,##0\ _€_-;\-* #,##0\ _€_-;_-* "-"??\ _€_-;_-@_-</c:formatCode>
                <c:ptCount val="11"/>
                <c:pt idx="0">
                  <c:v>40977.172586077053</c:v>
                </c:pt>
                <c:pt idx="1">
                  <c:v>1133.5323623070581</c:v>
                </c:pt>
                <c:pt idx="2">
                  <c:v>713.67726016146844</c:v>
                </c:pt>
                <c:pt idx="3">
                  <c:v>264.30794551551298</c:v>
                </c:pt>
                <c:pt idx="4">
                  <c:v>9573.616099983481</c:v>
                </c:pt>
                <c:pt idx="5">
                  <c:v>3141.4174626346876</c:v>
                </c:pt>
                <c:pt idx="6">
                  <c:v>116.38899289627807</c:v>
                </c:pt>
                <c:pt idx="7">
                  <c:v>252.99595444214927</c:v>
                </c:pt>
                <c:pt idx="8">
                  <c:v>198.50531656903408</c:v>
                </c:pt>
                <c:pt idx="9">
                  <c:v>512.4</c:v>
                </c:pt>
                <c:pt idx="10">
                  <c:v>490.52398347557431</c:v>
                </c:pt>
              </c:numCache>
            </c:numRef>
          </c:val>
          <c:extLst>
            <c:ext xmlns:c16="http://schemas.microsoft.com/office/drawing/2014/chart" uri="{C3380CC4-5D6E-409C-BE32-E72D297353CC}">
              <c16:uniqueId val="{00000000-E84A-4C97-BEC8-C995F0E4813F}"/>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0286262558158068"/>
          <c:y val="0.10855958812958204"/>
          <c:w val="0.43399990048302034"/>
          <c:h val="0.86601219219729642"/>
        </c:manualLayout>
      </c:layout>
      <c:overlay val="0"/>
      <c:spPr>
        <a:noFill/>
        <a:ln>
          <a:noFill/>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5779427451268858E-2"/>
          <c:y val="0.10761787637213389"/>
          <c:w val="0.27395259491157403"/>
          <c:h val="0.61969505713674244"/>
        </c:manualLayout>
      </c:layout>
      <c:pieChart>
        <c:varyColors val="1"/>
        <c:ser>
          <c:idx val="0"/>
          <c:order val="0"/>
          <c:tx>
            <c:strRef>
              <c:f>'Global Pass-Km ModeShare'!$AK$46:$AL$46</c:f>
              <c:strCache>
                <c:ptCount val="1"/>
                <c:pt idx="0">
                  <c:v>2050 Global Mode Shares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23-4EAC-8461-0D20B5AD3A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23-4EAC-8461-0D20B5AD3A4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23-4EAC-8461-0D20B5AD3A4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623-4EAC-8461-0D20B5AD3A4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623-4EAC-8461-0D20B5AD3A4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623-4EAC-8461-0D20B5AD3A4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623-4EAC-8461-0D20B5AD3A4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623-4EAC-8461-0D20B5AD3A4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623-4EAC-8461-0D20B5AD3A4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623-4EAC-8461-0D20B5AD3A4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623-4EAC-8461-0D20B5AD3A4B}"/>
              </c:ext>
            </c:extLst>
          </c:dPt>
          <c:cat>
            <c:strRef>
              <c:f>'Global Pass-Km ModeShare'!$AK$47:$AK$57</c:f>
              <c:strCache>
                <c:ptCount val="11"/>
                <c:pt idx="0">
                  <c:v>Other</c:v>
                </c:pt>
                <c:pt idx="1">
                  <c:v>Walking</c:v>
                </c:pt>
                <c:pt idx="2">
                  <c:v>Biking</c:v>
                </c:pt>
                <c:pt idx="3">
                  <c:v>E-Bikes</c:v>
                </c:pt>
                <c:pt idx="4">
                  <c:v>Urban Public Transit</c:v>
                </c:pt>
                <c:pt idx="5">
                  <c:v>Carpooling (IGNORED FOR PLOT)</c:v>
                </c:pt>
                <c:pt idx="6">
                  <c:v>Electric Cars</c:v>
                </c:pt>
                <c:pt idx="7">
                  <c:v>Hybrid Cars</c:v>
                </c:pt>
                <c:pt idx="8">
                  <c:v>Nonurban Telepresence</c:v>
                </c:pt>
                <c:pt idx="9">
                  <c:v>High Speed Rail</c:v>
                </c:pt>
                <c:pt idx="10">
                  <c:v>Efficient Aviation</c:v>
                </c:pt>
              </c:strCache>
            </c:strRef>
          </c:cat>
          <c:val>
            <c:numRef>
              <c:f>'Global Pass-Km ModeShare'!$AL$47:$AL$57</c:f>
              <c:numCache>
                <c:formatCode>_-* #,##0\ _€_-;\-* #,##0\ _€_-;_-* "-"??\ _€_-;_-@_-</c:formatCode>
                <c:ptCount val="11"/>
                <c:pt idx="0">
                  <c:v>77209.10032831553</c:v>
                </c:pt>
                <c:pt idx="1">
                  <c:v>3409.2494848312431</c:v>
                </c:pt>
                <c:pt idx="2">
                  <c:v>2592.4146243059631</c:v>
                </c:pt>
                <c:pt idx="3">
                  <c:v>1443.6375745035812</c:v>
                </c:pt>
                <c:pt idx="4">
                  <c:v>16534.11259511764</c:v>
                </c:pt>
                <c:pt idx="5">
                  <c:v>13947.350541401183</c:v>
                </c:pt>
                <c:pt idx="6">
                  <c:v>11767.049576987356</c:v>
                </c:pt>
                <c:pt idx="7">
                  <c:v>3026.9136181083218</c:v>
                </c:pt>
                <c:pt idx="8">
                  <c:v>1907.5180833389909</c:v>
                </c:pt>
                <c:pt idx="9">
                  <c:v>1810.6678761509797</c:v>
                </c:pt>
                <c:pt idx="10">
                  <c:v>17266.837774822601</c:v>
                </c:pt>
              </c:numCache>
            </c:numRef>
          </c:val>
          <c:extLst>
            <c:ext xmlns:c16="http://schemas.microsoft.com/office/drawing/2014/chart" uri="{C3380CC4-5D6E-409C-BE32-E72D297353CC}">
              <c16:uniqueId val="{00000016-C623-4EAC-8461-0D20B5AD3A4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0286262558158068"/>
          <c:y val="0.10855958812958204"/>
          <c:w val="0.43399990048302034"/>
          <c:h val="0.86601219219729642"/>
        </c:manualLayout>
      </c:layout>
      <c:overlay val="0"/>
      <c:spPr>
        <a:noFill/>
        <a:ln>
          <a:noFill/>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5779427451268858E-2"/>
          <c:y val="0.10761787637213389"/>
          <c:w val="0.27395259491157403"/>
          <c:h val="0.61969505713674244"/>
        </c:manualLayout>
      </c:layout>
      <c:pieChart>
        <c:varyColors val="1"/>
        <c:ser>
          <c:idx val="0"/>
          <c:order val="0"/>
          <c:tx>
            <c:strRef>
              <c:f>'Global Pass-Km ModeShare'!$AK$65:$AL$65</c:f>
              <c:strCache>
                <c:ptCount val="1"/>
                <c:pt idx="0">
                  <c:v>2014 Global Mode Shares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0C-4FE3-84FA-9004DF4956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0C-4FE3-84FA-9004DF4956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0C-4FE3-84FA-9004DF4956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0C-4FE3-84FA-9004DF49562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90C-4FE3-84FA-9004DF49562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90C-4FE3-84FA-9004DF49562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90C-4FE3-84FA-9004DF49562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90C-4FE3-84FA-9004DF49562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90C-4FE3-84FA-9004DF49562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90C-4FE3-84FA-9004DF49562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90C-4FE3-84FA-9004DF495624}"/>
              </c:ext>
            </c:extLst>
          </c:dPt>
          <c:cat>
            <c:strRef>
              <c:f>'Global Pass-Km ModeShare'!$AK$66:$AK$76</c:f>
              <c:strCache>
                <c:ptCount val="6"/>
                <c:pt idx="0">
                  <c:v>Carpooling (IGNORED FOR PLOT)</c:v>
                </c:pt>
                <c:pt idx="1">
                  <c:v>Electric Cars</c:v>
                </c:pt>
                <c:pt idx="2">
                  <c:v>Hybrid Cars</c:v>
                </c:pt>
                <c:pt idx="3">
                  <c:v>Nonurban Telepresence</c:v>
                </c:pt>
                <c:pt idx="4">
                  <c:v>High Speed Rail</c:v>
                </c:pt>
                <c:pt idx="5">
                  <c:v>Efficient Aviation</c:v>
                </c:pt>
              </c:strCache>
            </c:strRef>
          </c:cat>
          <c:val>
            <c:numRef>
              <c:f>'Global Pass-Km ModeShare'!$AL$66:$AL$76</c:f>
              <c:numCache>
                <c:formatCode>_-* #,##0\ _€_-;\-* #,##0\ _€_-;_-* "-"??\ _€_-;_-@_-</c:formatCode>
                <c:ptCount val="6"/>
                <c:pt idx="0">
                  <c:v>3141.4174626346876</c:v>
                </c:pt>
                <c:pt idx="1">
                  <c:v>116.38899289627807</c:v>
                </c:pt>
                <c:pt idx="2">
                  <c:v>252.99595444214927</c:v>
                </c:pt>
                <c:pt idx="3">
                  <c:v>198.50531656903408</c:v>
                </c:pt>
                <c:pt idx="4">
                  <c:v>512.4</c:v>
                </c:pt>
                <c:pt idx="5">
                  <c:v>490.52398347557431</c:v>
                </c:pt>
              </c:numCache>
            </c:numRef>
          </c:val>
          <c:extLst>
            <c:ext xmlns:c16="http://schemas.microsoft.com/office/drawing/2014/chart" uri="{C3380CC4-5D6E-409C-BE32-E72D297353CC}">
              <c16:uniqueId val="{00000016-390C-4FE3-84FA-9004DF49562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0286262558158068"/>
          <c:y val="0.10855958812958204"/>
          <c:w val="0.43399990048302034"/>
          <c:h val="0.86601219219729642"/>
        </c:manualLayout>
      </c:layout>
      <c:overlay val="0"/>
      <c:spPr>
        <a:noFill/>
        <a:ln>
          <a:noFill/>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5779427451268858E-2"/>
          <c:y val="0.10761787637213389"/>
          <c:w val="0.27395259491157403"/>
          <c:h val="0.61969505713674244"/>
        </c:manualLayout>
      </c:layout>
      <c:pieChart>
        <c:varyColors val="1"/>
        <c:ser>
          <c:idx val="0"/>
          <c:order val="0"/>
          <c:tx>
            <c:strRef>
              <c:f>'Global Pass-Km ModeShare'!$AK$101:$AL$101</c:f>
              <c:strCache>
                <c:ptCount val="1"/>
                <c:pt idx="0">
                  <c:v>2050 Global Mode Shares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44-4B1E-B507-04D4C47F45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44-4B1E-B507-04D4C47F45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44-4B1E-B507-04D4C47F45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44-4B1E-B507-04D4C47F45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44-4B1E-B507-04D4C47F45C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44-4B1E-B507-04D4C47F45C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44-4B1E-B507-04D4C47F45C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944-4B1E-B507-04D4C47F45C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944-4B1E-B507-04D4C47F45C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944-4B1E-B507-04D4C47F45C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944-4B1E-B507-04D4C47F45CA}"/>
              </c:ext>
            </c:extLst>
          </c:dPt>
          <c:cat>
            <c:strRef>
              <c:f>'Global Pass-Km ModeShare'!$AK$102:$AK$112</c:f>
              <c:strCache>
                <c:ptCount val="11"/>
                <c:pt idx="0">
                  <c:v>Other</c:v>
                </c:pt>
                <c:pt idx="1">
                  <c:v>Walking</c:v>
                </c:pt>
                <c:pt idx="2">
                  <c:v>Biking</c:v>
                </c:pt>
                <c:pt idx="3">
                  <c:v>E-Bikes</c:v>
                </c:pt>
                <c:pt idx="4">
                  <c:v>Urban Public Transit</c:v>
                </c:pt>
                <c:pt idx="5">
                  <c:v>Carpooling (IGNORED FOR PLOT)</c:v>
                </c:pt>
                <c:pt idx="6">
                  <c:v>Electric Cars</c:v>
                </c:pt>
                <c:pt idx="7">
                  <c:v>Hybrid Cars</c:v>
                </c:pt>
                <c:pt idx="8">
                  <c:v>Nonurban Telepresence</c:v>
                </c:pt>
                <c:pt idx="9">
                  <c:v>High Speed Rail</c:v>
                </c:pt>
                <c:pt idx="10">
                  <c:v>Efficient Aviation</c:v>
                </c:pt>
              </c:strCache>
            </c:strRef>
          </c:cat>
          <c:val>
            <c:numRef>
              <c:f>'Global Pass-Km ModeShare'!$AL$102:$AL$112</c:f>
              <c:numCache>
                <c:formatCode>_-* #,##0\ _€_-;\-* #,##0\ _€_-;_-* "-"??\ _€_-;_-@_-</c:formatCode>
                <c:ptCount val="11"/>
                <c:pt idx="0">
                  <c:v>61054.964516606764</c:v>
                </c:pt>
                <c:pt idx="1">
                  <c:v>3696.5995560534147</c:v>
                </c:pt>
                <c:pt idx="2">
                  <c:v>2976.6994609686576</c:v>
                </c:pt>
                <c:pt idx="3">
                  <c:v>1663.364087019422</c:v>
                </c:pt>
                <c:pt idx="4">
                  <c:v>19505.681891643311</c:v>
                </c:pt>
                <c:pt idx="5">
                  <c:v>16665.002030071722</c:v>
                </c:pt>
                <c:pt idx="6">
                  <c:v>16581.302258632579</c:v>
                </c:pt>
                <c:pt idx="7">
                  <c:v>7607.0688740182213</c:v>
                </c:pt>
                <c:pt idx="8">
                  <c:v>2652.6877585728439</c:v>
                </c:pt>
                <c:pt idx="9">
                  <c:v>2601.8239008813325</c:v>
                </c:pt>
                <c:pt idx="10">
                  <c:v>18627.309232085652</c:v>
                </c:pt>
              </c:numCache>
            </c:numRef>
          </c:val>
          <c:extLst>
            <c:ext xmlns:c16="http://schemas.microsoft.com/office/drawing/2014/chart" uri="{C3380CC4-5D6E-409C-BE32-E72D297353CC}">
              <c16:uniqueId val="{00000016-D944-4B1E-B507-04D4C47F45C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0286262558158068"/>
          <c:y val="0.10855958812958204"/>
          <c:w val="0.43399990048302034"/>
          <c:h val="0.86601219219729642"/>
        </c:manualLayout>
      </c:layout>
      <c:overlay val="0"/>
      <c:spPr>
        <a:noFill/>
        <a:ln>
          <a:noFill/>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5779427451268858E-2"/>
          <c:y val="0.10761787637213389"/>
          <c:w val="0.27395259491157403"/>
          <c:h val="0.61969505713674244"/>
        </c:manualLayout>
      </c:layout>
      <c:pieChart>
        <c:varyColors val="1"/>
        <c:ser>
          <c:idx val="0"/>
          <c:order val="0"/>
          <c:tx>
            <c:strRef>
              <c:f>'Global Pass-Km ModeShare'!$AK$120:$AL$120</c:f>
              <c:strCache>
                <c:ptCount val="1"/>
                <c:pt idx="0">
                  <c:v>2014 Global Mode Shares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05-4759-872D-3202C4E962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05-4759-872D-3202C4E962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05-4759-872D-3202C4E962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505-4759-872D-3202C4E962B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505-4759-872D-3202C4E962B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505-4759-872D-3202C4E962B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505-4759-872D-3202C4E962B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505-4759-872D-3202C4E962B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505-4759-872D-3202C4E962B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505-4759-872D-3202C4E962B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505-4759-872D-3202C4E962B5}"/>
              </c:ext>
            </c:extLst>
          </c:dPt>
          <c:cat>
            <c:strRef>
              <c:f>'Global Pass-Km ModeShare'!$AK$121:$AK$131</c:f>
              <c:strCache>
                <c:ptCount val="11"/>
                <c:pt idx="0">
                  <c:v>Other</c:v>
                </c:pt>
                <c:pt idx="1">
                  <c:v>Walking</c:v>
                </c:pt>
                <c:pt idx="2">
                  <c:v>Biking</c:v>
                </c:pt>
                <c:pt idx="3">
                  <c:v>E-Bikes</c:v>
                </c:pt>
                <c:pt idx="4">
                  <c:v>Urban Public Transit</c:v>
                </c:pt>
                <c:pt idx="5">
                  <c:v>Carpooling (IGNORED FOR PLOT)</c:v>
                </c:pt>
                <c:pt idx="6">
                  <c:v>Electric Cars</c:v>
                </c:pt>
                <c:pt idx="7">
                  <c:v>Hybrid Cars</c:v>
                </c:pt>
                <c:pt idx="8">
                  <c:v>Nonurban Telepresence</c:v>
                </c:pt>
                <c:pt idx="9">
                  <c:v>High Speed Rail</c:v>
                </c:pt>
                <c:pt idx="10">
                  <c:v>Efficient Aviation</c:v>
                </c:pt>
              </c:strCache>
            </c:strRef>
          </c:cat>
          <c:val>
            <c:numRef>
              <c:f>'Global Pass-Km ModeShare'!$AL$121:$AL$131</c:f>
              <c:numCache>
                <c:formatCode>_-* #,##0\ _€_-;\-* #,##0\ _€_-;_-* "-"??\ _€_-;_-@_-</c:formatCode>
                <c:ptCount val="11"/>
                <c:pt idx="0">
                  <c:v>40977.172586077053</c:v>
                </c:pt>
                <c:pt idx="1">
                  <c:v>1133.5323623070581</c:v>
                </c:pt>
                <c:pt idx="2">
                  <c:v>713.67726016146844</c:v>
                </c:pt>
                <c:pt idx="3">
                  <c:v>264.30794551551298</c:v>
                </c:pt>
                <c:pt idx="4">
                  <c:v>9573.616099983481</c:v>
                </c:pt>
                <c:pt idx="5">
                  <c:v>3141.4174626346876</c:v>
                </c:pt>
                <c:pt idx="6">
                  <c:v>116.38899289627807</c:v>
                </c:pt>
                <c:pt idx="7">
                  <c:v>252.99595444214927</c:v>
                </c:pt>
                <c:pt idx="8">
                  <c:v>198.50531656903408</c:v>
                </c:pt>
                <c:pt idx="9">
                  <c:v>512.4</c:v>
                </c:pt>
                <c:pt idx="10">
                  <c:v>490.52398347557431</c:v>
                </c:pt>
              </c:numCache>
            </c:numRef>
          </c:val>
          <c:extLst>
            <c:ext xmlns:c16="http://schemas.microsoft.com/office/drawing/2014/chart" uri="{C3380CC4-5D6E-409C-BE32-E72D297353CC}">
              <c16:uniqueId val="{00000016-5505-4759-872D-3202C4E962B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0286262558158068"/>
          <c:y val="0.10855958812958204"/>
          <c:w val="0.43399990048302034"/>
          <c:h val="0.86601219219729642"/>
        </c:manualLayout>
      </c:layout>
      <c:overlay val="0"/>
      <c:spPr>
        <a:noFill/>
        <a:ln>
          <a:noFill/>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5779427451268858E-2"/>
          <c:y val="0.10761787637213389"/>
          <c:w val="0.27395259491157403"/>
          <c:h val="0.61969505713674244"/>
        </c:manualLayout>
      </c:layout>
      <c:pieChart>
        <c:varyColors val="1"/>
        <c:ser>
          <c:idx val="0"/>
          <c:order val="0"/>
          <c:tx>
            <c:strRef>
              <c:f>'Global Pass-Km ModeShare'!$AK$156:$AL$156</c:f>
              <c:strCache>
                <c:ptCount val="1"/>
                <c:pt idx="0">
                  <c:v>2050 Global Mode Shares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EE-4D24-9F1D-5D3EA57868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EE-4D24-9F1D-5D3EA57868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EE-4D24-9F1D-5D3EA57868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EE-4D24-9F1D-5D3EA57868E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7EE-4D24-9F1D-5D3EA57868E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7EE-4D24-9F1D-5D3EA57868E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7EE-4D24-9F1D-5D3EA57868E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7EE-4D24-9F1D-5D3EA57868EF}"/>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7EE-4D24-9F1D-5D3EA57868EF}"/>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7EE-4D24-9F1D-5D3EA57868EF}"/>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D7EE-4D24-9F1D-5D3EA57868EF}"/>
              </c:ext>
            </c:extLst>
          </c:dPt>
          <c:cat>
            <c:strRef>
              <c:f>'Global Pass-Km ModeShare'!$AK$157:$AK$167</c:f>
              <c:strCache>
                <c:ptCount val="11"/>
                <c:pt idx="0">
                  <c:v>Other</c:v>
                </c:pt>
                <c:pt idx="1">
                  <c:v>Walking</c:v>
                </c:pt>
                <c:pt idx="2">
                  <c:v>Biking</c:v>
                </c:pt>
                <c:pt idx="3">
                  <c:v>E-Bikes</c:v>
                </c:pt>
                <c:pt idx="4">
                  <c:v>Urban Public Transit</c:v>
                </c:pt>
                <c:pt idx="5">
                  <c:v>Carpooling (IGNORED FOR PLOT)</c:v>
                </c:pt>
                <c:pt idx="6">
                  <c:v>Electric Cars</c:v>
                </c:pt>
                <c:pt idx="7">
                  <c:v>Hybrid Cars</c:v>
                </c:pt>
                <c:pt idx="8">
                  <c:v>Nonurban Telepresence</c:v>
                </c:pt>
                <c:pt idx="9">
                  <c:v>High Speed Rail</c:v>
                </c:pt>
                <c:pt idx="10">
                  <c:v>Efficient Aviation</c:v>
                </c:pt>
              </c:strCache>
            </c:strRef>
          </c:cat>
          <c:val>
            <c:numRef>
              <c:f>'Global Pass-Km ModeShare'!$AL$157:$AL$167</c:f>
              <c:numCache>
                <c:formatCode>_-* #,##0\ _€_-;\-* #,##0\ _€_-;_-* "-"??\ _€_-;_-@_-</c:formatCode>
                <c:ptCount val="11"/>
                <c:pt idx="0">
                  <c:v>43125.420465515781</c:v>
                </c:pt>
                <c:pt idx="1">
                  <c:v>4822.1804265962255</c:v>
                </c:pt>
                <c:pt idx="2">
                  <c:v>5030.4771361482562</c:v>
                </c:pt>
                <c:pt idx="3">
                  <c:v>1693.9702492766739</c:v>
                </c:pt>
                <c:pt idx="4">
                  <c:v>25612.272629216735</c:v>
                </c:pt>
                <c:pt idx="5">
                  <c:v>24013.448614590354</c:v>
                </c:pt>
                <c:pt idx="6">
                  <c:v>31164.689691551263</c:v>
                </c:pt>
                <c:pt idx="7">
                  <c:v>3.0922819860279499E-12</c:v>
                </c:pt>
                <c:pt idx="8">
                  <c:v>6578.0925121644859</c:v>
                </c:pt>
                <c:pt idx="9">
                  <c:v>5832.8126311997203</c:v>
                </c:pt>
                <c:pt idx="10">
                  <c:v>13107.585794813047</c:v>
                </c:pt>
              </c:numCache>
            </c:numRef>
          </c:val>
          <c:extLst>
            <c:ext xmlns:c16="http://schemas.microsoft.com/office/drawing/2014/chart" uri="{C3380CC4-5D6E-409C-BE32-E72D297353CC}">
              <c16:uniqueId val="{00000016-D7EE-4D24-9F1D-5D3EA57868EF}"/>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50286262558158068"/>
          <c:y val="0.10855958812958204"/>
          <c:w val="0.43399990048302034"/>
          <c:h val="0.86601219219729642"/>
        </c:manualLayout>
      </c:layout>
      <c:overlay val="0"/>
      <c:spPr>
        <a:noFill/>
        <a:ln>
          <a:noFill/>
        </a:ln>
        <a:effectLst/>
      </c:spPr>
      <c:txPr>
        <a:bodyPr rot="0" spcFirstLastPara="1" vertOverflow="ellipsis" vert="horz" wrap="square" anchor="ctr" anchorCtr="1"/>
        <a:lstStyle/>
        <a:p>
          <a:pPr rtl="0">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Modeshare Evolution in Drawdown Scenario: Urban + Nonurban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'Global Pass-Km ModeShare'!$G$61</c:f>
              <c:strCache>
                <c:ptCount val="1"/>
                <c:pt idx="0">
                  <c:v>Walking</c:v>
                </c:pt>
              </c:strCache>
            </c:strRef>
          </c:tx>
          <c:spPr>
            <a:solidFill>
              <a:srgbClr val="85400A"/>
            </a:solidFill>
            <a:ln>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ModeShare'!$H$71:$H$101</c:f>
              <c:numCache>
                <c:formatCode>0%</c:formatCode>
                <c:ptCount val="31"/>
                <c:pt idx="0">
                  <c:v>2.8525696815439008E-2</c:v>
                </c:pt>
                <c:pt idx="1">
                  <c:v>2.8898430990375038E-2</c:v>
                </c:pt>
                <c:pt idx="2">
                  <c:v>2.9230378646213737E-2</c:v>
                </c:pt>
                <c:pt idx="3">
                  <c:v>2.952563881238705E-2</c:v>
                </c:pt>
                <c:pt idx="4">
                  <c:v>2.9786011387785648E-2</c:v>
                </c:pt>
                <c:pt idx="5">
                  <c:v>3.001586009325696E-2</c:v>
                </c:pt>
                <c:pt idx="6">
                  <c:v>3.0207679556903597E-2</c:v>
                </c:pt>
                <c:pt idx="7">
                  <c:v>3.0370585693234139E-2</c:v>
                </c:pt>
                <c:pt idx="8">
                  <c:v>3.0502622956411065E-2</c:v>
                </c:pt>
                <c:pt idx="9">
                  <c:v>3.0604600552685251E-2</c:v>
                </c:pt>
                <c:pt idx="10">
                  <c:v>3.0682232383564288E-2</c:v>
                </c:pt>
                <c:pt idx="11">
                  <c:v>3.0721507432195646E-2</c:v>
                </c:pt>
                <c:pt idx="12">
                  <c:v>3.0737850271624664E-2</c:v>
                </c:pt>
                <c:pt idx="13">
                  <c:v>3.0726769774414131E-2</c:v>
                </c:pt>
                <c:pt idx="14">
                  <c:v>3.0688608710158757E-2</c:v>
                </c:pt>
                <c:pt idx="15">
                  <c:v>3.0628551840724789E-2</c:v>
                </c:pt>
                <c:pt idx="16">
                  <c:v>3.0533011496789535E-2</c:v>
                </c:pt>
                <c:pt idx="17">
                  <c:v>3.0416973983710464E-2</c:v>
                </c:pt>
                <c:pt idx="18">
                  <c:v>3.0276551231810667E-2</c:v>
                </c:pt>
                <c:pt idx="19">
                  <c:v>3.0112664007798245E-2</c:v>
                </c:pt>
                <c:pt idx="20">
                  <c:v>2.9926924351241408E-2</c:v>
                </c:pt>
                <c:pt idx="21">
                  <c:v>2.9717872359561113E-2</c:v>
                </c:pt>
                <c:pt idx="22">
                  <c:v>2.9488422731184058E-2</c:v>
                </c:pt>
                <c:pt idx="23">
                  <c:v>2.9238612685456192E-2</c:v>
                </c:pt>
                <c:pt idx="24">
                  <c:v>2.8969214771667411E-2</c:v>
                </c:pt>
                <c:pt idx="25">
                  <c:v>2.8670588361603237E-2</c:v>
                </c:pt>
                <c:pt idx="26">
                  <c:v>2.837472806916148E-2</c:v>
                </c:pt>
                <c:pt idx="27">
                  <c:v>2.8051154231550388E-2</c:v>
                </c:pt>
                <c:pt idx="28">
                  <c:v>2.7711053195782778E-2</c:v>
                </c:pt>
                <c:pt idx="29">
                  <c:v>2.735519648509897E-2</c:v>
                </c:pt>
                <c:pt idx="30">
                  <c:v>2.6988880680347382E-2</c:v>
                </c:pt>
              </c:numCache>
            </c:numRef>
          </c:val>
          <c:extLst>
            <c:ext xmlns:c16="http://schemas.microsoft.com/office/drawing/2014/chart" uri="{C3380CC4-5D6E-409C-BE32-E72D297353CC}">
              <c16:uniqueId val="{00000000-C9BA-4257-91EE-E9C0F591F854}"/>
            </c:ext>
          </c:extLst>
        </c:ser>
        <c:ser>
          <c:idx val="1"/>
          <c:order val="1"/>
          <c:tx>
            <c:strRef>
              <c:f>'Global Pass-Km ModeShare'!$J$61</c:f>
              <c:strCache>
                <c:ptCount val="1"/>
                <c:pt idx="0">
                  <c:v>Biking</c:v>
                </c:pt>
              </c:strCache>
            </c:strRef>
          </c:tx>
          <c:spPr>
            <a:solidFill>
              <a:srgbClr val="0365C0"/>
            </a:solidFill>
            <a:ln>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ModeShare'!$K$71:$K$101</c:f>
              <c:numCache>
                <c:formatCode>0%</c:formatCode>
                <c:ptCount val="31"/>
                <c:pt idx="0">
                  <c:v>1.8147813517353183E-2</c:v>
                </c:pt>
                <c:pt idx="1">
                  <c:v>1.8653759691854621E-2</c:v>
                </c:pt>
                <c:pt idx="2">
                  <c:v>1.9109586531536406E-2</c:v>
                </c:pt>
                <c:pt idx="3">
                  <c:v>1.9520929516515798E-2</c:v>
                </c:pt>
                <c:pt idx="4">
                  <c:v>1.9891662953980815E-2</c:v>
                </c:pt>
                <c:pt idx="5">
                  <c:v>2.0227129447333028E-2</c:v>
                </c:pt>
                <c:pt idx="6">
                  <c:v>2.0524437374599087E-2</c:v>
                </c:pt>
                <c:pt idx="7">
                  <c:v>2.0791676492346967E-2</c:v>
                </c:pt>
                <c:pt idx="8">
                  <c:v>2.1029283136579008E-2</c:v>
                </c:pt>
                <c:pt idx="9">
                  <c:v>2.1239386354284507E-2</c:v>
                </c:pt>
                <c:pt idx="10">
                  <c:v>2.1427388789773429E-2</c:v>
                </c:pt>
                <c:pt idx="11">
                  <c:v>2.1584781715600417E-2</c:v>
                </c:pt>
                <c:pt idx="12">
                  <c:v>2.1723489426808289E-2</c:v>
                </c:pt>
                <c:pt idx="13">
                  <c:v>2.1841412291417707E-2</c:v>
                </c:pt>
                <c:pt idx="14">
                  <c:v>2.1939718976313784E-2</c:v>
                </c:pt>
                <c:pt idx="15">
                  <c:v>2.2022961092934158E-2</c:v>
                </c:pt>
                <c:pt idx="16">
                  <c:v>2.2082103697415447E-2</c:v>
                </c:pt>
                <c:pt idx="17">
                  <c:v>2.2128579062103707E-2</c:v>
                </c:pt>
                <c:pt idx="18">
                  <c:v>2.216017793593443E-2</c:v>
                </c:pt>
                <c:pt idx="19">
                  <c:v>2.2178085676013516E-2</c:v>
                </c:pt>
                <c:pt idx="20">
                  <c:v>2.2183942168287171E-2</c:v>
                </c:pt>
                <c:pt idx="21">
                  <c:v>2.2177055622127833E-2</c:v>
                </c:pt>
                <c:pt idx="22">
                  <c:v>2.2159924514212576E-2</c:v>
                </c:pt>
                <c:pt idx="23">
                  <c:v>2.2132866306309423E-2</c:v>
                </c:pt>
                <c:pt idx="24">
                  <c:v>2.2096699521008054E-2</c:v>
                </c:pt>
                <c:pt idx="25">
                  <c:v>2.2044195690348631E-2</c:v>
                </c:pt>
                <c:pt idx="26">
                  <c:v>2.2000101470332087E-2</c:v>
                </c:pt>
                <c:pt idx="27">
                  <c:v>2.1941093966220165E-2</c:v>
                </c:pt>
                <c:pt idx="28">
                  <c:v>2.1875855305397544E-2</c:v>
                </c:pt>
                <c:pt idx="29">
                  <c:v>2.1805031843436629E-2</c:v>
                </c:pt>
                <c:pt idx="30">
                  <c:v>2.173288866027679E-2</c:v>
                </c:pt>
              </c:numCache>
            </c:numRef>
          </c:val>
          <c:extLst>
            <c:ext xmlns:c16="http://schemas.microsoft.com/office/drawing/2014/chart" uri="{C3380CC4-5D6E-409C-BE32-E72D297353CC}">
              <c16:uniqueId val="{00000001-C9BA-4257-91EE-E9C0F591F854}"/>
            </c:ext>
          </c:extLst>
        </c:ser>
        <c:ser>
          <c:idx val="2"/>
          <c:order val="2"/>
          <c:tx>
            <c:strRef>
              <c:f>'Global Pass-Km ModeShare'!$M$61</c:f>
              <c:strCache>
                <c:ptCount val="1"/>
                <c:pt idx="0">
                  <c:v>E-Bikes</c:v>
                </c:pt>
              </c:strCache>
            </c:strRef>
          </c:tx>
          <c:spPr>
            <a:solidFill>
              <a:srgbClr val="00882B"/>
            </a:solidFill>
            <a:ln>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ModeShare'!$N$71:$N$101</c:f>
              <c:numCache>
                <c:formatCode>0%</c:formatCode>
                <c:ptCount val="31"/>
                <c:pt idx="0">
                  <c:v>5.517861258201146E-3</c:v>
                </c:pt>
                <c:pt idx="1">
                  <c:v>5.8564238259065813E-3</c:v>
                </c:pt>
                <c:pt idx="2">
                  <c:v>6.1847767808201649E-3</c:v>
                </c:pt>
                <c:pt idx="3">
                  <c:v>6.5037906572390563E-3</c:v>
                </c:pt>
                <c:pt idx="4">
                  <c:v>6.8138839366669408E-3</c:v>
                </c:pt>
                <c:pt idx="5">
                  <c:v>7.1160828208018407E-3</c:v>
                </c:pt>
                <c:pt idx="6">
                  <c:v>7.4085921964516157E-3</c:v>
                </c:pt>
                <c:pt idx="7">
                  <c:v>7.6935361993852609E-3</c:v>
                </c:pt>
                <c:pt idx="8">
                  <c:v>7.9703981021414846E-3</c:v>
                </c:pt>
                <c:pt idx="9">
                  <c:v>8.2393044868713447E-3</c:v>
                </c:pt>
                <c:pt idx="10">
                  <c:v>8.5017321044960903E-3</c:v>
                </c:pt>
                <c:pt idx="11">
                  <c:v>8.7536851263684112E-3</c:v>
                </c:pt>
                <c:pt idx="12">
                  <c:v>8.9993168812122683E-3</c:v>
                </c:pt>
                <c:pt idx="13">
                  <c:v>9.2372501227136472E-3</c:v>
                </c:pt>
                <c:pt idx="14">
                  <c:v>9.467431865313479E-3</c:v>
                </c:pt>
                <c:pt idx="15">
                  <c:v>9.691327216068463E-3</c:v>
                </c:pt>
                <c:pt idx="16">
                  <c:v>9.9044530374388182E-3</c:v>
                </c:pt>
                <c:pt idx="17">
                  <c:v>1.011136641067264E-2</c:v>
                </c:pt>
                <c:pt idx="18">
                  <c:v>1.0310656186179263E-2</c:v>
                </c:pt>
                <c:pt idx="19">
                  <c:v>1.0502440325516053E-2</c:v>
                </c:pt>
                <c:pt idx="20">
                  <c:v>1.0687091919722311E-2</c:v>
                </c:pt>
                <c:pt idx="21">
                  <c:v>1.0863893470834777E-2</c:v>
                </c:pt>
                <c:pt idx="22">
                  <c:v>1.1033692768307995E-2</c:v>
                </c:pt>
                <c:pt idx="23">
                  <c:v>1.1196314610050166E-2</c:v>
                </c:pt>
                <c:pt idx="24">
                  <c:v>1.1351852022314838E-2</c:v>
                </c:pt>
                <c:pt idx="25">
                  <c:v>1.149622876809518E-2</c:v>
                </c:pt>
                <c:pt idx="26">
                  <c:v>1.1642069925607795E-2</c:v>
                </c:pt>
                <c:pt idx="27">
                  <c:v>1.1776956597937023E-2</c:v>
                </c:pt>
                <c:pt idx="28">
                  <c:v>1.190518476292121E-2</c:v>
                </c:pt>
                <c:pt idx="29">
                  <c:v>1.2026882808490954E-2</c:v>
                </c:pt>
                <c:pt idx="30">
                  <c:v>1.2144224493840053E-2</c:v>
                </c:pt>
              </c:numCache>
            </c:numRef>
          </c:val>
          <c:extLst>
            <c:ext xmlns:c16="http://schemas.microsoft.com/office/drawing/2014/chart" uri="{C3380CC4-5D6E-409C-BE32-E72D297353CC}">
              <c16:uniqueId val="{00000002-C9BA-4257-91EE-E9C0F591F854}"/>
            </c:ext>
          </c:extLst>
        </c:ser>
        <c:ser>
          <c:idx val="3"/>
          <c:order val="3"/>
          <c:tx>
            <c:strRef>
              <c:f>'Global Pass-Km ModeShare'!$P$61</c:f>
              <c:strCache>
                <c:ptCount val="1"/>
                <c:pt idx="0">
                  <c:v>Urban Public Transit</c:v>
                </c:pt>
              </c:strCache>
            </c:strRef>
          </c:tx>
          <c:spPr>
            <a:solidFill>
              <a:srgbClr val="C82506"/>
            </a:solidFill>
            <a:ln w="25400">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ModeShare'!$Q$71:$Q$101</c:f>
              <c:numCache>
                <c:formatCode>0%</c:formatCode>
                <c:ptCount val="31"/>
                <c:pt idx="0">
                  <c:v>0.14801734650600573</c:v>
                </c:pt>
                <c:pt idx="1">
                  <c:v>0.14445329297771767</c:v>
                </c:pt>
                <c:pt idx="2">
                  <c:v>0.13684188007126899</c:v>
                </c:pt>
                <c:pt idx="3">
                  <c:v>0.1388437398444024</c:v>
                </c:pt>
                <c:pt idx="4">
                  <c:v>0.1406421425108115</c:v>
                </c:pt>
                <c:pt idx="5">
                  <c:v>0.14226167850262508</c:v>
                </c:pt>
                <c:pt idx="6">
                  <c:v>0.14367312615814873</c:v>
                </c:pt>
                <c:pt idx="7">
                  <c:v>0.14492702423547255</c:v>
                </c:pt>
                <c:pt idx="8">
                  <c:v>0.14601935000090019</c:v>
                </c:pt>
                <c:pt idx="9">
                  <c:v>0.14695885053097982</c:v>
                </c:pt>
                <c:pt idx="10">
                  <c:v>0.14777741235251093</c:v>
                </c:pt>
                <c:pt idx="11">
                  <c:v>0.14841122404570975</c:v>
                </c:pt>
                <c:pt idx="12">
                  <c:v>0.14893857259323112</c:v>
                </c:pt>
                <c:pt idx="13">
                  <c:v>0.14934299037413454</c:v>
                </c:pt>
                <c:pt idx="14">
                  <c:v>0.14963155093610517</c:v>
                </c:pt>
                <c:pt idx="15">
                  <c:v>0.14983382589538</c:v>
                </c:pt>
                <c:pt idx="16">
                  <c:v>0.14988605379900524</c:v>
                </c:pt>
                <c:pt idx="17">
                  <c:v>0.14986262830562253</c:v>
                </c:pt>
                <c:pt idx="18">
                  <c:v>0.14974482088884861</c:v>
                </c:pt>
                <c:pt idx="19">
                  <c:v>0.14953658611779136</c:v>
                </c:pt>
                <c:pt idx="20">
                  <c:v>0.14924553457946049</c:v>
                </c:pt>
                <c:pt idx="21">
                  <c:v>0.1488648280603575</c:v>
                </c:pt>
                <c:pt idx="22">
                  <c:v>0.14840967084280487</c:v>
                </c:pt>
                <c:pt idx="23">
                  <c:v>0.14788014958646226</c:v>
                </c:pt>
                <c:pt idx="24">
                  <c:v>0.14727987413405</c:v>
                </c:pt>
                <c:pt idx="25">
                  <c:v>0.14655915676147421</c:v>
                </c:pt>
                <c:pt idx="26">
                  <c:v>0.14588120564877974</c:v>
                </c:pt>
                <c:pt idx="27">
                  <c:v>0.14508978651027324</c:v>
                </c:pt>
                <c:pt idx="28">
                  <c:v>0.14424146472224636</c:v>
                </c:pt>
                <c:pt idx="29">
                  <c:v>0.14333949180571276</c:v>
                </c:pt>
                <c:pt idx="30">
                  <c:v>0.14241102212445517</c:v>
                </c:pt>
              </c:numCache>
            </c:numRef>
          </c:val>
          <c:extLst>
            <c:ext xmlns:c16="http://schemas.microsoft.com/office/drawing/2014/chart" uri="{C3380CC4-5D6E-409C-BE32-E72D297353CC}">
              <c16:uniqueId val="{00000003-C9BA-4257-91EE-E9C0F591F854}"/>
            </c:ext>
          </c:extLst>
        </c:ser>
        <c:ser>
          <c:idx val="5"/>
          <c:order val="4"/>
          <c:tx>
            <c:strRef>
              <c:f>'Global Pass-Km ModeShare'!$V$61</c:f>
              <c:strCache>
                <c:ptCount val="1"/>
                <c:pt idx="0">
                  <c:v>Electric Cars</c:v>
                </c:pt>
              </c:strCache>
            </c:strRef>
          </c:tx>
          <c:spPr>
            <a:solidFill>
              <a:srgbClr val="DCBD23"/>
            </a:solidFill>
            <a:ln w="25400">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ModeShare'!$W$71:$W$101</c:f>
              <c:numCache>
                <c:formatCode>0%</c:formatCode>
                <c:ptCount val="31"/>
                <c:pt idx="0">
                  <c:v>2.7927287653708604E-3</c:v>
                </c:pt>
                <c:pt idx="1">
                  <c:v>4.2826360117512582E-3</c:v>
                </c:pt>
                <c:pt idx="2">
                  <c:v>6.0336854670354325E-3</c:v>
                </c:pt>
                <c:pt idx="3">
                  <c:v>8.0325945073579201E-3</c:v>
                </c:pt>
                <c:pt idx="4">
                  <c:v>1.0266974749910224E-2</c:v>
                </c:pt>
                <c:pt idx="5">
                  <c:v>1.2726567826760784E-2</c:v>
                </c:pt>
                <c:pt idx="6">
                  <c:v>1.5396935972180901E-2</c:v>
                </c:pt>
                <c:pt idx="7">
                  <c:v>1.8271274886447628E-2</c:v>
                </c:pt>
                <c:pt idx="8">
                  <c:v>2.1338599138503243E-2</c:v>
                </c:pt>
                <c:pt idx="9">
                  <c:v>2.4589547816147316E-2</c:v>
                </c:pt>
                <c:pt idx="10">
                  <c:v>2.8019643832917652E-2</c:v>
                </c:pt>
                <c:pt idx="11">
                  <c:v>3.1606751770856249E-2</c:v>
                </c:pt>
                <c:pt idx="12">
                  <c:v>3.5355905176124573E-2</c:v>
                </c:pt>
                <c:pt idx="13">
                  <c:v>3.9254102659715913E-2</c:v>
                </c:pt>
                <c:pt idx="14">
                  <c:v>4.3292801237191827E-2</c:v>
                </c:pt>
                <c:pt idx="15">
                  <c:v>4.7470965772666129E-2</c:v>
                </c:pt>
                <c:pt idx="16">
                  <c:v>5.1758518029435555E-2</c:v>
                </c:pt>
                <c:pt idx="17">
                  <c:v>5.6169815576700151E-2</c:v>
                </c:pt>
                <c:pt idx="18">
                  <c:v>6.0690180311680893E-2</c:v>
                </c:pt>
                <c:pt idx="19">
                  <c:v>6.531266011414133E-2</c:v>
                </c:pt>
                <c:pt idx="20">
                  <c:v>7.0032200887220813E-2</c:v>
                </c:pt>
                <c:pt idx="21">
                  <c:v>7.4836795694907157E-2</c:v>
                </c:pt>
                <c:pt idx="22">
                  <c:v>7.972483282398618E-2</c:v>
                </c:pt>
                <c:pt idx="23">
                  <c:v>8.4688147549928039E-2</c:v>
                </c:pt>
                <c:pt idx="24">
                  <c:v>8.9720493141443189E-2</c:v>
                </c:pt>
                <c:pt idx="25">
                  <c:v>9.4781403002463044E-2</c:v>
                </c:pt>
                <c:pt idx="26">
                  <c:v>9.9968261951822068E-2</c:v>
                </c:pt>
                <c:pt idx="27">
                  <c:v>0.10517213466811919</c:v>
                </c:pt>
                <c:pt idx="28">
                  <c:v>0.11042206391620393</c:v>
                </c:pt>
                <c:pt idx="29">
                  <c:v>0.11571291484324543</c:v>
                </c:pt>
                <c:pt idx="30">
                  <c:v>0.12106012063172548</c:v>
                </c:pt>
              </c:numCache>
            </c:numRef>
          </c:val>
          <c:extLst>
            <c:ext xmlns:c16="http://schemas.microsoft.com/office/drawing/2014/chart" uri="{C3380CC4-5D6E-409C-BE32-E72D297353CC}">
              <c16:uniqueId val="{00000005-C9BA-4257-91EE-E9C0F591F854}"/>
            </c:ext>
          </c:extLst>
        </c:ser>
        <c:ser>
          <c:idx val="6"/>
          <c:order val="5"/>
          <c:tx>
            <c:strRef>
              <c:f>'Global Pass-Km ModeShare'!$Y$61</c:f>
              <c:strCache>
                <c:ptCount val="1"/>
                <c:pt idx="0">
                  <c:v>Hybrid Cars</c:v>
                </c:pt>
              </c:strCache>
            </c:strRef>
          </c:tx>
          <c:spPr>
            <a:solidFill>
              <a:srgbClr val="781604"/>
            </a:solidFill>
            <a:ln w="25400">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ModeShare'!$Z$71:$Z$101</c:f>
              <c:numCache>
                <c:formatCode>0%</c:formatCode>
                <c:ptCount val="31"/>
                <c:pt idx="0">
                  <c:v>8.35170255167186E-3</c:v>
                </c:pt>
                <c:pt idx="1">
                  <c:v>9.3530274900237974E-3</c:v>
                </c:pt>
                <c:pt idx="2">
                  <c:v>1.0409248685351681E-2</c:v>
                </c:pt>
                <c:pt idx="3">
                  <c:v>1.1519350672067741E-2</c:v>
                </c:pt>
                <c:pt idx="4">
                  <c:v>1.2681788989338767E-2</c:v>
                </c:pt>
                <c:pt idx="5">
                  <c:v>1.3896359556683002E-2</c:v>
                </c:pt>
                <c:pt idx="6">
                  <c:v>1.5157465574502657E-2</c:v>
                </c:pt>
                <c:pt idx="7">
                  <c:v>1.6467220845673938E-2</c:v>
                </c:pt>
                <c:pt idx="8">
                  <c:v>1.7822628849106931E-2</c:v>
                </c:pt>
                <c:pt idx="9">
                  <c:v>1.9221987880576646E-2</c:v>
                </c:pt>
                <c:pt idx="10">
                  <c:v>2.0666915516277633E-2</c:v>
                </c:pt>
                <c:pt idx="11">
                  <c:v>2.2145755067287012E-2</c:v>
                </c:pt>
                <c:pt idx="12">
                  <c:v>2.3666676050218455E-2</c:v>
                </c:pt>
                <c:pt idx="13">
                  <c:v>2.5224389862750454E-2</c:v>
                </c:pt>
                <c:pt idx="14">
                  <c:v>2.6816788475402777E-2</c:v>
                </c:pt>
                <c:pt idx="15">
                  <c:v>2.844617955808814E-2</c:v>
                </c:pt>
                <c:pt idx="16">
                  <c:v>3.0097382516922514E-2</c:v>
                </c:pt>
                <c:pt idx="17">
                  <c:v>3.1781746369167668E-2</c:v>
                </c:pt>
                <c:pt idx="18">
                  <c:v>3.3493114498801407E-2</c:v>
                </c:pt>
                <c:pt idx="19">
                  <c:v>3.5229846474538667E-2</c:v>
                </c:pt>
                <c:pt idx="20">
                  <c:v>3.6991213125180084E-2</c:v>
                </c:pt>
                <c:pt idx="21">
                  <c:v>3.877273135990645E-2</c:v>
                </c:pt>
                <c:pt idx="22">
                  <c:v>4.0575341870863112E-2</c:v>
                </c:pt>
                <c:pt idx="23">
                  <c:v>4.2396456927087038E-2</c:v>
                </c:pt>
                <c:pt idx="24">
                  <c:v>4.4234435166632051E-2</c:v>
                </c:pt>
                <c:pt idx="25">
                  <c:v>4.6070945101392917E-2</c:v>
                </c:pt>
                <c:pt idx="26">
                  <c:v>4.7954606510193461E-2</c:v>
                </c:pt>
                <c:pt idx="27">
                  <c:v>4.9833698925705154E-2</c:v>
                </c:pt>
                <c:pt idx="28">
                  <c:v>5.1723516192082999E-2</c:v>
                </c:pt>
                <c:pt idx="29">
                  <c:v>5.3622685772645916E-2</c:v>
                </c:pt>
                <c:pt idx="30">
                  <c:v>5.5539224916007018E-2</c:v>
                </c:pt>
              </c:numCache>
            </c:numRef>
          </c:val>
          <c:extLst>
            <c:ext xmlns:c16="http://schemas.microsoft.com/office/drawing/2014/chart" uri="{C3380CC4-5D6E-409C-BE32-E72D297353CC}">
              <c16:uniqueId val="{00000006-C9BA-4257-91EE-E9C0F591F854}"/>
            </c:ext>
          </c:extLst>
        </c:ser>
        <c:ser>
          <c:idx val="7"/>
          <c:order val="6"/>
          <c:tx>
            <c:strRef>
              <c:f>'Global Pass-Km ModeShare'!$AB$61</c:f>
              <c:strCache>
                <c:ptCount val="1"/>
                <c:pt idx="0">
                  <c:v>Nonurban Telepresence</c:v>
                </c:pt>
              </c:strCache>
            </c:strRef>
          </c:tx>
          <c:spPr>
            <a:solidFill>
              <a:srgbClr val="773F9B"/>
            </a:solidFill>
            <a:ln w="25400">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ModeShare'!$AC$71:$AC$101</c:f>
              <c:numCache>
                <c:formatCode>0%</c:formatCode>
                <c:ptCount val="31"/>
                <c:pt idx="0">
                  <c:v>8.0779537766709261E-3</c:v>
                </c:pt>
                <c:pt idx="1">
                  <c:v>8.9685305867508325E-3</c:v>
                </c:pt>
                <c:pt idx="2">
                  <c:v>9.8013230045270461E-3</c:v>
                </c:pt>
                <c:pt idx="3">
                  <c:v>1.0581013456148309E-2</c:v>
                </c:pt>
                <c:pt idx="4">
                  <c:v>1.1311308074287584E-2</c:v>
                </c:pt>
                <c:pt idx="5">
                  <c:v>1.1996665925635273E-2</c:v>
                </c:pt>
                <c:pt idx="6">
                  <c:v>1.2636543525098748E-2</c:v>
                </c:pt>
                <c:pt idx="7">
                  <c:v>1.3236778800690789E-2</c:v>
                </c:pt>
                <c:pt idx="8">
                  <c:v>1.3798562110114418E-2</c:v>
                </c:pt>
                <c:pt idx="9">
                  <c:v>1.4323997626304675E-2</c:v>
                </c:pt>
                <c:pt idx="10">
                  <c:v>1.4817393029448374E-2</c:v>
                </c:pt>
                <c:pt idx="11">
                  <c:v>1.5273385282283279E-2</c:v>
                </c:pt>
                <c:pt idx="12">
                  <c:v>1.5700695850931163E-2</c:v>
                </c:pt>
                <c:pt idx="13">
                  <c:v>1.6098301357281648E-2</c:v>
                </c:pt>
                <c:pt idx="14">
                  <c:v>1.6467392663464364E-2</c:v>
                </c:pt>
                <c:pt idx="15">
                  <c:v>1.6811711071910148E-2</c:v>
                </c:pt>
                <c:pt idx="16">
                  <c:v>1.7124604603459156E-2</c:v>
                </c:pt>
                <c:pt idx="17">
                  <c:v>1.7415034567014164E-2</c:v>
                </c:pt>
                <c:pt idx="18">
                  <c:v>1.7681544747825857E-2</c:v>
                </c:pt>
                <c:pt idx="19">
                  <c:v>1.7925270880239048E-2</c:v>
                </c:pt>
                <c:pt idx="20">
                  <c:v>1.8147725313986694E-2</c:v>
                </c:pt>
                <c:pt idx="21">
                  <c:v>1.8348516158089783E-2</c:v>
                </c:pt>
                <c:pt idx="22">
                  <c:v>1.8529861969154671E-2</c:v>
                </c:pt>
                <c:pt idx="23">
                  <c:v>1.8692199276132665E-2</c:v>
                </c:pt>
                <c:pt idx="24">
                  <c:v>1.8836377624023622E-2</c:v>
                </c:pt>
                <c:pt idx="25">
                  <c:v>1.8956331951156632E-2</c:v>
                </c:pt>
                <c:pt idx="26">
                  <c:v>1.9073498610178003E-2</c:v>
                </c:pt>
                <c:pt idx="27">
                  <c:v>1.9167982881697888E-2</c:v>
                </c:pt>
                <c:pt idx="28">
                  <c:v>1.9247417312468509E-2</c:v>
                </c:pt>
                <c:pt idx="29">
                  <c:v>1.9312529664093758E-2</c:v>
                </c:pt>
                <c:pt idx="30">
                  <c:v>1.9367278579337181E-2</c:v>
                </c:pt>
              </c:numCache>
            </c:numRef>
          </c:val>
          <c:extLst>
            <c:ext xmlns:c16="http://schemas.microsoft.com/office/drawing/2014/chart" uri="{C3380CC4-5D6E-409C-BE32-E72D297353CC}">
              <c16:uniqueId val="{00000007-C9BA-4257-91EE-E9C0F591F854}"/>
            </c:ext>
          </c:extLst>
        </c:ser>
        <c:ser>
          <c:idx val="8"/>
          <c:order val="7"/>
          <c:tx>
            <c:strRef>
              <c:f>'Global Pass-Km ModeShare'!$AE$61</c:f>
              <c:strCache>
                <c:ptCount val="1"/>
                <c:pt idx="0">
                  <c:v>High Speed Rail</c:v>
                </c:pt>
              </c:strCache>
            </c:strRef>
          </c:tx>
          <c:spPr>
            <a:solidFill>
              <a:srgbClr val="DE6A10"/>
            </a:solidFill>
            <a:ln w="25400">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ModeShare'!$AF$71:$AF$101</c:f>
              <c:numCache>
                <c:formatCode>0%</c:formatCode>
                <c:ptCount val="31"/>
                <c:pt idx="0">
                  <c:v>1.5760473209317848E-2</c:v>
                </c:pt>
                <c:pt idx="1">
                  <c:v>1.6270757931207844E-2</c:v>
                </c:pt>
                <c:pt idx="2">
                  <c:v>1.6703413903833529E-2</c:v>
                </c:pt>
                <c:pt idx="3">
                  <c:v>1.7068817493477453E-2</c:v>
                </c:pt>
                <c:pt idx="4">
                  <c:v>1.7375265247823908E-2</c:v>
                </c:pt>
                <c:pt idx="5">
                  <c:v>1.7631846371085117E-2</c:v>
                </c:pt>
                <c:pt idx="6">
                  <c:v>1.784004027801081E-2</c:v>
                </c:pt>
                <c:pt idx="7">
                  <c:v>1.8010517521920507E-2</c:v>
                </c:pt>
                <c:pt idx="8">
                  <c:v>1.8146937280050224E-2</c:v>
                </c:pt>
                <c:pt idx="9">
                  <c:v>1.8254129201491918E-2</c:v>
                </c:pt>
                <c:pt idx="10">
                  <c:v>1.8339447034339096E-2</c:v>
                </c:pt>
                <c:pt idx="11">
                  <c:v>1.8398086295109868E-2</c:v>
                </c:pt>
                <c:pt idx="12">
                  <c:v>1.8442502367656818E-2</c:v>
                </c:pt>
                <c:pt idx="13">
                  <c:v>1.8472940815746949E-2</c:v>
                </c:pt>
                <c:pt idx="14">
                  <c:v>1.849225574441565E-2</c:v>
                </c:pt>
                <c:pt idx="15">
                  <c:v>1.8505967988584629E-2</c:v>
                </c:pt>
                <c:pt idx="16">
                  <c:v>1.850801708538443E-2</c:v>
                </c:pt>
                <c:pt idx="17">
                  <c:v>1.8509386780252855E-2</c:v>
                </c:pt>
                <c:pt idx="18">
                  <c:v>1.8509453220796647E-2</c:v>
                </c:pt>
                <c:pt idx="19">
                  <c:v>1.8510310105822308E-2</c:v>
                </c:pt>
                <c:pt idx="20">
                  <c:v>1.8514304797009232E-2</c:v>
                </c:pt>
                <c:pt idx="21">
                  <c:v>1.8521721915117105E-2</c:v>
                </c:pt>
                <c:pt idx="22">
                  <c:v>1.8535399691625092E-2</c:v>
                </c:pt>
                <c:pt idx="23">
                  <c:v>1.8556254389494889E-2</c:v>
                </c:pt>
                <c:pt idx="24">
                  <c:v>1.8585525563062959E-2</c:v>
                </c:pt>
                <c:pt idx="25">
                  <c:v>1.8617568625984116E-2</c:v>
                </c:pt>
                <c:pt idx="26">
                  <c:v>1.8673661861384333E-2</c:v>
                </c:pt>
                <c:pt idx="27">
                  <c:v>1.8734409859157409E-2</c:v>
                </c:pt>
                <c:pt idx="28">
                  <c:v>1.8807376769105009E-2</c:v>
                </c:pt>
                <c:pt idx="29">
                  <c:v>1.8893275092802222E-2</c:v>
                </c:pt>
                <c:pt idx="30">
                  <c:v>1.8995921453588898E-2</c:v>
                </c:pt>
              </c:numCache>
            </c:numRef>
          </c:val>
          <c:extLst>
            <c:ext xmlns:c16="http://schemas.microsoft.com/office/drawing/2014/chart" uri="{C3380CC4-5D6E-409C-BE32-E72D297353CC}">
              <c16:uniqueId val="{00000008-C9BA-4257-91EE-E9C0F591F854}"/>
            </c:ext>
          </c:extLst>
        </c:ser>
        <c:ser>
          <c:idx val="9"/>
          <c:order val="8"/>
          <c:tx>
            <c:strRef>
              <c:f>'Global Pass-Km ModeShare'!$AH$61</c:f>
              <c:strCache>
                <c:ptCount val="1"/>
                <c:pt idx="0">
                  <c:v>Efficient Aviation</c:v>
                </c:pt>
              </c:strCache>
            </c:strRef>
          </c:tx>
          <c:spPr>
            <a:solidFill>
              <a:srgbClr val="47265D"/>
            </a:solidFill>
            <a:ln w="25400">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ModeShare'!$AI$71:$AI$101</c:f>
              <c:numCache>
                <c:formatCode>0%</c:formatCode>
                <c:ptCount val="31"/>
                <c:pt idx="0">
                  <c:v>4.2001877448367739E-2</c:v>
                </c:pt>
                <c:pt idx="1">
                  <c:v>4.9793599787212442E-2</c:v>
                </c:pt>
                <c:pt idx="2">
                  <c:v>5.7209179232466358E-2</c:v>
                </c:pt>
                <c:pt idx="3">
                  <c:v>6.4277326645012123E-2</c:v>
                </c:pt>
                <c:pt idx="4">
                  <c:v>7.1021274412471941E-2</c:v>
                </c:pt>
                <c:pt idx="5">
                  <c:v>7.754849990588765E-2</c:v>
                </c:pt>
                <c:pt idx="6">
                  <c:v>8.3835713905665701E-2</c:v>
                </c:pt>
                <c:pt idx="7">
                  <c:v>8.9848103404910021E-2</c:v>
                </c:pt>
                <c:pt idx="8">
                  <c:v>9.5593248582504273E-2</c:v>
                </c:pt>
                <c:pt idx="9">
                  <c:v>0.10108451063592673</c:v>
                </c:pt>
                <c:pt idx="10">
                  <c:v>0.10635109022339899</c:v>
                </c:pt>
                <c:pt idx="11">
                  <c:v>0.1113528057382422</c:v>
                </c:pt>
                <c:pt idx="12">
                  <c:v>0.11615058696058729</c:v>
                </c:pt>
                <c:pt idx="13">
                  <c:v>0.12073539894924554</c:v>
                </c:pt>
                <c:pt idx="14">
                  <c:v>0.12511405053625066</c:v>
                </c:pt>
                <c:pt idx="15">
                  <c:v>0.1294098947866994</c:v>
                </c:pt>
                <c:pt idx="16">
                  <c:v>0.13316466600881358</c:v>
                </c:pt>
                <c:pt idx="17">
                  <c:v>0.13683974878194927</c:v>
                </c:pt>
                <c:pt idx="18">
                  <c:v>0.14041604436869978</c:v>
                </c:pt>
                <c:pt idx="19">
                  <c:v>0.14309244175120675</c:v>
                </c:pt>
                <c:pt idx="20">
                  <c:v>0.14492229542514024</c:v>
                </c:pt>
                <c:pt idx="21">
                  <c:v>0.14529597309859554</c:v>
                </c:pt>
                <c:pt idx="22">
                  <c:v>0.14524211245857149</c:v>
                </c:pt>
                <c:pt idx="23">
                  <c:v>0.14481910455050337</c:v>
                </c:pt>
                <c:pt idx="24">
                  <c:v>0.14340566657997131</c:v>
                </c:pt>
                <c:pt idx="25">
                  <c:v>0.14200608225702926</c:v>
                </c:pt>
                <c:pt idx="26">
                  <c:v>0.14077101633390968</c:v>
                </c:pt>
                <c:pt idx="27">
                  <c:v>0.13954200240932724</c:v>
                </c:pt>
                <c:pt idx="28">
                  <c:v>0.13836723715061683</c:v>
                </c:pt>
                <c:pt idx="29">
                  <c:v>0.13719668481146441</c:v>
                </c:pt>
                <c:pt idx="30">
                  <c:v>0.13599802159729216</c:v>
                </c:pt>
              </c:numCache>
            </c:numRef>
          </c:val>
          <c:extLst>
            <c:ext xmlns:c16="http://schemas.microsoft.com/office/drawing/2014/chart" uri="{C3380CC4-5D6E-409C-BE32-E72D297353CC}">
              <c16:uniqueId val="{00000009-C9BA-4257-91EE-E9C0F591F854}"/>
            </c:ext>
          </c:extLst>
        </c:ser>
        <c:ser>
          <c:idx val="10"/>
          <c:order val="9"/>
          <c:tx>
            <c:strRef>
              <c:f>'Global Pass-Km ModeShare'!$D$61</c:f>
              <c:strCache>
                <c:ptCount val="1"/>
                <c:pt idx="0">
                  <c:v>Other</c:v>
                </c:pt>
              </c:strCache>
            </c:strRef>
          </c:tx>
          <c:spPr>
            <a:solidFill>
              <a:schemeClr val="bg1">
                <a:lumMod val="85000"/>
              </a:schemeClr>
            </a:solidFill>
            <a:ln w="25400">
              <a:noFill/>
            </a:ln>
            <a:effectLst/>
          </c:spPr>
          <c:cat>
            <c:numRef>
              <c:f>'Global Pass-Km ModeShare'!$E$71:$E$101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ModeShare'!$D$71:$D$101</c:f>
              <c:numCache>
                <c:formatCode>0%</c:formatCode>
                <c:ptCount val="31"/>
                <c:pt idx="0">
                  <c:v>0.72280654615160178</c:v>
                </c:pt>
                <c:pt idx="1">
                  <c:v>0.71346954070719981</c:v>
                </c:pt>
                <c:pt idx="2">
                  <c:v>0.7084765276769468</c:v>
                </c:pt>
                <c:pt idx="3">
                  <c:v>0.69412679839539204</c:v>
                </c:pt>
                <c:pt idx="4">
                  <c:v>0.6802096877369227</c:v>
                </c:pt>
                <c:pt idx="5">
                  <c:v>0.66657930954993116</c:v>
                </c:pt>
                <c:pt idx="6">
                  <c:v>0.65331946545843811</c:v>
                </c:pt>
                <c:pt idx="7">
                  <c:v>0.64038328191991833</c:v>
                </c:pt>
                <c:pt idx="8">
                  <c:v>0.62777836984368907</c:v>
                </c:pt>
                <c:pt idx="9">
                  <c:v>0.61548368491473182</c:v>
                </c:pt>
                <c:pt idx="10">
                  <c:v>0.60341674473327367</c:v>
                </c:pt>
                <c:pt idx="11">
                  <c:v>0.59175201752634732</c:v>
                </c:pt>
                <c:pt idx="12">
                  <c:v>0.58028440442160545</c:v>
                </c:pt>
                <c:pt idx="13">
                  <c:v>0.56906644379257942</c:v>
                </c:pt>
                <c:pt idx="14">
                  <c:v>0.5580894008553835</c:v>
                </c:pt>
                <c:pt idx="15">
                  <c:v>0.54717861477694418</c:v>
                </c:pt>
                <c:pt idx="16">
                  <c:v>0.53694118972533589</c:v>
                </c:pt>
                <c:pt idx="17">
                  <c:v>0.52676472016280673</c:v>
                </c:pt>
                <c:pt idx="18">
                  <c:v>0.51671745660942237</c:v>
                </c:pt>
                <c:pt idx="19">
                  <c:v>0.50759969454693277</c:v>
                </c:pt>
                <c:pt idx="20">
                  <c:v>0.49934876743275186</c:v>
                </c:pt>
                <c:pt idx="21">
                  <c:v>0.49260061226050272</c:v>
                </c:pt>
                <c:pt idx="22">
                  <c:v>0.48630074032928999</c:v>
                </c:pt>
                <c:pt idx="23">
                  <c:v>0.48039989411857614</c:v>
                </c:pt>
                <c:pt idx="24">
                  <c:v>0.47551986147582664</c:v>
                </c:pt>
                <c:pt idx="25">
                  <c:v>0.47079749948045274</c:v>
                </c:pt>
                <c:pt idx="26">
                  <c:v>0.46566084961863141</c:v>
                </c:pt>
                <c:pt idx="27">
                  <c:v>0.46069077995001217</c:v>
                </c:pt>
                <c:pt idx="28">
                  <c:v>0.45569883067317496</c:v>
                </c:pt>
                <c:pt idx="29">
                  <c:v>0.45073530687300895</c:v>
                </c:pt>
                <c:pt idx="30">
                  <c:v>0.44576241686312995</c:v>
                </c:pt>
              </c:numCache>
            </c:numRef>
          </c:val>
          <c:extLst>
            <c:ext xmlns:c16="http://schemas.microsoft.com/office/drawing/2014/chart" uri="{C3380CC4-5D6E-409C-BE32-E72D297353CC}">
              <c16:uniqueId val="{0000000A-C9BA-4257-91EE-E9C0F591F854}"/>
            </c:ext>
          </c:extLst>
        </c:ser>
        <c:dLbls>
          <c:showLegendKey val="0"/>
          <c:showVal val="0"/>
          <c:showCatName val="0"/>
          <c:showSerName val="0"/>
          <c:showPercent val="0"/>
          <c:showBubbleSize val="0"/>
        </c:dLbls>
        <c:axId val="918709040"/>
        <c:axId val="918710320"/>
      </c:areaChart>
      <c:catAx>
        <c:axId val="918709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710320"/>
        <c:crosses val="autoZero"/>
        <c:auto val="1"/>
        <c:lblAlgn val="ctr"/>
        <c:lblOffset val="100"/>
        <c:tickLblSkip val="5"/>
        <c:tickMarkSkip val="5"/>
        <c:noMultiLvlLbl val="0"/>
      </c:catAx>
      <c:valAx>
        <c:axId val="91871032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918709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Modeshare Evolution in Plausible Scenario: Urban + Nonurban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'Global Pass-Km ModeShare'!$G$6</c:f>
              <c:strCache>
                <c:ptCount val="1"/>
                <c:pt idx="0">
                  <c:v>Walking</c:v>
                </c:pt>
              </c:strCache>
            </c:strRef>
          </c:tx>
          <c:spPr>
            <a:solidFill>
              <a:srgbClr val="85400A"/>
            </a:solidFill>
            <a:ln>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ModeShare'!$H$16:$H$46</c:f>
              <c:numCache>
                <c:formatCode>0%</c:formatCode>
                <c:ptCount val="31"/>
                <c:pt idx="0">
                  <c:v>2.8340808668840912E-2</c:v>
                </c:pt>
                <c:pt idx="1">
                  <c:v>2.8648288999362587E-2</c:v>
                </c:pt>
                <c:pt idx="2">
                  <c:v>2.8908935242254782E-2</c:v>
                </c:pt>
                <c:pt idx="3">
                  <c:v>2.9127949465690965E-2</c:v>
                </c:pt>
                <c:pt idx="4">
                  <c:v>2.9308135736327238E-2</c:v>
                </c:pt>
                <c:pt idx="5">
                  <c:v>2.9454711252708488E-2</c:v>
                </c:pt>
                <c:pt idx="6">
                  <c:v>2.9561157000031604E-2</c:v>
                </c:pt>
                <c:pt idx="7">
                  <c:v>2.9637190189327912E-2</c:v>
                </c:pt>
                <c:pt idx="8">
                  <c:v>2.96815964102379E-2</c:v>
                </c:pt>
                <c:pt idx="9">
                  <c:v>2.9695813384501012E-2</c:v>
                </c:pt>
                <c:pt idx="10">
                  <c:v>2.9685968649569856E-2</c:v>
                </c:pt>
                <c:pt idx="11">
                  <c:v>2.9639054579517064E-2</c:v>
                </c:pt>
                <c:pt idx="12">
                  <c:v>2.9570497497059565E-2</c:v>
                </c:pt>
                <c:pt idx="13">
                  <c:v>2.9476414769164423E-2</c:v>
                </c:pt>
                <c:pt idx="14">
                  <c:v>2.9357565411391697E-2</c:v>
                </c:pt>
                <c:pt idx="15">
                  <c:v>2.9219294988804729E-2</c:v>
                </c:pt>
                <c:pt idx="16">
                  <c:v>2.9049008480424843E-2</c:v>
                </c:pt>
                <c:pt idx="17">
                  <c:v>2.8861338187977332E-2</c:v>
                </c:pt>
                <c:pt idx="18">
                  <c:v>2.8652879197109661E-2</c:v>
                </c:pt>
                <c:pt idx="19">
                  <c:v>2.8424783874172636E-2</c:v>
                </c:pt>
                <c:pt idx="20">
                  <c:v>2.8178826979224199E-2</c:v>
                </c:pt>
                <c:pt idx="21">
                  <c:v>2.7913864647992156E-2</c:v>
                </c:pt>
                <c:pt idx="22">
                  <c:v>2.7632848536408416E-2</c:v>
                </c:pt>
                <c:pt idx="23">
                  <c:v>2.733599842684932E-2</c:v>
                </c:pt>
                <c:pt idx="24">
                  <c:v>2.7024205131646214E-2</c:v>
                </c:pt>
                <c:pt idx="25">
                  <c:v>2.6688645979886075E-2</c:v>
                </c:pt>
                <c:pt idx="26">
                  <c:v>2.635923639404792E-2</c:v>
                </c:pt>
                <c:pt idx="27">
                  <c:v>2.6007718407081611E-2</c:v>
                </c:pt>
                <c:pt idx="28">
                  <c:v>2.5644602846137187E-2</c:v>
                </c:pt>
                <c:pt idx="29">
                  <c:v>2.5270689703108376E-2</c:v>
                </c:pt>
                <c:pt idx="30">
                  <c:v>2.4890937241219716E-2</c:v>
                </c:pt>
              </c:numCache>
            </c:numRef>
          </c:val>
          <c:extLst>
            <c:ext xmlns:c16="http://schemas.microsoft.com/office/drawing/2014/chart" uri="{C3380CC4-5D6E-409C-BE32-E72D297353CC}">
              <c16:uniqueId val="{00000000-5426-45DC-9514-E9FC9D78CCA7}"/>
            </c:ext>
          </c:extLst>
        </c:ser>
        <c:ser>
          <c:idx val="1"/>
          <c:order val="1"/>
          <c:tx>
            <c:strRef>
              <c:f>'Global Pass-Km ModeShare'!$J$6</c:f>
              <c:strCache>
                <c:ptCount val="1"/>
                <c:pt idx="0">
                  <c:v>Biking</c:v>
                </c:pt>
              </c:strCache>
            </c:strRef>
          </c:tx>
          <c:spPr>
            <a:solidFill>
              <a:srgbClr val="0365C0"/>
            </a:solidFill>
            <a:ln>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ModeShare'!$K$16:$K$46</c:f>
              <c:numCache>
                <c:formatCode>0%</c:formatCode>
                <c:ptCount val="31"/>
                <c:pt idx="0">
                  <c:v>1.5278932750860383E-2</c:v>
                </c:pt>
                <c:pt idx="1">
                  <c:v>1.5392554490311823E-2</c:v>
                </c:pt>
                <c:pt idx="2">
                  <c:v>1.5495874154116095E-2</c:v>
                </c:pt>
                <c:pt idx="3">
                  <c:v>1.5592193068962914E-2</c:v>
                </c:pt>
                <c:pt idx="4">
                  <c:v>1.5683446080060705E-2</c:v>
                </c:pt>
                <c:pt idx="5">
                  <c:v>1.577279412773807E-2</c:v>
                </c:pt>
                <c:pt idx="6">
                  <c:v>1.5857054004382316E-2</c:v>
                </c:pt>
                <c:pt idx="7">
                  <c:v>1.5941680641319265E-2</c:v>
                </c:pt>
                <c:pt idx="8">
                  <c:v>1.6026221845565847E-2</c:v>
                </c:pt>
                <c:pt idx="9">
                  <c:v>1.6111595239707E-2</c:v>
                </c:pt>
                <c:pt idx="10">
                  <c:v>1.6201231059473974E-2</c:v>
                </c:pt>
                <c:pt idx="11">
                  <c:v>1.6288072071468377E-2</c:v>
                </c:pt>
                <c:pt idx="12">
                  <c:v>1.6380536116179616E-2</c:v>
                </c:pt>
                <c:pt idx="13">
                  <c:v>1.6476458791197673E-2</c:v>
                </c:pt>
                <c:pt idx="14">
                  <c:v>1.6576162922704127E-2</c:v>
                </c:pt>
                <c:pt idx="15">
                  <c:v>1.6682544867850171E-2</c:v>
                </c:pt>
                <c:pt idx="16">
                  <c:v>1.6788216593905673E-2</c:v>
                </c:pt>
                <c:pt idx="17">
                  <c:v>1.6901300352431842E-2</c:v>
                </c:pt>
                <c:pt idx="18">
                  <c:v>1.7019590838403053E-2</c:v>
                </c:pt>
                <c:pt idx="19">
                  <c:v>1.7143460691897115E-2</c:v>
                </c:pt>
                <c:pt idx="20">
                  <c:v>1.7273644468181137E-2</c:v>
                </c:pt>
                <c:pt idx="21">
                  <c:v>1.7409068085307414E-2</c:v>
                </c:pt>
                <c:pt idx="22">
                  <c:v>1.7551146353072342E-2</c:v>
                </c:pt>
                <c:pt idx="23">
                  <c:v>1.7699600929680426E-2</c:v>
                </c:pt>
                <c:pt idx="24">
                  <c:v>1.7854549146790188E-2</c:v>
                </c:pt>
                <c:pt idx="25">
                  <c:v>1.8009541534481716E-2</c:v>
                </c:pt>
                <c:pt idx="26">
                  <c:v>1.8184259070313177E-2</c:v>
                </c:pt>
                <c:pt idx="27">
                  <c:v>1.8359118876051173E-2</c:v>
                </c:pt>
                <c:pt idx="28">
                  <c:v>1.8540694043547121E-2</c:v>
                </c:pt>
                <c:pt idx="29">
                  <c:v>1.872900218139905E-2</c:v>
                </c:pt>
                <c:pt idx="30">
                  <c:v>1.892722430667582E-2</c:v>
                </c:pt>
              </c:numCache>
            </c:numRef>
          </c:val>
          <c:extLst>
            <c:ext xmlns:c16="http://schemas.microsoft.com/office/drawing/2014/chart" uri="{C3380CC4-5D6E-409C-BE32-E72D297353CC}">
              <c16:uniqueId val="{00000001-5426-45DC-9514-E9FC9D78CCA7}"/>
            </c:ext>
          </c:extLst>
        </c:ser>
        <c:ser>
          <c:idx val="2"/>
          <c:order val="2"/>
          <c:tx>
            <c:strRef>
              <c:f>'Global Pass-Km ModeShare'!$M$6</c:f>
              <c:strCache>
                <c:ptCount val="1"/>
                <c:pt idx="0">
                  <c:v>E-Bikes</c:v>
                </c:pt>
              </c:strCache>
            </c:strRef>
          </c:tx>
          <c:spPr>
            <a:solidFill>
              <a:srgbClr val="00882B"/>
            </a:solidFill>
            <a:ln>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ModeShare'!$N$16:$N$46</c:f>
              <c:numCache>
                <c:formatCode>0%</c:formatCode>
                <c:ptCount val="31"/>
                <c:pt idx="0">
                  <c:v>6.0411379476193921E-3</c:v>
                </c:pt>
                <c:pt idx="1">
                  <c:v>6.3873269050648048E-3</c:v>
                </c:pt>
                <c:pt idx="2">
                  <c:v>6.7052978113043248E-3</c:v>
                </c:pt>
                <c:pt idx="3">
                  <c:v>6.9982309414775073E-3</c:v>
                </c:pt>
                <c:pt idx="4">
                  <c:v>7.2685927595369003E-3</c:v>
                </c:pt>
                <c:pt idx="5">
                  <c:v>7.5192962603983799E-3</c:v>
                </c:pt>
                <c:pt idx="6">
                  <c:v>7.7501014723661043E-3</c:v>
                </c:pt>
                <c:pt idx="7">
                  <c:v>7.9647619584111429E-3</c:v>
                </c:pt>
                <c:pt idx="8">
                  <c:v>8.1641090454289324E-3</c:v>
                </c:pt>
                <c:pt idx="9">
                  <c:v>8.3495356514216631E-3</c:v>
                </c:pt>
                <c:pt idx="10">
                  <c:v>8.5236811757098286E-3</c:v>
                </c:pt>
                <c:pt idx="11">
                  <c:v>8.6836014209944259E-3</c:v>
                </c:pt>
                <c:pt idx="12">
                  <c:v>8.8344350433479119E-3</c:v>
                </c:pt>
                <c:pt idx="13">
                  <c:v>8.9756987525859283E-3</c:v>
                </c:pt>
                <c:pt idx="14">
                  <c:v>9.1081683624718683E-3</c:v>
                </c:pt>
                <c:pt idx="15">
                  <c:v>9.234002765370156E-3</c:v>
                </c:pt>
                <c:pt idx="16">
                  <c:v>9.3496333778251908E-3</c:v>
                </c:pt>
                <c:pt idx="17">
                  <c:v>9.4600474281263149E-3</c:v>
                </c:pt>
                <c:pt idx="18">
                  <c:v>9.5644902276713628E-3</c:v>
                </c:pt>
                <c:pt idx="19">
                  <c:v>9.6636113007126222E-3</c:v>
                </c:pt>
                <c:pt idx="20">
                  <c:v>9.7582440296392348E-3</c:v>
                </c:pt>
                <c:pt idx="21">
                  <c:v>9.8481807253368372E-3</c:v>
                </c:pt>
                <c:pt idx="22">
                  <c:v>9.9346016052124404E-3</c:v>
                </c:pt>
                <c:pt idx="23">
                  <c:v>1.0017713736990615E-2</c:v>
                </c:pt>
                <c:pt idx="24">
                  <c:v>1.0097932250928443E-2</c:v>
                </c:pt>
                <c:pt idx="25">
                  <c:v>1.0171948810500474E-2</c:v>
                </c:pt>
                <c:pt idx="26">
                  <c:v>1.025120016401523E-2</c:v>
                </c:pt>
                <c:pt idx="27">
                  <c:v>1.032493362099288E-2</c:v>
                </c:pt>
                <c:pt idx="28">
                  <c:v>1.0397157337548478E-2</c:v>
                </c:pt>
                <c:pt idx="29">
                  <c:v>1.0468165089436564E-2</c:v>
                </c:pt>
                <c:pt idx="30">
                  <c:v>1.0540000790764654E-2</c:v>
                </c:pt>
              </c:numCache>
            </c:numRef>
          </c:val>
          <c:extLst>
            <c:ext xmlns:c16="http://schemas.microsoft.com/office/drawing/2014/chart" uri="{C3380CC4-5D6E-409C-BE32-E72D297353CC}">
              <c16:uniqueId val="{00000002-5426-45DC-9514-E9FC9D78CCA7}"/>
            </c:ext>
          </c:extLst>
        </c:ser>
        <c:ser>
          <c:idx val="3"/>
          <c:order val="3"/>
          <c:tx>
            <c:strRef>
              <c:f>'Global Pass-Km ModeShare'!$P$6</c:f>
              <c:strCache>
                <c:ptCount val="1"/>
                <c:pt idx="0">
                  <c:v>Urban Public Transit</c:v>
                </c:pt>
              </c:strCache>
            </c:strRef>
          </c:tx>
          <c:spPr>
            <a:solidFill>
              <a:srgbClr val="C82506"/>
            </a:solidFill>
            <a:ln w="25400">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ModeShare'!$Q$16:$Q$46</c:f>
              <c:numCache>
                <c:formatCode>0%</c:formatCode>
                <c:ptCount val="31"/>
                <c:pt idx="0">
                  <c:v>0.14801734650600573</c:v>
                </c:pt>
                <c:pt idx="1">
                  <c:v>0.14445329297771767</c:v>
                </c:pt>
                <c:pt idx="2">
                  <c:v>0.14374084386080729</c:v>
                </c:pt>
                <c:pt idx="3">
                  <c:v>0.14301035679244775</c:v>
                </c:pt>
                <c:pt idx="4">
                  <c:v>0.14224842649184255</c:v>
                </c:pt>
                <c:pt idx="5">
                  <c:v>0.14169136491609868</c:v>
                </c:pt>
                <c:pt idx="6">
                  <c:v>0.14065315611312817</c:v>
                </c:pt>
                <c:pt idx="7">
                  <c:v>0.13982575305969516</c:v>
                </c:pt>
                <c:pt idx="8">
                  <c:v>0.13898257962251101</c:v>
                </c:pt>
                <c:pt idx="9">
                  <c:v>0.13812666717779931</c:v>
                </c:pt>
                <c:pt idx="10">
                  <c:v>0.13749090895571001</c:v>
                </c:pt>
                <c:pt idx="11">
                  <c:v>0.13638803655430848</c:v>
                </c:pt>
                <c:pt idx="12">
                  <c:v>0.13551018464675826</c:v>
                </c:pt>
                <c:pt idx="13">
                  <c:v>0.13462847979209627</c:v>
                </c:pt>
                <c:pt idx="14">
                  <c:v>0.13374358206770362</c:v>
                </c:pt>
                <c:pt idx="15">
                  <c:v>0.13302800907338072</c:v>
                </c:pt>
                <c:pt idx="16">
                  <c:v>0.13196902501266861</c:v>
                </c:pt>
                <c:pt idx="17">
                  <c:v>0.13108329774149804</c:v>
                </c:pt>
                <c:pt idx="18">
                  <c:v>0.13020177088923482</c:v>
                </c:pt>
                <c:pt idx="19">
                  <c:v>0.12932704785344831</c:v>
                </c:pt>
                <c:pt idx="20">
                  <c:v>0.12829248146678174</c:v>
                </c:pt>
                <c:pt idx="21">
                  <c:v>0.12760651619224186</c:v>
                </c:pt>
                <c:pt idx="22">
                  <c:v>0.12676368697044638</c:v>
                </c:pt>
                <c:pt idx="23">
                  <c:v>0.12593446714127579</c:v>
                </c:pt>
                <c:pt idx="24">
                  <c:v>0.12512029705442468</c:v>
                </c:pt>
                <c:pt idx="25">
                  <c:v>0.12417672749981733</c:v>
                </c:pt>
                <c:pt idx="26">
                  <c:v>0.12354237548651413</c:v>
                </c:pt>
                <c:pt idx="27">
                  <c:v>0.12278098026973848</c:v>
                </c:pt>
                <c:pt idx="28">
                  <c:v>0.12203949762953609</c:v>
                </c:pt>
                <c:pt idx="29">
                  <c:v>0.12131902080262587</c:v>
                </c:pt>
                <c:pt idx="30">
                  <c:v>0.12071558880493757</c:v>
                </c:pt>
              </c:numCache>
            </c:numRef>
          </c:val>
          <c:extLst>
            <c:ext xmlns:c16="http://schemas.microsoft.com/office/drawing/2014/chart" uri="{C3380CC4-5D6E-409C-BE32-E72D297353CC}">
              <c16:uniqueId val="{00000003-5426-45DC-9514-E9FC9D78CCA7}"/>
            </c:ext>
          </c:extLst>
        </c:ser>
        <c:ser>
          <c:idx val="5"/>
          <c:order val="4"/>
          <c:tx>
            <c:strRef>
              <c:f>'Global Pass-Km ModeShare'!$V$6</c:f>
              <c:strCache>
                <c:ptCount val="1"/>
                <c:pt idx="0">
                  <c:v>Electric Cars</c:v>
                </c:pt>
              </c:strCache>
            </c:strRef>
          </c:tx>
          <c:spPr>
            <a:solidFill>
              <a:srgbClr val="DCBD23"/>
            </a:solidFill>
            <a:ln w="25400">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ModeShare'!$W$16:$W$46</c:f>
              <c:numCache>
                <c:formatCode>0%</c:formatCode>
                <c:ptCount val="31"/>
                <c:pt idx="0">
                  <c:v>3.9092232438914997E-3</c:v>
                </c:pt>
                <c:pt idx="1">
                  <c:v>5.1715947436738489E-3</c:v>
                </c:pt>
                <c:pt idx="2">
                  <c:v>6.5992486398705639E-3</c:v>
                </c:pt>
                <c:pt idx="3">
                  <c:v>8.1829775306404492E-3</c:v>
                </c:pt>
                <c:pt idx="4">
                  <c:v>9.9140814915968101E-3</c:v>
                </c:pt>
                <c:pt idx="5">
                  <c:v>1.1785635853126334E-2</c:v>
                </c:pt>
                <c:pt idx="6">
                  <c:v>1.3786683471513213E-2</c:v>
                </c:pt>
                <c:pt idx="7">
                  <c:v>1.5913225830180417E-2</c:v>
                </c:pt>
                <c:pt idx="8">
                  <c:v>1.8157300295839424E-2</c:v>
                </c:pt>
                <c:pt idx="9">
                  <c:v>2.0512371190341709E-2</c:v>
                </c:pt>
                <c:pt idx="10">
                  <c:v>2.2975884130121541E-2</c:v>
                </c:pt>
                <c:pt idx="11">
                  <c:v>2.5530787413433287E-2</c:v>
                </c:pt>
                <c:pt idx="12">
                  <c:v>2.8182297478689781E-2</c:v>
                </c:pt>
                <c:pt idx="13">
                  <c:v>3.0920847365910838E-2</c:v>
                </c:pt>
                <c:pt idx="14">
                  <c:v>3.3740544335092375E-2</c:v>
                </c:pt>
                <c:pt idx="15">
                  <c:v>3.6641315202562225E-2</c:v>
                </c:pt>
                <c:pt idx="16">
                  <c:v>3.9600690673979581E-2</c:v>
                </c:pt>
                <c:pt idx="17">
                  <c:v>4.2630513529208165E-2</c:v>
                </c:pt>
                <c:pt idx="18">
                  <c:v>4.5720221827299845E-2</c:v>
                </c:pt>
                <c:pt idx="19">
                  <c:v>4.8865217973543734E-2</c:v>
                </c:pt>
                <c:pt idx="20">
                  <c:v>5.2062321760166085E-2</c:v>
                </c:pt>
                <c:pt idx="21">
                  <c:v>5.5303191547360367E-2</c:v>
                </c:pt>
                <c:pt idx="22">
                  <c:v>5.8587224285391225E-2</c:v>
                </c:pt>
                <c:pt idx="23">
                  <c:v>6.1908953517307026E-2</c:v>
                </c:pt>
                <c:pt idx="24">
                  <c:v>6.5264344442430774E-2</c:v>
                </c:pt>
                <c:pt idx="25">
                  <c:v>6.862459403224673E-2</c:v>
                </c:pt>
                <c:pt idx="26">
                  <c:v>7.2060714281774838E-2</c:v>
                </c:pt>
                <c:pt idx="27">
                  <c:v>7.5494340311469857E-2</c:v>
                </c:pt>
                <c:pt idx="28">
                  <c:v>7.8947010228324191E-2</c:v>
                </c:pt>
                <c:pt idx="29">
                  <c:v>8.2415517052839365E-2</c:v>
                </c:pt>
                <c:pt idx="30">
                  <c:v>8.5911252267773353E-2</c:v>
                </c:pt>
              </c:numCache>
            </c:numRef>
          </c:val>
          <c:extLst>
            <c:ext xmlns:c16="http://schemas.microsoft.com/office/drawing/2014/chart" uri="{C3380CC4-5D6E-409C-BE32-E72D297353CC}">
              <c16:uniqueId val="{00000004-5426-45DC-9514-E9FC9D78CCA7}"/>
            </c:ext>
          </c:extLst>
        </c:ser>
        <c:ser>
          <c:idx val="6"/>
          <c:order val="5"/>
          <c:tx>
            <c:strRef>
              <c:f>'Global Pass-Km ModeShare'!$Y$6</c:f>
              <c:strCache>
                <c:ptCount val="1"/>
                <c:pt idx="0">
                  <c:v>Hybrid Cars</c:v>
                </c:pt>
              </c:strCache>
            </c:strRef>
          </c:tx>
          <c:spPr>
            <a:solidFill>
              <a:srgbClr val="781604"/>
            </a:solidFill>
            <a:ln w="25400">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ModeShare'!$Z$16:$Z$46</c:f>
              <c:numCache>
                <c:formatCode>0%</c:formatCode>
                <c:ptCount val="31"/>
                <c:pt idx="0">
                  <c:v>1.0025689278748043E-2</c:v>
                </c:pt>
                <c:pt idx="1">
                  <c:v>1.0754908436039955E-2</c:v>
                </c:pt>
                <c:pt idx="2">
                  <c:v>1.1348063083716588E-2</c:v>
                </c:pt>
                <c:pt idx="3">
                  <c:v>1.1827209441798931E-2</c:v>
                </c:pt>
                <c:pt idx="4">
                  <c:v>1.2211514954166254E-2</c:v>
                </c:pt>
                <c:pt idx="5">
                  <c:v>1.251937950123651E-2</c:v>
                </c:pt>
                <c:pt idx="6">
                  <c:v>1.2762613086232687E-2</c:v>
                </c:pt>
                <c:pt idx="7">
                  <c:v>1.2958489724656352E-2</c:v>
                </c:pt>
                <c:pt idx="8">
                  <c:v>1.3118358549228007E-2</c:v>
                </c:pt>
                <c:pt idx="9">
                  <c:v>1.3253550786798548E-2</c:v>
                </c:pt>
                <c:pt idx="10">
                  <c:v>1.3376480860415804E-2</c:v>
                </c:pt>
                <c:pt idx="11">
                  <c:v>1.3490008124814113E-2</c:v>
                </c:pt>
                <c:pt idx="12">
                  <c:v>1.3608954828184703E-2</c:v>
                </c:pt>
                <c:pt idx="13">
                  <c:v>1.3738662490379866E-2</c:v>
                </c:pt>
                <c:pt idx="14">
                  <c:v>1.3885843731444953E-2</c:v>
                </c:pt>
                <c:pt idx="15">
                  <c:v>1.4058751504277395E-2</c:v>
                </c:pt>
                <c:pt idx="16">
                  <c:v>1.4256390876339132E-2</c:v>
                </c:pt>
                <c:pt idx="17">
                  <c:v>1.4490300539545203E-2</c:v>
                </c:pt>
                <c:pt idx="18">
                  <c:v>1.47628187968113E-2</c:v>
                </c:pt>
                <c:pt idx="19">
                  <c:v>1.507799680810354E-2</c:v>
                </c:pt>
                <c:pt idx="20">
                  <c:v>1.5439785519124937E-2</c:v>
                </c:pt>
                <c:pt idx="21">
                  <c:v>1.5850124292319575E-2</c:v>
                </c:pt>
                <c:pt idx="22">
                  <c:v>1.6312805914691801E-2</c:v>
                </c:pt>
                <c:pt idx="23">
                  <c:v>1.6829764789626705E-2</c:v>
                </c:pt>
                <c:pt idx="24">
                  <c:v>1.7402968563515059E-2</c:v>
                </c:pt>
                <c:pt idx="25">
                  <c:v>1.8027516576612689E-2</c:v>
                </c:pt>
                <c:pt idx="26">
                  <c:v>1.8724390708740768E-2</c:v>
                </c:pt>
                <c:pt idx="27">
                  <c:v>1.947501523918773E-2</c:v>
                </c:pt>
                <c:pt idx="28">
                  <c:v>2.028676226362491E-2</c:v>
                </c:pt>
                <c:pt idx="29">
                  <c:v>2.1160226720919759E-2</c:v>
                </c:pt>
                <c:pt idx="30">
                  <c:v>2.2099502321009219E-2</c:v>
                </c:pt>
              </c:numCache>
            </c:numRef>
          </c:val>
          <c:extLst>
            <c:ext xmlns:c16="http://schemas.microsoft.com/office/drawing/2014/chart" uri="{C3380CC4-5D6E-409C-BE32-E72D297353CC}">
              <c16:uniqueId val="{00000005-5426-45DC-9514-E9FC9D78CCA7}"/>
            </c:ext>
          </c:extLst>
        </c:ser>
        <c:ser>
          <c:idx val="7"/>
          <c:order val="6"/>
          <c:tx>
            <c:strRef>
              <c:f>'Global Pass-Km ModeShare'!$AB$6</c:f>
              <c:strCache>
                <c:ptCount val="1"/>
                <c:pt idx="0">
                  <c:v>Nonurban Telepresence</c:v>
                </c:pt>
              </c:strCache>
            </c:strRef>
          </c:tx>
          <c:spPr>
            <a:solidFill>
              <a:srgbClr val="773F9B"/>
            </a:solidFill>
            <a:ln w="25400">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ModeShare'!$AC$16:$AC$46</c:f>
              <c:numCache>
                <c:formatCode>0%</c:formatCode>
                <c:ptCount val="31"/>
                <c:pt idx="0">
                  <c:v>7.3281205517145677E-3</c:v>
                </c:pt>
                <c:pt idx="1">
                  <c:v>7.8772389850061617E-3</c:v>
                </c:pt>
                <c:pt idx="2">
                  <c:v>8.3889119215706659E-3</c:v>
                </c:pt>
                <c:pt idx="3">
                  <c:v>8.8663860880312147E-3</c:v>
                </c:pt>
                <c:pt idx="4">
                  <c:v>9.3121119479272763E-3</c:v>
                </c:pt>
                <c:pt idx="5">
                  <c:v>9.729198253935336E-3</c:v>
                </c:pt>
                <c:pt idx="6">
                  <c:v>1.011674311219332E-2</c:v>
                </c:pt>
                <c:pt idx="7">
                  <c:v>1.0479068476051978E-2</c:v>
                </c:pt>
                <c:pt idx="8">
                  <c:v>1.0816767831639977E-2</c:v>
                </c:pt>
                <c:pt idx="9">
                  <c:v>1.1131210191446316E-2</c:v>
                </c:pt>
                <c:pt idx="10">
                  <c:v>1.1425486353223338E-2</c:v>
                </c:pt>
                <c:pt idx="11">
                  <c:v>1.1695249761320452E-2</c:v>
                </c:pt>
                <c:pt idx="12">
                  <c:v>1.1947031795172796E-2</c:v>
                </c:pt>
                <c:pt idx="13">
                  <c:v>1.217986706523767E-2</c:v>
                </c:pt>
                <c:pt idx="14">
                  <c:v>1.2394514026833676E-2</c:v>
                </c:pt>
                <c:pt idx="15">
                  <c:v>1.2593653692630458E-2</c:v>
                </c:pt>
                <c:pt idx="16">
                  <c:v>1.2772190881857347E-2</c:v>
                </c:pt>
                <c:pt idx="17">
                  <c:v>1.2936733095571664E-2</c:v>
                </c:pt>
                <c:pt idx="18">
                  <c:v>1.3086089087768397E-2</c:v>
                </c:pt>
                <c:pt idx="19">
                  <c:v>1.3221013031286919E-2</c:v>
                </c:pt>
                <c:pt idx="20">
                  <c:v>1.3342538728405297E-2</c:v>
                </c:pt>
                <c:pt idx="21">
                  <c:v>1.3450302757380265E-2</c:v>
                </c:pt>
                <c:pt idx="22">
                  <c:v>1.3545864037993363E-2</c:v>
                </c:pt>
                <c:pt idx="23">
                  <c:v>1.3629473912052064E-2</c:v>
                </c:pt>
                <c:pt idx="24">
                  <c:v>1.3701689616854256E-2</c:v>
                </c:pt>
                <c:pt idx="25">
                  <c:v>1.3758051654159116E-2</c:v>
                </c:pt>
                <c:pt idx="26">
                  <c:v>1.3814061951546835E-2</c:v>
                </c:pt>
                <c:pt idx="27">
                  <c:v>1.3855226777216737E-2</c:v>
                </c:pt>
                <c:pt idx="28">
                  <c:v>1.3887032281170176E-2</c:v>
                </c:pt>
                <c:pt idx="29">
                  <c:v>1.3909954409168382E-2</c:v>
                </c:pt>
                <c:pt idx="30">
                  <c:v>1.3926793304548313E-2</c:v>
                </c:pt>
              </c:numCache>
            </c:numRef>
          </c:val>
          <c:extLst>
            <c:ext xmlns:c16="http://schemas.microsoft.com/office/drawing/2014/chart" uri="{C3380CC4-5D6E-409C-BE32-E72D297353CC}">
              <c16:uniqueId val="{00000006-5426-45DC-9514-E9FC9D78CCA7}"/>
            </c:ext>
          </c:extLst>
        </c:ser>
        <c:ser>
          <c:idx val="8"/>
          <c:order val="7"/>
          <c:tx>
            <c:strRef>
              <c:f>'Global Pass-Km ModeShare'!$AE$6</c:f>
              <c:strCache>
                <c:ptCount val="1"/>
                <c:pt idx="0">
                  <c:v>High Speed Rail</c:v>
                </c:pt>
              </c:strCache>
            </c:strRef>
          </c:tx>
          <c:spPr>
            <a:solidFill>
              <a:srgbClr val="DE6A10"/>
            </a:solidFill>
            <a:ln w="25400">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ModeShare'!$AF$16:$AF$46</c:f>
              <c:numCache>
                <c:formatCode>0%</c:formatCode>
                <c:ptCount val="31"/>
                <c:pt idx="0">
                  <c:v>1.4015437015121864E-2</c:v>
                </c:pt>
                <c:pt idx="1">
                  <c:v>1.431231827619067E-2</c:v>
                </c:pt>
                <c:pt idx="2">
                  <c:v>1.4546764570477017E-2</c:v>
                </c:pt>
                <c:pt idx="3">
                  <c:v>1.472716775624101E-2</c:v>
                </c:pt>
                <c:pt idx="4">
                  <c:v>1.4860153253627762E-2</c:v>
                </c:pt>
                <c:pt idx="5">
                  <c:v>1.4953059522338687E-2</c:v>
                </c:pt>
                <c:pt idx="6">
                  <c:v>1.5006811340923368E-2</c:v>
                </c:pt>
                <c:pt idx="7">
                  <c:v>1.5030171042709456E-2</c:v>
                </c:pt>
                <c:pt idx="8">
                  <c:v>1.5025991444971418E-2</c:v>
                </c:pt>
                <c:pt idx="9">
                  <c:v>1.4998149669148652E-2</c:v>
                </c:pt>
                <c:pt idx="10">
                  <c:v>1.4952594915960763E-2</c:v>
                </c:pt>
                <c:pt idx="11">
                  <c:v>1.4885375755809994E-2</c:v>
                </c:pt>
                <c:pt idx="12">
                  <c:v>1.4806624651336645E-2</c:v>
                </c:pt>
                <c:pt idx="13">
                  <c:v>1.4716532268000461E-2</c:v>
                </c:pt>
                <c:pt idx="14">
                  <c:v>1.4617430055551677E-2</c:v>
                </c:pt>
                <c:pt idx="15">
                  <c:v>1.451374574803275E-2</c:v>
                </c:pt>
                <c:pt idx="16">
                  <c:v>1.44008264800474E-2</c:v>
                </c:pt>
                <c:pt idx="17">
                  <c:v>1.4287385663995424E-2</c:v>
                </c:pt>
                <c:pt idx="18">
                  <c:v>1.4173029922744978E-2</c:v>
                </c:pt>
                <c:pt idx="19">
                  <c:v>1.4059492325408407E-2</c:v>
                </c:pt>
                <c:pt idx="20">
                  <c:v>1.3948686566530493E-2</c:v>
                </c:pt>
                <c:pt idx="21">
                  <c:v>1.3840963102510897E-2</c:v>
                </c:pt>
                <c:pt idx="22">
                  <c:v>1.3738589043754934E-2</c:v>
                </c:pt>
                <c:pt idx="23">
                  <c:v>1.3642375964107565E-2</c:v>
                </c:pt>
                <c:pt idx="24">
                  <c:v>1.35533713657004E-2</c:v>
                </c:pt>
                <c:pt idx="25">
                  <c:v>1.3467631675067891E-2</c:v>
                </c:pt>
                <c:pt idx="26">
                  <c:v>1.3400678070465898E-2</c:v>
                </c:pt>
                <c:pt idx="27">
                  <c:v>1.3338598754411412E-2</c:v>
                </c:pt>
                <c:pt idx="28">
                  <c:v>1.3286973783865666E-2</c:v>
                </c:pt>
                <c:pt idx="29">
                  <c:v>1.3246416829670087E-2</c:v>
                </c:pt>
                <c:pt idx="30">
                  <c:v>1.3219689750044075E-2</c:v>
                </c:pt>
              </c:numCache>
            </c:numRef>
          </c:val>
          <c:extLst>
            <c:ext xmlns:c16="http://schemas.microsoft.com/office/drawing/2014/chart" uri="{C3380CC4-5D6E-409C-BE32-E72D297353CC}">
              <c16:uniqueId val="{00000007-5426-45DC-9514-E9FC9D78CCA7}"/>
            </c:ext>
          </c:extLst>
        </c:ser>
        <c:ser>
          <c:idx val="9"/>
          <c:order val="8"/>
          <c:tx>
            <c:strRef>
              <c:f>'Global Pass-Km ModeShare'!$AH$6</c:f>
              <c:strCache>
                <c:ptCount val="1"/>
                <c:pt idx="0">
                  <c:v>Efficient Aviation</c:v>
                </c:pt>
              </c:strCache>
            </c:strRef>
          </c:tx>
          <c:spPr>
            <a:solidFill>
              <a:srgbClr val="47265D"/>
            </a:solidFill>
            <a:ln w="25400">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ModeShare'!$AI$16:$AI$46</c:f>
              <c:numCache>
                <c:formatCode>0%</c:formatCode>
                <c:ptCount val="31"/>
                <c:pt idx="0">
                  <c:v>3.8934211866183878E-2</c:v>
                </c:pt>
                <c:pt idx="1">
                  <c:v>4.615685491865168E-2</c:v>
                </c:pt>
                <c:pt idx="2">
                  <c:v>5.3030827197318338E-2</c:v>
                </c:pt>
                <c:pt idx="3">
                  <c:v>5.9582742625379041E-2</c:v>
                </c:pt>
                <c:pt idx="4">
                  <c:v>6.583413678068871E-2</c:v>
                </c:pt>
                <c:pt idx="5">
                  <c:v>7.1884637274896496E-2</c:v>
                </c:pt>
                <c:pt idx="6">
                  <c:v>7.771265584897831E-2</c:v>
                </c:pt>
                <c:pt idx="7">
                  <c:v>8.3285922112453281E-2</c:v>
                </c:pt>
                <c:pt idx="8">
                  <c:v>8.8611462615289335E-2</c:v>
                </c:pt>
                <c:pt idx="9">
                  <c:v>9.3701662701309418E-2</c:v>
                </c:pt>
                <c:pt idx="10">
                  <c:v>9.858359031801725E-2</c:v>
                </c:pt>
                <c:pt idx="11">
                  <c:v>0.10321999857830687</c:v>
                </c:pt>
                <c:pt idx="12">
                  <c:v>0.10766736717100871</c:v>
                </c:pt>
                <c:pt idx="13">
                  <c:v>0.11191732103443955</c:v>
                </c:pt>
                <c:pt idx="14">
                  <c:v>0.11597617170810831</c:v>
                </c:pt>
                <c:pt idx="15">
                  <c:v>0.11995826299430624</c:v>
                </c:pt>
                <c:pt idx="16">
                  <c:v>0.12343879927391785</c:v>
                </c:pt>
                <c:pt idx="17">
                  <c:v>0.12684546726134105</c:v>
                </c:pt>
                <c:pt idx="18">
                  <c:v>0.13016056312203939</c:v>
                </c:pt>
                <c:pt idx="19">
                  <c:v>0.13264148609641646</c:v>
                </c:pt>
                <c:pt idx="20">
                  <c:v>0.13433769386028657</c:v>
                </c:pt>
                <c:pt idx="21">
                  <c:v>0.13468407946473618</c:v>
                </c:pt>
                <c:pt idx="22">
                  <c:v>0.13463415261152537</c:v>
                </c:pt>
                <c:pt idx="23">
                  <c:v>0.13424203967481096</c:v>
                </c:pt>
                <c:pt idx="24">
                  <c:v>0.13293183411383214</c:v>
                </c:pt>
                <c:pt idx="25">
                  <c:v>0.13163447038000853</c:v>
                </c:pt>
                <c:pt idx="26">
                  <c:v>0.13048960921568192</c:v>
                </c:pt>
                <c:pt idx="27">
                  <c:v>0.1293503580337555</c:v>
                </c:pt>
                <c:pt idx="28">
                  <c:v>0.12826139339087997</c:v>
                </c:pt>
                <c:pt idx="29">
                  <c:v>0.12717633397111847</c:v>
                </c:pt>
                <c:pt idx="30">
                  <c:v>0.12606521679322205</c:v>
                </c:pt>
              </c:numCache>
            </c:numRef>
          </c:val>
          <c:extLst>
            <c:ext xmlns:c16="http://schemas.microsoft.com/office/drawing/2014/chart" uri="{C3380CC4-5D6E-409C-BE32-E72D297353CC}">
              <c16:uniqueId val="{00000008-5426-45DC-9514-E9FC9D78CCA7}"/>
            </c:ext>
          </c:extLst>
        </c:ser>
        <c:ser>
          <c:idx val="10"/>
          <c:order val="9"/>
          <c:tx>
            <c:strRef>
              <c:f>'Global Pass-Km ModeShare'!$D$6</c:f>
              <c:strCache>
                <c:ptCount val="1"/>
                <c:pt idx="0">
                  <c:v>Other</c:v>
                </c:pt>
              </c:strCache>
            </c:strRef>
          </c:tx>
          <c:spPr>
            <a:solidFill>
              <a:schemeClr val="bg1">
                <a:lumMod val="85000"/>
              </a:schemeClr>
            </a:solidFill>
            <a:ln w="25400">
              <a:noFill/>
            </a:ln>
            <a:effectLst/>
          </c:spPr>
          <c:cat>
            <c:numRef>
              <c:f>'Global Pass-Km ModeShare'!$E$16:$E$46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ModeShare'!$D$16:$D$46</c:f>
              <c:numCache>
                <c:formatCode>0%</c:formatCode>
                <c:ptCount val="31"/>
                <c:pt idx="0">
                  <c:v>0.72810909217101361</c:v>
                </c:pt>
                <c:pt idx="1">
                  <c:v>0.72084562126798113</c:v>
                </c:pt>
                <c:pt idx="2">
                  <c:v>0.71123523351856421</c:v>
                </c:pt>
                <c:pt idx="3">
                  <c:v>0.70208478628933024</c:v>
                </c:pt>
                <c:pt idx="4">
                  <c:v>0.69335940050422573</c:v>
                </c:pt>
                <c:pt idx="5">
                  <c:v>0.68468992303752307</c:v>
                </c:pt>
                <c:pt idx="6">
                  <c:v>0.67679302455025092</c:v>
                </c:pt>
                <c:pt idx="7">
                  <c:v>0.66896373696519495</c:v>
                </c:pt>
                <c:pt idx="8">
                  <c:v>0.66141561233928803</c:v>
                </c:pt>
                <c:pt idx="9">
                  <c:v>0.6541194440075262</c:v>
                </c:pt>
                <c:pt idx="10">
                  <c:v>0.64678417358179763</c:v>
                </c:pt>
                <c:pt idx="11">
                  <c:v>0.6401798157400268</c:v>
                </c:pt>
                <c:pt idx="12">
                  <c:v>0.63349207077226166</c:v>
                </c:pt>
                <c:pt idx="13">
                  <c:v>0.62696971767098741</c:v>
                </c:pt>
                <c:pt idx="14">
                  <c:v>0.62060001737869763</c:v>
                </c:pt>
                <c:pt idx="15">
                  <c:v>0.61407041916278504</c:v>
                </c:pt>
                <c:pt idx="16">
                  <c:v>0.60837521834903419</c:v>
                </c:pt>
                <c:pt idx="17">
                  <c:v>0.60250361620030513</c:v>
                </c:pt>
                <c:pt idx="18">
                  <c:v>0.59665854609091717</c:v>
                </c:pt>
                <c:pt idx="19">
                  <c:v>0.59157589004501021</c:v>
                </c:pt>
                <c:pt idx="20">
                  <c:v>0.58736577662166023</c:v>
                </c:pt>
                <c:pt idx="21">
                  <c:v>0.58409370918481451</c:v>
                </c:pt>
                <c:pt idx="22">
                  <c:v>0.58129908064150382</c:v>
                </c:pt>
                <c:pt idx="23">
                  <c:v>0.57875961190729941</c:v>
                </c:pt>
                <c:pt idx="24">
                  <c:v>0.57704880831387806</c:v>
                </c:pt>
                <c:pt idx="25">
                  <c:v>0.57544087185721937</c:v>
                </c:pt>
                <c:pt idx="26">
                  <c:v>0.5731734746568995</c:v>
                </c:pt>
                <c:pt idx="27">
                  <c:v>0.57101370971009469</c:v>
                </c:pt>
                <c:pt idx="28">
                  <c:v>0.56870887619536636</c:v>
                </c:pt>
                <c:pt idx="29">
                  <c:v>0.56630467323971412</c:v>
                </c:pt>
                <c:pt idx="30">
                  <c:v>0.56370379441980534</c:v>
                </c:pt>
              </c:numCache>
            </c:numRef>
          </c:val>
          <c:extLst>
            <c:ext xmlns:c16="http://schemas.microsoft.com/office/drawing/2014/chart" uri="{C3380CC4-5D6E-409C-BE32-E72D297353CC}">
              <c16:uniqueId val="{00000009-5426-45DC-9514-E9FC9D78CCA7}"/>
            </c:ext>
          </c:extLst>
        </c:ser>
        <c:dLbls>
          <c:showLegendKey val="0"/>
          <c:showVal val="0"/>
          <c:showCatName val="0"/>
          <c:showSerName val="0"/>
          <c:showPercent val="0"/>
          <c:showBubbleSize val="0"/>
        </c:dLbls>
        <c:axId val="918709040"/>
        <c:axId val="918710320"/>
      </c:areaChart>
      <c:catAx>
        <c:axId val="918709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710320"/>
        <c:crosses val="autoZero"/>
        <c:auto val="1"/>
        <c:lblAlgn val="ctr"/>
        <c:lblOffset val="100"/>
        <c:tickLblSkip val="5"/>
        <c:tickMarkSkip val="5"/>
        <c:noMultiLvlLbl val="0"/>
      </c:catAx>
      <c:valAx>
        <c:axId val="91871032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918709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Modeshare Evolution in Optimum Scenario: Urban + Nonurban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'Global Pass-Km ModeShare'!$G$116</c:f>
              <c:strCache>
                <c:ptCount val="1"/>
                <c:pt idx="0">
                  <c:v>Walking</c:v>
                </c:pt>
              </c:strCache>
            </c:strRef>
          </c:tx>
          <c:spPr>
            <a:solidFill>
              <a:srgbClr val="85400A"/>
            </a:solidFill>
            <a:ln>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ModeShare'!$H$126:$H$156</c:f>
              <c:numCache>
                <c:formatCode>0%</c:formatCode>
                <c:ptCount val="31"/>
                <c:pt idx="0">
                  <c:v>3.1615354870611227E-2</c:v>
                </c:pt>
                <c:pt idx="1">
                  <c:v>3.2297257729610111E-2</c:v>
                </c:pt>
                <c:pt idx="2">
                  <c:v>3.2905662363507157E-2</c:v>
                </c:pt>
                <c:pt idx="3">
                  <c:v>3.3449255712483479E-2</c:v>
                </c:pt>
                <c:pt idx="4">
                  <c:v>3.3933762343809092E-2</c:v>
                </c:pt>
                <c:pt idx="5">
                  <c:v>3.4367480089357291E-2</c:v>
                </c:pt>
                <c:pt idx="6">
                  <c:v>3.4744789894024825E-2</c:v>
                </c:pt>
                <c:pt idx="7">
                  <c:v>3.5078803558574026E-2</c:v>
                </c:pt>
                <c:pt idx="8">
                  <c:v>3.5369691202696805E-2</c:v>
                </c:pt>
                <c:pt idx="9">
                  <c:v>3.5620552589623933E-2</c:v>
                </c:pt>
                <c:pt idx="10">
                  <c:v>3.584000551041578E-2</c:v>
                </c:pt>
                <c:pt idx="11">
                  <c:v>3.6013436611812208E-2</c:v>
                </c:pt>
                <c:pt idx="12">
                  <c:v>3.6160442966369007E-2</c:v>
                </c:pt>
                <c:pt idx="13">
                  <c:v>3.6277196905142105E-2</c:v>
                </c:pt>
                <c:pt idx="14">
                  <c:v>3.636536731302837E-2</c:v>
                </c:pt>
                <c:pt idx="15">
                  <c:v>3.6432244217213555E-2</c:v>
                </c:pt>
                <c:pt idx="16">
                  <c:v>3.6462662422667276E-2</c:v>
                </c:pt>
                <c:pt idx="17">
                  <c:v>3.6475332206719231E-2</c:v>
                </c:pt>
                <c:pt idx="18">
                  <c:v>3.6466410980956675E-2</c:v>
                </c:pt>
                <c:pt idx="19">
                  <c:v>3.6437683797675528E-2</c:v>
                </c:pt>
                <c:pt idx="20">
                  <c:v>3.6391691402734655E-2</c:v>
                </c:pt>
                <c:pt idx="21">
                  <c:v>3.6327159201412301E-2</c:v>
                </c:pt>
                <c:pt idx="22">
                  <c:v>3.6248055675881075E-2</c:v>
                </c:pt>
                <c:pt idx="23">
                  <c:v>3.6154779998111439E-2</c:v>
                </c:pt>
                <c:pt idx="24">
                  <c:v>3.6048560984454338E-2</c:v>
                </c:pt>
                <c:pt idx="25">
                  <c:v>3.5917522710591503E-2</c:v>
                </c:pt>
                <c:pt idx="26">
                  <c:v>3.5801893654411512E-2</c:v>
                </c:pt>
                <c:pt idx="27">
                  <c:v>3.566358612453803E-2</c:v>
                </c:pt>
                <c:pt idx="28">
                  <c:v>3.5516664522038097E-2</c:v>
                </c:pt>
                <c:pt idx="29">
                  <c:v>3.5362104754846559E-2</c:v>
                </c:pt>
                <c:pt idx="30">
                  <c:v>3.5206748845541334E-2</c:v>
                </c:pt>
              </c:numCache>
            </c:numRef>
          </c:val>
          <c:extLst>
            <c:ext xmlns:c16="http://schemas.microsoft.com/office/drawing/2014/chart" uri="{C3380CC4-5D6E-409C-BE32-E72D297353CC}">
              <c16:uniqueId val="{00000000-1D17-4FB5-8562-E34E7608F05A}"/>
            </c:ext>
          </c:extLst>
        </c:ser>
        <c:ser>
          <c:idx val="1"/>
          <c:order val="1"/>
          <c:tx>
            <c:strRef>
              <c:f>'Global Pass-Km ModeShare'!$J$116</c:f>
              <c:strCache>
                <c:ptCount val="1"/>
                <c:pt idx="0">
                  <c:v>Biking</c:v>
                </c:pt>
              </c:strCache>
            </c:strRef>
          </c:tx>
          <c:spPr>
            <a:solidFill>
              <a:srgbClr val="0365C0"/>
            </a:solidFill>
            <a:ln>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ModeShare'!$K$126:$K$156</c:f>
              <c:numCache>
                <c:formatCode>0%</c:formatCode>
                <c:ptCount val="31"/>
                <c:pt idx="0">
                  <c:v>1.5860967639215896E-2</c:v>
                </c:pt>
                <c:pt idx="1">
                  <c:v>1.7363990204469333E-2</c:v>
                </c:pt>
                <c:pt idx="2">
                  <c:v>1.8777293834158222E-2</c:v>
                </c:pt>
                <c:pt idx="3">
                  <c:v>2.0108360290468291E-2</c:v>
                </c:pt>
                <c:pt idx="4">
                  <c:v>2.1362908090265725E-2</c:v>
                </c:pt>
                <c:pt idx="5">
                  <c:v>2.2548179742401878E-2</c:v>
                </c:pt>
                <c:pt idx="6">
                  <c:v>2.3662114876707843E-2</c:v>
                </c:pt>
                <c:pt idx="7">
                  <c:v>2.4714740155365875E-2</c:v>
                </c:pt>
                <c:pt idx="8">
                  <c:v>2.5707426672968884E-2</c:v>
                </c:pt>
                <c:pt idx="9">
                  <c:v>2.6643332127271675E-2</c:v>
                </c:pt>
                <c:pt idx="10">
                  <c:v>2.752976488453757E-2</c:v>
                </c:pt>
                <c:pt idx="11">
                  <c:v>2.8356115697850567E-2</c:v>
                </c:pt>
                <c:pt idx="12">
                  <c:v>2.9137987802706978E-2</c:v>
                </c:pt>
                <c:pt idx="13">
                  <c:v>2.9872918850360398E-2</c:v>
                </c:pt>
                <c:pt idx="14">
                  <c:v>3.0562595468251245E-2</c:v>
                </c:pt>
                <c:pt idx="15">
                  <c:v>3.121347002550998E-2</c:v>
                </c:pt>
                <c:pt idx="16">
                  <c:v>3.1812725208141886E-2</c:v>
                </c:pt>
                <c:pt idx="17">
                  <c:v>3.2376556722749847E-2</c:v>
                </c:pt>
                <c:pt idx="18">
                  <c:v>3.2901841430602326E-2</c:v>
                </c:pt>
                <c:pt idx="19">
                  <c:v>3.339029009628567E-2</c:v>
                </c:pt>
                <c:pt idx="20">
                  <c:v>3.3844336539505276E-2</c:v>
                </c:pt>
                <c:pt idx="21">
                  <c:v>3.4262882454196154E-2</c:v>
                </c:pt>
                <c:pt idx="22">
                  <c:v>3.4649715228615874E-2</c:v>
                </c:pt>
                <c:pt idx="23">
                  <c:v>3.5005315355159383E-2</c:v>
                </c:pt>
                <c:pt idx="24">
                  <c:v>3.5330949247837529E-2</c:v>
                </c:pt>
                <c:pt idx="25">
                  <c:v>3.5614907574244244E-2</c:v>
                </c:pt>
                <c:pt idx="26">
                  <c:v>3.5897164895311855E-2</c:v>
                </c:pt>
                <c:pt idx="27">
                  <c:v>3.6140057400727385E-2</c:v>
                </c:pt>
                <c:pt idx="28">
                  <c:v>3.6357652647061596E-2</c:v>
                </c:pt>
                <c:pt idx="29">
                  <c:v>3.6551058675329713E-2</c:v>
                </c:pt>
                <c:pt idx="30">
                  <c:v>3.672752353453973E-2</c:v>
                </c:pt>
              </c:numCache>
            </c:numRef>
          </c:val>
          <c:extLst>
            <c:ext xmlns:c16="http://schemas.microsoft.com/office/drawing/2014/chart" uri="{C3380CC4-5D6E-409C-BE32-E72D297353CC}">
              <c16:uniqueId val="{00000001-1D17-4FB5-8562-E34E7608F05A}"/>
            </c:ext>
          </c:extLst>
        </c:ser>
        <c:ser>
          <c:idx val="2"/>
          <c:order val="2"/>
          <c:tx>
            <c:strRef>
              <c:f>'Global Pass-Km ModeShare'!$M$116</c:f>
              <c:strCache>
                <c:ptCount val="1"/>
                <c:pt idx="0">
                  <c:v>E-Bikes</c:v>
                </c:pt>
              </c:strCache>
            </c:strRef>
          </c:tx>
          <c:spPr>
            <a:solidFill>
              <a:srgbClr val="00882B"/>
            </a:solidFill>
            <a:ln>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ModeShare'!$N$126:$N$156</c:f>
              <c:numCache>
                <c:formatCode>0%</c:formatCode>
                <c:ptCount val="31"/>
                <c:pt idx="0">
                  <c:v>5.8641637454652611E-3</c:v>
                </c:pt>
                <c:pt idx="1">
                  <c:v>6.2211825449303843E-3</c:v>
                </c:pt>
                <c:pt idx="2">
                  <c:v>6.5592348112971334E-3</c:v>
                </c:pt>
                <c:pt idx="3">
                  <c:v>6.8805500802956903E-3</c:v>
                </c:pt>
                <c:pt idx="4">
                  <c:v>7.1867466775631253E-3</c:v>
                </c:pt>
                <c:pt idx="5">
                  <c:v>7.4799652474678395E-3</c:v>
                </c:pt>
                <c:pt idx="6">
                  <c:v>7.7592780354627843E-3</c:v>
                </c:pt>
                <c:pt idx="7">
                  <c:v>8.0277871917979159E-3</c:v>
                </c:pt>
                <c:pt idx="8">
                  <c:v>8.2857387722472114E-3</c:v>
                </c:pt>
                <c:pt idx="9">
                  <c:v>8.5339829544457402E-3</c:v>
                </c:pt>
                <c:pt idx="10">
                  <c:v>8.7746980868486195E-3</c:v>
                </c:pt>
                <c:pt idx="11">
                  <c:v>9.0043549827266856E-3</c:v>
                </c:pt>
                <c:pt idx="12">
                  <c:v>9.2277815152115774E-3</c:v>
                </c:pt>
                <c:pt idx="13">
                  <c:v>9.4440490590642252E-3</c:v>
                </c:pt>
                <c:pt idx="14">
                  <c:v>9.6535518916415902E-3</c:v>
                </c:pt>
                <c:pt idx="15">
                  <c:v>9.8581877894480252E-3</c:v>
                </c:pt>
                <c:pt idx="16">
                  <c:v>1.0053765628126803E-2</c:v>
                </c:pt>
                <c:pt idx="17">
                  <c:v>1.0245253968013983E-2</c:v>
                </c:pt>
                <c:pt idx="18">
                  <c:v>1.0431516316860217E-2</c:v>
                </c:pt>
                <c:pt idx="19">
                  <c:v>1.0612939666321652E-2</c:v>
                </c:pt>
                <c:pt idx="20">
                  <c:v>1.0790138923948983E-2</c:v>
                </c:pt>
                <c:pt idx="21">
                  <c:v>1.0962600367775369E-2</c:v>
                </c:pt>
                <c:pt idx="22">
                  <c:v>1.1131365084875019E-2</c:v>
                </c:pt>
                <c:pt idx="23">
                  <c:v>1.1296417364594075E-2</c:v>
                </c:pt>
                <c:pt idx="24">
                  <c:v>1.1457989930929223E-2</c:v>
                </c:pt>
                <c:pt idx="25">
                  <c:v>1.1612083339244159E-2</c:v>
                </c:pt>
                <c:pt idx="26">
                  <c:v>1.1771548291555538E-2</c:v>
                </c:pt>
                <c:pt idx="27">
                  <c:v>1.1923920981337184E-2</c:v>
                </c:pt>
                <c:pt idx="28">
                  <c:v>1.2073604083232374E-2</c:v>
                </c:pt>
                <c:pt idx="29">
                  <c:v>1.2220775106374706E-2</c:v>
                </c:pt>
                <c:pt idx="30">
                  <c:v>1.2367680145099777E-2</c:v>
                </c:pt>
              </c:numCache>
            </c:numRef>
          </c:val>
          <c:extLst>
            <c:ext xmlns:c16="http://schemas.microsoft.com/office/drawing/2014/chart" uri="{C3380CC4-5D6E-409C-BE32-E72D297353CC}">
              <c16:uniqueId val="{00000002-1D17-4FB5-8562-E34E7608F05A}"/>
            </c:ext>
          </c:extLst>
        </c:ser>
        <c:ser>
          <c:idx val="3"/>
          <c:order val="3"/>
          <c:tx>
            <c:strRef>
              <c:f>'Global Pass-Km ModeShare'!$P$116</c:f>
              <c:strCache>
                <c:ptCount val="1"/>
                <c:pt idx="0">
                  <c:v>Urban Public Transit</c:v>
                </c:pt>
              </c:strCache>
            </c:strRef>
          </c:tx>
          <c:spPr>
            <a:solidFill>
              <a:srgbClr val="C82506"/>
            </a:solidFill>
            <a:ln w="25400">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ModeShare'!$Q$126:$Q$156</c:f>
              <c:numCache>
                <c:formatCode>0%</c:formatCode>
                <c:ptCount val="31"/>
                <c:pt idx="0">
                  <c:v>0.14801734650600573</c:v>
                </c:pt>
                <c:pt idx="1">
                  <c:v>0.14445329297771767</c:v>
                </c:pt>
                <c:pt idx="2">
                  <c:v>0.16660796046186863</c:v>
                </c:pt>
                <c:pt idx="3">
                  <c:v>0.16736642513517211</c:v>
                </c:pt>
                <c:pt idx="4">
                  <c:v>0.1683362581909762</c:v>
                </c:pt>
                <c:pt idx="5">
                  <c:v>0.16949579682519644</c:v>
                </c:pt>
                <c:pt idx="6">
                  <c:v>0.17076015317335203</c:v>
                </c:pt>
                <c:pt idx="7">
                  <c:v>0.17214196454503722</c:v>
                </c:pt>
                <c:pt idx="8">
                  <c:v>0.1735951252277049</c:v>
                </c:pt>
                <c:pt idx="9">
                  <c:v>0.17509220615974846</c:v>
                </c:pt>
                <c:pt idx="10">
                  <c:v>0.17663670043866919</c:v>
                </c:pt>
                <c:pt idx="11">
                  <c:v>0.17812085797216001</c:v>
                </c:pt>
                <c:pt idx="12">
                  <c:v>0.17960860373966855</c:v>
                </c:pt>
                <c:pt idx="13">
                  <c:v>0.18105130310111386</c:v>
                </c:pt>
                <c:pt idx="14">
                  <c:v>0.18242993000297558</c:v>
                </c:pt>
                <c:pt idx="15">
                  <c:v>0.18375600486305885</c:v>
                </c:pt>
                <c:pt idx="16">
                  <c:v>0.18492966526481874</c:v>
                </c:pt>
                <c:pt idx="17">
                  <c:v>0.18602384538584837</c:v>
                </c:pt>
                <c:pt idx="18">
                  <c:v>0.18699972952373664</c:v>
                </c:pt>
                <c:pt idx="19">
                  <c:v>0.18784861821543428</c:v>
                </c:pt>
                <c:pt idx="20">
                  <c:v>0.18856721418037914</c:v>
                </c:pt>
                <c:pt idx="21">
                  <c:v>0.18913383335912545</c:v>
                </c:pt>
                <c:pt idx="22">
                  <c:v>0.18955512479334446</c:v>
                </c:pt>
                <c:pt idx="23">
                  <c:v>0.18982035337785705</c:v>
                </c:pt>
                <c:pt idx="24">
                  <c:v>0.18992416808853943</c:v>
                </c:pt>
                <c:pt idx="25">
                  <c:v>0.189793172500167</c:v>
                </c:pt>
                <c:pt idx="26">
                  <c:v>0.18963054646274163</c:v>
                </c:pt>
                <c:pt idx="27">
                  <c:v>0.18922671355408124</c:v>
                </c:pt>
                <c:pt idx="28">
                  <c:v>0.18864851563705334</c:v>
                </c:pt>
                <c:pt idx="29">
                  <c:v>0.18789451463477677</c:v>
                </c:pt>
                <c:pt idx="30">
                  <c:v>0.18699525319438451</c:v>
                </c:pt>
              </c:numCache>
            </c:numRef>
          </c:val>
          <c:extLst>
            <c:ext xmlns:c16="http://schemas.microsoft.com/office/drawing/2014/chart" uri="{C3380CC4-5D6E-409C-BE32-E72D297353CC}">
              <c16:uniqueId val="{00000003-1D17-4FB5-8562-E34E7608F05A}"/>
            </c:ext>
          </c:extLst>
        </c:ser>
        <c:ser>
          <c:idx val="5"/>
          <c:order val="4"/>
          <c:tx>
            <c:strRef>
              <c:f>'Global Pass-Km ModeShare'!$V$116</c:f>
              <c:strCache>
                <c:ptCount val="1"/>
                <c:pt idx="0">
                  <c:v>Electric Cars</c:v>
                </c:pt>
              </c:strCache>
            </c:strRef>
          </c:tx>
          <c:spPr>
            <a:solidFill>
              <a:srgbClr val="DCBD23"/>
            </a:solidFill>
            <a:ln w="25400">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ModeShare'!$W$126:$W$156</c:f>
              <c:numCache>
                <c:formatCode>0%</c:formatCode>
                <c:ptCount val="31"/>
                <c:pt idx="0">
                  <c:v>6.8442827495762805E-3</c:v>
                </c:pt>
                <c:pt idx="1">
                  <c:v>9.4955079125787854E-3</c:v>
                </c:pt>
                <c:pt idx="2">
                  <c:v>1.2592570770422903E-2</c:v>
                </c:pt>
                <c:pt idx="3">
                  <c:v>1.6132549804303009E-2</c:v>
                </c:pt>
                <c:pt idx="4">
                  <c:v>2.0111764230028237E-2</c:v>
                </c:pt>
                <c:pt idx="5">
                  <c:v>2.4528532924366082E-2</c:v>
                </c:pt>
                <c:pt idx="6">
                  <c:v>2.9371255635703603E-2</c:v>
                </c:pt>
                <c:pt idx="7">
                  <c:v>3.4641396863997954E-2</c:v>
                </c:pt>
                <c:pt idx="8">
                  <c:v>4.0330876231772297E-2</c:v>
                </c:pt>
                <c:pt idx="9">
                  <c:v>4.6433396734313945E-2</c:v>
                </c:pt>
                <c:pt idx="10">
                  <c:v>5.2950678480185122E-2</c:v>
                </c:pt>
                <c:pt idx="11">
                  <c:v>5.9849962753778851E-2</c:v>
                </c:pt>
                <c:pt idx="12">
                  <c:v>6.7148814984417146E-2</c:v>
                </c:pt>
                <c:pt idx="13">
                  <c:v>7.4829772699496297E-2</c:v>
                </c:pt>
                <c:pt idx="14">
                  <c:v>8.2882910940258112E-2</c:v>
                </c:pt>
                <c:pt idx="15">
                  <c:v>9.1311908407644193E-2</c:v>
                </c:pt>
                <c:pt idx="16">
                  <c:v>0.10006379410529097</c:v>
                </c:pt>
                <c:pt idx="17">
                  <c:v>0.10917034462860967</c:v>
                </c:pt>
                <c:pt idx="18">
                  <c:v>0.11860681636814563</c:v>
                </c:pt>
                <c:pt idx="19">
                  <c:v>0.12836271380078448</c:v>
                </c:pt>
                <c:pt idx="20">
                  <c:v>0.1384307143066012</c:v>
                </c:pt>
                <c:pt idx="21">
                  <c:v>0.14878921070452547</c:v>
                </c:pt>
                <c:pt idx="22">
                  <c:v>0.15943662957456992</c:v>
                </c:pt>
                <c:pt idx="23">
                  <c:v>0.17035796842480758</c:v>
                </c:pt>
                <c:pt idx="24">
                  <c:v>0.1815415764391401</c:v>
                </c:pt>
                <c:pt idx="25">
                  <c:v>0.19290573809793893</c:v>
                </c:pt>
                <c:pt idx="26">
                  <c:v>0.20464891594409518</c:v>
                </c:pt>
                <c:pt idx="27">
                  <c:v>0.21654929760535663</c:v>
                </c:pt>
                <c:pt idx="28">
                  <c:v>0.22866556770973548</c:v>
                </c:pt>
                <c:pt idx="29">
                  <c:v>0.22931863898281593</c:v>
                </c:pt>
                <c:pt idx="30">
                  <c:v>0.22753346116378084</c:v>
                </c:pt>
              </c:numCache>
            </c:numRef>
          </c:val>
          <c:extLst>
            <c:ext xmlns:c16="http://schemas.microsoft.com/office/drawing/2014/chart" uri="{C3380CC4-5D6E-409C-BE32-E72D297353CC}">
              <c16:uniqueId val="{00000004-1D17-4FB5-8562-E34E7608F05A}"/>
            </c:ext>
          </c:extLst>
        </c:ser>
        <c:ser>
          <c:idx val="6"/>
          <c:order val="5"/>
          <c:tx>
            <c:strRef>
              <c:f>'Global Pass-Km ModeShare'!$Y$116</c:f>
              <c:strCache>
                <c:ptCount val="1"/>
                <c:pt idx="0">
                  <c:v>Hybrid Cars</c:v>
                </c:pt>
              </c:strCache>
            </c:strRef>
          </c:tx>
          <c:spPr>
            <a:solidFill>
              <a:srgbClr val="781604"/>
            </a:solidFill>
            <a:ln w="25400">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ModeShare'!$Z$126:$Z$156</c:f>
              <c:numCache>
                <c:formatCode>0%</c:formatCode>
                <c:ptCount val="31"/>
                <c:pt idx="0">
                  <c:v>9.1373037095155967E-3</c:v>
                </c:pt>
                <c:pt idx="1">
                  <c:v>1.0810969924268859E-2</c:v>
                </c:pt>
                <c:pt idx="2">
                  <c:v>1.2631916902335113E-2</c:v>
                </c:pt>
                <c:pt idx="3">
                  <c:v>1.4584079310385713E-2</c:v>
                </c:pt>
                <c:pt idx="4">
                  <c:v>1.6652316233261379E-2</c:v>
                </c:pt>
                <c:pt idx="5">
                  <c:v>1.8824614230860407E-2</c:v>
                </c:pt>
                <c:pt idx="6">
                  <c:v>2.108280546727993E-2</c:v>
                </c:pt>
                <c:pt idx="7">
                  <c:v>2.342015962110611E-2</c:v>
                </c:pt>
                <c:pt idx="8">
                  <c:v>2.5823916648106991E-2</c:v>
                </c:pt>
                <c:pt idx="9">
                  <c:v>2.8283878181187081E-2</c:v>
                </c:pt>
                <c:pt idx="10">
                  <c:v>3.0795524286999058E-2</c:v>
                </c:pt>
                <c:pt idx="11">
                  <c:v>3.3335222759229864E-2</c:v>
                </c:pt>
                <c:pt idx="12">
                  <c:v>3.5909492873164355E-2</c:v>
                </c:pt>
                <c:pt idx="13">
                  <c:v>3.8505351631798836E-2</c:v>
                </c:pt>
                <c:pt idx="14">
                  <c:v>4.1115060938204266E-2</c:v>
                </c:pt>
                <c:pt idx="15">
                  <c:v>4.3738148005134467E-2</c:v>
                </c:pt>
                <c:pt idx="16">
                  <c:v>4.6347699159262234E-2</c:v>
                </c:pt>
                <c:pt idx="17">
                  <c:v>4.8958014952362357E-2</c:v>
                </c:pt>
                <c:pt idx="18">
                  <c:v>5.1556875732845356E-2</c:v>
                </c:pt>
                <c:pt idx="19">
                  <c:v>5.4139374554728233E-2</c:v>
                </c:pt>
                <c:pt idx="20">
                  <c:v>5.6702343204475564E-2</c:v>
                </c:pt>
                <c:pt idx="21">
                  <c:v>5.9237177410991312E-2</c:v>
                </c:pt>
                <c:pt idx="22">
                  <c:v>5.1069775338910953E-2</c:v>
                </c:pt>
                <c:pt idx="23">
                  <c:v>4.0962436545690095E-2</c:v>
                </c:pt>
                <c:pt idx="24">
                  <c:v>3.0489878596020797E-2</c:v>
                </c:pt>
                <c:pt idx="25">
                  <c:v>2.4863175381511764E-2</c:v>
                </c:pt>
                <c:pt idx="26">
                  <c:v>1.4634005277051014E-2</c:v>
                </c:pt>
                <c:pt idx="27">
                  <c:v>9.8173562547836119E-3</c:v>
                </c:pt>
                <c:pt idx="28">
                  <c:v>2.5307653577600906E-3</c:v>
                </c:pt>
                <c:pt idx="29">
                  <c:v>2.3077783799220744E-17</c:v>
                </c:pt>
                <c:pt idx="30">
                  <c:v>2.2576756904661068E-17</c:v>
                </c:pt>
              </c:numCache>
            </c:numRef>
          </c:val>
          <c:extLst>
            <c:ext xmlns:c16="http://schemas.microsoft.com/office/drawing/2014/chart" uri="{C3380CC4-5D6E-409C-BE32-E72D297353CC}">
              <c16:uniqueId val="{00000005-1D17-4FB5-8562-E34E7608F05A}"/>
            </c:ext>
          </c:extLst>
        </c:ser>
        <c:ser>
          <c:idx val="7"/>
          <c:order val="6"/>
          <c:tx>
            <c:strRef>
              <c:f>'Global Pass-Km ModeShare'!$AB$116</c:f>
              <c:strCache>
                <c:ptCount val="1"/>
                <c:pt idx="0">
                  <c:v>Nonurban Telepresence</c:v>
                </c:pt>
              </c:strCache>
            </c:strRef>
          </c:tx>
          <c:spPr>
            <a:solidFill>
              <a:srgbClr val="773F9B"/>
            </a:solidFill>
            <a:ln w="25400">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ModeShare'!$AC$126:$AC$156</c:f>
              <c:numCache>
                <c:formatCode>0%</c:formatCode>
                <c:ptCount val="31"/>
                <c:pt idx="0">
                  <c:v>9.5871525207683085E-3</c:v>
                </c:pt>
                <c:pt idx="1">
                  <c:v>1.2385032637042281E-2</c:v>
                </c:pt>
                <c:pt idx="2">
                  <c:v>1.5065296766803252E-2</c:v>
                </c:pt>
                <c:pt idx="3">
                  <c:v>1.7631354128123881E-2</c:v>
                </c:pt>
                <c:pt idx="4">
                  <c:v>2.0085452973790142E-2</c:v>
                </c:pt>
                <c:pt idx="5">
                  <c:v>2.2431511504803259E-2</c:v>
                </c:pt>
                <c:pt idx="6">
                  <c:v>2.4664337508869164E-2</c:v>
                </c:pt>
                <c:pt idx="7">
                  <c:v>2.679087198482635E-2</c:v>
                </c:pt>
                <c:pt idx="8">
                  <c:v>2.8809608444542677E-2</c:v>
                </c:pt>
                <c:pt idx="9">
                  <c:v>3.0721026619121721E-2</c:v>
                </c:pt>
                <c:pt idx="10">
                  <c:v>3.2530805633276427E-2</c:v>
                </c:pt>
                <c:pt idx="11">
                  <c:v>3.4223770634944146E-2</c:v>
                </c:pt>
                <c:pt idx="12">
                  <c:v>3.5816054077862633E-2</c:v>
                </c:pt>
                <c:pt idx="13">
                  <c:v>3.7302772328429636E-2</c:v>
                </c:pt>
                <c:pt idx="14">
                  <c:v>3.8684278966130879E-2</c:v>
                </c:pt>
                <c:pt idx="15">
                  <c:v>3.9967393548803333E-2</c:v>
                </c:pt>
                <c:pt idx="16">
                  <c:v>4.113463888699441E-2</c:v>
                </c:pt>
                <c:pt idx="17">
                  <c:v>4.2206073730798217E-2</c:v>
                </c:pt>
                <c:pt idx="18">
                  <c:v>4.3177403105475708E-2</c:v>
                </c:pt>
                <c:pt idx="19">
                  <c:v>4.4050893432840084E-2</c:v>
                </c:pt>
                <c:pt idx="20">
                  <c:v>4.4830122899298733E-2</c:v>
                </c:pt>
                <c:pt idx="21">
                  <c:v>4.5514319720081582E-2</c:v>
                </c:pt>
                <c:pt idx="22">
                  <c:v>4.6109485129187937E-2</c:v>
                </c:pt>
                <c:pt idx="23">
                  <c:v>4.6617515839058328E-2</c:v>
                </c:pt>
                <c:pt idx="24">
                  <c:v>4.7041597383204306E-2</c:v>
                </c:pt>
                <c:pt idx="25">
                  <c:v>4.7367876020284944E-2</c:v>
                </c:pt>
                <c:pt idx="26">
                  <c:v>4.7651426012421318E-2</c:v>
                </c:pt>
                <c:pt idx="27">
                  <c:v>4.7844220730193711E-2</c:v>
                </c:pt>
                <c:pt idx="28">
                  <c:v>4.7967164522329235E-2</c:v>
                </c:pt>
                <c:pt idx="29">
                  <c:v>4.8024024398299205E-2</c:v>
                </c:pt>
                <c:pt idx="30">
                  <c:v>4.8026666460089934E-2</c:v>
                </c:pt>
              </c:numCache>
            </c:numRef>
          </c:val>
          <c:extLst>
            <c:ext xmlns:c16="http://schemas.microsoft.com/office/drawing/2014/chart" uri="{C3380CC4-5D6E-409C-BE32-E72D297353CC}">
              <c16:uniqueId val="{00000006-1D17-4FB5-8562-E34E7608F05A}"/>
            </c:ext>
          </c:extLst>
        </c:ser>
        <c:ser>
          <c:idx val="8"/>
          <c:order val="7"/>
          <c:tx>
            <c:strRef>
              <c:f>'Global Pass-Km ModeShare'!$AE$116</c:f>
              <c:strCache>
                <c:ptCount val="1"/>
                <c:pt idx="0">
                  <c:v>High Speed Rail</c:v>
                </c:pt>
              </c:strCache>
            </c:strRef>
          </c:tx>
          <c:spPr>
            <a:solidFill>
              <a:srgbClr val="DE6A10"/>
            </a:solidFill>
            <a:ln w="25400">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ModeShare'!$AF$126:$AF$156</c:f>
              <c:numCache>
                <c:formatCode>0%</c:formatCode>
                <c:ptCount val="31"/>
                <c:pt idx="0">
                  <c:v>1.8596223037474977E-2</c:v>
                </c:pt>
                <c:pt idx="1">
                  <c:v>1.9561134620277081E-2</c:v>
                </c:pt>
                <c:pt idx="2">
                  <c:v>2.0440982539304032E-2</c:v>
                </c:pt>
                <c:pt idx="3">
                  <c:v>2.1251351187029779E-2</c:v>
                </c:pt>
                <c:pt idx="4">
                  <c:v>2.2004996400896933E-2</c:v>
                </c:pt>
                <c:pt idx="5">
                  <c:v>2.271544976281515E-2</c:v>
                </c:pt>
                <c:pt idx="6">
                  <c:v>2.3386208926900652E-2</c:v>
                </c:pt>
                <c:pt idx="7">
                  <c:v>2.4032381190634475E-2</c:v>
                </c:pt>
                <c:pt idx="8">
                  <c:v>2.4659833558728979E-2</c:v>
                </c:pt>
                <c:pt idx="9">
                  <c:v>2.5275753964862046E-2</c:v>
                </c:pt>
                <c:pt idx="10">
                  <c:v>2.5890775063909712E-2</c:v>
                </c:pt>
                <c:pt idx="11">
                  <c:v>2.649825571617152E-2</c:v>
                </c:pt>
                <c:pt idx="12">
                  <c:v>2.7115816644329518E-2</c:v>
                </c:pt>
                <c:pt idx="13">
                  <c:v>2.7743729007716763E-2</c:v>
                </c:pt>
                <c:pt idx="14">
                  <c:v>2.8385828849946334E-2</c:v>
                </c:pt>
                <c:pt idx="15">
                  <c:v>2.9050064540440158E-2</c:v>
                </c:pt>
                <c:pt idx="16">
                  <c:v>2.9726143002373164E-2</c:v>
                </c:pt>
                <c:pt idx="17">
                  <c:v>3.0430484387104897E-2</c:v>
                </c:pt>
                <c:pt idx="18">
                  <c:v>3.1161260232381392E-2</c:v>
                </c:pt>
                <c:pt idx="19">
                  <c:v>3.192089332962296E-2</c:v>
                </c:pt>
                <c:pt idx="20">
                  <c:v>3.2712279561181494E-2</c:v>
                </c:pt>
                <c:pt idx="21">
                  <c:v>3.3534689624675984E-2</c:v>
                </c:pt>
                <c:pt idx="22">
                  <c:v>3.4391914765987512E-2</c:v>
                </c:pt>
                <c:pt idx="23">
                  <c:v>3.5284363440464379E-2</c:v>
                </c:pt>
                <c:pt idx="24">
                  <c:v>3.6213031896390746E-2</c:v>
                </c:pt>
                <c:pt idx="25">
                  <c:v>3.7165220664731144E-2</c:v>
                </c:pt>
                <c:pt idx="26">
                  <c:v>3.8182021368454361E-2</c:v>
                </c:pt>
                <c:pt idx="27">
                  <c:v>3.9223376673851569E-2</c:v>
                </c:pt>
                <c:pt idx="28">
                  <c:v>4.0303095295855733E-2</c:v>
                </c:pt>
                <c:pt idx="29">
                  <c:v>4.1421358173263562E-2</c:v>
                </c:pt>
                <c:pt idx="30">
                  <c:v>4.25853765730414E-2</c:v>
                </c:pt>
              </c:numCache>
            </c:numRef>
          </c:val>
          <c:extLst>
            <c:ext xmlns:c16="http://schemas.microsoft.com/office/drawing/2014/chart" uri="{C3380CC4-5D6E-409C-BE32-E72D297353CC}">
              <c16:uniqueId val="{00000007-1D17-4FB5-8562-E34E7608F05A}"/>
            </c:ext>
          </c:extLst>
        </c:ser>
        <c:ser>
          <c:idx val="9"/>
          <c:order val="8"/>
          <c:tx>
            <c:strRef>
              <c:f>'Global Pass-Km ModeShare'!$AH$116</c:f>
              <c:strCache>
                <c:ptCount val="1"/>
                <c:pt idx="0">
                  <c:v>Efficient Aviation</c:v>
                </c:pt>
              </c:strCache>
            </c:strRef>
          </c:tx>
          <c:spPr>
            <a:solidFill>
              <a:srgbClr val="47265D"/>
            </a:solidFill>
            <a:ln w="25400">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ModeShare'!$AI$126:$AI$156</c:f>
              <c:numCache>
                <c:formatCode>0%</c:formatCode>
                <c:ptCount val="31"/>
                <c:pt idx="0">
                  <c:v>5.6238549420058313E-2</c:v>
                </c:pt>
                <c:pt idx="1">
                  <c:v>6.9702141290551106E-2</c:v>
                </c:pt>
                <c:pt idx="2">
                  <c:v>8.2470476868224438E-2</c:v>
                </c:pt>
                <c:pt idx="3">
                  <c:v>9.459583988140563E-2</c:v>
                </c:pt>
                <c:pt idx="4">
                  <c:v>0.1061219096241765</c:v>
                </c:pt>
                <c:pt idx="5">
                  <c:v>0.11217374993960519</c:v>
                </c:pt>
                <c:pt idx="6">
                  <c:v>0.11199243517911302</c:v>
                </c:pt>
                <c:pt idx="7">
                  <c:v>0.11177635498689134</c:v>
                </c:pt>
                <c:pt idx="8">
                  <c:v>0.11151744746900835</c:v>
                </c:pt>
                <c:pt idx="9">
                  <c:v>0.11121800121687458</c:v>
                </c:pt>
                <c:pt idx="10">
                  <c:v>0.11080304559406791</c:v>
                </c:pt>
                <c:pt idx="11">
                  <c:v>0.11029396792233082</c:v>
                </c:pt>
                <c:pt idx="12">
                  <c:v>0.10976375758022208</c:v>
                </c:pt>
                <c:pt idx="13">
                  <c:v>0.10919609817265069</c:v>
                </c:pt>
                <c:pt idx="14">
                  <c:v>0.10859208181496645</c:v>
                </c:pt>
                <c:pt idx="15">
                  <c:v>0.10796981226336153</c:v>
                </c:pt>
                <c:pt idx="16">
                  <c:v>0.10728114654805376</c:v>
                </c:pt>
                <c:pt idx="17">
                  <c:v>0.10657858502916645</c:v>
                </c:pt>
                <c:pt idx="18">
                  <c:v>0.10584800529185499</c:v>
                </c:pt>
                <c:pt idx="19">
                  <c:v>0.10509214927823797</c:v>
                </c:pt>
                <c:pt idx="20">
                  <c:v>0.10431608683204084</c:v>
                </c:pt>
                <c:pt idx="21">
                  <c:v>0.10351410515016977</c:v>
                </c:pt>
                <c:pt idx="22">
                  <c:v>0.10269567090244995</c:v>
                </c:pt>
                <c:pt idx="23">
                  <c:v>0.10186015480318963</c:v>
                </c:pt>
                <c:pt idx="24">
                  <c:v>0.1010094287109994</c:v>
                </c:pt>
                <c:pt idx="25">
                  <c:v>0.10010894730588955</c:v>
                </c:pt>
                <c:pt idx="26">
                  <c:v>9.926948984331857E-2</c:v>
                </c:pt>
                <c:pt idx="27">
                  <c:v>9.8383645957468499E-2</c:v>
                </c:pt>
                <c:pt idx="28">
                  <c:v>9.7489447043251534E-2</c:v>
                </c:pt>
                <c:pt idx="29">
                  <c:v>9.6588521278826708E-2</c:v>
                </c:pt>
                <c:pt idx="30">
                  <c:v>9.569850984922694E-2</c:v>
                </c:pt>
              </c:numCache>
            </c:numRef>
          </c:val>
          <c:extLst>
            <c:ext xmlns:c16="http://schemas.microsoft.com/office/drawing/2014/chart" uri="{C3380CC4-5D6E-409C-BE32-E72D297353CC}">
              <c16:uniqueId val="{00000008-1D17-4FB5-8562-E34E7608F05A}"/>
            </c:ext>
          </c:extLst>
        </c:ser>
        <c:ser>
          <c:idx val="10"/>
          <c:order val="9"/>
          <c:tx>
            <c:strRef>
              <c:f>'Global Pass-Km ModeShare'!$D$116</c:f>
              <c:strCache>
                <c:ptCount val="1"/>
                <c:pt idx="0">
                  <c:v>Other</c:v>
                </c:pt>
              </c:strCache>
            </c:strRef>
          </c:tx>
          <c:spPr>
            <a:solidFill>
              <a:schemeClr val="bg1">
                <a:lumMod val="85000"/>
              </a:schemeClr>
            </a:solidFill>
            <a:ln w="25400">
              <a:noFill/>
            </a:ln>
            <a:effectLst/>
          </c:spPr>
          <c:cat>
            <c:numRef>
              <c:f>'Global Pass-Km ModeShare'!$E$126:$E$156</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'Global Pass-Km ModeShare'!$D$126:$D$156</c:f>
              <c:numCache>
                <c:formatCode>0%</c:formatCode>
                <c:ptCount val="31"/>
                <c:pt idx="0">
                  <c:v>0.69823865580130839</c:v>
                </c:pt>
                <c:pt idx="1">
                  <c:v>0.67770949015855442</c:v>
                </c:pt>
                <c:pt idx="2">
                  <c:v>0.63194860468207892</c:v>
                </c:pt>
                <c:pt idx="3">
                  <c:v>0.60800023447033236</c:v>
                </c:pt>
                <c:pt idx="4">
                  <c:v>0.58420388523523281</c:v>
                </c:pt>
                <c:pt idx="5">
                  <c:v>0.56543471973312653</c:v>
                </c:pt>
                <c:pt idx="6">
                  <c:v>0.55257662130258633</c:v>
                </c:pt>
                <c:pt idx="7">
                  <c:v>0.53937553990176879</c:v>
                </c:pt>
                <c:pt idx="8">
                  <c:v>0.52590033577222295</c:v>
                </c:pt>
                <c:pt idx="9">
                  <c:v>0.51217786945255062</c:v>
                </c:pt>
                <c:pt idx="10">
                  <c:v>0.4982480020210906</c:v>
                </c:pt>
                <c:pt idx="11">
                  <c:v>0.48430405494899526</c:v>
                </c:pt>
                <c:pt idx="12">
                  <c:v>0.47011124781604818</c:v>
                </c:pt>
                <c:pt idx="13">
                  <c:v>0.45577680824422728</c:v>
                </c:pt>
                <c:pt idx="14">
                  <c:v>0.44132839381459726</c:v>
                </c:pt>
                <c:pt idx="15">
                  <c:v>0.42670276633938603</c:v>
                </c:pt>
                <c:pt idx="16">
                  <c:v>0.41218775977427069</c:v>
                </c:pt>
                <c:pt idx="17">
                  <c:v>0.39753550898862688</c:v>
                </c:pt>
                <c:pt idx="18">
                  <c:v>0.38285014101714104</c:v>
                </c:pt>
                <c:pt idx="19">
                  <c:v>0.36814444382806916</c:v>
                </c:pt>
                <c:pt idx="20">
                  <c:v>0.35341507214983414</c:v>
                </c:pt>
                <c:pt idx="21">
                  <c:v>0.33872402200704665</c:v>
                </c:pt>
                <c:pt idx="22">
                  <c:v>0.33471226350617739</c:v>
                </c:pt>
                <c:pt idx="23">
                  <c:v>0.33264069485106801</c:v>
                </c:pt>
                <c:pt idx="24">
                  <c:v>0.33094281872248416</c:v>
                </c:pt>
                <c:pt idx="25">
                  <c:v>0.32465135640539677</c:v>
                </c:pt>
                <c:pt idx="26">
                  <c:v>0.32251298825063907</c:v>
                </c:pt>
                <c:pt idx="27">
                  <c:v>0.31522782471766209</c:v>
                </c:pt>
                <c:pt idx="28">
                  <c:v>0.31044752318168256</c:v>
                </c:pt>
                <c:pt idx="29">
                  <c:v>0.31261900399546683</c:v>
                </c:pt>
                <c:pt idx="30">
                  <c:v>0.31485878023429553</c:v>
                </c:pt>
              </c:numCache>
            </c:numRef>
          </c:val>
          <c:extLst>
            <c:ext xmlns:c16="http://schemas.microsoft.com/office/drawing/2014/chart" uri="{C3380CC4-5D6E-409C-BE32-E72D297353CC}">
              <c16:uniqueId val="{00000009-1D17-4FB5-8562-E34E7608F05A}"/>
            </c:ext>
          </c:extLst>
        </c:ser>
        <c:dLbls>
          <c:showLegendKey val="0"/>
          <c:showVal val="0"/>
          <c:showCatName val="0"/>
          <c:showSerName val="0"/>
          <c:showPercent val="0"/>
          <c:showBubbleSize val="0"/>
        </c:dLbls>
        <c:axId val="918709040"/>
        <c:axId val="918710320"/>
      </c:areaChart>
      <c:catAx>
        <c:axId val="9187090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710320"/>
        <c:crosses val="autoZero"/>
        <c:auto val="1"/>
        <c:lblAlgn val="ctr"/>
        <c:lblOffset val="100"/>
        <c:tickLblSkip val="5"/>
        <c:tickMarkSkip val="5"/>
        <c:noMultiLvlLbl val="0"/>
      </c:catAx>
      <c:valAx>
        <c:axId val="91871032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9187090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Financials for Transport</a:t>
            </a:r>
            <a:r>
              <a:rPr lang="en-US" baseline="0"/>
              <a:t> Solutions - Plausible Scenario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'Financials&amp;Adoptions'!$G$7</c:f>
              <c:strCache>
                <c:ptCount val="1"/>
                <c:pt idx="0">
                  <c:v>Marginal First Cost (Install/Implementation + Replacement)</c:v>
                </c:pt>
              </c:strCache>
            </c:strRef>
          </c:tx>
          <c:spPr>
            <a:gradFill>
              <a:gsLst>
                <a:gs pos="0">
                  <a:schemeClr val="accent1">
                    <a:lumMod val="5000"/>
                    <a:lumOff val="95000"/>
                  </a:schemeClr>
                </a:gs>
                <a:gs pos="10000">
                  <a:srgbClr val="FF555A"/>
                </a:gs>
              </a:gsLst>
              <a:lin ang="5400000" scaled="1"/>
            </a:gradFill>
            <a:ln>
              <a:solidFill>
                <a:srgbClr val="FF555A"/>
              </a:solidFill>
            </a:ln>
            <a:effectLst/>
          </c:spPr>
          <c:invertIfNegative val="0"/>
          <c:cat>
            <c:strRef>
              <c:f>'Financials&amp;Adoptions'!$D$10:$D$22</c:f>
              <c:strCache>
                <c:ptCount val="13"/>
                <c:pt idx="0">
                  <c:v>Bicycle Infrastructure</c:v>
                </c:pt>
                <c:pt idx="1">
                  <c:v>Electric Bicycles</c:v>
                </c:pt>
                <c:pt idx="2">
                  <c:v>Electric Cars</c:v>
                </c:pt>
                <c:pt idx="3">
                  <c:v>High Speed Rail</c:v>
                </c:pt>
                <c:pt idx="4">
                  <c:v>Public Transit</c:v>
                </c:pt>
                <c:pt idx="5">
                  <c:v>Telepresence</c:v>
                </c:pt>
                <c:pt idx="6">
                  <c:v>Carpooling</c:v>
                </c:pt>
                <c:pt idx="7">
                  <c:v>Efficient Trucks</c:v>
                </c:pt>
                <c:pt idx="8">
                  <c:v>Efficient Ocean Shipping</c:v>
                </c:pt>
                <c:pt idx="9">
                  <c:v>Walkable Cities</c:v>
                </c:pt>
                <c:pt idx="10">
                  <c:v>Hybrid Cars</c:v>
                </c:pt>
                <c:pt idx="11">
                  <c:v>Efficient Aviation</c:v>
                </c:pt>
                <c:pt idx="12">
                  <c:v>Electric Trains</c:v>
                </c:pt>
              </c:strCache>
            </c:strRef>
          </c:cat>
          <c:val>
            <c:numRef>
              <c:f>'Financials&amp;Adoptions'!$G$10:$G$22</c:f>
              <c:numCache>
                <c:formatCode>_-* #,##0\ _€_-;\-* #,##0\ _€_-;_-* "-"??\ _€_-;_-@_-</c:formatCode>
                <c:ptCount val="13"/>
                <c:pt idx="0">
                  <c:v>-52361.682808820202</c:v>
                </c:pt>
                <c:pt idx="1">
                  <c:v>-402.05521708679839</c:v>
                </c:pt>
                <c:pt idx="2">
                  <c:v>-572.6808073181445</c:v>
                </c:pt>
                <c:pt idx="3">
                  <c:v>642.20074980764082</c:v>
                </c:pt>
                <c:pt idx="4">
                  <c:v>0</c:v>
                </c:pt>
                <c:pt idx="5">
                  <c:v>521.51732045964275</c:v>
                </c:pt>
                <c:pt idx="6">
                  <c:v>0</c:v>
                </c:pt>
                <c:pt idx="7">
                  <c:v>502.56621462187206</c:v>
                </c:pt>
                <c:pt idx="8">
                  <c:v>723.82840597906113</c:v>
                </c:pt>
                <c:pt idx="9">
                  <c:v>0</c:v>
                </c:pt>
                <c:pt idx="10">
                  <c:v>-4.5524467808413087</c:v>
                </c:pt>
                <c:pt idx="11">
                  <c:v>3472.2206037694023</c:v>
                </c:pt>
                <c:pt idx="12">
                  <c:v>658.59849719315525</c:v>
                </c:pt>
              </c:numCache>
            </c:numRef>
          </c:val>
          <c:extLst>
            <c:ext xmlns:c16="http://schemas.microsoft.com/office/drawing/2014/chart" uri="{C3380CC4-5D6E-409C-BE32-E72D297353CC}">
              <c16:uniqueId val="{00000000-CEDF-471F-AE90-C983D94109D7}"/>
            </c:ext>
          </c:extLst>
        </c:ser>
        <c:ser>
          <c:idx val="1"/>
          <c:order val="1"/>
          <c:tx>
            <c:strRef>
              <c:f>'Financials&amp;Adoptions'!$J$7</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0"/>
          <c:cat>
            <c:strRef>
              <c:f>'Financials&amp;Adoptions'!$D$10:$D$22</c:f>
              <c:strCache>
                <c:ptCount val="13"/>
                <c:pt idx="0">
                  <c:v>Bicycle Infrastructure</c:v>
                </c:pt>
                <c:pt idx="1">
                  <c:v>Electric Bicycles</c:v>
                </c:pt>
                <c:pt idx="2">
                  <c:v>Electric Cars</c:v>
                </c:pt>
                <c:pt idx="3">
                  <c:v>High Speed Rail</c:v>
                </c:pt>
                <c:pt idx="4">
                  <c:v>Public Transit</c:v>
                </c:pt>
                <c:pt idx="5">
                  <c:v>Telepresence</c:v>
                </c:pt>
                <c:pt idx="6">
                  <c:v>Carpooling</c:v>
                </c:pt>
                <c:pt idx="7">
                  <c:v>Efficient Trucks</c:v>
                </c:pt>
                <c:pt idx="8">
                  <c:v>Efficient Ocean Shipping</c:v>
                </c:pt>
                <c:pt idx="9">
                  <c:v>Walkable Cities</c:v>
                </c:pt>
                <c:pt idx="10">
                  <c:v>Hybrid Cars</c:v>
                </c:pt>
                <c:pt idx="11">
                  <c:v>Efficient Aviation</c:v>
                </c:pt>
                <c:pt idx="12">
                  <c:v>Electric Trains</c:v>
                </c:pt>
              </c:strCache>
            </c:strRef>
          </c:cat>
          <c:val>
            <c:numRef>
              <c:f>'Financials&amp;Adoptions'!$J$10:$J$22</c:f>
              <c:numCache>
                <c:formatCode>_-* #,##0.00\ _€_-;\-* #,##0.00\ _€_-;_-* "-"??\ _€_-;_-@_-</c:formatCode>
                <c:ptCount val="13"/>
                <c:pt idx="0">
                  <c:v>16142.152163537667</c:v>
                </c:pt>
                <c:pt idx="1">
                  <c:v>498.23346747904071</c:v>
                </c:pt>
                <c:pt idx="2">
                  <c:v>3314.4758000930788</c:v>
                </c:pt>
                <c:pt idx="3">
                  <c:v>-236.12402165303024</c:v>
                </c:pt>
                <c:pt idx="4">
                  <c:v>964.61111551234615</c:v>
                </c:pt>
                <c:pt idx="5">
                  <c:v>152.4074968626752</c:v>
                </c:pt>
                <c:pt idx="6">
                  <c:v>2903.863092330259</c:v>
                </c:pt>
                <c:pt idx="7">
                  <c:v>659.22326408448259</c:v>
                </c:pt>
                <c:pt idx="8">
                  <c:v>33.356220043429509</c:v>
                </c:pt>
                <c:pt idx="9">
                  <c:v>1432.5850169045214</c:v>
                </c:pt>
                <c:pt idx="10">
                  <c:v>470.01389100211657</c:v>
                </c:pt>
                <c:pt idx="11">
                  <c:v>-624.64540999179485</c:v>
                </c:pt>
                <c:pt idx="12">
                  <c:v>142.04860593149573</c:v>
                </c:pt>
              </c:numCache>
            </c:numRef>
          </c:val>
          <c:extLst>
            <c:ext xmlns:c16="http://schemas.microsoft.com/office/drawing/2014/chart" uri="{C3380CC4-5D6E-409C-BE32-E72D297353CC}">
              <c16:uniqueId val="{00000001-CEDF-471F-AE90-C983D94109D7}"/>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1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2000" b="0" i="0" u="none" strike="noStrike" kern="1200" spc="0" baseline="0">
                <a:solidFill>
                  <a:schemeClr val="tx1"/>
                </a:solidFill>
                <a:latin typeface="+mn-lt"/>
                <a:ea typeface="+mn-ea"/>
                <a:cs typeface="+mn-cs"/>
              </a:defRPr>
            </a:pPr>
            <a:r>
              <a:rPr lang="en-US" sz="2000"/>
              <a:t>Financials for Transport Solutions - Drawdown Scenario</a:t>
            </a:r>
          </a:p>
        </c:rich>
      </c:tx>
      <c:overlay val="0"/>
      <c:spPr>
        <a:noFill/>
        <a:ln>
          <a:noFill/>
        </a:ln>
        <a:effectLst/>
      </c:spPr>
      <c:txPr>
        <a:bodyPr rot="0" spcFirstLastPara="1" vertOverflow="ellipsis" vert="horz" wrap="square" anchor="ctr" anchorCtr="1"/>
        <a:lstStyle/>
        <a:p>
          <a:pPr>
            <a:defRPr lang="en-US" sz="20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'Financials&amp;Adoptions'!$G$28</c:f>
              <c:strCache>
                <c:ptCount val="1"/>
                <c:pt idx="0">
                  <c:v>Marginal First Cost (Install/Implementation + Replacement)</c:v>
                </c:pt>
              </c:strCache>
            </c:strRef>
          </c:tx>
          <c:spPr>
            <a:gradFill>
              <a:gsLst>
                <a:gs pos="0">
                  <a:schemeClr val="accent1">
                    <a:lumMod val="5000"/>
                    <a:lumOff val="95000"/>
                  </a:schemeClr>
                </a:gs>
                <a:gs pos="50000">
                  <a:srgbClr val="FF555A"/>
                </a:gs>
              </a:gsLst>
              <a:lin ang="5400000" scaled="1"/>
            </a:gradFill>
            <a:ln>
              <a:solidFill>
                <a:srgbClr val="FF555A"/>
              </a:solidFill>
            </a:ln>
            <a:effectLst/>
          </c:spPr>
          <c:invertIfNegative val="0"/>
          <c:cat>
            <c:strRef>
              <c:f>'Financials&amp;Adoptions'!$D$31:$D$43</c:f>
              <c:strCache>
                <c:ptCount val="13"/>
                <c:pt idx="0">
                  <c:v>Bicycle Infrastructure</c:v>
                </c:pt>
                <c:pt idx="1">
                  <c:v>Electric Bicycles</c:v>
                </c:pt>
                <c:pt idx="2">
                  <c:v>Electric Cars</c:v>
                </c:pt>
                <c:pt idx="3">
                  <c:v>High Speed Rail</c:v>
                </c:pt>
                <c:pt idx="4">
                  <c:v>Public Transit</c:v>
                </c:pt>
                <c:pt idx="5">
                  <c:v>Telepresence</c:v>
                </c:pt>
                <c:pt idx="6">
                  <c:v>Carpooling</c:v>
                </c:pt>
                <c:pt idx="7">
                  <c:v>Efficient Trucks</c:v>
                </c:pt>
                <c:pt idx="8">
                  <c:v>Efficient Ocean Shipping</c:v>
                </c:pt>
                <c:pt idx="9">
                  <c:v>Walkable Cities</c:v>
                </c:pt>
                <c:pt idx="10">
                  <c:v>Hybrid Cars</c:v>
                </c:pt>
                <c:pt idx="11">
                  <c:v>Efficient Aviation</c:v>
                </c:pt>
                <c:pt idx="12">
                  <c:v>Electric Trains</c:v>
                </c:pt>
              </c:strCache>
            </c:strRef>
          </c:cat>
          <c:val>
            <c:numRef>
              <c:f>'Financials&amp;Adoptions'!$G$31:$G$43</c:f>
              <c:numCache>
                <c:formatCode>_-* #,##0\ _€_-;\-* #,##0\ _€_-;_-* "-"??\ _€_-;_-@_-</c:formatCode>
                <c:ptCount val="13"/>
                <c:pt idx="0">
                  <c:v>-67938.286639259808</c:v>
                </c:pt>
                <c:pt idx="1">
                  <c:v>-446.00857868097734</c:v>
                </c:pt>
                <c:pt idx="2">
                  <c:v>-6.0153454499023438</c:v>
                </c:pt>
                <c:pt idx="3">
                  <c:v>1738.500869711643</c:v>
                </c:pt>
                <c:pt idx="4">
                  <c:v>0</c:v>
                </c:pt>
                <c:pt idx="5">
                  <c:v>832.72954625347461</c:v>
                </c:pt>
                <c:pt idx="6">
                  <c:v>0</c:v>
                </c:pt>
                <c:pt idx="7">
                  <c:v>566.56381906289278</c:v>
                </c:pt>
                <c:pt idx="8">
                  <c:v>1013.0170362277684</c:v>
                </c:pt>
                <c:pt idx="9">
                  <c:v>0</c:v>
                </c:pt>
                <c:pt idx="10">
                  <c:v>-3.4029433476406248</c:v>
                </c:pt>
                <c:pt idx="11">
                  <c:v>3787.0273549779063</c:v>
                </c:pt>
                <c:pt idx="12">
                  <c:v>1431.410096354753</c:v>
                </c:pt>
              </c:numCache>
            </c:numRef>
          </c:val>
          <c:extLst>
            <c:ext xmlns:c16="http://schemas.microsoft.com/office/drawing/2014/chart" uri="{C3380CC4-5D6E-409C-BE32-E72D297353CC}">
              <c16:uniqueId val="{00000000-845A-41B2-B6E8-377DF730E48C}"/>
            </c:ext>
          </c:extLst>
        </c:ser>
        <c:ser>
          <c:idx val="1"/>
          <c:order val="1"/>
          <c:tx>
            <c:strRef>
              <c:f>'Financials&amp;Adoptions'!$J$28</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0"/>
          <c:cat>
            <c:strRef>
              <c:f>'Financials&amp;Adoptions'!$D$31:$D$43</c:f>
              <c:strCache>
                <c:ptCount val="13"/>
                <c:pt idx="0">
                  <c:v>Bicycle Infrastructure</c:v>
                </c:pt>
                <c:pt idx="1">
                  <c:v>Electric Bicycles</c:v>
                </c:pt>
                <c:pt idx="2">
                  <c:v>Electric Cars</c:v>
                </c:pt>
                <c:pt idx="3">
                  <c:v>High Speed Rail</c:v>
                </c:pt>
                <c:pt idx="4">
                  <c:v>Public Transit</c:v>
                </c:pt>
                <c:pt idx="5">
                  <c:v>Telepresence</c:v>
                </c:pt>
                <c:pt idx="6">
                  <c:v>Carpooling</c:v>
                </c:pt>
                <c:pt idx="7">
                  <c:v>Efficient Trucks</c:v>
                </c:pt>
                <c:pt idx="8">
                  <c:v>Efficient Ocean Shipping</c:v>
                </c:pt>
                <c:pt idx="9">
                  <c:v>Walkable Cities</c:v>
                </c:pt>
                <c:pt idx="10">
                  <c:v>Hybrid Cars</c:v>
                </c:pt>
                <c:pt idx="11">
                  <c:v>Efficient Aviation</c:v>
                </c:pt>
                <c:pt idx="12">
                  <c:v>Electric Trains</c:v>
                </c:pt>
              </c:strCache>
            </c:strRef>
          </c:cat>
          <c:val>
            <c:numRef>
              <c:f>'Financials&amp;Adoptions'!$J$31:$J$43</c:f>
              <c:numCache>
                <c:formatCode>_-* #,##0.00\ _€_-;\-* #,##0.00\ _€_-;_-* "-"??\ _€_-;_-@_-</c:formatCode>
                <c:ptCount val="13"/>
                <c:pt idx="0">
                  <c:v>27238.938581214956</c:v>
                </c:pt>
                <c:pt idx="1">
                  <c:v>542.98098988724541</c:v>
                </c:pt>
                <c:pt idx="2">
                  <c:v>4095.920801496969</c:v>
                </c:pt>
                <c:pt idx="3">
                  <c:v>-706.24508824226041</c:v>
                </c:pt>
                <c:pt idx="4">
                  <c:v>1551.4838598074323</c:v>
                </c:pt>
                <c:pt idx="5">
                  <c:v>249.10931800986663</c:v>
                </c:pt>
                <c:pt idx="6">
                  <c:v>3551.2318377876122</c:v>
                </c:pt>
                <c:pt idx="7">
                  <c:v>785.96456547345747</c:v>
                </c:pt>
                <c:pt idx="8">
                  <c:v>52.876649910791414</c:v>
                </c:pt>
                <c:pt idx="9">
                  <c:v>1698.1420921664314</c:v>
                </c:pt>
                <c:pt idx="10">
                  <c:v>1252.8652463133858</c:v>
                </c:pt>
                <c:pt idx="11">
                  <c:v>-617.89249191083729</c:v>
                </c:pt>
                <c:pt idx="12">
                  <c:v>278.70915412673389</c:v>
                </c:pt>
              </c:numCache>
            </c:numRef>
          </c:val>
          <c:extLst>
            <c:ext xmlns:c16="http://schemas.microsoft.com/office/drawing/2014/chart" uri="{C3380CC4-5D6E-409C-BE32-E72D297353CC}">
              <c16:uniqueId val="{00000001-845A-41B2-B6E8-377DF730E48C}"/>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6000"/>
          <c:min val="-8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sz="1200"/>
                  <a:t>Billions $US</a:t>
                </a:r>
              </a:p>
            </c:rich>
          </c:tx>
          <c:overlay val="0"/>
          <c:spPr>
            <a:noFill/>
            <a:ln>
              <a:noFill/>
            </a:ln>
            <a:effectLst/>
          </c:spPr>
          <c:txPr>
            <a:bodyPr rot="-54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Financials for Transport Solutions - Optimum Scenario</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'Financials&amp;Adoptions'!$G$49</c:f>
              <c:strCache>
                <c:ptCount val="1"/>
                <c:pt idx="0">
                  <c:v>Marginal First Cost (Install/Implementation + Replacement)</c:v>
                </c:pt>
              </c:strCache>
            </c:strRef>
          </c:tx>
          <c:spPr>
            <a:gradFill>
              <a:gsLst>
                <a:gs pos="0">
                  <a:schemeClr val="accent1">
                    <a:lumMod val="5000"/>
                    <a:lumOff val="95000"/>
                  </a:schemeClr>
                </a:gs>
                <a:gs pos="50000">
                  <a:srgbClr val="FF555A"/>
                </a:gs>
              </a:gsLst>
              <a:lin ang="5400000" scaled="1"/>
            </a:gradFill>
            <a:ln>
              <a:solidFill>
                <a:srgbClr val="FF555A"/>
              </a:solidFill>
            </a:ln>
            <a:effectLst/>
          </c:spPr>
          <c:invertIfNegative val="0"/>
          <c:cat>
            <c:strRef>
              <c:f>'Financials&amp;Adoptions'!$D$52:$D$64</c:f>
              <c:strCache>
                <c:ptCount val="13"/>
                <c:pt idx="0">
                  <c:v>Bicycle Infrastructure</c:v>
                </c:pt>
                <c:pt idx="1">
                  <c:v>Electric Bicycles</c:v>
                </c:pt>
                <c:pt idx="2">
                  <c:v>Electric Cars</c:v>
                </c:pt>
                <c:pt idx="3">
                  <c:v>High Speed Rail</c:v>
                </c:pt>
                <c:pt idx="4">
                  <c:v>Public Transit</c:v>
                </c:pt>
                <c:pt idx="5">
                  <c:v>Telepresence</c:v>
                </c:pt>
                <c:pt idx="6">
                  <c:v>Carpooling</c:v>
                </c:pt>
                <c:pt idx="7">
                  <c:v>Efficient Trucks</c:v>
                </c:pt>
                <c:pt idx="8">
                  <c:v>Efficient Ocean Shipping</c:v>
                </c:pt>
                <c:pt idx="9">
                  <c:v>Walkable Cities</c:v>
                </c:pt>
                <c:pt idx="10">
                  <c:v>Hybrid Cars</c:v>
                </c:pt>
                <c:pt idx="11">
                  <c:v>Efficient Aviation</c:v>
                </c:pt>
                <c:pt idx="12">
                  <c:v>Electric Trains</c:v>
                </c:pt>
              </c:strCache>
            </c:strRef>
          </c:cat>
          <c:val>
            <c:numRef>
              <c:f>'Financials&amp;Adoptions'!$G$52:$G$64</c:f>
              <c:numCache>
                <c:formatCode>_-* #,##0\ _€_-;\-* #,##0\ _€_-;_-* "-"??\ _€_-;_-@_-</c:formatCode>
                <c:ptCount val="13"/>
                <c:pt idx="0">
                  <c:v>-151269.20753490366</c:v>
                </c:pt>
                <c:pt idx="1">
                  <c:v>-462.58788457228633</c:v>
                </c:pt>
                <c:pt idx="2">
                  <c:v>-10.276849661453126</c:v>
                </c:pt>
                <c:pt idx="3">
                  <c:v>6117.9345638813611</c:v>
                </c:pt>
                <c:pt idx="4">
                  <c:v>0</c:v>
                </c:pt>
                <c:pt idx="5">
                  <c:v>2233.7588625297917</c:v>
                </c:pt>
                <c:pt idx="6">
                  <c:v>0</c:v>
                </c:pt>
                <c:pt idx="7">
                  <c:v>600.21564539525389</c:v>
                </c:pt>
                <c:pt idx="8">
                  <c:v>1157.2021548535668</c:v>
                </c:pt>
                <c:pt idx="9">
                  <c:v>0</c:v>
                </c:pt>
                <c:pt idx="10">
                  <c:v>-1799.1013930195927</c:v>
                </c:pt>
                <c:pt idx="11">
                  <c:v>3583.8304123666289</c:v>
                </c:pt>
                <c:pt idx="12">
                  <c:v>2780.6450352376064</c:v>
                </c:pt>
              </c:numCache>
            </c:numRef>
          </c:val>
          <c:extLst>
            <c:ext xmlns:c16="http://schemas.microsoft.com/office/drawing/2014/chart" uri="{C3380CC4-5D6E-409C-BE32-E72D297353CC}">
              <c16:uniqueId val="{00000000-B601-4527-AB58-8C1371DFF16E}"/>
            </c:ext>
          </c:extLst>
        </c:ser>
        <c:ser>
          <c:idx val="1"/>
          <c:order val="1"/>
          <c:tx>
            <c:strRef>
              <c:f>'Financials&amp;Adoptions'!$J$49</c:f>
              <c:strCache>
                <c:ptCount val="1"/>
                <c:pt idx="0">
                  <c:v>Lifetime Savings NPV</c:v>
                </c:pt>
              </c:strCache>
            </c:strRef>
          </c:tx>
          <c:spPr>
            <a:gradFill>
              <a:gsLst>
                <a:gs pos="0">
                  <a:schemeClr val="accent1">
                    <a:lumMod val="5000"/>
                    <a:lumOff val="95000"/>
                  </a:schemeClr>
                </a:gs>
                <a:gs pos="50000">
                  <a:srgbClr val="008AEF"/>
                </a:gs>
              </a:gsLst>
              <a:lin ang="5400000" scaled="1"/>
            </a:gradFill>
            <a:ln>
              <a:solidFill>
                <a:srgbClr val="008AEF"/>
              </a:solidFill>
            </a:ln>
            <a:effectLst/>
          </c:spPr>
          <c:invertIfNegative val="0"/>
          <c:cat>
            <c:strRef>
              <c:f>'Financials&amp;Adoptions'!$D$52:$D$64</c:f>
              <c:strCache>
                <c:ptCount val="13"/>
                <c:pt idx="0">
                  <c:v>Bicycle Infrastructure</c:v>
                </c:pt>
                <c:pt idx="1">
                  <c:v>Electric Bicycles</c:v>
                </c:pt>
                <c:pt idx="2">
                  <c:v>Electric Cars</c:v>
                </c:pt>
                <c:pt idx="3">
                  <c:v>High Speed Rail</c:v>
                </c:pt>
                <c:pt idx="4">
                  <c:v>Public Transit</c:v>
                </c:pt>
                <c:pt idx="5">
                  <c:v>Telepresence</c:v>
                </c:pt>
                <c:pt idx="6">
                  <c:v>Carpooling</c:v>
                </c:pt>
                <c:pt idx="7">
                  <c:v>Efficient Trucks</c:v>
                </c:pt>
                <c:pt idx="8">
                  <c:v>Efficient Ocean Shipping</c:v>
                </c:pt>
                <c:pt idx="9">
                  <c:v>Walkable Cities</c:v>
                </c:pt>
                <c:pt idx="10">
                  <c:v>Hybrid Cars</c:v>
                </c:pt>
                <c:pt idx="11">
                  <c:v>Efficient Aviation</c:v>
                </c:pt>
                <c:pt idx="12">
                  <c:v>Electric Trains</c:v>
                </c:pt>
              </c:strCache>
            </c:strRef>
          </c:cat>
          <c:val>
            <c:numRef>
              <c:f>'Financials&amp;Adoptions'!$J$52:$J$64</c:f>
              <c:numCache>
                <c:formatCode>_-* #,##0.00\ _€_-;\-* #,##0.00\ _€_-;_-* "-"??\ _€_-;_-@_-</c:formatCode>
                <c:ptCount val="13"/>
                <c:pt idx="0">
                  <c:v>48187.317082859088</c:v>
                </c:pt>
                <c:pt idx="1">
                  <c:v>567.86853399493521</c:v>
                </c:pt>
                <c:pt idx="2">
                  <c:v>8068.5375718667128</c:v>
                </c:pt>
                <c:pt idx="3">
                  <c:v>-2198.1020972505717</c:v>
                </c:pt>
                <c:pt idx="4">
                  <c:v>3108.0789133931339</c:v>
                </c:pt>
                <c:pt idx="5">
                  <c:v>767.59923575166692</c:v>
                </c:pt>
                <c:pt idx="6">
                  <c:v>5361.943547512471</c:v>
                </c:pt>
                <c:pt idx="7">
                  <c:v>979.97912679109083</c:v>
                </c:pt>
                <c:pt idx="8">
                  <c:v>63.705648336674884</c:v>
                </c:pt>
                <c:pt idx="9">
                  <c:v>2939.7735674945693</c:v>
                </c:pt>
                <c:pt idx="10">
                  <c:v>1263.4013710835939</c:v>
                </c:pt>
                <c:pt idx="11">
                  <c:v>-619.58554323996782</c:v>
                </c:pt>
                <c:pt idx="12">
                  <c:v>608.7273438147181</c:v>
                </c:pt>
              </c:numCache>
            </c:numRef>
          </c:val>
          <c:extLst>
            <c:ext xmlns:c16="http://schemas.microsoft.com/office/drawing/2014/chart" uri="{C3380CC4-5D6E-409C-BE32-E72D297353CC}">
              <c16:uniqueId val="{00000001-B601-4527-AB58-8C1371DFF16E}"/>
            </c:ext>
          </c:extLst>
        </c:ser>
        <c:dLbls>
          <c:showLegendKey val="0"/>
          <c:showVal val="0"/>
          <c:showCatName val="0"/>
          <c:showSerName val="0"/>
          <c:showPercent val="0"/>
          <c:showBubbleSize val="0"/>
        </c:dLbls>
        <c:gapWidth val="219"/>
        <c:overlap val="-27"/>
        <c:axId val="621268728"/>
        <c:axId val="621269368"/>
      </c:barChart>
      <c:catAx>
        <c:axId val="621268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9368"/>
        <c:crosses val="autoZero"/>
        <c:auto val="1"/>
        <c:lblAlgn val="ctr"/>
        <c:lblOffset val="100"/>
        <c:noMultiLvlLbl val="0"/>
      </c:catAx>
      <c:valAx>
        <c:axId val="621269368"/>
        <c:scaling>
          <c:orientation val="minMax"/>
          <c:max val="10000"/>
          <c:min val="-1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Billions $US</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_-* #,##0\ _€_-;\-* #,##0\ _€_-;_-* &quot;-&quot;??\ _€_-;_-@_-"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21268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'TAM Method Plots'!$C$21</c:f>
              <c:strCache>
                <c:ptCount val="1"/>
                <c:pt idx="0">
                  <c:v>Published</c:v>
                </c:pt>
              </c:strCache>
            </c:strRef>
          </c:tx>
          <c:spPr>
            <a:pattFill prst="dashHorz">
              <a:fgClr>
                <a:schemeClr val="accent3"/>
              </a:fgClr>
              <a:bgClr>
                <a:schemeClr val="bg1"/>
              </a:bgClr>
            </a:pattFill>
            <a:ln>
              <a:solidFill>
                <a:schemeClr val="accent3"/>
              </a:solidFill>
            </a:ln>
            <a:effectLst/>
          </c:spPr>
          <c:invertIfNegative val="0"/>
          <c:cat>
            <c:strRef>
              <c:f>'TAM Method Plots'!$B$22:$B$25</c:f>
              <c:strCache>
                <c:ptCount val="4"/>
                <c:pt idx="0">
                  <c:v>Sc.1</c:v>
                </c:pt>
                <c:pt idx="1">
                  <c:v>Sc.3</c:v>
                </c:pt>
                <c:pt idx="2">
                  <c:v>Sc.5</c:v>
                </c:pt>
                <c:pt idx="3">
                  <c:v>Sc.6</c:v>
                </c:pt>
              </c:strCache>
            </c:strRef>
          </c:cat>
          <c:val>
            <c:numRef>
              <c:f>'TAM Method Plots'!$C$22:$C$25</c:f>
              <c:numCache>
                <c:formatCode>_-* #,##0\ _€_-;\-* #,##0\ _€_-;_-* "-"??\ _€_-;_-@_-</c:formatCode>
                <c:ptCount val="4"/>
                <c:pt idx="0">
                  <c:v>60908.626862165562</c:v>
                </c:pt>
                <c:pt idx="1">
                  <c:v>63012.404096386133</c:v>
                </c:pt>
                <c:pt idx="2">
                  <c:v>60598.239607950192</c:v>
                </c:pt>
                <c:pt idx="3">
                  <c:v>61962.037579268028</c:v>
                </c:pt>
              </c:numCache>
            </c:numRef>
          </c:val>
          <c:extLst>
            <c:ext xmlns:c16="http://schemas.microsoft.com/office/drawing/2014/chart" uri="{C3380CC4-5D6E-409C-BE32-E72D297353CC}">
              <c16:uniqueId val="{00000000-B959-43C4-BF95-221BC5BEA091}"/>
            </c:ext>
          </c:extLst>
        </c:ser>
        <c:ser>
          <c:idx val="1"/>
          <c:order val="1"/>
          <c:tx>
            <c:strRef>
              <c:f>'TAM Method Plots'!$D$21</c:f>
              <c:strCache>
                <c:ptCount val="1"/>
                <c:pt idx="0">
                  <c:v>NM Adjustment</c:v>
                </c:pt>
              </c:strCache>
            </c:strRef>
          </c:tx>
          <c:spPr>
            <a:pattFill prst="wdDnDiag">
              <a:fgClr>
                <a:schemeClr val="accent6"/>
              </a:fgClr>
              <a:bgClr>
                <a:schemeClr val="bg1"/>
              </a:bgClr>
            </a:pattFill>
            <a:ln>
              <a:solidFill>
                <a:schemeClr val="accent6"/>
              </a:solidFill>
            </a:ln>
            <a:effectLst/>
          </c:spPr>
          <c:invertIfNegative val="0"/>
          <c:cat>
            <c:strRef>
              <c:f>'TAM Method Plots'!$B$22:$B$25</c:f>
              <c:strCache>
                <c:ptCount val="4"/>
                <c:pt idx="0">
                  <c:v>Sc.1</c:v>
                </c:pt>
                <c:pt idx="1">
                  <c:v>Sc.3</c:v>
                </c:pt>
                <c:pt idx="2">
                  <c:v>Sc.5</c:v>
                </c:pt>
                <c:pt idx="3">
                  <c:v>Sc.6</c:v>
                </c:pt>
              </c:strCache>
            </c:strRef>
          </c:cat>
          <c:val>
            <c:numRef>
              <c:f>'TAM Method Plots'!$D$22:$D$25</c:f>
              <c:numCache>
                <c:formatCode>_-* #,##0\ _€_-;\-* #,##0\ _€_-;_-* "-"??\ _€_-;_-@_-</c:formatCode>
                <c:ptCount val="4"/>
                <c:pt idx="0">
                  <c:v>3076.0148503494565</c:v>
                </c:pt>
                <c:pt idx="1">
                  <c:v>3076.0148503494565</c:v>
                </c:pt>
                <c:pt idx="2">
                  <c:v>3855.1194723036378</c:v>
                </c:pt>
                <c:pt idx="3">
                  <c:v>3076.0148503494565</c:v>
                </c:pt>
              </c:numCache>
            </c:numRef>
          </c:val>
          <c:extLst>
            <c:ext xmlns:c16="http://schemas.microsoft.com/office/drawing/2014/chart" uri="{C3380CC4-5D6E-409C-BE32-E72D297353CC}">
              <c16:uniqueId val="{00000001-B959-43C4-BF95-221BC5BEA091}"/>
            </c:ext>
          </c:extLst>
        </c:ser>
        <c:ser>
          <c:idx val="2"/>
          <c:order val="2"/>
          <c:tx>
            <c:strRef>
              <c:f>'TAM Method Plots'!$E$21</c:f>
              <c:strCache>
                <c:ptCount val="1"/>
                <c:pt idx="0">
                  <c:v>TP Adjustment</c:v>
                </c:pt>
              </c:strCache>
            </c:strRef>
          </c:tx>
          <c:spPr>
            <a:solidFill>
              <a:schemeClr val="accent1"/>
            </a:solidFill>
            <a:ln>
              <a:solidFill>
                <a:schemeClr val="accent1"/>
              </a:solidFill>
            </a:ln>
            <a:effectLst/>
          </c:spPr>
          <c:invertIfNegative val="0"/>
          <c:cat>
            <c:strRef>
              <c:f>'TAM Method Plots'!$B$22:$B$25</c:f>
              <c:strCache>
                <c:ptCount val="4"/>
                <c:pt idx="0">
                  <c:v>Sc.1</c:v>
                </c:pt>
                <c:pt idx="1">
                  <c:v>Sc.3</c:v>
                </c:pt>
                <c:pt idx="2">
                  <c:v>Sc.5</c:v>
                </c:pt>
                <c:pt idx="3">
                  <c:v>Sc.6</c:v>
                </c:pt>
              </c:strCache>
            </c:strRef>
          </c:cat>
          <c:val>
            <c:numRef>
              <c:f>'TAM Method Plots'!$E$22:$E$25</c:f>
              <c:numCache>
                <c:formatCode>_-* #,##0\ _€_-;\-* #,##0\ _€_-;_-* "-"??\ _€_-;_-@_-</c:formatCode>
                <c:ptCount val="4"/>
                <c:pt idx="0">
                  <c:v>198.50531656903331</c:v>
                </c:pt>
                <c:pt idx="1">
                  <c:v>198.50531656903331</c:v>
                </c:pt>
                <c:pt idx="2">
                  <c:v>198.50531656903331</c:v>
                </c:pt>
                <c:pt idx="3">
                  <c:v>198.50531656903331</c:v>
                </c:pt>
              </c:numCache>
            </c:numRef>
          </c:val>
          <c:extLst>
            <c:ext xmlns:c16="http://schemas.microsoft.com/office/drawing/2014/chart" uri="{C3380CC4-5D6E-409C-BE32-E72D297353CC}">
              <c16:uniqueId val="{00000002-B959-43C4-BF95-221BC5BEA091}"/>
            </c:ext>
          </c:extLst>
        </c:ser>
        <c:dLbls>
          <c:showLegendKey val="0"/>
          <c:showVal val="0"/>
          <c:showCatName val="0"/>
          <c:showSerName val="0"/>
          <c:showPercent val="0"/>
          <c:showBubbleSize val="0"/>
        </c:dLbls>
        <c:gapWidth val="150"/>
        <c:overlap val="100"/>
        <c:axId val="482768712"/>
        <c:axId val="482771592"/>
      </c:barChart>
      <c:catAx>
        <c:axId val="4827687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771592"/>
        <c:crosses val="autoZero"/>
        <c:auto val="1"/>
        <c:lblAlgn val="ctr"/>
        <c:lblOffset val="100"/>
        <c:noMultiLvlLbl val="0"/>
      </c:catAx>
      <c:valAx>
        <c:axId val="482771592"/>
        <c:scaling>
          <c:orientation val="minMax"/>
          <c:max val="70000"/>
          <c:min val="0"/>
        </c:scaling>
        <c:delete val="1"/>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Passenger-km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 _€_-;\-* #,##0\ _€_-;_-* &quot;-&quot;??\ _€_-;_-@_-" sourceLinked="1"/>
        <c:majorTickMark val="out"/>
        <c:minorTickMark val="none"/>
        <c:tickLblPos val="nextTo"/>
        <c:crossAx val="482768712"/>
        <c:crosses val="autoZero"/>
        <c:crossBetween val="between"/>
      </c:valAx>
      <c:spPr>
        <a:noFill/>
        <a:ln>
          <a:noFill/>
        </a:ln>
        <a:effectLst/>
      </c:spPr>
    </c:plotArea>
    <c:legend>
      <c:legendPos val="b"/>
      <c:layout>
        <c:manualLayout>
          <c:xMode val="edge"/>
          <c:yMode val="edge"/>
          <c:x val="2.7482461227927028E-2"/>
          <c:y val="0.82291557305336838"/>
          <c:w val="0.86180578083170312"/>
          <c:h val="0.14930664916885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'TAM Method Plots'!$C$14</c:f>
              <c:strCache>
                <c:ptCount val="1"/>
                <c:pt idx="0">
                  <c:v>Published</c:v>
                </c:pt>
              </c:strCache>
            </c:strRef>
          </c:tx>
          <c:spPr>
            <a:pattFill prst="dashHorz">
              <a:fgClr>
                <a:schemeClr val="accent3"/>
              </a:fgClr>
              <a:bgClr>
                <a:schemeClr val="bg1"/>
              </a:bgClr>
            </a:pattFill>
            <a:ln>
              <a:solidFill>
                <a:schemeClr val="accent3"/>
              </a:solidFill>
            </a:ln>
            <a:effectLst/>
          </c:spPr>
          <c:invertIfNegative val="0"/>
          <c:cat>
            <c:strRef>
              <c:f>'TAM Method Plots'!$B$15:$B$18</c:f>
              <c:strCache>
                <c:ptCount val="4"/>
                <c:pt idx="0">
                  <c:v>Sc.1</c:v>
                </c:pt>
                <c:pt idx="1">
                  <c:v>Sc.3</c:v>
                </c:pt>
                <c:pt idx="2">
                  <c:v>Sc.5</c:v>
                </c:pt>
                <c:pt idx="3">
                  <c:v>Sc.6</c:v>
                </c:pt>
              </c:strCache>
            </c:strRef>
          </c:cat>
          <c:val>
            <c:numRef>
              <c:f>'TAM Method Plots'!$C$15:$C$18</c:f>
              <c:numCache>
                <c:formatCode>_-* #,##0\ _€_-;\-* #,##0\ _€_-;_-* "-"??\ _€_-;_-@_-</c:formatCode>
                <c:ptCount val="4"/>
                <c:pt idx="0">
                  <c:v>31268.114536517762</c:v>
                </c:pt>
                <c:pt idx="1">
                  <c:v>30653.328764805123</c:v>
                </c:pt>
                <c:pt idx="2">
                  <c:v>30926.223664189609</c:v>
                </c:pt>
                <c:pt idx="3">
                  <c:v>31434.524577098422</c:v>
                </c:pt>
              </c:numCache>
            </c:numRef>
          </c:val>
          <c:extLst>
            <c:ext xmlns:c16="http://schemas.microsoft.com/office/drawing/2014/chart" uri="{C3380CC4-5D6E-409C-BE32-E72D297353CC}">
              <c16:uniqueId val="{00000000-4416-4379-A50C-954729E43FE2}"/>
            </c:ext>
          </c:extLst>
        </c:ser>
        <c:ser>
          <c:idx val="1"/>
          <c:order val="1"/>
          <c:tx>
            <c:strRef>
              <c:f>'TAM Method Plots'!$D$14</c:f>
              <c:strCache>
                <c:ptCount val="1"/>
                <c:pt idx="0">
                  <c:v>TP Adjustment</c:v>
                </c:pt>
              </c:strCache>
            </c:strRef>
          </c:tx>
          <c:spPr>
            <a:solidFill>
              <a:schemeClr val="accent1"/>
            </a:solidFill>
            <a:ln>
              <a:solidFill>
                <a:schemeClr val="accent1"/>
              </a:solidFill>
            </a:ln>
            <a:effectLst/>
          </c:spPr>
          <c:invertIfNegative val="0"/>
          <c:cat>
            <c:strRef>
              <c:f>'TAM Method Plots'!$B$15:$B$18</c:f>
              <c:strCache>
                <c:ptCount val="4"/>
                <c:pt idx="0">
                  <c:v>Sc.1</c:v>
                </c:pt>
                <c:pt idx="1">
                  <c:v>Sc.3</c:v>
                </c:pt>
                <c:pt idx="2">
                  <c:v>Sc.5</c:v>
                </c:pt>
                <c:pt idx="3">
                  <c:v>Sc.6</c:v>
                </c:pt>
              </c:strCache>
            </c:strRef>
          </c:cat>
          <c:val>
            <c:numRef>
              <c:f>'TAM Method Plots'!$D$15:$D$18</c:f>
              <c:numCache>
                <c:formatCode>_-* #,##0\ _€_-;\-* #,##0\ _€_-;_-* "-"??\ _€_-;_-@_-</c:formatCode>
                <c:ptCount val="4"/>
                <c:pt idx="0">
                  <c:v>198.50531656903331</c:v>
                </c:pt>
                <c:pt idx="1">
                  <c:v>198.50531656903331</c:v>
                </c:pt>
                <c:pt idx="2">
                  <c:v>198.50531656903331</c:v>
                </c:pt>
                <c:pt idx="3">
                  <c:v>198.50531656903331</c:v>
                </c:pt>
              </c:numCache>
            </c:numRef>
          </c:val>
          <c:extLst>
            <c:ext xmlns:c16="http://schemas.microsoft.com/office/drawing/2014/chart" uri="{C3380CC4-5D6E-409C-BE32-E72D297353CC}">
              <c16:uniqueId val="{00000001-4416-4379-A50C-954729E43FE2}"/>
            </c:ext>
          </c:extLst>
        </c:ser>
        <c:dLbls>
          <c:showLegendKey val="0"/>
          <c:showVal val="0"/>
          <c:showCatName val="0"/>
          <c:showSerName val="0"/>
          <c:showPercent val="0"/>
          <c:showBubbleSize val="0"/>
        </c:dLbls>
        <c:gapWidth val="150"/>
        <c:overlap val="100"/>
        <c:axId val="561898040"/>
        <c:axId val="561898680"/>
      </c:barChart>
      <c:catAx>
        <c:axId val="561898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898680"/>
        <c:crosses val="autoZero"/>
        <c:auto val="1"/>
        <c:lblAlgn val="ctr"/>
        <c:lblOffset val="100"/>
        <c:noMultiLvlLbl val="0"/>
      </c:catAx>
      <c:valAx>
        <c:axId val="561898680"/>
        <c:scaling>
          <c:orientation val="minMax"/>
          <c:max val="40000"/>
          <c:min val="0"/>
        </c:scaling>
        <c:delete val="1"/>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Passenger-km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 _€_-;\-* #,##0\ _€_-;_-* &quot;-&quot;??\ _€_-;_-@_-" sourceLinked="1"/>
        <c:majorTickMark val="out"/>
        <c:minorTickMark val="none"/>
        <c:tickLblPos val="nextTo"/>
        <c:crossAx val="561898040"/>
        <c:crosses val="autoZero"/>
        <c:crossBetween val="between"/>
        <c:majorUnit val="1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'TAM Method Plots'!$C$4</c:f>
              <c:strCache>
                <c:ptCount val="1"/>
                <c:pt idx="0">
                  <c:v>Published</c:v>
                </c:pt>
              </c:strCache>
            </c:strRef>
          </c:tx>
          <c:spPr>
            <a:pattFill prst="dashHorz">
              <a:fgClr>
                <a:schemeClr val="accent3"/>
              </a:fgClr>
              <a:bgClr>
                <a:schemeClr val="bg1"/>
              </a:bgClr>
            </a:pattFill>
            <a:ln>
              <a:solidFill>
                <a:schemeClr val="accent3"/>
              </a:solidFill>
            </a:ln>
            <a:effectLst/>
          </c:spPr>
          <c:invertIfNegative val="0"/>
          <c:cat>
            <c:strRef>
              <c:f>'TAM Method Plots'!$B$5:$B$10</c:f>
              <c:strCache>
                <c:ptCount val="6"/>
                <c:pt idx="0">
                  <c:v>Sc.1</c:v>
                </c:pt>
                <c:pt idx="1">
                  <c:v>Sc.2</c:v>
                </c:pt>
                <c:pt idx="2">
                  <c:v>Sc.3</c:v>
                </c:pt>
                <c:pt idx="3">
                  <c:v>Sc.4</c:v>
                </c:pt>
                <c:pt idx="4">
                  <c:v>Sc.5</c:v>
                </c:pt>
                <c:pt idx="5">
                  <c:v>Sc.6</c:v>
                </c:pt>
              </c:strCache>
            </c:strRef>
          </c:cat>
          <c:val>
            <c:numRef>
              <c:f>'TAM Method Plots'!$C$5:$C$10</c:f>
              <c:numCache>
                <c:formatCode>_-* #,##0\ _€_-;\-* #,##0\ _€_-;_-* "-"??\ _€_-;_-@_-</c:formatCode>
                <c:ptCount val="6"/>
                <c:pt idx="0">
                  <c:v>30255.298097360443</c:v>
                </c:pt>
                <c:pt idx="1">
                  <c:v>28771.436313171984</c:v>
                </c:pt>
                <c:pt idx="2">
                  <c:v>32359.075331581007</c:v>
                </c:pt>
                <c:pt idx="3">
                  <c:v>29312.013399597159</c:v>
                </c:pt>
                <c:pt idx="4">
                  <c:v>29672.01594376058</c:v>
                </c:pt>
                <c:pt idx="5">
                  <c:v>30527.513002169602</c:v>
                </c:pt>
              </c:numCache>
            </c:numRef>
          </c:val>
          <c:extLst>
            <c:ext xmlns:c16="http://schemas.microsoft.com/office/drawing/2014/chart" uri="{C3380CC4-5D6E-409C-BE32-E72D297353CC}">
              <c16:uniqueId val="{00000000-531A-42B2-9EF2-53FCFFD2373E}"/>
            </c:ext>
          </c:extLst>
        </c:ser>
        <c:ser>
          <c:idx val="1"/>
          <c:order val="1"/>
          <c:tx>
            <c:strRef>
              <c:f>'TAM Method Plots'!$D$4</c:f>
              <c:strCache>
                <c:ptCount val="1"/>
                <c:pt idx="0">
                  <c:v>NM Adjustment</c:v>
                </c:pt>
              </c:strCache>
            </c:strRef>
          </c:tx>
          <c:spPr>
            <a:pattFill prst="wdDnDiag">
              <a:fgClr>
                <a:schemeClr val="accent6"/>
              </a:fgClr>
              <a:bgClr>
                <a:schemeClr val="bg1"/>
              </a:bgClr>
            </a:pattFill>
            <a:ln>
              <a:solidFill>
                <a:schemeClr val="accent6"/>
              </a:solidFill>
            </a:ln>
            <a:effectLst/>
          </c:spPr>
          <c:invertIfNegative val="0"/>
          <c:cat>
            <c:strRef>
              <c:f>'TAM Method Plots'!$B$5:$B$10</c:f>
              <c:strCache>
                <c:ptCount val="6"/>
                <c:pt idx="0">
                  <c:v>Sc.1</c:v>
                </c:pt>
                <c:pt idx="1">
                  <c:v>Sc.2</c:v>
                </c:pt>
                <c:pt idx="2">
                  <c:v>Sc.3</c:v>
                </c:pt>
                <c:pt idx="3">
                  <c:v>Sc.4</c:v>
                </c:pt>
                <c:pt idx="4">
                  <c:v>Sc.5</c:v>
                </c:pt>
                <c:pt idx="5">
                  <c:v>Sc.6</c:v>
                </c:pt>
              </c:strCache>
            </c:strRef>
          </c:cat>
          <c:val>
            <c:numRef>
              <c:f>'TAM Method Plots'!$D$5:$D$10</c:f>
              <c:numCache>
                <c:formatCode>_-* #,##0\ _€_-;\-* #,##0\ _€_-;_-* "-"??\ _€_-;_-@_-</c:formatCode>
                <c:ptCount val="6"/>
                <c:pt idx="0">
                  <c:v>3076.0148503494565</c:v>
                </c:pt>
                <c:pt idx="2">
                  <c:v>3076.0148503494565</c:v>
                </c:pt>
                <c:pt idx="4">
                  <c:v>3855.1194723036378</c:v>
                </c:pt>
                <c:pt idx="5">
                  <c:v>3076.0148503494565</c:v>
                </c:pt>
              </c:numCache>
            </c:numRef>
          </c:val>
          <c:extLst>
            <c:ext xmlns:c16="http://schemas.microsoft.com/office/drawing/2014/chart" uri="{C3380CC4-5D6E-409C-BE32-E72D297353CC}">
              <c16:uniqueId val="{00000001-531A-42B2-9EF2-53FCFFD2373E}"/>
            </c:ext>
          </c:extLst>
        </c:ser>
        <c:dLbls>
          <c:showLegendKey val="0"/>
          <c:showVal val="0"/>
          <c:showCatName val="0"/>
          <c:showSerName val="0"/>
          <c:showPercent val="0"/>
          <c:showBubbleSize val="0"/>
        </c:dLbls>
        <c:gapWidth val="150"/>
        <c:overlap val="100"/>
        <c:axId val="569420104"/>
        <c:axId val="569493704"/>
      </c:barChart>
      <c:catAx>
        <c:axId val="569420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493704"/>
        <c:crosses val="autoZero"/>
        <c:auto val="1"/>
        <c:lblAlgn val="ctr"/>
        <c:lblOffset val="100"/>
        <c:noMultiLvlLbl val="0"/>
      </c:catAx>
      <c:valAx>
        <c:axId val="569493704"/>
        <c:scaling>
          <c:orientation val="minMax"/>
          <c:max val="40000"/>
          <c:min val="0"/>
        </c:scaling>
        <c:delete val="1"/>
        <c:axPos val="l"/>
        <c:majorGridlines>
          <c:spPr>
            <a:ln w="9525" cap="flat" cmpd="sng" algn="ctr">
              <a:solidFill>
                <a:schemeClr val="tx1">
                  <a:lumMod val="15000"/>
                  <a:lumOff val="85000"/>
                </a:schemeClr>
              </a:solidFill>
              <a:prstDash val="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Passenger-km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 _€_-;\-* #,##0\ _€_-;_-* &quot;-&quot;??\ _€_-;_-@_-" sourceLinked="1"/>
        <c:majorTickMark val="out"/>
        <c:minorTickMark val="none"/>
        <c:tickLblPos val="nextTo"/>
        <c:crossAx val="569420104"/>
        <c:crosses val="autoZero"/>
        <c:crossBetween val="between"/>
        <c:majorUnit val="1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tx>
            <c:strRef>
              <c:f>'Passenger TAM Data'!$C$10</c:f>
              <c:strCache>
                <c:ptCount val="1"/>
                <c:pt idx="0">
                  <c:v> Based on ETP 2016, URBAN 6 DS + Non-motorized Travel Adjustment</c:v>
                </c:pt>
              </c:strCache>
            </c:strRef>
          </c:tx>
          <c:spPr>
            <a:ln w="47625">
              <a:noFill/>
            </a:ln>
          </c:spPr>
          <c:marker>
            <c:symbol val="circle"/>
            <c:size val="7"/>
            <c:spPr>
              <a:solidFill>
                <a:srgbClr val="436EA1"/>
              </a:solidFill>
              <a:ln cmpd="sng">
                <a:solidFill>
                  <a:srgbClr val="436EA1"/>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Data'!$C$11:$C$59</c:f>
              <c:numCache>
                <c:formatCode>0.00000000E+00</c:formatCode>
                <c:ptCount val="49"/>
                <c:pt idx="0">
                  <c:v>27148.917558478621</c:v>
                </c:pt>
                <c:pt idx="1">
                  <c:v>27951.273373794513</c:v>
                </c:pt>
                <c:pt idx="2">
                  <c:v>28921.684129750403</c:v>
                </c:pt>
                <c:pt idx="3">
                  <c:v>29769.169984985845</c:v>
                </c:pt>
                <c:pt idx="4">
                  <c:v>30563.697925947225</c:v>
                </c:pt>
                <c:pt idx="5">
                  <c:v>31391.186436887347</c:v>
                </c:pt>
                <c:pt idx="6">
                  <c:v>32222.067867749436</c:v>
                </c:pt>
                <c:pt idx="7">
                  <c:v>33055.461586535705</c:v>
                </c:pt>
                <c:pt idx="8">
                  <c:v>33899.100977762006</c:v>
                </c:pt>
                <c:pt idx="9">
                  <c:v>34708.988171819488</c:v>
                </c:pt>
                <c:pt idx="10">
                  <c:v>35522.947633184463</c:v>
                </c:pt>
                <c:pt idx="11">
                  <c:v>36334.14531369193</c:v>
                </c:pt>
                <c:pt idx="12">
                  <c:v>37141.240865075219</c:v>
                </c:pt>
                <c:pt idx="13">
                  <c:v>37935.932984605883</c:v>
                </c:pt>
                <c:pt idx="14">
                  <c:v>38739.066126772195</c:v>
                </c:pt>
                <c:pt idx="15">
                  <c:v>39529.043578721918</c:v>
                </c:pt>
                <c:pt idx="16">
                  <c:v>40312.41647119246</c:v>
                </c:pt>
                <c:pt idx="17">
                  <c:v>41088.620778966193</c:v>
                </c:pt>
                <c:pt idx="18">
                  <c:v>41843.236033275971</c:v>
                </c:pt>
                <c:pt idx="19">
                  <c:v>42617.214090295522</c:v>
                </c:pt>
                <c:pt idx="20">
                  <c:v>43368.587066618427</c:v>
                </c:pt>
                <c:pt idx="21">
                  <c:v>44111.01513307196</c:v>
                </c:pt>
                <c:pt idx="22">
                  <c:v>44844.452064162208</c:v>
                </c:pt>
                <c:pt idx="23">
                  <c:v>45553.691062347571</c:v>
                </c:pt>
                <c:pt idx="24">
                  <c:v>46283.509117496054</c:v>
                </c:pt>
                <c:pt idx="25">
                  <c:v>46988.189118080874</c:v>
                </c:pt>
                <c:pt idx="26">
                  <c:v>47682.066280063278</c:v>
                </c:pt>
                <c:pt idx="27">
                  <c:v>48364.303236025771</c:v>
                </c:pt>
                <c:pt idx="28">
                  <c:v>49031.433481259985</c:v>
                </c:pt>
                <c:pt idx="29">
                  <c:v>49690.964096712101</c:v>
                </c:pt>
                <c:pt idx="30">
                  <c:v>50334.339996759518</c:v>
                </c:pt>
                <c:pt idx="31">
                  <c:v>50963.698237983226</c:v>
                </c:pt>
                <c:pt idx="32">
                  <c:v>51578.500485803306</c:v>
                </c:pt>
                <c:pt idx="33">
                  <c:v>52222.708114321678</c:v>
                </c:pt>
                <c:pt idx="34">
                  <c:v>52762.247340921589</c:v>
                </c:pt>
                <c:pt idx="35">
                  <c:v>53330.076182998353</c:v>
                </c:pt>
                <c:pt idx="36">
                  <c:v>53881.098266667657</c:v>
                </c:pt>
                <c:pt idx="37">
                  <c:v>54414.718024649876</c:v>
                </c:pt>
                <c:pt idx="38">
                  <c:v>54907.304920636765</c:v>
                </c:pt>
                <c:pt idx="39">
                  <c:v>55427.465801990998</c:v>
                </c:pt>
                <c:pt idx="40">
                  <c:v>55905.531601923001</c:v>
                </c:pt>
                <c:pt idx="41">
                  <c:v>56364.082833635141</c:v>
                </c:pt>
                <c:pt idx="42">
                  <c:v>56802.675568601131</c:v>
                </c:pt>
                <c:pt idx="43">
                  <c:v>57220.85406829384</c:v>
                </c:pt>
                <c:pt idx="44">
                  <c:v>57618.113515247518</c:v>
                </c:pt>
                <c:pt idx="45">
                  <c:v>57993.936189551314</c:v>
                </c:pt>
                <c:pt idx="46">
                  <c:v>58347.84318747199</c:v>
                </c:pt>
                <c:pt idx="47">
                  <c:v>58679.363152069702</c:v>
                </c:pt>
                <c:pt idx="48">
                  <c:v>58988.020035047681</c:v>
                </c:pt>
              </c:numCache>
            </c:numRef>
          </c:yVal>
          <c:smooth val="1"/>
          <c:extLst>
            <c:ext xmlns:c16="http://schemas.microsoft.com/office/drawing/2014/chart" uri="{C3380CC4-5D6E-409C-BE32-E72D297353CC}">
              <c16:uniqueId val="{00000000-95D9-4DD4-A272-66BDD676E97A}"/>
            </c:ext>
          </c:extLst>
        </c:ser>
        <c:ser>
          <c:idx val="1"/>
          <c:order val="1"/>
          <c:tx>
            <c:strRef>
              <c:f>'Passenger TAM Data'!$D$10</c:f>
              <c:strCache>
                <c:ptCount val="1"/>
                <c:pt idx="0">
                  <c:v> Based on ICCT, 2012, "Global Transportation Roadmap Model" + Non-motorized Travel Adjustment</c:v>
                </c:pt>
              </c:strCache>
            </c:strRef>
          </c:tx>
          <c:spPr>
            <a:ln w="47625">
              <a:noFill/>
            </a:ln>
          </c:spPr>
          <c:marker>
            <c:symbol val="circle"/>
            <c:size val="7"/>
            <c:spPr>
              <a:solidFill>
                <a:srgbClr val="A34441"/>
              </a:solidFill>
              <a:ln cmpd="sng">
                <a:solidFill>
                  <a:srgbClr val="A34441"/>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Data'!$D$11:$D$59</c:f>
              <c:numCache>
                <c:formatCode>0.00000000E+00</c:formatCode>
                <c:ptCount val="49"/>
                <c:pt idx="0">
                  <c:v>25197.396149406602</c:v>
                </c:pt>
                <c:pt idx="1">
                  <c:v>26470.676015728113</c:v>
                </c:pt>
                <c:pt idx="2">
                  <c:v>27959.983510218601</c:v>
                </c:pt>
                <c:pt idx="3">
                  <c:v>29253.14445237325</c:v>
                </c:pt>
                <c:pt idx="4">
                  <c:v>30480.801422126187</c:v>
                </c:pt>
                <c:pt idx="5">
                  <c:v>31732.605000435175</c:v>
                </c:pt>
                <c:pt idx="6">
                  <c:v>32982.582466978674</c:v>
                </c:pt>
                <c:pt idx="7">
                  <c:v>34233.245025620519</c:v>
                </c:pt>
                <c:pt idx="8">
                  <c:v>35495.920316561693</c:v>
                </c:pt>
                <c:pt idx="9">
                  <c:v>36728.802179295119</c:v>
                </c:pt>
                <c:pt idx="10">
                  <c:v>37974.35940747225</c:v>
                </c:pt>
                <c:pt idx="11">
                  <c:v>39229.597621773195</c:v>
                </c:pt>
                <c:pt idx="12">
                  <c:v>40497.040579319313</c:v>
                </c:pt>
                <c:pt idx="13">
                  <c:v>41772.206962740187</c:v>
                </c:pt>
                <c:pt idx="14">
                  <c:v>43079.686981153718</c:v>
                </c:pt>
                <c:pt idx="15">
                  <c:v>44401.622024065618</c:v>
                </c:pt>
                <c:pt idx="16">
                  <c:v>45748.340809908754</c:v>
                </c:pt>
                <c:pt idx="17">
                  <c:v>47123.059483517201</c:v>
                </c:pt>
                <c:pt idx="18">
                  <c:v>48515.119661824843</c:v>
                </c:pt>
                <c:pt idx="19">
                  <c:v>49969.192532767695</c:v>
                </c:pt>
                <c:pt idx="20">
                  <c:v>51447.045415476779</c:v>
                </c:pt>
                <c:pt idx="21">
                  <c:v>52966.162443355133</c:v>
                </c:pt>
                <c:pt idx="22">
                  <c:v>54530.376859900905</c:v>
                </c:pt>
                <c:pt idx="23">
                  <c:v>56128.334846344871</c:v>
                </c:pt>
                <c:pt idx="24">
                  <c:v>57808.570494071573</c:v>
                </c:pt>
                <c:pt idx="25">
                  <c:v>59529.048683753375</c:v>
                </c:pt>
                <c:pt idx="26">
                  <c:v>61307.78591319378</c:v>
                </c:pt>
                <c:pt idx="27">
                  <c:v>63147.566062873026</c:v>
                </c:pt>
                <c:pt idx="28">
                  <c:v>65048.492954543006</c:v>
                </c:pt>
                <c:pt idx="29">
                  <c:v>67021.645483495027</c:v>
                </c:pt>
                <c:pt idx="30">
                  <c:v>69061.987935310215</c:v>
                </c:pt>
                <c:pt idx="31">
                  <c:v>71175.052965019699</c:v>
                </c:pt>
                <c:pt idx="32">
                  <c:v>73363.620221093544</c:v>
                </c:pt>
                <c:pt idx="33">
                  <c:v>75674.939876006232</c:v>
                </c:pt>
                <c:pt idx="34">
                  <c:v>77978.246634718394</c:v>
                </c:pt>
                <c:pt idx="35">
                  <c:v>80409.780852941694</c:v>
                </c:pt>
                <c:pt idx="36">
                  <c:v>82927.627329031777</c:v>
                </c:pt>
                <c:pt idx="37">
                  <c:v>85534.306965365366</c:v>
                </c:pt>
                <c:pt idx="38">
                  <c:v>88209.250601982989</c:v>
                </c:pt>
                <c:pt idx="39">
                  <c:v>91024.176869382092</c:v>
                </c:pt>
                <c:pt idx="40">
                  <c:v>93912.41803659701</c:v>
                </c:pt>
                <c:pt idx="41">
                  <c:v>96899.31947517606</c:v>
                </c:pt>
                <c:pt idx="42">
                  <c:v>99987.067448951449</c:v>
                </c:pt>
                <c:pt idx="43">
                  <c:v>103177.87202940055</c:v>
                </c:pt>
                <c:pt idx="44">
                  <c:v>106474.0007604453</c:v>
                </c:pt>
                <c:pt idx="45">
                  <c:v>109877.82564476429</c:v>
                </c:pt>
                <c:pt idx="46">
                  <c:v>113391.77666711448</c:v>
                </c:pt>
                <c:pt idx="47">
                  <c:v>117018.35665738297</c:v>
                </c:pt>
                <c:pt idx="48">
                  <c:v>120760.03224145461</c:v>
                </c:pt>
              </c:numCache>
            </c:numRef>
          </c:yVal>
          <c:smooth val="1"/>
          <c:extLst>
            <c:ext xmlns:c16="http://schemas.microsoft.com/office/drawing/2014/chart" uri="{C3380CC4-5D6E-409C-BE32-E72D297353CC}">
              <c16:uniqueId val="{00000001-95D9-4DD4-A272-66BDD676E97A}"/>
            </c:ext>
          </c:extLst>
        </c:ser>
        <c:ser>
          <c:idx val="2"/>
          <c:order val="2"/>
          <c:tx>
            <c:strRef>
              <c:f>'Passenger TAM Data'!$E$10</c:f>
              <c:strCache>
                <c:ptCount val="1"/>
                <c:pt idx="0">
                  <c:v> [Source 3 - Base]</c:v>
                </c:pt>
              </c:strCache>
            </c:strRef>
          </c:tx>
          <c:spPr>
            <a:ln w="47625">
              <a:noFill/>
            </a:ln>
          </c:spPr>
          <c:marker>
            <c:symbol val="circle"/>
            <c:size val="7"/>
            <c:spPr>
              <a:solidFill>
                <a:srgbClr val="849F4C"/>
              </a:solidFill>
              <a:ln cmpd="sng">
                <a:solidFill>
                  <a:srgbClr val="849F4C"/>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Data'!$E$11:$E$59</c:f>
              <c:numCache>
                <c:formatCode>0.00000000E+00</c:formatCode>
                <c:ptCount val="49"/>
              </c:numCache>
            </c:numRef>
          </c:yVal>
          <c:smooth val="1"/>
          <c:extLst>
            <c:ext xmlns:c16="http://schemas.microsoft.com/office/drawing/2014/chart" uri="{C3380CC4-5D6E-409C-BE32-E72D297353CC}">
              <c16:uniqueId val="{00000002-95D9-4DD4-A272-66BDD676E97A}"/>
            </c:ext>
          </c:extLst>
        </c:ser>
        <c:ser>
          <c:idx val="3"/>
          <c:order val="3"/>
          <c:tx>
            <c:strRef>
              <c:f>'Passenger TAM Data'!$F$10</c:f>
              <c:strCache>
                <c:ptCount val="1"/>
                <c:pt idx="0">
                  <c:v> Based on ETP 2016, URBAN 4 DS + Non-motorized Travel Adjustment</c:v>
                </c:pt>
              </c:strCache>
            </c:strRef>
          </c:tx>
          <c:spPr>
            <a:ln w="47625">
              <a:noFill/>
            </a:ln>
          </c:spPr>
          <c:marker>
            <c:symbol val="circle"/>
            <c:size val="7"/>
            <c:spPr>
              <a:solidFill>
                <a:srgbClr val="6D558A"/>
              </a:solidFill>
              <a:ln cmpd="sng">
                <a:solidFill>
                  <a:srgbClr val="6D558A"/>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Data'!$F$11:$F$59</c:f>
              <c:numCache>
                <c:formatCode>0.00000000E+00</c:formatCode>
                <c:ptCount val="49"/>
                <c:pt idx="0">
                  <c:v>27086.261885839209</c:v>
                </c:pt>
                <c:pt idx="1">
                  <c:v>27897.823320954314</c:v>
                </c:pt>
                <c:pt idx="2">
                  <c:v>28871.978167523779</c:v>
                </c:pt>
                <c:pt idx="3">
                  <c:v>29718.414135314939</c:v>
                </c:pt>
                <c:pt idx="4">
                  <c:v>30506.823730623004</c:v>
                </c:pt>
                <c:pt idx="5">
                  <c:v>31323.182507389556</c:v>
                </c:pt>
                <c:pt idx="6">
                  <c:v>32137.979893579701</c:v>
                </c:pt>
                <c:pt idx="7">
                  <c:v>32950.392746011981</c:v>
                </c:pt>
                <c:pt idx="8">
                  <c:v>33768.201874763166</c:v>
                </c:pt>
                <c:pt idx="9">
                  <c:v>34547.589032950054</c:v>
                </c:pt>
                <c:pt idx="10">
                  <c:v>35326.379044458496</c:v>
                </c:pt>
                <c:pt idx="11">
                  <c:v>36097.81078781718</c:v>
                </c:pt>
                <c:pt idx="12">
                  <c:v>36860.623362820392</c:v>
                </c:pt>
                <c:pt idx="13">
                  <c:v>37606.597842194751</c:v>
                </c:pt>
                <c:pt idx="14">
                  <c:v>38356.658321653296</c:v>
                </c:pt>
                <c:pt idx="15">
                  <c:v>39089.28461691807</c:v>
                </c:pt>
                <c:pt idx="16">
                  <c:v>39811.108219837261</c:v>
                </c:pt>
                <c:pt idx="17">
                  <c:v>40521.64596262815</c:v>
                </c:pt>
                <c:pt idx="18">
                  <c:v>41206.559025727547</c:v>
                </c:pt>
                <c:pt idx="19">
                  <c:v>41906.881308181204</c:v>
                </c:pt>
                <c:pt idx="20">
                  <c:v>42580.724935659855</c:v>
                </c:pt>
                <c:pt idx="21">
                  <c:v>43241.823975214924</c:v>
                </c:pt>
                <c:pt idx="22">
                  <c:v>43890.200673715692</c:v>
                </c:pt>
                <c:pt idx="23">
                  <c:v>44510.716258553366</c:v>
                </c:pt>
                <c:pt idx="24">
                  <c:v>45148.21793070453</c:v>
                </c:pt>
                <c:pt idx="25">
                  <c:v>45757.064150363964</c:v>
                </c:pt>
                <c:pt idx="26">
                  <c:v>46351.669425931352</c:v>
                </c:pt>
                <c:pt idx="27">
                  <c:v>46931.280980368421</c:v>
                </c:pt>
                <c:pt idx="28">
                  <c:v>47492.516804046951</c:v>
                </c:pt>
                <c:pt idx="29">
                  <c:v>48042.963270553388</c:v>
                </c:pt>
                <c:pt idx="30">
                  <c:v>48574.14081037516</c:v>
                </c:pt>
                <c:pt idx="31">
                  <c:v>49088.265018296101</c:v>
                </c:pt>
                <c:pt idx="32">
                  <c:v>49584.875489707847</c:v>
                </c:pt>
                <c:pt idx="33">
                  <c:v>50108.012010013437</c:v>
                </c:pt>
                <c:pt idx="34">
                  <c:v>50523.679418313324</c:v>
                </c:pt>
                <c:pt idx="35">
                  <c:v>50964.915550916092</c:v>
                </c:pt>
                <c:pt idx="36">
                  <c:v>51386.705265468452</c:v>
                </c:pt>
                <c:pt idx="37">
                  <c:v>51788.535272763394</c:v>
                </c:pt>
                <c:pt idx="38">
                  <c:v>52146.857071609076</c:v>
                </c:pt>
                <c:pt idx="39">
                  <c:v>52530.35885414941</c:v>
                </c:pt>
                <c:pt idx="40">
                  <c:v>52869.450807085057</c:v>
                </c:pt>
                <c:pt idx="41">
                  <c:v>53186.790680033657</c:v>
                </c:pt>
                <c:pt idx="42">
                  <c:v>53482.009859137244</c:v>
                </c:pt>
                <c:pt idx="43">
                  <c:v>53754.728363792899</c:v>
                </c:pt>
                <c:pt idx="44">
                  <c:v>54004.520248455512</c:v>
                </c:pt>
                <c:pt idx="45">
                  <c:v>54230.947862245572</c:v>
                </c:pt>
                <c:pt idx="46">
                  <c:v>54433.610060139086</c:v>
                </c:pt>
                <c:pt idx="47">
                  <c:v>54612.112861332185</c:v>
                </c:pt>
                <c:pt idx="48">
                  <c:v>54766.058112496896</c:v>
                </c:pt>
              </c:numCache>
            </c:numRef>
          </c:yVal>
          <c:smooth val="1"/>
          <c:extLst>
            <c:ext xmlns:c16="http://schemas.microsoft.com/office/drawing/2014/chart" uri="{C3380CC4-5D6E-409C-BE32-E72D297353CC}">
              <c16:uniqueId val="{00000003-95D9-4DD4-A272-66BDD676E97A}"/>
            </c:ext>
          </c:extLst>
        </c:ser>
        <c:ser>
          <c:idx val="4"/>
          <c:order val="4"/>
          <c:tx>
            <c:strRef>
              <c:f>'Passenger TAM Data'!$G$10</c:f>
              <c:strCache>
                <c:ptCount val="1"/>
                <c:pt idx="0">
                  <c:v> Based on ITDP/UC Davis (2014)  'A Global High Shift Scenario' Updated Report Data - Baseline Scenario</c:v>
                </c:pt>
              </c:strCache>
            </c:strRef>
          </c:tx>
          <c:spPr>
            <a:ln w="47625">
              <a:noFill/>
            </a:ln>
          </c:spPr>
          <c:marker>
            <c:symbol val="circle"/>
            <c:size val="7"/>
            <c:spPr>
              <a:solidFill>
                <a:srgbClr val="4092A8"/>
              </a:solidFill>
              <a:ln cmpd="sng">
                <a:solidFill>
                  <a:srgbClr val="4092A8"/>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Data'!$G$11:$G$59</c:f>
              <c:numCache>
                <c:formatCode>0.00000000E+00</c:formatCode>
                <c:ptCount val="49"/>
                <c:pt idx="0">
                  <c:v>25062.116216327271</c:v>
                </c:pt>
                <c:pt idx="1">
                  <c:v>25572.202180921369</c:v>
                </c:pt>
                <c:pt idx="2">
                  <c:v>26257.110974610277</c:v>
                </c:pt>
                <c:pt idx="3">
                  <c:v>26671.808826913842</c:v>
                </c:pt>
                <c:pt idx="4">
                  <c:v>27343.605707521223</c:v>
                </c:pt>
                <c:pt idx="5">
                  <c:v>27903.486168533793</c:v>
                </c:pt>
                <c:pt idx="6">
                  <c:v>28473.808006326581</c:v>
                </c:pt>
                <c:pt idx="7">
                  <c:v>29053.913888787734</c:v>
                </c:pt>
                <c:pt idx="8">
                  <c:v>29519.115166791067</c:v>
                </c:pt>
                <c:pt idx="9">
                  <c:v>30224.359585247839</c:v>
                </c:pt>
                <c:pt idx="10">
                  <c:v>30809.375494178155</c:v>
                </c:pt>
                <c:pt idx="11">
                  <c:v>31400.123632429288</c:v>
                </c:pt>
                <c:pt idx="12">
                  <c:v>31995.532478888104</c:v>
                </c:pt>
                <c:pt idx="13">
                  <c:v>32651.395221016919</c:v>
                </c:pt>
                <c:pt idx="14">
                  <c:v>33197.294146201399</c:v>
                </c:pt>
                <c:pt idx="15">
                  <c:v>33803.320824678856</c:v>
                </c:pt>
                <c:pt idx="16">
                  <c:v>34412.411010847252</c:v>
                </c:pt>
                <c:pt idx="17">
                  <c:v>35024.209495921707</c:v>
                </c:pt>
                <c:pt idx="18">
                  <c:v>35828.26190347509</c:v>
                </c:pt>
                <c:pt idx="19">
                  <c:v>36254.439322782368</c:v>
                </c:pt>
                <c:pt idx="20">
                  <c:v>36872.243550253857</c:v>
                </c:pt>
                <c:pt idx="21">
                  <c:v>37491.738604496815</c:v>
                </c:pt>
                <c:pt idx="22">
                  <c:v>38113.028412749969</c:v>
                </c:pt>
                <c:pt idx="23">
                  <c:v>38791.602875502802</c:v>
                </c:pt>
                <c:pt idx="24">
                  <c:v>39360.783281581025</c:v>
                </c:pt>
                <c:pt idx="25">
                  <c:v>39986.660188615184</c:v>
                </c:pt>
                <c:pt idx="26">
                  <c:v>40613.220022088652</c:v>
                </c:pt>
                <c:pt idx="27">
                  <c:v>41239.82622464648</c:v>
                </c:pt>
                <c:pt idx="28">
                  <c:v>41740.293036367038</c:v>
                </c:pt>
                <c:pt idx="29">
                  <c:v>42491.045270237635</c:v>
                </c:pt>
                <c:pt idx="30">
                  <c:v>43114.955826936115</c:v>
                </c:pt>
                <c:pt idx="31">
                  <c:v>43737.247973643302</c:v>
                </c:pt>
                <c:pt idx="32">
                  <c:v>44357.553099847239</c:v>
                </c:pt>
                <c:pt idx="33">
                  <c:v>44858.29138141367</c:v>
                </c:pt>
                <c:pt idx="34">
                  <c:v>45590.685433403698</c:v>
                </c:pt>
                <c:pt idx="35">
                  <c:v>46202.730127661751</c:v>
                </c:pt>
                <c:pt idx="36">
                  <c:v>46811.204482815941</c:v>
                </c:pt>
                <c:pt idx="37">
                  <c:v>47415.67663929992</c:v>
                </c:pt>
                <c:pt idx="38">
                  <c:v>48108.749431982156</c:v>
                </c:pt>
                <c:pt idx="39">
                  <c:v>48610.966002332723</c:v>
                </c:pt>
                <c:pt idx="40">
                  <c:v>49201.028508996089</c:v>
                </c:pt>
                <c:pt idx="41">
                  <c:v>49785.591552388236</c:v>
                </c:pt>
                <c:pt idx="42">
                  <c:v>50364.355421433174</c:v>
                </c:pt>
                <c:pt idx="43">
                  <c:v>50937.007688756225</c:v>
                </c:pt>
                <c:pt idx="44">
                  <c:v>51503.187339105483</c:v>
                </c:pt>
                <c:pt idx="45">
                  <c:v>52062.518688965465</c:v>
                </c:pt>
                <c:pt idx="46">
                  <c:v>52614.66091490192</c:v>
                </c:pt>
                <c:pt idx="47">
                  <c:v>53159.278335319897</c:v>
                </c:pt>
                <c:pt idx="48">
                  <c:v>53696.028554464436</c:v>
                </c:pt>
              </c:numCache>
            </c:numRef>
          </c:yVal>
          <c:smooth val="1"/>
          <c:extLst>
            <c:ext xmlns:c16="http://schemas.microsoft.com/office/drawing/2014/chart" uri="{C3380CC4-5D6E-409C-BE32-E72D297353CC}">
              <c16:uniqueId val="{00000004-95D9-4DD4-A272-66BDD676E97A}"/>
            </c:ext>
          </c:extLst>
        </c:ser>
        <c:ser>
          <c:idx val="5"/>
          <c:order val="5"/>
          <c:tx>
            <c:strRef>
              <c:f>'Passenger TAM Data'!$H$10</c:f>
              <c:strCache>
                <c:ptCount val="1"/>
                <c:pt idx="0">
                  <c:v> [Source 3 - Conservative]</c:v>
                </c:pt>
              </c:strCache>
            </c:strRef>
          </c:tx>
          <c:spPr>
            <a:ln w="47625">
              <a:noFill/>
            </a:ln>
          </c:spPr>
          <c:marker>
            <c:symbol val="circle"/>
            <c:size val="7"/>
            <c:spPr>
              <a:solidFill>
                <a:srgbClr val="D2803C"/>
              </a:solidFill>
              <a:ln cmpd="sng">
                <a:solidFill>
                  <a:srgbClr val="D2803C"/>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Data'!$H$11:$H$59</c:f>
              <c:numCache>
                <c:formatCode>0.00000000E+00</c:formatCode>
                <c:ptCount val="49"/>
              </c:numCache>
            </c:numRef>
          </c:yVal>
          <c:smooth val="1"/>
          <c:extLst>
            <c:ext xmlns:c16="http://schemas.microsoft.com/office/drawing/2014/chart" uri="{C3380CC4-5D6E-409C-BE32-E72D297353CC}">
              <c16:uniqueId val="{00000005-95D9-4DD4-A272-66BDD676E97A}"/>
            </c:ext>
          </c:extLst>
        </c:ser>
        <c:ser>
          <c:idx val="6"/>
          <c:order val="6"/>
          <c:tx>
            <c:strRef>
              <c:f>'Passenger TAM Data'!$I$10</c:f>
              <c:strCache>
                <c:ptCount val="1"/>
                <c:pt idx="0">
                  <c:v> Based on ETP 2016, URBAN 2 DS + Non-motorized Travel Adjustment</c:v>
                </c:pt>
              </c:strCache>
            </c:strRef>
          </c:tx>
          <c:spPr>
            <a:ln w="47625">
              <a:noFill/>
            </a:ln>
          </c:spPr>
          <c:marker>
            <c:symbol val="circle"/>
            <c:size val="7"/>
            <c:spPr>
              <a:solidFill>
                <a:srgbClr val="618EC4"/>
              </a:solidFill>
              <a:ln cmpd="sng">
                <a:solidFill>
                  <a:srgbClr val="618EC4"/>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Data'!$I$11:$I$59</c:f>
              <c:numCache>
                <c:formatCode>0.00000000E+00</c:formatCode>
                <c:ptCount val="49"/>
                <c:pt idx="0">
                  <c:v>27148.917558478621</c:v>
                </c:pt>
                <c:pt idx="1">
                  <c:v>27951.273373794513</c:v>
                </c:pt>
                <c:pt idx="2">
                  <c:v>28921.684129750403</c:v>
                </c:pt>
                <c:pt idx="3">
                  <c:v>29769.169984985845</c:v>
                </c:pt>
                <c:pt idx="4">
                  <c:v>30563.697925947225</c:v>
                </c:pt>
                <c:pt idx="5">
                  <c:v>31391.186436887347</c:v>
                </c:pt>
                <c:pt idx="6">
                  <c:v>32222.067867749436</c:v>
                </c:pt>
                <c:pt idx="7">
                  <c:v>33055.461586535705</c:v>
                </c:pt>
                <c:pt idx="8">
                  <c:v>33899.100977762006</c:v>
                </c:pt>
                <c:pt idx="9">
                  <c:v>34708.988171819488</c:v>
                </c:pt>
                <c:pt idx="10">
                  <c:v>35522.947633184463</c:v>
                </c:pt>
                <c:pt idx="11">
                  <c:v>36334.14531369193</c:v>
                </c:pt>
                <c:pt idx="12">
                  <c:v>37141.240865075219</c:v>
                </c:pt>
                <c:pt idx="13">
                  <c:v>37935.932984605883</c:v>
                </c:pt>
                <c:pt idx="14">
                  <c:v>38739.066126772195</c:v>
                </c:pt>
                <c:pt idx="15">
                  <c:v>39529.043578721918</c:v>
                </c:pt>
                <c:pt idx="16">
                  <c:v>40312.41647119246</c:v>
                </c:pt>
                <c:pt idx="17">
                  <c:v>41088.620778966193</c:v>
                </c:pt>
                <c:pt idx="18">
                  <c:v>41843.236033275971</c:v>
                </c:pt>
                <c:pt idx="19">
                  <c:v>42617.214090295522</c:v>
                </c:pt>
                <c:pt idx="20">
                  <c:v>43368.587066618427</c:v>
                </c:pt>
                <c:pt idx="21">
                  <c:v>44111.01513307196</c:v>
                </c:pt>
                <c:pt idx="22">
                  <c:v>44844.452064162208</c:v>
                </c:pt>
                <c:pt idx="23">
                  <c:v>45553.691062347571</c:v>
                </c:pt>
                <c:pt idx="24">
                  <c:v>46283.509117496054</c:v>
                </c:pt>
                <c:pt idx="25">
                  <c:v>46988.189118080874</c:v>
                </c:pt>
                <c:pt idx="26">
                  <c:v>47682.066280063278</c:v>
                </c:pt>
                <c:pt idx="27">
                  <c:v>48364.303236025771</c:v>
                </c:pt>
                <c:pt idx="28">
                  <c:v>49031.433481259985</c:v>
                </c:pt>
                <c:pt idx="29">
                  <c:v>49690.964096712101</c:v>
                </c:pt>
                <c:pt idx="30">
                  <c:v>50334.339996759518</c:v>
                </c:pt>
                <c:pt idx="31">
                  <c:v>50963.698237983226</c:v>
                </c:pt>
                <c:pt idx="32">
                  <c:v>51578.500485803306</c:v>
                </c:pt>
                <c:pt idx="33">
                  <c:v>52222.708114321678</c:v>
                </c:pt>
                <c:pt idx="34">
                  <c:v>52762.247340921589</c:v>
                </c:pt>
                <c:pt idx="35">
                  <c:v>53330.076182998353</c:v>
                </c:pt>
                <c:pt idx="36">
                  <c:v>53881.098266667657</c:v>
                </c:pt>
                <c:pt idx="37">
                  <c:v>54414.718024649876</c:v>
                </c:pt>
                <c:pt idx="38">
                  <c:v>54907.304920636765</c:v>
                </c:pt>
                <c:pt idx="39">
                  <c:v>55427.465801990998</c:v>
                </c:pt>
                <c:pt idx="40">
                  <c:v>55905.531601923001</c:v>
                </c:pt>
                <c:pt idx="41">
                  <c:v>56364.082833635141</c:v>
                </c:pt>
                <c:pt idx="42">
                  <c:v>56802.675568601131</c:v>
                </c:pt>
                <c:pt idx="43">
                  <c:v>57220.85406829384</c:v>
                </c:pt>
                <c:pt idx="44">
                  <c:v>57618.113515247518</c:v>
                </c:pt>
                <c:pt idx="45">
                  <c:v>57993.936189551314</c:v>
                </c:pt>
                <c:pt idx="46">
                  <c:v>58347.84318747199</c:v>
                </c:pt>
                <c:pt idx="47">
                  <c:v>58679.363152069702</c:v>
                </c:pt>
                <c:pt idx="48">
                  <c:v>58988.020035047681</c:v>
                </c:pt>
              </c:numCache>
            </c:numRef>
          </c:yVal>
          <c:smooth val="1"/>
          <c:extLst>
            <c:ext xmlns:c16="http://schemas.microsoft.com/office/drawing/2014/chart" uri="{C3380CC4-5D6E-409C-BE32-E72D297353CC}">
              <c16:uniqueId val="{00000006-95D9-4DD4-A272-66BDD676E97A}"/>
            </c:ext>
          </c:extLst>
        </c:ser>
        <c:ser>
          <c:idx val="7"/>
          <c:order val="7"/>
          <c:tx>
            <c:strRef>
              <c:f>'Passenger TAM Data'!$J$10</c:f>
              <c:strCache>
                <c:ptCount val="1"/>
                <c:pt idx="0">
                  <c:v> Based on ITDP/UC Davis (2014)  'A Global High Shift Scenario' Updated Report Data - HighShift Scenario</c:v>
                </c:pt>
              </c:strCache>
            </c:strRef>
          </c:tx>
          <c:spPr>
            <a:ln w="47625">
              <a:noFill/>
            </a:ln>
          </c:spPr>
          <c:marker>
            <c:symbol val="circle"/>
            <c:size val="7"/>
            <c:spPr>
              <a:solidFill>
                <a:srgbClr val="C6625F"/>
              </a:solidFill>
              <a:ln cmpd="sng">
                <a:solidFill>
                  <a:srgbClr val="C6625F"/>
                </a:solidFill>
              </a:ln>
            </c:spPr>
          </c:marke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Data'!$J$11:$J$59</c:f>
              <c:numCache>
                <c:formatCode>0.00000000E+00</c:formatCode>
                <c:ptCount val="49"/>
                <c:pt idx="0">
                  <c:v>24276.538149103777</c:v>
                </c:pt>
                <c:pt idx="1">
                  <c:v>24828.092325866157</c:v>
                </c:pt>
                <c:pt idx="2">
                  <c:v>25544.007483288988</c:v>
                </c:pt>
                <c:pt idx="3">
                  <c:v>25924.21753256493</c:v>
                </c:pt>
                <c:pt idx="4">
                  <c:v>26684.047001466148</c:v>
                </c:pt>
                <c:pt idx="5">
                  <c:v>27262.086199436795</c:v>
                </c:pt>
                <c:pt idx="6">
                  <c:v>27844.991324425369</c:v>
                </c:pt>
                <c:pt idx="7">
                  <c:v>28432.23251883221</c:v>
                </c:pt>
                <c:pt idx="8">
                  <c:v>28974.718674705251</c:v>
                </c:pt>
                <c:pt idx="9">
                  <c:v>29601.450095186025</c:v>
                </c:pt>
                <c:pt idx="10">
                  <c:v>30178.43259248104</c:v>
                </c:pt>
                <c:pt idx="11">
                  <c:v>30756.23766011613</c:v>
                </c:pt>
                <c:pt idx="12">
                  <c:v>31333.939549103823</c:v>
                </c:pt>
                <c:pt idx="13">
                  <c:v>31989.313293077659</c:v>
                </c:pt>
                <c:pt idx="14">
                  <c:v>32486.562587841752</c:v>
                </c:pt>
                <c:pt idx="15">
                  <c:v>33061.420386686652</c:v>
                </c:pt>
                <c:pt idx="16">
                  <c:v>33635.122019553113</c:v>
                </c:pt>
                <c:pt idx="17">
                  <c:v>34207.4500185988</c:v>
                </c:pt>
                <c:pt idx="18">
                  <c:v>34909.883109165959</c:v>
                </c:pt>
                <c:pt idx="19">
                  <c:v>35347.04871153694</c:v>
                </c:pt>
                <c:pt idx="20">
                  <c:v>35913.968140936558</c:v>
                </c:pt>
                <c:pt idx="21">
                  <c:v>36479.041019538134</c:v>
                </c:pt>
                <c:pt idx="22">
                  <c:v>37042.49635043017</c:v>
                </c:pt>
                <c:pt idx="23">
                  <c:v>37626.219420330315</c:v>
                </c:pt>
                <c:pt idx="24">
                  <c:v>38164.85312707493</c:v>
                </c:pt>
                <c:pt idx="25">
                  <c:v>38723.430969953428</c:v>
                </c:pt>
                <c:pt idx="26">
                  <c:v>39279.80855991201</c:v>
                </c:pt>
                <c:pt idx="27">
                  <c:v>39833.492235806538</c:v>
                </c:pt>
                <c:pt idx="28">
                  <c:v>40315.124823267921</c:v>
                </c:pt>
                <c:pt idx="29">
                  <c:v>40931.206642789133</c:v>
                </c:pt>
                <c:pt idx="30">
                  <c:v>41474.803074760617</c:v>
                </c:pt>
                <c:pt idx="31">
                  <c:v>42014.585105394457</c:v>
                </c:pt>
                <c:pt idx="32">
                  <c:v>42550.317670550299</c:v>
                </c:pt>
                <c:pt idx="33">
                  <c:v>42960.694182004241</c:v>
                </c:pt>
                <c:pt idx="34">
                  <c:v>43608.651471103301</c:v>
                </c:pt>
                <c:pt idx="35">
                  <c:v>44130.737305022143</c:v>
                </c:pt>
                <c:pt idx="36">
                  <c:v>44647.725543325549</c:v>
                </c:pt>
                <c:pt idx="37">
                  <c:v>45159.319163226872</c:v>
                </c:pt>
                <c:pt idx="38">
                  <c:v>45750.263527195624</c:v>
                </c:pt>
                <c:pt idx="39">
                  <c:v>46165.209022238472</c:v>
                </c:pt>
                <c:pt idx="40">
                  <c:v>46659.013820675376</c:v>
                </c:pt>
                <c:pt idx="41">
                  <c:v>47146.452219110281</c:v>
                </c:pt>
                <c:pt idx="42">
                  <c:v>47627.350612794857</c:v>
                </c:pt>
                <c:pt idx="43">
                  <c:v>48101.522542119506</c:v>
                </c:pt>
                <c:pt idx="44">
                  <c:v>48568.734952319617</c:v>
                </c:pt>
                <c:pt idx="45">
                  <c:v>49028.740455305968</c:v>
                </c:pt>
                <c:pt idx="46">
                  <c:v>49481.324000110733</c:v>
                </c:pt>
                <c:pt idx="47">
                  <c:v>49926.274736747364</c:v>
                </c:pt>
                <c:pt idx="48">
                  <c:v>50363.374864450154</c:v>
                </c:pt>
              </c:numCache>
            </c:numRef>
          </c:yVal>
          <c:smooth val="1"/>
          <c:extLst>
            <c:ext xmlns:c16="http://schemas.microsoft.com/office/drawing/2014/chart" uri="{C3380CC4-5D6E-409C-BE32-E72D297353CC}">
              <c16:uniqueId val="{00000007-95D9-4DD4-A272-66BDD676E97A}"/>
            </c:ext>
          </c:extLst>
        </c:ser>
        <c:ser>
          <c:idx val="8"/>
          <c:order val="8"/>
          <c:tx>
            <c:strRef>
              <c:f>'Passenger TAM Data'!$K$10</c:f>
              <c:strCache>
                <c:ptCount val="1"/>
                <c:pt idx="0">
                  <c:v> [Source 3 - Ambitious]</c:v>
                </c:pt>
              </c:strCache>
            </c:strRef>
          </c:tx>
          <c:spPr>
            <a:ln w="28575">
              <a:noFill/>
            </a:ln>
          </c:spP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Data'!$K$11:$K$59</c:f>
              <c:numCache>
                <c:formatCode>0.00E+00</c:formatCode>
                <c:ptCount val="49"/>
              </c:numCache>
            </c:numRef>
          </c:yVal>
          <c:smooth val="0"/>
          <c:extLst>
            <c:ext xmlns:c16="http://schemas.microsoft.com/office/drawing/2014/chart" uri="{C3380CC4-5D6E-409C-BE32-E72D297353CC}">
              <c16:uniqueId val="{00000000-6F75-4058-8E93-01E286CB7BF5}"/>
            </c:ext>
          </c:extLst>
        </c:ser>
        <c:ser>
          <c:idx val="9"/>
          <c:order val="9"/>
          <c:tx>
            <c:strRef>
              <c:f>'Passenger TAM Data'!$L$10</c:f>
              <c:strCache>
                <c:ptCount val="1"/>
                <c:pt idx="0">
                  <c:v> [Source 1 - Maximum]</c:v>
                </c:pt>
              </c:strCache>
            </c:strRef>
          </c:tx>
          <c:spPr>
            <a:ln w="28575">
              <a:noFill/>
            </a:ln>
          </c:spP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Data'!$L$11:$L$59</c:f>
              <c:numCache>
                <c:formatCode>_-* #,##0.00\ _€_-;\-* #,##0.00\ _€_-;_-* "-"??\ _€_-;_-@</c:formatCode>
                <c:ptCount val="49"/>
              </c:numCache>
            </c:numRef>
          </c:yVal>
          <c:smooth val="0"/>
          <c:extLst>
            <c:ext xmlns:c16="http://schemas.microsoft.com/office/drawing/2014/chart" uri="{C3380CC4-5D6E-409C-BE32-E72D297353CC}">
              <c16:uniqueId val="{00000001-6F75-4058-8E93-01E286CB7BF5}"/>
            </c:ext>
          </c:extLst>
        </c:ser>
        <c:ser>
          <c:idx val="10"/>
          <c:order val="10"/>
          <c:tx>
            <c:strRef>
              <c:f>'Passenger TAM Data'!$M$10</c:f>
              <c:strCache>
                <c:ptCount val="1"/>
                <c:pt idx="0">
                  <c:v> [Source 2 - Maximum]</c:v>
                </c:pt>
              </c:strCache>
            </c:strRef>
          </c:tx>
          <c:spPr>
            <a:ln w="28575">
              <a:noFill/>
            </a:ln>
          </c:spPr>
          <c:xVal>
            <c:numRef>
              <c:f>'Passenger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Data'!$M$11:$M$59</c:f>
              <c:numCache>
                <c:formatCode>_-* #,##0.00\ _€_-;\-* #,##0.00\ _€_-;_-* "-"??\ _€_-;_-@</c:formatCode>
                <c:ptCount val="49"/>
              </c:numCache>
            </c:numRef>
          </c:yVal>
          <c:smooth val="0"/>
          <c:extLst>
            <c:ext xmlns:c16="http://schemas.microsoft.com/office/drawing/2014/chart" uri="{C3380CC4-5D6E-409C-BE32-E72D297353CC}">
              <c16:uniqueId val="{00000002-6F75-4058-8E93-01E286CB7BF5}"/>
            </c:ext>
          </c:extLst>
        </c:ser>
        <c:dLbls>
          <c:showLegendKey val="0"/>
          <c:showVal val="0"/>
          <c:showCatName val="0"/>
          <c:showSerName val="0"/>
          <c:showPercent val="0"/>
          <c:showBubbleSize val="0"/>
        </c:dLbls>
        <c:axId val="126345600"/>
        <c:axId val="126347520"/>
      </c:scatterChart>
      <c:valAx>
        <c:axId val="126345600"/>
        <c:scaling>
          <c:orientation val="minMax"/>
        </c:scaling>
        <c:delete val="0"/>
        <c:axPos val="b"/>
        <c:majorGridlines>
          <c:spPr>
            <a:ln>
              <a:solidFill>
                <a:srgbClr val="FFFFFF"/>
              </a:solidFill>
            </a:ln>
          </c:spPr>
        </c:majorGridlines>
        <c:numFmt formatCode="General" sourceLinked="1"/>
        <c:majorTickMark val="cross"/>
        <c:minorTickMark val="cross"/>
        <c:tickLblPos val="nextTo"/>
        <c:spPr>
          <a:ln w="47625">
            <a:noFill/>
          </a:ln>
        </c:spPr>
        <c:txPr>
          <a:bodyPr/>
          <a:lstStyle/>
          <a:p>
            <a:pPr lvl="0">
              <a:defRPr/>
            </a:pPr>
            <a:endParaRPr lang="en-US"/>
          </a:p>
        </c:txPr>
        <c:crossAx val="126347520"/>
        <c:crosses val="autoZero"/>
        <c:crossBetween val="midCat"/>
      </c:valAx>
      <c:valAx>
        <c:axId val="126347520"/>
        <c:scaling>
          <c:orientation val="minMax"/>
        </c:scaling>
        <c:delete val="0"/>
        <c:axPos val="l"/>
        <c:majorGridlines>
          <c:spPr>
            <a:ln>
              <a:solidFill>
                <a:srgbClr val="B7B7B7"/>
              </a:solidFill>
            </a:ln>
          </c:spPr>
        </c:majorGridlines>
        <c:numFmt formatCode="0.00000000E+00" sourceLinked="1"/>
        <c:majorTickMark val="cross"/>
        <c:minorTickMark val="cross"/>
        <c:tickLblPos val="nextTo"/>
        <c:spPr>
          <a:ln w="47625">
            <a:noFill/>
          </a:ln>
        </c:spPr>
        <c:txPr>
          <a:bodyPr/>
          <a:lstStyle/>
          <a:p>
            <a:pPr lvl="0">
              <a:defRPr/>
            </a:pPr>
            <a:endParaRPr lang="en-US"/>
          </a:p>
        </c:txPr>
        <c:crossAx val="126345600"/>
        <c:crosses val="autoZero"/>
        <c:crossBetween val="midCat"/>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tx>
            <c:strRef>
              <c:f>'Passenger TAM Data'!$C$70</c:f>
              <c:strCache>
                <c:ptCount val="1"/>
                <c:pt idx="0">
                  <c:v> Based on IEA (2016), "Energy Technology Perspectives - 6DS", IEA/OECD + Telepresence Adjustment</c:v>
                </c:pt>
              </c:strCache>
            </c:strRef>
          </c:tx>
          <c:spPr>
            <a:ln w="47625">
              <a:noFill/>
            </a:ln>
          </c:spPr>
          <c:marker>
            <c:symbol val="circle"/>
            <c:size val="7"/>
            <c:spPr>
              <a:solidFill>
                <a:srgbClr val="436EA1"/>
              </a:solidFill>
              <a:ln cmpd="sng">
                <a:solidFill>
                  <a:srgbClr val="436EA1"/>
                </a:solidFill>
              </a:ln>
            </c:spPr>
          </c:marke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Data'!$C$71:$C$119</c:f>
              <c:numCache>
                <c:formatCode>0.00000000E+00</c:formatCode>
                <c:ptCount val="49"/>
                <c:pt idx="0">
                  <c:v>24232.576698968507</c:v>
                </c:pt>
                <c:pt idx="1">
                  <c:v>25087.96950593053</c:v>
                </c:pt>
                <c:pt idx="2">
                  <c:v>26120.424650515532</c:v>
                </c:pt>
                <c:pt idx="3">
                  <c:v>27013.827023012112</c:v>
                </c:pt>
                <c:pt idx="4">
                  <c:v>27922.201433326318</c:v>
                </c:pt>
                <c:pt idx="5">
                  <c:v>28844.87262954325</c:v>
                </c:pt>
                <c:pt idx="6">
                  <c:v>29780.941542760724</c:v>
                </c:pt>
                <c:pt idx="7">
                  <c:v>30729.374158923198</c:v>
                </c:pt>
                <c:pt idx="8">
                  <c:v>31691.70864337833</c:v>
                </c:pt>
                <c:pt idx="9">
                  <c:v>32641.41914454681</c:v>
                </c:pt>
                <c:pt idx="10">
                  <c:v>33598.1929744136</c:v>
                </c:pt>
                <c:pt idx="11">
                  <c:v>34561.08144455358</c:v>
                </c:pt>
                <c:pt idx="12">
                  <c:v>35528.510820142641</c:v>
                </c:pt>
                <c:pt idx="13">
                  <c:v>36499.067391378128</c:v>
                </c:pt>
                <c:pt idx="14">
                  <c:v>37471.990938785581</c:v>
                </c:pt>
                <c:pt idx="15">
                  <c:v>38446.87192426408</c:v>
                </c:pt>
                <c:pt idx="16">
                  <c:v>39422.919619850887</c:v>
                </c:pt>
                <c:pt idx="17">
                  <c:v>40399.358304867834</c:v>
                </c:pt>
                <c:pt idx="18">
                  <c:v>41375.396503515411</c:v>
                </c:pt>
                <c:pt idx="19">
                  <c:v>42350.253135107494</c:v>
                </c:pt>
                <c:pt idx="20">
                  <c:v>43323.283749617629</c:v>
                </c:pt>
                <c:pt idx="21">
                  <c:v>44294.135547677484</c:v>
                </c:pt>
                <c:pt idx="22">
                  <c:v>45262.611339234485</c:v>
                </c:pt>
                <c:pt idx="23">
                  <c:v>46228.39470470458</c:v>
                </c:pt>
                <c:pt idx="24">
                  <c:v>47190.973971349347</c:v>
                </c:pt>
                <c:pt idx="25">
                  <c:v>48149.574167003768</c:v>
                </c:pt>
                <c:pt idx="26">
                  <c:v>49103.29100500761</c:v>
                </c:pt>
                <c:pt idx="27">
                  <c:v>50051.071800172089</c:v>
                </c:pt>
                <c:pt idx="28">
                  <c:v>50991.933017198826</c:v>
                </c:pt>
                <c:pt idx="29">
                  <c:v>51925.105444787427</c:v>
                </c:pt>
                <c:pt idx="30">
                  <c:v>52849.942602126575</c:v>
                </c:pt>
                <c:pt idx="31">
                  <c:v>53765.69966873563</c:v>
                </c:pt>
                <c:pt idx="32">
                  <c:v>54671.654564784549</c:v>
                </c:pt>
                <c:pt idx="33">
                  <c:v>55567.075477007049</c:v>
                </c:pt>
                <c:pt idx="34">
                  <c:v>56451.230399923574</c:v>
                </c:pt>
                <c:pt idx="35">
                  <c:v>57323.364145779262</c:v>
                </c:pt>
                <c:pt idx="36">
                  <c:v>58182.698506409317</c:v>
                </c:pt>
                <c:pt idx="37">
                  <c:v>59028.445497541856</c:v>
                </c:pt>
                <c:pt idx="38">
                  <c:v>59859.837853511199</c:v>
                </c:pt>
                <c:pt idx="39">
                  <c:v>60676.135759980963</c:v>
                </c:pt>
                <c:pt idx="40">
                  <c:v>61476.651496007158</c:v>
                </c:pt>
                <c:pt idx="41">
                  <c:v>62260.740486489674</c:v>
                </c:pt>
                <c:pt idx="42">
                  <c:v>63027.793571765149</c:v>
                </c:pt>
                <c:pt idx="43">
                  <c:v>63777.189006212153</c:v>
                </c:pt>
                <c:pt idx="44">
                  <c:v>64508.24754560228</c:v>
                </c:pt>
                <c:pt idx="45">
                  <c:v>65220.274693811181</c:v>
                </c:pt>
                <c:pt idx="46">
                  <c:v>65912.622618104797</c:v>
                </c:pt>
                <c:pt idx="47">
                  <c:v>66584.653107880964</c:v>
                </c:pt>
                <c:pt idx="48">
                  <c:v>67235.722798301227</c:v>
                </c:pt>
              </c:numCache>
            </c:numRef>
          </c:yVal>
          <c:smooth val="1"/>
          <c:extLst>
            <c:ext xmlns:c16="http://schemas.microsoft.com/office/drawing/2014/chart" uri="{C3380CC4-5D6E-409C-BE32-E72D297353CC}">
              <c16:uniqueId val="{00000000-C76E-41A7-9FE5-E53A49D4E649}"/>
            </c:ext>
          </c:extLst>
        </c:ser>
        <c:ser>
          <c:idx val="1"/>
          <c:order val="1"/>
          <c:tx>
            <c:strRef>
              <c:f>'Passenger TAM Data'!$D$70</c:f>
              <c:strCache>
                <c:ptCount val="1"/>
                <c:pt idx="0">
                  <c:v> Based on ICCT (2012) "Global Transport Roadmap Model", http://www.theicct.org/global-transportation-roadmap-model + Telepresence Adjustment</c:v>
                </c:pt>
              </c:strCache>
            </c:strRef>
          </c:tx>
          <c:spPr>
            <a:ln w="47625">
              <a:noFill/>
            </a:ln>
          </c:spPr>
          <c:marker>
            <c:symbol val="circle"/>
            <c:size val="7"/>
            <c:spPr>
              <a:solidFill>
                <a:srgbClr val="A34441"/>
              </a:solidFill>
              <a:ln cmpd="sng">
                <a:solidFill>
                  <a:srgbClr val="A34441"/>
                </a:solidFill>
              </a:ln>
            </c:spPr>
          </c:marke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Data'!$D$71:$D$119</c:f>
              <c:numCache>
                <c:formatCode>0.00000000E+00</c:formatCode>
                <c:ptCount val="49"/>
                <c:pt idx="0">
                  <c:v>23654.711772563536</c:v>
                </c:pt>
                <c:pt idx="1">
                  <c:v>24437.651622549492</c:v>
                </c:pt>
                <c:pt idx="2">
                  <c:v>25464.148712370679</c:v>
                </c:pt>
                <c:pt idx="3">
                  <c:v>26286.444766110868</c:v>
                </c:pt>
                <c:pt idx="4">
                  <c:v>27123.865173826507</c:v>
                </c:pt>
                <c:pt idx="5">
                  <c:v>27977.645669273013</c:v>
                </c:pt>
                <c:pt idx="6">
                  <c:v>28848.694155778725</c:v>
                </c:pt>
                <c:pt idx="7">
                  <c:v>29737.626583585636</c:v>
                </c:pt>
                <c:pt idx="8">
                  <c:v>30647.644001277306</c:v>
                </c:pt>
                <c:pt idx="9">
                  <c:v>31555.050561775246</c:v>
                </c:pt>
                <c:pt idx="10">
                  <c:v>32481.017622915904</c:v>
                </c:pt>
                <c:pt idx="11">
                  <c:v>33426.741404019172</c:v>
                </c:pt>
                <c:pt idx="12">
                  <c:v>34392.889813201044</c:v>
                </c:pt>
                <c:pt idx="13">
                  <c:v>35380.250545391311</c:v>
                </c:pt>
                <c:pt idx="14">
                  <c:v>36390.123334265081</c:v>
                </c:pt>
                <c:pt idx="15">
                  <c:v>37424.097620869179</c:v>
                </c:pt>
                <c:pt idx="16">
                  <c:v>38483.462389769615</c:v>
                </c:pt>
                <c:pt idx="17">
                  <c:v>39569.521945776076</c:v>
                </c:pt>
                <c:pt idx="18">
                  <c:v>40683.552199693826</c:v>
                </c:pt>
                <c:pt idx="19">
                  <c:v>41826.802012456101</c:v>
                </c:pt>
                <c:pt idx="20">
                  <c:v>43000.650778449672</c:v>
                </c:pt>
                <c:pt idx="21">
                  <c:v>44206.796698669401</c:v>
                </c:pt>
                <c:pt idx="22">
                  <c:v>45447.107437607046</c:v>
                </c:pt>
                <c:pt idx="23">
                  <c:v>46723.320915257515</c:v>
                </c:pt>
                <c:pt idx="24">
                  <c:v>48036.927232305134</c:v>
                </c:pt>
                <c:pt idx="25">
                  <c:v>49389.139865403529</c:v>
                </c:pt>
                <c:pt idx="26">
                  <c:v>50781.075428090226</c:v>
                </c:pt>
                <c:pt idx="27">
                  <c:v>52213.690389033087</c:v>
                </c:pt>
                <c:pt idx="28">
                  <c:v>53687.963289028936</c:v>
                </c:pt>
                <c:pt idx="29">
                  <c:v>55205.051078121345</c:v>
                </c:pt>
                <c:pt idx="30">
                  <c:v>56766.165841299568</c:v>
                </c:pt>
                <c:pt idx="31">
                  <c:v>58372.342295987532</c:v>
                </c:pt>
                <c:pt idx="32">
                  <c:v>60024.573725102819</c:v>
                </c:pt>
                <c:pt idx="33">
                  <c:v>61723.829922741374</c:v>
                </c:pt>
                <c:pt idx="34">
                  <c:v>63471.106923256433</c:v>
                </c:pt>
                <c:pt idx="35">
                  <c:v>65267.37084114462</c:v>
                </c:pt>
                <c:pt idx="36">
                  <c:v>67113.495673237747</c:v>
                </c:pt>
                <c:pt idx="37">
                  <c:v>69010.306235818323</c:v>
                </c:pt>
                <c:pt idx="38">
                  <c:v>70958.609696833388</c:v>
                </c:pt>
                <c:pt idx="39">
                  <c:v>72959.288943478052</c:v>
                </c:pt>
                <c:pt idx="40">
                  <c:v>75013.184403410691</c:v>
                </c:pt>
                <c:pt idx="41">
                  <c:v>77120.98410668633</c:v>
                </c:pt>
                <c:pt idx="42">
                  <c:v>79283.305577376726</c:v>
                </c:pt>
                <c:pt idx="43">
                  <c:v>81500.803926192384</c:v>
                </c:pt>
                <c:pt idx="44">
                  <c:v>83774.198539936449</c:v>
                </c:pt>
                <c:pt idx="45">
                  <c:v>86104.309572073355</c:v>
                </c:pt>
                <c:pt idx="46">
                  <c:v>88492.017799223453</c:v>
                </c:pt>
                <c:pt idx="47">
                  <c:v>90938.27473175741</c:v>
                </c:pt>
                <c:pt idx="48">
                  <c:v>93444.013545071371</c:v>
                </c:pt>
              </c:numCache>
            </c:numRef>
          </c:yVal>
          <c:smooth val="1"/>
          <c:extLst>
            <c:ext xmlns:c16="http://schemas.microsoft.com/office/drawing/2014/chart" uri="{C3380CC4-5D6E-409C-BE32-E72D297353CC}">
              <c16:uniqueId val="{00000001-C76E-41A7-9FE5-E53A49D4E649}"/>
            </c:ext>
          </c:extLst>
        </c:ser>
        <c:ser>
          <c:idx val="2"/>
          <c:order val="2"/>
          <c:tx>
            <c:strRef>
              <c:f>'Passenger TAM Data'!$E$70</c:f>
              <c:strCache>
                <c:ptCount val="1"/>
                <c:pt idx="0">
                  <c:v> [Source 3 - Base]</c:v>
                </c:pt>
              </c:strCache>
            </c:strRef>
          </c:tx>
          <c:spPr>
            <a:ln w="47625">
              <a:noFill/>
            </a:ln>
          </c:spPr>
          <c:marker>
            <c:symbol val="circle"/>
            <c:size val="7"/>
            <c:spPr>
              <a:solidFill>
                <a:srgbClr val="849F4C"/>
              </a:solidFill>
              <a:ln cmpd="sng">
                <a:solidFill>
                  <a:srgbClr val="849F4C"/>
                </a:solidFill>
              </a:ln>
            </c:spPr>
          </c:marke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Data'!$E$71:$E$119</c:f>
              <c:numCache>
                <c:formatCode>0.00000000E+00</c:formatCode>
                <c:ptCount val="49"/>
              </c:numCache>
            </c:numRef>
          </c:yVal>
          <c:smooth val="1"/>
          <c:extLst>
            <c:ext xmlns:c16="http://schemas.microsoft.com/office/drawing/2014/chart" uri="{C3380CC4-5D6E-409C-BE32-E72D297353CC}">
              <c16:uniqueId val="{00000002-C76E-41A7-9FE5-E53A49D4E649}"/>
            </c:ext>
          </c:extLst>
        </c:ser>
        <c:ser>
          <c:idx val="3"/>
          <c:order val="3"/>
          <c:tx>
            <c:strRef>
              <c:f>'Passenger TAM Data'!$F$70</c:f>
              <c:strCache>
                <c:ptCount val="1"/>
                <c:pt idx="0">
                  <c:v> Based on IEA (2016), "Energy Technology Perspectives - 4DS", IEA/OECD + Telepresence Adjustment</c:v>
                </c:pt>
              </c:strCache>
            </c:strRef>
          </c:tx>
          <c:spPr>
            <a:ln w="47625">
              <a:noFill/>
            </a:ln>
          </c:spPr>
          <c:marker>
            <c:symbol val="circle"/>
            <c:size val="7"/>
            <c:spPr>
              <a:solidFill>
                <a:srgbClr val="6D558A"/>
              </a:solidFill>
              <a:ln cmpd="sng">
                <a:solidFill>
                  <a:srgbClr val="6D558A"/>
                </a:solidFill>
              </a:ln>
            </c:spPr>
          </c:marke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Data'!$F$71:$F$119</c:f>
              <c:numCache>
                <c:formatCode>0.00000000E+00</c:formatCode>
                <c:ptCount val="49"/>
                <c:pt idx="0">
                  <c:v>23930.227582741474</c:v>
                </c:pt>
                <c:pt idx="1">
                  <c:v>24855.874808876422</c:v>
                </c:pt>
                <c:pt idx="2">
                  <c:v>25946.675553854449</c:v>
                </c:pt>
                <c:pt idx="3">
                  <c:v>26889.302132140241</c:v>
                </c:pt>
                <c:pt idx="4">
                  <c:v>27836.665078380385</c:v>
                </c:pt>
                <c:pt idx="5">
                  <c:v>28788.416054893893</c:v>
                </c:pt>
                <c:pt idx="6">
                  <c:v>29743.981926931407</c:v>
                </c:pt>
                <c:pt idx="7">
                  <c:v>30702.653264782413</c:v>
                </c:pt>
                <c:pt idx="8">
                  <c:v>31666.290043319623</c:v>
                </c:pt>
                <c:pt idx="9">
                  <c:v>32608.714741080224</c:v>
                </c:pt>
                <c:pt idx="10">
                  <c:v>33549.938185754916</c:v>
                </c:pt>
                <c:pt idx="11">
                  <c:v>34489.355269175852</c:v>
                </c:pt>
                <c:pt idx="12">
                  <c:v>35425.739586854084</c:v>
                </c:pt>
                <c:pt idx="13">
                  <c:v>36358.028410002305</c:v>
                </c:pt>
                <c:pt idx="14">
                  <c:v>37285.813508183972</c:v>
                </c:pt>
                <c:pt idx="15">
                  <c:v>38209.036494630665</c:v>
                </c:pt>
                <c:pt idx="16">
                  <c:v>39127.259641883953</c:v>
                </c:pt>
                <c:pt idx="17">
                  <c:v>40040.060487148672</c:v>
                </c:pt>
                <c:pt idx="18">
                  <c:v>40947.000980402612</c:v>
                </c:pt>
                <c:pt idx="19">
                  <c:v>41847.653176950218</c:v>
                </c:pt>
                <c:pt idx="20">
                  <c:v>42741.723469488003</c:v>
                </c:pt>
                <c:pt idx="21">
                  <c:v>43629.203988115376</c:v>
                </c:pt>
                <c:pt idx="22">
                  <c:v>44510.236275692616</c:v>
                </c:pt>
                <c:pt idx="23">
                  <c:v>45384.840023381832</c:v>
                </c:pt>
                <c:pt idx="24">
                  <c:v>46252.839418131422</c:v>
                </c:pt>
                <c:pt idx="25">
                  <c:v>47113.798130332856</c:v>
                </c:pt>
                <c:pt idx="26">
                  <c:v>47967.152345315102</c:v>
                </c:pt>
                <c:pt idx="27">
                  <c:v>48812.193208087119</c:v>
                </c:pt>
                <c:pt idx="28">
                  <c:v>49648.279786790314</c:v>
                </c:pt>
                <c:pt idx="29">
                  <c:v>50474.979562947083</c:v>
                </c:pt>
                <c:pt idx="30">
                  <c:v>51291.977804526119</c:v>
                </c:pt>
                <c:pt idx="31">
                  <c:v>52098.862405876709</c:v>
                </c:pt>
                <c:pt idx="32">
                  <c:v>52895.241760683806</c:v>
                </c:pt>
                <c:pt idx="33">
                  <c:v>53680.71320571551</c:v>
                </c:pt>
                <c:pt idx="34">
                  <c:v>54454.872277209281</c:v>
                </c:pt>
                <c:pt idx="35">
                  <c:v>55217.290549656762</c:v>
                </c:pt>
                <c:pt idx="36">
                  <c:v>55967.515924229825</c:v>
                </c:pt>
                <c:pt idx="37">
                  <c:v>56705.085463414944</c:v>
                </c:pt>
                <c:pt idx="38">
                  <c:v>57429.554654327017</c:v>
                </c:pt>
                <c:pt idx="39">
                  <c:v>58140.503675794178</c:v>
                </c:pt>
                <c:pt idx="40">
                  <c:v>58837.560767704985</c:v>
                </c:pt>
                <c:pt idx="41">
                  <c:v>59520.393349780388</c:v>
                </c:pt>
                <c:pt idx="42">
                  <c:v>60188.700396065877</c:v>
                </c:pt>
                <c:pt idx="43">
                  <c:v>60842.166475730315</c:v>
                </c:pt>
                <c:pt idx="44">
                  <c:v>61480.419029626952</c:v>
                </c:pt>
                <c:pt idx="45">
                  <c:v>62103.068845626665</c:v>
                </c:pt>
                <c:pt idx="46">
                  <c:v>62709.768985837363</c:v>
                </c:pt>
                <c:pt idx="47">
                  <c:v>63300.179360039714</c:v>
                </c:pt>
                <c:pt idx="48">
                  <c:v>63873.952635041373</c:v>
                </c:pt>
              </c:numCache>
            </c:numRef>
          </c:yVal>
          <c:smooth val="1"/>
          <c:extLst>
            <c:ext xmlns:c16="http://schemas.microsoft.com/office/drawing/2014/chart" uri="{C3380CC4-5D6E-409C-BE32-E72D297353CC}">
              <c16:uniqueId val="{00000003-C76E-41A7-9FE5-E53A49D4E649}"/>
            </c:ext>
          </c:extLst>
        </c:ser>
        <c:ser>
          <c:idx val="4"/>
          <c:order val="4"/>
          <c:tx>
            <c:strRef>
              <c:f>'Passenger TAM Data'!$G$70</c:f>
              <c:strCache>
                <c:ptCount val="1"/>
                <c:pt idx="0">
                  <c:v> [Source 2 - Conservative]</c:v>
                </c:pt>
              </c:strCache>
            </c:strRef>
          </c:tx>
          <c:spPr>
            <a:ln w="47625">
              <a:noFill/>
            </a:ln>
          </c:spPr>
          <c:marker>
            <c:symbol val="circle"/>
            <c:size val="7"/>
            <c:spPr>
              <a:solidFill>
                <a:srgbClr val="4092A8"/>
              </a:solidFill>
              <a:ln cmpd="sng">
                <a:solidFill>
                  <a:srgbClr val="4092A8"/>
                </a:solidFill>
              </a:ln>
            </c:spPr>
          </c:marke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Data'!$G$71:$G$119</c:f>
              <c:numCache>
                <c:formatCode>0.00000000E+00</c:formatCode>
                <c:ptCount val="49"/>
              </c:numCache>
            </c:numRef>
          </c:yVal>
          <c:smooth val="1"/>
          <c:extLst>
            <c:ext xmlns:c16="http://schemas.microsoft.com/office/drawing/2014/chart" uri="{C3380CC4-5D6E-409C-BE32-E72D297353CC}">
              <c16:uniqueId val="{00000004-C76E-41A7-9FE5-E53A49D4E649}"/>
            </c:ext>
          </c:extLst>
        </c:ser>
        <c:ser>
          <c:idx val="5"/>
          <c:order val="5"/>
          <c:tx>
            <c:strRef>
              <c:f>'Passenger TAM Data'!$H$70</c:f>
              <c:strCache>
                <c:ptCount val="1"/>
                <c:pt idx="0">
                  <c:v> [Source 3 - Conservative]</c:v>
                </c:pt>
              </c:strCache>
            </c:strRef>
          </c:tx>
          <c:spPr>
            <a:ln w="47625">
              <a:noFill/>
            </a:ln>
          </c:spPr>
          <c:marker>
            <c:symbol val="circle"/>
            <c:size val="7"/>
            <c:spPr>
              <a:solidFill>
                <a:srgbClr val="D2803C"/>
              </a:solidFill>
              <a:ln cmpd="sng">
                <a:solidFill>
                  <a:srgbClr val="D2803C"/>
                </a:solidFill>
              </a:ln>
            </c:spPr>
          </c:marke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Data'!$H$71:$H$119</c:f>
              <c:numCache>
                <c:formatCode>0.00000000E+00</c:formatCode>
                <c:ptCount val="49"/>
              </c:numCache>
            </c:numRef>
          </c:yVal>
          <c:smooth val="1"/>
          <c:extLst>
            <c:ext xmlns:c16="http://schemas.microsoft.com/office/drawing/2014/chart" uri="{C3380CC4-5D6E-409C-BE32-E72D297353CC}">
              <c16:uniqueId val="{00000005-C76E-41A7-9FE5-E53A49D4E649}"/>
            </c:ext>
          </c:extLst>
        </c:ser>
        <c:ser>
          <c:idx val="6"/>
          <c:order val="6"/>
          <c:tx>
            <c:strRef>
              <c:f>'Passenger TAM Data'!$I$70</c:f>
              <c:strCache>
                <c:ptCount val="1"/>
                <c:pt idx="0">
                  <c:v> Based on IEA (2016), "Energy Technology Perspectives - 2DS", IEA/OECD + Telepresence Adjustment</c:v>
                </c:pt>
              </c:strCache>
            </c:strRef>
          </c:tx>
          <c:spPr>
            <a:ln w="47625">
              <a:noFill/>
            </a:ln>
          </c:spPr>
          <c:marker>
            <c:symbol val="circle"/>
            <c:size val="7"/>
            <c:spPr>
              <a:solidFill>
                <a:srgbClr val="618EC4"/>
              </a:solidFill>
              <a:ln cmpd="sng">
                <a:solidFill>
                  <a:srgbClr val="618EC4"/>
                </a:solidFill>
              </a:ln>
            </c:spPr>
          </c:marke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Data'!$I$71:$I$119</c:f>
              <c:numCache>
                <c:formatCode>0.00000000E+00</c:formatCode>
                <c:ptCount val="49"/>
                <c:pt idx="0">
                  <c:v>23745.170573047144</c:v>
                </c:pt>
                <c:pt idx="1">
                  <c:v>24754.538238745805</c:v>
                </c:pt>
                <c:pt idx="2">
                  <c:v>25903.193009830804</c:v>
                </c:pt>
                <c:pt idx="3">
                  <c:v>26879.506682525327</c:v>
                </c:pt>
                <c:pt idx="4">
                  <c:v>27836.711154405439</c:v>
                </c:pt>
                <c:pt idx="5">
                  <c:v>28775.406318140143</c:v>
                </c:pt>
                <c:pt idx="6">
                  <c:v>29695.96498939754</c:v>
                </c:pt>
                <c:pt idx="7">
                  <c:v>30598.623431638396</c:v>
                </c:pt>
                <c:pt idx="8">
                  <c:v>31486.174624779269</c:v>
                </c:pt>
                <c:pt idx="9">
                  <c:v>32333.587388320091</c:v>
                </c:pt>
                <c:pt idx="10">
                  <c:v>33161.80122333912</c:v>
                </c:pt>
                <c:pt idx="11">
                  <c:v>33971.214335127406</c:v>
                </c:pt>
                <c:pt idx="12">
                  <c:v>34761.619343153623</c:v>
                </c:pt>
                <c:pt idx="13">
                  <c:v>35532.982276495357</c:v>
                </c:pt>
                <c:pt idx="14">
                  <c:v>36285.917469373606</c:v>
                </c:pt>
                <c:pt idx="15">
                  <c:v>37021.378365528821</c:v>
                </c:pt>
                <c:pt idx="16">
                  <c:v>37739.945601113635</c:v>
                </c:pt>
                <c:pt idx="17">
                  <c:v>38442.21311364702</c:v>
                </c:pt>
                <c:pt idx="18">
                  <c:v>39128.757685942895</c:v>
                </c:pt>
                <c:pt idx="19">
                  <c:v>39800.163169916865</c:v>
                </c:pt>
                <c:pt idx="20">
                  <c:v>40457.137332064754</c:v>
                </c:pt>
                <c:pt idx="21">
                  <c:v>41100.650973439457</c:v>
                </c:pt>
                <c:pt idx="22">
                  <c:v>41731.803421038065</c:v>
                </c:pt>
                <c:pt idx="23">
                  <c:v>42351.566080887162</c:v>
                </c:pt>
                <c:pt idx="24">
                  <c:v>42960.716883645684</c:v>
                </c:pt>
                <c:pt idx="25">
                  <c:v>43559.784623641142</c:v>
                </c:pt>
                <c:pt idx="26">
                  <c:v>44149.176970597786</c:v>
                </c:pt>
                <c:pt idx="27">
                  <c:v>44729.166923268458</c:v>
                </c:pt>
                <c:pt idx="28">
                  <c:v>45300.089683556063</c:v>
                </c:pt>
                <c:pt idx="29">
                  <c:v>45862.468513436819</c:v>
                </c:pt>
                <c:pt idx="30">
                  <c:v>46416.928512742226</c:v>
                </c:pt>
                <c:pt idx="31">
                  <c:v>46964.000521569287</c:v>
                </c:pt>
                <c:pt idx="32">
                  <c:v>47504.228601468683</c:v>
                </c:pt>
                <c:pt idx="33">
                  <c:v>48038.141359195863</c:v>
                </c:pt>
                <c:pt idx="34">
                  <c:v>48566.260273986467</c:v>
                </c:pt>
                <c:pt idx="35">
                  <c:v>49089.079914506336</c:v>
                </c:pt>
                <c:pt idx="36">
                  <c:v>49607.068387712534</c:v>
                </c:pt>
                <c:pt idx="37">
                  <c:v>50120.678790939382</c:v>
                </c:pt>
                <c:pt idx="38">
                  <c:v>50630.374883681921</c:v>
                </c:pt>
                <c:pt idx="39">
                  <c:v>51136.636130289575</c:v>
                </c:pt>
                <c:pt idx="40">
                  <c:v>51639.977715948677</c:v>
                </c:pt>
                <c:pt idx="41">
                  <c:v>52140.942155480821</c:v>
                </c:pt>
                <c:pt idx="42">
                  <c:v>52640.092220020771</c:v>
                </c:pt>
                <c:pt idx="43">
                  <c:v>53137.970576918247</c:v>
                </c:pt>
                <c:pt idx="44">
                  <c:v>53635.062622825761</c:v>
                </c:pt>
                <c:pt idx="45">
                  <c:v>54131.831937682131</c:v>
                </c:pt>
                <c:pt idx="46">
                  <c:v>54628.771469190775</c:v>
                </c:pt>
                <c:pt idx="47">
                  <c:v>55126.372417255494</c:v>
                </c:pt>
                <c:pt idx="48">
                  <c:v>55625.111833732662</c:v>
                </c:pt>
              </c:numCache>
            </c:numRef>
          </c:yVal>
          <c:smooth val="1"/>
          <c:extLst>
            <c:ext xmlns:c16="http://schemas.microsoft.com/office/drawing/2014/chart" uri="{C3380CC4-5D6E-409C-BE32-E72D297353CC}">
              <c16:uniqueId val="{00000006-C76E-41A7-9FE5-E53A49D4E649}"/>
            </c:ext>
          </c:extLst>
        </c:ser>
        <c:ser>
          <c:idx val="7"/>
          <c:order val="7"/>
          <c:tx>
            <c:strRef>
              <c:f>'Passenger TAM Data'!$J$70</c:f>
              <c:strCache>
                <c:ptCount val="1"/>
                <c:pt idx="0">
                  <c:v> [Source 2 - Ambitious]</c:v>
                </c:pt>
              </c:strCache>
            </c:strRef>
          </c:tx>
          <c:spPr>
            <a:ln w="28575">
              <a:noFill/>
            </a:ln>
          </c:spP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Data'!$J$71:$J$119</c:f>
              <c:numCache>
                <c:formatCode>0.00E+00</c:formatCode>
                <c:ptCount val="49"/>
              </c:numCache>
            </c:numRef>
          </c:yVal>
          <c:smooth val="0"/>
          <c:extLst>
            <c:ext xmlns:c16="http://schemas.microsoft.com/office/drawing/2014/chart" uri="{C3380CC4-5D6E-409C-BE32-E72D297353CC}">
              <c16:uniqueId val="{00000000-AA36-4A25-BAFA-14300B8B4EC8}"/>
            </c:ext>
          </c:extLst>
        </c:ser>
        <c:ser>
          <c:idx val="8"/>
          <c:order val="8"/>
          <c:tx>
            <c:strRef>
              <c:f>'Passenger TAM Data'!$K$70</c:f>
              <c:strCache>
                <c:ptCount val="1"/>
                <c:pt idx="0">
                  <c:v> [Source 3 - Ambitious]</c:v>
                </c:pt>
              </c:strCache>
            </c:strRef>
          </c:tx>
          <c:spPr>
            <a:ln w="28575">
              <a:noFill/>
            </a:ln>
          </c:spP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Data'!$K$71:$K$119</c:f>
              <c:numCache>
                <c:formatCode>_-* #,##0.00\ _€_-;\-* #,##0.00\ _€_-;_-* "-"??\ _€_-;_-@</c:formatCode>
                <c:ptCount val="49"/>
              </c:numCache>
            </c:numRef>
          </c:yVal>
          <c:smooth val="0"/>
          <c:extLst>
            <c:ext xmlns:c16="http://schemas.microsoft.com/office/drawing/2014/chart" uri="{C3380CC4-5D6E-409C-BE32-E72D297353CC}">
              <c16:uniqueId val="{00000001-AA36-4A25-BAFA-14300B8B4EC8}"/>
            </c:ext>
          </c:extLst>
        </c:ser>
        <c:ser>
          <c:idx val="9"/>
          <c:order val="9"/>
          <c:tx>
            <c:strRef>
              <c:f>'Passenger TAM Data'!$L$70</c:f>
              <c:strCache>
                <c:ptCount val="1"/>
                <c:pt idx="0">
                  <c:v> [Source 1 - Maximum]</c:v>
                </c:pt>
              </c:strCache>
            </c:strRef>
          </c:tx>
          <c:spPr>
            <a:ln w="28575">
              <a:noFill/>
            </a:ln>
          </c:spP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Data'!$L$71:$L$119</c:f>
              <c:numCache>
                <c:formatCode>_-* #,##0.00\ _€_-;\-* #,##0.00\ _€_-;_-* "-"??\ _€_-;_-@</c:formatCode>
                <c:ptCount val="49"/>
              </c:numCache>
            </c:numRef>
          </c:yVal>
          <c:smooth val="0"/>
          <c:extLst>
            <c:ext xmlns:c16="http://schemas.microsoft.com/office/drawing/2014/chart" uri="{C3380CC4-5D6E-409C-BE32-E72D297353CC}">
              <c16:uniqueId val="{00000002-AA36-4A25-BAFA-14300B8B4EC8}"/>
            </c:ext>
          </c:extLst>
        </c:ser>
        <c:ser>
          <c:idx val="10"/>
          <c:order val="10"/>
          <c:tx>
            <c:strRef>
              <c:f>'Passenger TAM Data'!$M$70</c:f>
              <c:strCache>
                <c:ptCount val="1"/>
                <c:pt idx="0">
                  <c:v> [Source 2 - Maximum]</c:v>
                </c:pt>
              </c:strCache>
            </c:strRef>
          </c:tx>
          <c:spPr>
            <a:ln w="28575">
              <a:noFill/>
            </a:ln>
          </c:spPr>
          <c:xVal>
            <c:numRef>
              <c:f>'Passenger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Data'!$M$71:$M$119</c:f>
              <c:numCache>
                <c:formatCode>_-* #,##0.00\ _€_-;\-* #,##0.00\ _€_-;_-* "-"??\ _€_-;_-@</c:formatCode>
                <c:ptCount val="49"/>
              </c:numCache>
            </c:numRef>
          </c:yVal>
          <c:smooth val="0"/>
          <c:extLst>
            <c:ext xmlns:c16="http://schemas.microsoft.com/office/drawing/2014/chart" uri="{C3380CC4-5D6E-409C-BE32-E72D297353CC}">
              <c16:uniqueId val="{00000003-AA36-4A25-BAFA-14300B8B4EC8}"/>
            </c:ext>
          </c:extLst>
        </c:ser>
        <c:dLbls>
          <c:showLegendKey val="0"/>
          <c:showVal val="0"/>
          <c:showCatName val="0"/>
          <c:showSerName val="0"/>
          <c:showPercent val="0"/>
          <c:showBubbleSize val="0"/>
        </c:dLbls>
        <c:axId val="126273792"/>
        <c:axId val="126423424"/>
      </c:scatterChart>
      <c:valAx>
        <c:axId val="126273792"/>
        <c:scaling>
          <c:orientation val="minMax"/>
        </c:scaling>
        <c:delete val="0"/>
        <c:axPos val="b"/>
        <c:majorGridlines>
          <c:spPr>
            <a:ln>
              <a:solidFill>
                <a:srgbClr val="FFFFFF"/>
              </a:solidFill>
            </a:ln>
          </c:spPr>
        </c:majorGridlines>
        <c:numFmt formatCode="General" sourceLinked="1"/>
        <c:majorTickMark val="cross"/>
        <c:minorTickMark val="cross"/>
        <c:tickLblPos val="nextTo"/>
        <c:spPr>
          <a:ln w="47625">
            <a:noFill/>
          </a:ln>
        </c:spPr>
        <c:txPr>
          <a:bodyPr/>
          <a:lstStyle/>
          <a:p>
            <a:pPr lvl="0">
              <a:defRPr/>
            </a:pPr>
            <a:endParaRPr lang="en-US"/>
          </a:p>
        </c:txPr>
        <c:crossAx val="126423424"/>
        <c:crosses val="autoZero"/>
        <c:crossBetween val="midCat"/>
      </c:valAx>
      <c:valAx>
        <c:axId val="126423424"/>
        <c:scaling>
          <c:orientation val="minMax"/>
        </c:scaling>
        <c:delete val="0"/>
        <c:axPos val="l"/>
        <c:majorGridlines>
          <c:spPr>
            <a:ln>
              <a:solidFill>
                <a:srgbClr val="B7B7B7"/>
              </a:solidFill>
            </a:ln>
          </c:spPr>
        </c:majorGridlines>
        <c:numFmt formatCode="0.00000000E+00" sourceLinked="1"/>
        <c:majorTickMark val="cross"/>
        <c:minorTickMark val="cross"/>
        <c:tickLblPos val="nextTo"/>
        <c:spPr>
          <a:ln w="47625">
            <a:noFill/>
          </a:ln>
        </c:spPr>
        <c:txPr>
          <a:bodyPr/>
          <a:lstStyle/>
          <a:p>
            <a:pPr lvl="0">
              <a:defRPr/>
            </a:pPr>
            <a:endParaRPr lang="en-US"/>
          </a:p>
        </c:txPr>
        <c:crossAx val="126273792"/>
        <c:crosses val="autoZero"/>
        <c:crossBetween val="midCat"/>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tx>
            <c:strRef>
              <c:f>'Passenger TAM Data'!$C$128</c:f>
              <c:strCache>
                <c:ptCount val="1"/>
                <c:pt idx="0">
                  <c:v> Based on IEA (2016), "Energy Technology Perspectives - 6DS", IEA/OECD</c:v>
                </c:pt>
              </c:strCache>
            </c:strRef>
          </c:tx>
          <c:spPr>
            <a:ln w="47625">
              <a:noFill/>
            </a:ln>
          </c:spPr>
          <c:marker>
            <c:symbol val="circle"/>
            <c:size val="7"/>
            <c:spPr>
              <a:solidFill>
                <a:srgbClr val="436EA1"/>
              </a:solidFill>
              <a:ln cmpd="sng">
                <a:solidFill>
                  <a:srgbClr val="436EA1"/>
                </a:solidFill>
              </a:ln>
            </c:spPr>
          </c:marke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Data'!$C$129:$C$177</c:f>
              <c:numCache>
                <c:formatCode>0.00E+00</c:formatCode>
                <c:ptCount val="49"/>
                <c:pt idx="0">
                  <c:v>51381.494257447128</c:v>
                </c:pt>
                <c:pt idx="1">
                  <c:v>53039.242879725047</c:v>
                </c:pt>
                <c:pt idx="2">
                  <c:v>55042.108780265931</c:v>
                </c:pt>
                <c:pt idx="3">
                  <c:v>56782.997007997954</c:v>
                </c:pt>
                <c:pt idx="4">
                  <c:v>58485.899359273542</c:v>
                </c:pt>
                <c:pt idx="5">
                  <c:v>60236.059066430593</c:v>
                </c:pt>
                <c:pt idx="6">
                  <c:v>62003.00941051016</c:v>
                </c:pt>
                <c:pt idx="7">
                  <c:v>63784.835745458899</c:v>
                </c:pt>
                <c:pt idx="8">
                  <c:v>65590.809621140332</c:v>
                </c:pt>
                <c:pt idx="9">
                  <c:v>67350.407316366298</c:v>
                </c:pt>
                <c:pt idx="10">
                  <c:v>69121.140607598063</c:v>
                </c:pt>
                <c:pt idx="11">
                  <c:v>70895.22675824551</c:v>
                </c:pt>
                <c:pt idx="12">
                  <c:v>72669.751685217867</c:v>
                </c:pt>
                <c:pt idx="13">
                  <c:v>74435.000375984004</c:v>
                </c:pt>
                <c:pt idx="14">
                  <c:v>76211.057065557776</c:v>
                </c:pt>
                <c:pt idx="15">
                  <c:v>77975.915502985998</c:v>
                </c:pt>
                <c:pt idx="16">
                  <c:v>79735.33609104334</c:v>
                </c:pt>
                <c:pt idx="17">
                  <c:v>81487.979083834027</c:v>
                </c:pt>
                <c:pt idx="18">
                  <c:v>83218.632536791381</c:v>
                </c:pt>
                <c:pt idx="19">
                  <c:v>84967.467225403016</c:v>
                </c:pt>
                <c:pt idx="20">
                  <c:v>86691.870816236056</c:v>
                </c:pt>
                <c:pt idx="21">
                  <c:v>88405.150680749444</c:v>
                </c:pt>
                <c:pt idx="22">
                  <c:v>90107.063403396693</c:v>
                </c:pt>
                <c:pt idx="23">
                  <c:v>91782.085767052151</c:v>
                </c:pt>
                <c:pt idx="24">
                  <c:v>93474.483088845402</c:v>
                </c:pt>
                <c:pt idx="25">
                  <c:v>95137.763285084642</c:v>
                </c:pt>
                <c:pt idx="26">
                  <c:v>96785.357285070888</c:v>
                </c:pt>
                <c:pt idx="27">
                  <c:v>98415.37503619786</c:v>
                </c:pt>
                <c:pt idx="28">
                  <c:v>100023.36649845881</c:v>
                </c:pt>
                <c:pt idx="29">
                  <c:v>101616.06954149953</c:v>
                </c:pt>
                <c:pt idx="30">
                  <c:v>103184.28259888609</c:v>
                </c:pt>
                <c:pt idx="31">
                  <c:v>104729.39790671886</c:v>
                </c:pt>
                <c:pt idx="32">
                  <c:v>106250.15505058785</c:v>
                </c:pt>
                <c:pt idx="33">
                  <c:v>107789.78359132873</c:v>
                </c:pt>
                <c:pt idx="34">
                  <c:v>109213.47774084516</c:v>
                </c:pt>
                <c:pt idx="35">
                  <c:v>110653.44032877762</c:v>
                </c:pt>
                <c:pt idx="36">
                  <c:v>112063.79677307697</c:v>
                </c:pt>
                <c:pt idx="37">
                  <c:v>113443.16352219172</c:v>
                </c:pt>
                <c:pt idx="38">
                  <c:v>114767.14277414797</c:v>
                </c:pt>
                <c:pt idx="39">
                  <c:v>116103.60156197197</c:v>
                </c:pt>
                <c:pt idx="40">
                  <c:v>117382.18309793016</c:v>
                </c:pt>
                <c:pt idx="41">
                  <c:v>118624.82332012482</c:v>
                </c:pt>
                <c:pt idx="42">
                  <c:v>119830.46914036627</c:v>
                </c:pt>
                <c:pt idx="43">
                  <c:v>120998.04307450599</c:v>
                </c:pt>
                <c:pt idx="44">
                  <c:v>122126.3610608498</c:v>
                </c:pt>
                <c:pt idx="45">
                  <c:v>123214.2108833625</c:v>
                </c:pt>
                <c:pt idx="46">
                  <c:v>124260.46580557679</c:v>
                </c:pt>
                <c:pt idx="47">
                  <c:v>125264.01625995067</c:v>
                </c:pt>
                <c:pt idx="48">
                  <c:v>126223.74283334891</c:v>
                </c:pt>
              </c:numCache>
            </c:numRef>
          </c:yVal>
          <c:smooth val="1"/>
          <c:extLst>
            <c:ext xmlns:c16="http://schemas.microsoft.com/office/drawing/2014/chart" uri="{C3380CC4-5D6E-409C-BE32-E72D297353CC}">
              <c16:uniqueId val="{00000000-B31A-49F3-A1CE-16C22F7CF797}"/>
            </c:ext>
          </c:extLst>
        </c:ser>
        <c:ser>
          <c:idx val="1"/>
          <c:order val="1"/>
          <c:tx>
            <c:strRef>
              <c:f>'Passenger TAM Data'!$D$128</c:f>
              <c:strCache>
                <c:ptCount val="1"/>
                <c:pt idx="0">
                  <c:v> Based on ICCT (2012) "Global Transport Roadmap Model", http://www.theicct.org/global-transportation-roadmap-model</c:v>
                </c:pt>
              </c:strCache>
            </c:strRef>
          </c:tx>
          <c:spPr>
            <a:ln w="47625">
              <a:noFill/>
            </a:ln>
          </c:spPr>
          <c:marker>
            <c:symbol val="circle"/>
            <c:size val="7"/>
            <c:spPr>
              <a:solidFill>
                <a:srgbClr val="A34441"/>
              </a:solidFill>
              <a:ln cmpd="sng">
                <a:solidFill>
                  <a:srgbClr val="A34441"/>
                </a:solidFill>
              </a:ln>
            </c:spPr>
          </c:marke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Data'!$D$129:$D$177</c:f>
              <c:numCache>
                <c:formatCode>0.00E+00</c:formatCode>
                <c:ptCount val="49"/>
                <c:pt idx="0">
                  <c:v>48852.107921970135</c:v>
                </c:pt>
                <c:pt idx="1">
                  <c:v>50908.327638277609</c:v>
                </c:pt>
                <c:pt idx="2">
                  <c:v>53424.13222258928</c:v>
                </c:pt>
                <c:pt idx="3">
                  <c:v>55539.589218484121</c:v>
                </c:pt>
                <c:pt idx="4">
                  <c:v>57604.666595952694</c:v>
                </c:pt>
                <c:pt idx="5">
                  <c:v>59710.250669708184</c:v>
                </c:pt>
                <c:pt idx="6">
                  <c:v>61831.276622757403</c:v>
                </c:pt>
                <c:pt idx="7">
                  <c:v>63970.871609206151</c:v>
                </c:pt>
                <c:pt idx="8">
                  <c:v>66143.564317839002</c:v>
                </c:pt>
                <c:pt idx="9">
                  <c:v>68283.852741070368</c:v>
                </c:pt>
                <c:pt idx="10">
                  <c:v>70455.377030388161</c:v>
                </c:pt>
                <c:pt idx="11">
                  <c:v>72656.339025792375</c:v>
                </c:pt>
                <c:pt idx="12">
                  <c:v>74889.930392520357</c:v>
                </c:pt>
                <c:pt idx="13">
                  <c:v>77152.457508131498</c:v>
                </c:pt>
                <c:pt idx="14">
                  <c:v>79469.810315418799</c:v>
                </c:pt>
                <c:pt idx="15">
                  <c:v>81825.719644934798</c:v>
                </c:pt>
                <c:pt idx="16">
                  <c:v>84231.803199678368</c:v>
                </c:pt>
                <c:pt idx="17">
                  <c:v>86692.581429293277</c:v>
                </c:pt>
                <c:pt idx="18">
                  <c:v>89198.671861518669</c:v>
                </c:pt>
                <c:pt idx="19">
                  <c:v>91795.994545223803</c:v>
                </c:pt>
                <c:pt idx="20">
                  <c:v>94447.696193926444</c:v>
                </c:pt>
                <c:pt idx="21">
                  <c:v>97172.959142024542</c:v>
                </c:pt>
                <c:pt idx="22">
                  <c:v>99977.484297507952</c:v>
                </c:pt>
                <c:pt idx="23">
                  <c:v>102851.65576160239</c:v>
                </c:pt>
                <c:pt idx="24">
                  <c:v>105845.49772637671</c:v>
                </c:pt>
                <c:pt idx="25">
                  <c:v>108918.18854915691</c:v>
                </c:pt>
                <c:pt idx="26">
                  <c:v>112088.86134128401</c:v>
                </c:pt>
                <c:pt idx="27">
                  <c:v>115361.25645190611</c:v>
                </c:pt>
                <c:pt idx="28">
                  <c:v>118736.45624357194</c:v>
                </c:pt>
                <c:pt idx="29">
                  <c:v>122226.69656161638</c:v>
                </c:pt>
                <c:pt idx="30">
                  <c:v>125828.15377660978</c:v>
                </c:pt>
                <c:pt idx="31">
                  <c:v>129547.39526100723</c:v>
                </c:pt>
                <c:pt idx="32">
                  <c:v>133388.19394619635</c:v>
                </c:pt>
                <c:pt idx="33">
                  <c:v>137398.76979874761</c:v>
                </c:pt>
                <c:pt idx="34">
                  <c:v>141449.35355797483</c:v>
                </c:pt>
                <c:pt idx="35">
                  <c:v>145677.15169408632</c:v>
                </c:pt>
                <c:pt idx="36">
                  <c:v>150041.12300226954</c:v>
                </c:pt>
                <c:pt idx="37">
                  <c:v>154544.61320118367</c:v>
                </c:pt>
                <c:pt idx="38">
                  <c:v>159167.86029881638</c:v>
                </c:pt>
                <c:pt idx="39">
                  <c:v>163983.46581286014</c:v>
                </c:pt>
                <c:pt idx="40">
                  <c:v>168925.6024400077</c:v>
                </c:pt>
                <c:pt idx="41">
                  <c:v>174020.30358186239</c:v>
                </c:pt>
                <c:pt idx="42">
                  <c:v>179270.37302632816</c:v>
                </c:pt>
                <c:pt idx="43">
                  <c:v>184678.67595559295</c:v>
                </c:pt>
                <c:pt idx="44">
                  <c:v>190248.19930038176</c:v>
                </c:pt>
                <c:pt idx="45">
                  <c:v>195982.13521683763</c:v>
                </c:pt>
                <c:pt idx="46">
                  <c:v>201883.79446633795</c:v>
                </c:pt>
                <c:pt idx="47">
                  <c:v>207956.63138914038</c:v>
                </c:pt>
                <c:pt idx="48">
                  <c:v>214204.045786526</c:v>
                </c:pt>
              </c:numCache>
            </c:numRef>
          </c:yVal>
          <c:smooth val="1"/>
          <c:extLst>
            <c:ext xmlns:c16="http://schemas.microsoft.com/office/drawing/2014/chart" uri="{C3380CC4-5D6E-409C-BE32-E72D297353CC}">
              <c16:uniqueId val="{00000001-B31A-49F3-A1CE-16C22F7CF797}"/>
            </c:ext>
          </c:extLst>
        </c:ser>
        <c:ser>
          <c:idx val="2"/>
          <c:order val="2"/>
          <c:tx>
            <c:strRef>
              <c:f>'Passenger TAM Data'!$E$128</c:f>
              <c:strCache>
                <c:ptCount val="1"/>
                <c:pt idx="0">
                  <c:v> [Source 3 - Base]</c:v>
                </c:pt>
              </c:strCache>
            </c:strRef>
          </c:tx>
          <c:spPr>
            <a:ln w="47625">
              <a:noFill/>
            </a:ln>
          </c:spPr>
          <c:marker>
            <c:symbol val="circle"/>
            <c:size val="7"/>
            <c:spPr>
              <a:solidFill>
                <a:srgbClr val="849F4C"/>
              </a:solidFill>
              <a:ln cmpd="sng">
                <a:solidFill>
                  <a:srgbClr val="849F4C"/>
                </a:solidFill>
              </a:ln>
            </c:spPr>
          </c:marke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Data'!$E$129:$E$177</c:f>
              <c:numCache>
                <c:formatCode>0.00E+00</c:formatCode>
                <c:ptCount val="49"/>
              </c:numCache>
            </c:numRef>
          </c:yVal>
          <c:smooth val="1"/>
          <c:extLst>
            <c:ext xmlns:c16="http://schemas.microsoft.com/office/drawing/2014/chart" uri="{C3380CC4-5D6E-409C-BE32-E72D297353CC}">
              <c16:uniqueId val="{00000002-B31A-49F3-A1CE-16C22F7CF797}"/>
            </c:ext>
          </c:extLst>
        </c:ser>
        <c:ser>
          <c:idx val="3"/>
          <c:order val="3"/>
          <c:tx>
            <c:strRef>
              <c:f>'Passenger TAM Data'!$F$128</c:f>
              <c:strCache>
                <c:ptCount val="1"/>
                <c:pt idx="0">
                  <c:v> Based on IEA (2016), "Energy Technology Perspectives - 4DS", IEA/OECD</c:v>
                </c:pt>
              </c:strCache>
            </c:strRef>
          </c:tx>
          <c:spPr>
            <a:ln w="47625">
              <a:noFill/>
            </a:ln>
          </c:spPr>
          <c:marker>
            <c:symbol val="circle"/>
            <c:size val="7"/>
            <c:spPr>
              <a:solidFill>
                <a:srgbClr val="6D558A"/>
              </a:solidFill>
              <a:ln cmpd="sng">
                <a:solidFill>
                  <a:srgbClr val="6D558A"/>
                </a:solidFill>
              </a:ln>
            </c:spPr>
          </c:marke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Data'!$F$129:$F$177</c:f>
              <c:numCache>
                <c:formatCode>0.00E+00</c:formatCode>
                <c:ptCount val="49"/>
                <c:pt idx="0">
                  <c:v>51016.489468580679</c:v>
                </c:pt>
                <c:pt idx="1">
                  <c:v>52753.698129830736</c:v>
                </c:pt>
                <c:pt idx="2">
                  <c:v>54818.653721378229</c:v>
                </c:pt>
                <c:pt idx="3">
                  <c:v>56607.71626745518</c:v>
                </c:pt>
                <c:pt idx="4">
                  <c:v>58343.488809003393</c:v>
                </c:pt>
                <c:pt idx="5">
                  <c:v>60111.598562283449</c:v>
                </c:pt>
                <c:pt idx="6">
                  <c:v>61881.961820511104</c:v>
                </c:pt>
                <c:pt idx="7">
                  <c:v>63653.046010794395</c:v>
                </c:pt>
                <c:pt idx="8">
                  <c:v>65434.491918082786</c:v>
                </c:pt>
                <c:pt idx="9">
                  <c:v>67156.303774030283</c:v>
                </c:pt>
                <c:pt idx="10">
                  <c:v>68876.317230213404</c:v>
                </c:pt>
                <c:pt idx="11">
                  <c:v>70587.166056993039</c:v>
                </c:pt>
                <c:pt idx="12">
                  <c:v>72286.362949674483</c:v>
                </c:pt>
                <c:pt idx="13">
                  <c:v>73964.626252197049</c:v>
                </c:pt>
                <c:pt idx="14">
                  <c:v>75642.471829837275</c:v>
                </c:pt>
                <c:pt idx="15">
                  <c:v>77298.321111548736</c:v>
                </c:pt>
                <c:pt idx="16">
                  <c:v>78938.367861721214</c:v>
                </c:pt>
                <c:pt idx="17">
                  <c:v>80561.70644977683</c:v>
                </c:pt>
                <c:pt idx="18">
                  <c:v>82153.560006130167</c:v>
                </c:pt>
                <c:pt idx="19">
                  <c:v>83754.534485131415</c:v>
                </c:pt>
                <c:pt idx="20">
                  <c:v>85322.44840514785</c:v>
                </c:pt>
                <c:pt idx="21">
                  <c:v>86871.0279633303</c:v>
                </c:pt>
                <c:pt idx="22">
                  <c:v>88400.436949408308</c:v>
                </c:pt>
                <c:pt idx="23">
                  <c:v>89895.556281935191</c:v>
                </c:pt>
                <c:pt idx="24">
                  <c:v>91401.057348835951</c:v>
                </c:pt>
                <c:pt idx="25">
                  <c:v>92870.86228069682</c:v>
                </c:pt>
                <c:pt idx="26">
                  <c:v>94318.821771246454</c:v>
                </c:pt>
                <c:pt idx="27">
                  <c:v>95743.474188455541</c:v>
                </c:pt>
                <c:pt idx="28">
                  <c:v>97140.796590837272</c:v>
                </c:pt>
                <c:pt idx="29">
                  <c:v>98517.942833500478</c:v>
                </c:pt>
                <c:pt idx="30">
                  <c:v>99866.118614901279</c:v>
                </c:pt>
                <c:pt idx="31">
                  <c:v>101187.12742417281</c:v>
                </c:pt>
                <c:pt idx="32">
                  <c:v>102480.11725039166</c:v>
                </c:pt>
                <c:pt idx="33">
                  <c:v>103788.72521572895</c:v>
                </c:pt>
                <c:pt idx="34">
                  <c:v>104978.5516955226</c:v>
                </c:pt>
                <c:pt idx="35">
                  <c:v>106182.20610057286</c:v>
                </c:pt>
                <c:pt idx="36">
                  <c:v>107354.22118969828</c:v>
                </c:pt>
                <c:pt idx="37">
                  <c:v>108493.62073617833</c:v>
                </c:pt>
                <c:pt idx="38">
                  <c:v>109576.41172593609</c:v>
                </c:pt>
                <c:pt idx="39">
                  <c:v>110670.86252994358</c:v>
                </c:pt>
                <c:pt idx="40">
                  <c:v>111707.01157479004</c:v>
                </c:pt>
                <c:pt idx="41">
                  <c:v>112707.18402981405</c:v>
                </c:pt>
                <c:pt idx="42">
                  <c:v>113670.71025520313</c:v>
                </c:pt>
                <c:pt idx="43">
                  <c:v>114596.89483952321</c:v>
                </c:pt>
                <c:pt idx="44">
                  <c:v>115484.93927808246</c:v>
                </c:pt>
                <c:pt idx="45">
                  <c:v>116334.01670787224</c:v>
                </c:pt>
                <c:pt idx="46">
                  <c:v>117143.37904597644</c:v>
                </c:pt>
                <c:pt idx="47">
                  <c:v>117912.2922213719</c:v>
                </c:pt>
                <c:pt idx="48">
                  <c:v>118640.01074753827</c:v>
                </c:pt>
              </c:numCache>
            </c:numRef>
          </c:yVal>
          <c:smooth val="1"/>
          <c:extLst>
            <c:ext xmlns:c16="http://schemas.microsoft.com/office/drawing/2014/chart" uri="{C3380CC4-5D6E-409C-BE32-E72D297353CC}">
              <c16:uniqueId val="{00000003-B31A-49F3-A1CE-16C22F7CF797}"/>
            </c:ext>
          </c:extLst>
        </c:ser>
        <c:ser>
          <c:idx val="4"/>
          <c:order val="4"/>
          <c:tx>
            <c:strRef>
              <c:f>'Passenger TAM Data'!$G$128</c:f>
              <c:strCache>
                <c:ptCount val="1"/>
                <c:pt idx="0">
                  <c:v> [Source 2 - Conservative]</c:v>
                </c:pt>
              </c:strCache>
            </c:strRef>
          </c:tx>
          <c:spPr>
            <a:ln w="47625">
              <a:noFill/>
            </a:ln>
          </c:spPr>
          <c:marker>
            <c:symbol val="circle"/>
            <c:size val="7"/>
            <c:spPr>
              <a:solidFill>
                <a:srgbClr val="4092A8"/>
              </a:solidFill>
              <a:ln cmpd="sng">
                <a:solidFill>
                  <a:srgbClr val="4092A8"/>
                </a:solidFill>
              </a:ln>
            </c:spPr>
          </c:marke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Data'!$G$129:$G$177</c:f>
              <c:numCache>
                <c:formatCode>0.00E+00</c:formatCode>
                <c:ptCount val="49"/>
              </c:numCache>
            </c:numRef>
          </c:yVal>
          <c:smooth val="1"/>
          <c:extLst>
            <c:ext xmlns:c16="http://schemas.microsoft.com/office/drawing/2014/chart" uri="{C3380CC4-5D6E-409C-BE32-E72D297353CC}">
              <c16:uniqueId val="{00000004-B31A-49F3-A1CE-16C22F7CF797}"/>
            </c:ext>
          </c:extLst>
        </c:ser>
        <c:ser>
          <c:idx val="5"/>
          <c:order val="5"/>
          <c:tx>
            <c:strRef>
              <c:f>'Passenger TAM Data'!$H$128</c:f>
              <c:strCache>
                <c:ptCount val="1"/>
                <c:pt idx="0">
                  <c:v> [Source 3 - Conservative]</c:v>
                </c:pt>
              </c:strCache>
            </c:strRef>
          </c:tx>
          <c:spPr>
            <a:ln w="47625">
              <a:noFill/>
            </a:ln>
          </c:spPr>
          <c:marker>
            <c:symbol val="circle"/>
            <c:size val="7"/>
            <c:spPr>
              <a:solidFill>
                <a:srgbClr val="D2803C"/>
              </a:solidFill>
              <a:ln cmpd="sng">
                <a:solidFill>
                  <a:srgbClr val="D2803C"/>
                </a:solidFill>
              </a:ln>
            </c:spPr>
          </c:marke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Data'!$H$129:$H$177</c:f>
              <c:numCache>
                <c:formatCode>0.00E+00</c:formatCode>
                <c:ptCount val="49"/>
              </c:numCache>
            </c:numRef>
          </c:yVal>
          <c:smooth val="1"/>
          <c:extLst>
            <c:ext xmlns:c16="http://schemas.microsoft.com/office/drawing/2014/chart" uri="{C3380CC4-5D6E-409C-BE32-E72D297353CC}">
              <c16:uniqueId val="{00000005-B31A-49F3-A1CE-16C22F7CF797}"/>
            </c:ext>
          </c:extLst>
        </c:ser>
        <c:ser>
          <c:idx val="6"/>
          <c:order val="6"/>
          <c:tx>
            <c:strRef>
              <c:f>'Passenger TAM Data'!$I$128</c:f>
              <c:strCache>
                <c:ptCount val="1"/>
                <c:pt idx="0">
                  <c:v> Based on IEA (2016), "Energy Technology Perspectives - 2DS", IEA/OECD</c:v>
                </c:pt>
              </c:strCache>
            </c:strRef>
          </c:tx>
          <c:spPr>
            <a:ln w="47625">
              <a:noFill/>
            </a:ln>
          </c:spPr>
          <c:marker>
            <c:symbol val="circle"/>
            <c:size val="7"/>
            <c:spPr>
              <a:solidFill>
                <a:srgbClr val="618EC4"/>
              </a:solidFill>
              <a:ln cmpd="sng">
                <a:solidFill>
                  <a:srgbClr val="618EC4"/>
                </a:solidFill>
              </a:ln>
            </c:spPr>
          </c:marke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Data'!$I$129:$I$177</c:f>
              <c:numCache>
                <c:formatCode>0.00E+00</c:formatCode>
                <c:ptCount val="49"/>
                <c:pt idx="0">
                  <c:v>50894.088131525765</c:v>
                </c:pt>
                <c:pt idx="1">
                  <c:v>52705.811612540318</c:v>
                </c:pt>
                <c:pt idx="2">
                  <c:v>54824.877139581207</c:v>
                </c:pt>
                <c:pt idx="3">
                  <c:v>56648.676667511172</c:v>
                </c:pt>
                <c:pt idx="4">
                  <c:v>58400.409080352663</c:v>
                </c:pt>
                <c:pt idx="5">
                  <c:v>60166.592755027494</c:v>
                </c:pt>
                <c:pt idx="6">
                  <c:v>61918.032857146973</c:v>
                </c:pt>
                <c:pt idx="7">
                  <c:v>63654.085018174097</c:v>
                </c:pt>
                <c:pt idx="8">
                  <c:v>65385.275602541275</c:v>
                </c:pt>
                <c:pt idx="9">
                  <c:v>67042.575560139579</c:v>
                </c:pt>
                <c:pt idx="10">
                  <c:v>68684.748856523584</c:v>
                </c:pt>
                <c:pt idx="11">
                  <c:v>70305.359648819343</c:v>
                </c:pt>
                <c:pt idx="12">
                  <c:v>71902.860208228842</c:v>
                </c:pt>
                <c:pt idx="13">
                  <c:v>73468.91526110124</c:v>
                </c:pt>
                <c:pt idx="14">
                  <c:v>75024.983596145801</c:v>
                </c:pt>
                <c:pt idx="15">
                  <c:v>76550.421944250731</c:v>
                </c:pt>
                <c:pt idx="16">
                  <c:v>78052.362072306103</c:v>
                </c:pt>
                <c:pt idx="17">
                  <c:v>79530.833892613213</c:v>
                </c:pt>
                <c:pt idx="18">
                  <c:v>80971.993719218866</c:v>
                </c:pt>
                <c:pt idx="19">
                  <c:v>82417.377260212379</c:v>
                </c:pt>
                <c:pt idx="20">
                  <c:v>83825.724398683175</c:v>
                </c:pt>
                <c:pt idx="21">
                  <c:v>85211.666106511417</c:v>
                </c:pt>
                <c:pt idx="22">
                  <c:v>86576.255485200265</c:v>
                </c:pt>
                <c:pt idx="23">
                  <c:v>87905.257143234732</c:v>
                </c:pt>
                <c:pt idx="24">
                  <c:v>89244.226001141738</c:v>
                </c:pt>
                <c:pt idx="25">
                  <c:v>90547.973741722017</c:v>
                </c:pt>
                <c:pt idx="26">
                  <c:v>91831.243250661064</c:v>
                </c:pt>
                <c:pt idx="27">
                  <c:v>93093.470159294229</c:v>
                </c:pt>
                <c:pt idx="28">
                  <c:v>94331.523164816055</c:v>
                </c:pt>
                <c:pt idx="29">
                  <c:v>95553.432610148913</c:v>
                </c:pt>
                <c:pt idx="30">
                  <c:v>96751.268509501737</c:v>
                </c:pt>
                <c:pt idx="31">
                  <c:v>97927.698759552513</c:v>
                </c:pt>
                <c:pt idx="32">
                  <c:v>99082.72908727199</c:v>
                </c:pt>
                <c:pt idx="33">
                  <c:v>100260.84947351753</c:v>
                </c:pt>
                <c:pt idx="34">
                  <c:v>101328.50761490806</c:v>
                </c:pt>
                <c:pt idx="35">
                  <c:v>102419.15609750469</c:v>
                </c:pt>
                <c:pt idx="36">
                  <c:v>103488.16665438018</c:v>
                </c:pt>
                <c:pt idx="37">
                  <c:v>104535.39681558925</c:v>
                </c:pt>
                <c:pt idx="38">
                  <c:v>105537.67980431869</c:v>
                </c:pt>
                <c:pt idx="39">
                  <c:v>106564.10193228058</c:v>
                </c:pt>
                <c:pt idx="40">
                  <c:v>107545.50931787168</c:v>
                </c:pt>
                <c:pt idx="41">
                  <c:v>108505.02498911596</c:v>
                </c:pt>
                <c:pt idx="42">
                  <c:v>109442.7677886219</c:v>
                </c:pt>
                <c:pt idx="43">
                  <c:v>110358.82464521209</c:v>
                </c:pt>
                <c:pt idx="44">
                  <c:v>111253.17613807328</c:v>
                </c:pt>
                <c:pt idx="45">
                  <c:v>112125.76812723344</c:v>
                </c:pt>
                <c:pt idx="46">
                  <c:v>112976.61465666277</c:v>
                </c:pt>
                <c:pt idx="47">
                  <c:v>113805.73556932519</c:v>
                </c:pt>
                <c:pt idx="48">
                  <c:v>114613.13186878034</c:v>
                </c:pt>
              </c:numCache>
            </c:numRef>
          </c:yVal>
          <c:smooth val="1"/>
          <c:extLst>
            <c:ext xmlns:c16="http://schemas.microsoft.com/office/drawing/2014/chart" uri="{C3380CC4-5D6E-409C-BE32-E72D297353CC}">
              <c16:uniqueId val="{00000006-B31A-49F3-A1CE-16C22F7CF797}"/>
            </c:ext>
          </c:extLst>
        </c:ser>
        <c:ser>
          <c:idx val="7"/>
          <c:order val="7"/>
          <c:tx>
            <c:strRef>
              <c:f>'Passenger TAM Data'!$J$128</c:f>
              <c:strCache>
                <c:ptCount val="1"/>
                <c:pt idx="0">
                  <c:v> [Source 2 - Ambitious]</c:v>
                </c:pt>
              </c:strCache>
            </c:strRef>
          </c:tx>
          <c:spPr>
            <a:ln w="28575">
              <a:noFill/>
            </a:ln>
          </c:spP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Data'!$J$129:$J$177</c:f>
              <c:numCache>
                <c:formatCode>0.00E+00</c:formatCode>
                <c:ptCount val="49"/>
              </c:numCache>
            </c:numRef>
          </c:yVal>
          <c:smooth val="0"/>
          <c:extLst>
            <c:ext xmlns:c16="http://schemas.microsoft.com/office/drawing/2014/chart" uri="{C3380CC4-5D6E-409C-BE32-E72D297353CC}">
              <c16:uniqueId val="{00000000-CAFF-4848-9D7D-96CECC6022B5}"/>
            </c:ext>
          </c:extLst>
        </c:ser>
        <c:ser>
          <c:idx val="8"/>
          <c:order val="8"/>
          <c:tx>
            <c:strRef>
              <c:f>'Passenger TAM Data'!$K$128</c:f>
              <c:strCache>
                <c:ptCount val="1"/>
                <c:pt idx="0">
                  <c:v> [Source 3 - Ambitious]</c:v>
                </c:pt>
              </c:strCache>
            </c:strRef>
          </c:tx>
          <c:spPr>
            <a:ln w="28575">
              <a:noFill/>
            </a:ln>
          </c:spP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Data'!$K$129:$K$177</c:f>
              <c:numCache>
                <c:formatCode>_-* #,##0.00\ _€_-;\-* #,##0.00\ _€_-;_-* "-"??\ _€_-;_-@</c:formatCode>
                <c:ptCount val="49"/>
              </c:numCache>
            </c:numRef>
          </c:yVal>
          <c:smooth val="0"/>
          <c:extLst>
            <c:ext xmlns:c16="http://schemas.microsoft.com/office/drawing/2014/chart" uri="{C3380CC4-5D6E-409C-BE32-E72D297353CC}">
              <c16:uniqueId val="{00000001-CAFF-4848-9D7D-96CECC6022B5}"/>
            </c:ext>
          </c:extLst>
        </c:ser>
        <c:ser>
          <c:idx val="9"/>
          <c:order val="9"/>
          <c:tx>
            <c:strRef>
              <c:f>'Passenger TAM Data'!$L$128</c:f>
              <c:strCache>
                <c:ptCount val="1"/>
                <c:pt idx="0">
                  <c:v> [Source 1 - Maximum]</c:v>
                </c:pt>
              </c:strCache>
            </c:strRef>
          </c:tx>
          <c:spPr>
            <a:ln w="28575">
              <a:noFill/>
            </a:ln>
          </c:spP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Data'!$L$129:$L$177</c:f>
              <c:numCache>
                <c:formatCode>_-* #,##0.00\ _€_-;\-* #,##0.00\ _€_-;_-* "-"??\ _€_-;_-@</c:formatCode>
                <c:ptCount val="49"/>
              </c:numCache>
            </c:numRef>
          </c:yVal>
          <c:smooth val="0"/>
          <c:extLst>
            <c:ext xmlns:c16="http://schemas.microsoft.com/office/drawing/2014/chart" uri="{C3380CC4-5D6E-409C-BE32-E72D297353CC}">
              <c16:uniqueId val="{00000002-CAFF-4848-9D7D-96CECC6022B5}"/>
            </c:ext>
          </c:extLst>
        </c:ser>
        <c:ser>
          <c:idx val="10"/>
          <c:order val="10"/>
          <c:tx>
            <c:strRef>
              <c:f>'Passenger TAM Data'!$M$128</c:f>
              <c:strCache>
                <c:ptCount val="1"/>
                <c:pt idx="0">
                  <c:v> [Source 2 - Maximum]</c:v>
                </c:pt>
              </c:strCache>
            </c:strRef>
          </c:tx>
          <c:spPr>
            <a:ln w="28575">
              <a:noFill/>
            </a:ln>
          </c:spPr>
          <c:xVal>
            <c:numRef>
              <c:f>'Passenger TAM Data'!$B$129:$B$177</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Data'!$M$129:$M$177</c:f>
              <c:numCache>
                <c:formatCode>_-* #,##0.00\ _€_-;\-* #,##0.00\ _€_-;_-* "-"??\ _€_-;_-@</c:formatCode>
                <c:ptCount val="49"/>
              </c:numCache>
            </c:numRef>
          </c:yVal>
          <c:smooth val="0"/>
          <c:extLst>
            <c:ext xmlns:c16="http://schemas.microsoft.com/office/drawing/2014/chart" uri="{C3380CC4-5D6E-409C-BE32-E72D297353CC}">
              <c16:uniqueId val="{00000003-CAFF-4848-9D7D-96CECC6022B5}"/>
            </c:ext>
          </c:extLst>
        </c:ser>
        <c:dLbls>
          <c:showLegendKey val="0"/>
          <c:showVal val="0"/>
          <c:showCatName val="0"/>
          <c:showSerName val="0"/>
          <c:showPercent val="0"/>
          <c:showBubbleSize val="0"/>
        </c:dLbls>
        <c:axId val="126460288"/>
        <c:axId val="126462208"/>
      </c:scatterChart>
      <c:valAx>
        <c:axId val="126460288"/>
        <c:scaling>
          <c:orientation val="minMax"/>
        </c:scaling>
        <c:delete val="0"/>
        <c:axPos val="b"/>
        <c:majorGridlines>
          <c:spPr>
            <a:ln>
              <a:solidFill>
                <a:srgbClr val="FFFFFF"/>
              </a:solidFill>
            </a:ln>
          </c:spPr>
        </c:majorGridlines>
        <c:numFmt formatCode="General" sourceLinked="1"/>
        <c:majorTickMark val="cross"/>
        <c:minorTickMark val="cross"/>
        <c:tickLblPos val="nextTo"/>
        <c:spPr>
          <a:ln w="47625">
            <a:noFill/>
          </a:ln>
        </c:spPr>
        <c:txPr>
          <a:bodyPr/>
          <a:lstStyle/>
          <a:p>
            <a:pPr lvl="0">
              <a:defRPr/>
            </a:pPr>
            <a:endParaRPr lang="en-US"/>
          </a:p>
        </c:txPr>
        <c:crossAx val="126462208"/>
        <c:crosses val="autoZero"/>
        <c:crossBetween val="midCat"/>
      </c:valAx>
      <c:valAx>
        <c:axId val="126462208"/>
        <c:scaling>
          <c:orientation val="minMax"/>
        </c:scaling>
        <c:delete val="0"/>
        <c:axPos val="l"/>
        <c:majorGridlines>
          <c:spPr>
            <a:ln>
              <a:solidFill>
                <a:srgbClr val="B7B7B7"/>
              </a:solidFill>
            </a:ln>
          </c:spPr>
        </c:majorGridlines>
        <c:numFmt formatCode="0.00E+00" sourceLinked="1"/>
        <c:majorTickMark val="cross"/>
        <c:minorTickMark val="cross"/>
        <c:tickLblPos val="nextTo"/>
        <c:spPr>
          <a:ln w="47625">
            <a:noFill/>
          </a:ln>
        </c:spPr>
        <c:txPr>
          <a:bodyPr/>
          <a:lstStyle/>
          <a:p>
            <a:pPr lvl="0">
              <a:defRPr/>
            </a:pPr>
            <a:endParaRPr lang="en-US"/>
          </a:p>
        </c:txPr>
        <c:crossAx val="126460288"/>
        <c:crosses val="autoZero"/>
        <c:crossBetween val="midCat"/>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1"/>
        <c:ser>
          <c:idx val="0"/>
          <c:order val="0"/>
          <c:tx>
            <c:strRef>
              <c:f>'Passenger TAM Data'!$C$185</c:f>
              <c:strCache>
                <c:ptCount val="1"/>
                <c:pt idx="0">
                  <c:v> Based on IEA (2016) ETP 6DS/4DS Projection of Air Travel + Telepresence Adjustment</c:v>
                </c:pt>
              </c:strCache>
            </c:strRef>
          </c:tx>
          <c:spPr>
            <a:ln w="47625">
              <a:noFill/>
            </a:ln>
          </c:spPr>
          <c:marker>
            <c:symbol val="circle"/>
            <c:size val="7"/>
            <c:spPr>
              <a:solidFill>
                <a:srgbClr val="436EA1"/>
              </a:solidFill>
              <a:ln cmpd="sng">
                <a:solidFill>
                  <a:srgbClr val="436EA1"/>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Data'!$C$186:$C$234</c:f>
              <c:numCache>
                <c:formatCode>0.00E+00</c:formatCode>
                <c:ptCount val="49"/>
                <c:pt idx="0">
                  <c:v>5574.0756825421877</c:v>
                </c:pt>
                <c:pt idx="1">
                  <c:v>5805.2903570072394</c:v>
                </c:pt>
                <c:pt idx="2">
                  <c:v>6087.1251611184216</c:v>
                </c:pt>
                <c:pt idx="3">
                  <c:v>6348.0317535173235</c:v>
                </c:pt>
                <c:pt idx="4">
                  <c:v>6622.608583007689</c:v>
                </c:pt>
                <c:pt idx="5">
                  <c:v>6910.606449860159</c:v>
                </c:pt>
                <c:pt idx="6">
                  <c:v>7211.7242524563744</c:v>
                </c:pt>
                <c:pt idx="7">
                  <c:v>7525.6269836320835</c:v>
                </c:pt>
                <c:pt idx="8">
                  <c:v>7852.6012546313032</c:v>
                </c:pt>
                <c:pt idx="9">
                  <c:v>8186.0528264292798</c:v>
                </c:pt>
                <c:pt idx="10">
                  <c:v>8530.5806494508051</c:v>
                </c:pt>
                <c:pt idx="11">
                  <c:v>8885.8277363665857</c:v>
                </c:pt>
                <c:pt idx="12">
                  <c:v>9251.2734759180785</c:v>
                </c:pt>
                <c:pt idx="13">
                  <c:v>9626.4266744612905</c:v>
                </c:pt>
                <c:pt idx="14">
                  <c:v>10010.957993331269</c:v>
                </c:pt>
                <c:pt idx="15">
                  <c:v>10404.630726366753</c:v>
                </c:pt>
                <c:pt idx="16">
                  <c:v>10807.109383506311</c:v>
                </c:pt>
                <c:pt idx="17">
                  <c:v>11218.061577052158</c:v>
                </c:pt>
                <c:pt idx="18">
                  <c:v>11637.149823064505</c:v>
                </c:pt>
                <c:pt idx="19">
                  <c:v>12064.038661171742</c:v>
                </c:pt>
                <c:pt idx="20">
                  <c:v>12498.430878190333</c:v>
                </c:pt>
                <c:pt idx="21">
                  <c:v>12940.114864272757</c:v>
                </c:pt>
                <c:pt idx="22">
                  <c:v>13388.930271959449</c:v>
                </c:pt>
                <c:pt idx="23">
                  <c:v>13844.689483322272</c:v>
                </c:pt>
                <c:pt idx="24">
                  <c:v>14307.152546453719</c:v>
                </c:pt>
                <c:pt idx="25">
                  <c:v>14776.002777690248</c:v>
                </c:pt>
                <c:pt idx="26">
                  <c:v>15250.882971189436</c:v>
                </c:pt>
                <c:pt idx="27">
                  <c:v>15731.38693371328</c:v>
                </c:pt>
                <c:pt idx="28">
                  <c:v>16217.125201735194</c:v>
                </c:pt>
                <c:pt idx="29">
                  <c:v>16707.772603972284</c:v>
                </c:pt>
                <c:pt idx="30">
                  <c:v>17203.042669626822</c:v>
                </c:pt>
                <c:pt idx="31">
                  <c:v>17702.617647451403</c:v>
                </c:pt>
                <c:pt idx="32">
                  <c:v>18206.186584380201</c:v>
                </c:pt>
                <c:pt idx="33">
                  <c:v>18713.434817474768</c:v>
                </c:pt>
                <c:pt idx="34">
                  <c:v>19224.04693009716</c:v>
                </c:pt>
                <c:pt idx="35">
                  <c:v>19737.69879581912</c:v>
                </c:pt>
                <c:pt idx="36">
                  <c:v>20254.05709738415</c:v>
                </c:pt>
                <c:pt idx="37">
                  <c:v>20772.783417782437</c:v>
                </c:pt>
                <c:pt idx="38">
                  <c:v>21293.544729001278</c:v>
                </c:pt>
                <c:pt idx="39">
                  <c:v>21816.016087367345</c:v>
                </c:pt>
                <c:pt idx="40">
                  <c:v>22339.889954384631</c:v>
                </c:pt>
                <c:pt idx="41">
                  <c:v>22864.873825371924</c:v>
                </c:pt>
                <c:pt idx="42">
                  <c:v>23390.688104098801</c:v>
                </c:pt>
                <c:pt idx="43">
                  <c:v>23917.048778717097</c:v>
                </c:pt>
                <c:pt idx="44">
                  <c:v>24443.65013221946</c:v>
                </c:pt>
                <c:pt idx="45">
                  <c:v>24970.17958236234</c:v>
                </c:pt>
                <c:pt idx="46">
                  <c:v>25496.341081979939</c:v>
                </c:pt>
                <c:pt idx="47">
                  <c:v>26021.84150764162</c:v>
                </c:pt>
                <c:pt idx="48">
                  <c:v>26546.384912214529</c:v>
                </c:pt>
              </c:numCache>
            </c:numRef>
          </c:yVal>
          <c:smooth val="1"/>
          <c:extLst>
            <c:ext xmlns:c16="http://schemas.microsoft.com/office/drawing/2014/chart" uri="{C3380CC4-5D6E-409C-BE32-E72D297353CC}">
              <c16:uniqueId val="{00000000-CF6C-4A6D-97DC-BC6419F1F278}"/>
            </c:ext>
          </c:extLst>
        </c:ser>
        <c:ser>
          <c:idx val="1"/>
          <c:order val="1"/>
          <c:tx>
            <c:strRef>
              <c:f>'Passenger TAM Data'!$D$185</c:f>
              <c:strCache>
                <c:ptCount val="1"/>
                <c:pt idx="0">
                  <c:v> Based on ICCT (2012) Base Scenario + Telepresence Adjustment</c:v>
                </c:pt>
              </c:strCache>
            </c:strRef>
          </c:tx>
          <c:spPr>
            <a:ln w="47625">
              <a:noFill/>
            </a:ln>
          </c:spPr>
          <c:marker>
            <c:symbol val="circle"/>
            <c:size val="7"/>
            <c:spPr>
              <a:solidFill>
                <a:srgbClr val="A34441"/>
              </a:solidFill>
              <a:ln cmpd="sng">
                <a:solidFill>
                  <a:srgbClr val="A34441"/>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Data'!$D$186:$D$234</c:f>
              <c:numCache>
                <c:formatCode>0.00E+00</c:formatCode>
                <c:ptCount val="49"/>
                <c:pt idx="0">
                  <c:v>5200.8684731496423</c:v>
                </c:pt>
                <c:pt idx="1">
                  <c:v>5421.7970477877479</c:v>
                </c:pt>
                <c:pt idx="2">
                  <c:v>5703.3713348705569</c:v>
                </c:pt>
                <c:pt idx="3">
                  <c:v>5948.8129725075933</c:v>
                </c:pt>
                <c:pt idx="4">
                  <c:v>6205.5702268019295</c:v>
                </c:pt>
                <c:pt idx="5">
                  <c:v>6474.1156032614954</c:v>
                </c:pt>
                <c:pt idx="6">
                  <c:v>6754.8675172661715</c:v>
                </c:pt>
                <c:pt idx="7">
                  <c:v>7048.1942773930477</c:v>
                </c:pt>
                <c:pt idx="8">
                  <c:v>7355.086080495601</c:v>
                </c:pt>
                <c:pt idx="9">
                  <c:v>7670.1722019917815</c:v>
                </c:pt>
                <c:pt idx="10">
                  <c:v>7998.6143186930549</c:v>
                </c:pt>
                <c:pt idx="11">
                  <c:v>8340.9649782500128</c:v>
                </c:pt>
                <c:pt idx="12">
                  <c:v>8697.6693558207226</c:v>
                </c:pt>
                <c:pt idx="13">
                  <c:v>9069.2203725154213</c:v>
                </c:pt>
                <c:pt idx="14">
                  <c:v>9456.2620648187985</c:v>
                </c:pt>
                <c:pt idx="15">
                  <c:v>9859.542442467904</c:v>
                </c:pt>
                <c:pt idx="16">
                  <c:v>10279.765011964791</c:v>
                </c:pt>
                <c:pt idx="17">
                  <c:v>10717.669005662345</c:v>
                </c:pt>
                <c:pt idx="18">
                  <c:v>11174.019335029796</c:v>
                </c:pt>
                <c:pt idx="19">
                  <c:v>11649.607959277588</c:v>
                </c:pt>
                <c:pt idx="20">
                  <c:v>12145.298924265808</c:v>
                </c:pt>
                <c:pt idx="21">
                  <c:v>12662.085997683715</c:v>
                </c:pt>
                <c:pt idx="22">
                  <c:v>13201.058142552216</c:v>
                </c:pt>
                <c:pt idx="23">
                  <c:v>13763.317852424962</c:v>
                </c:pt>
                <c:pt idx="24">
                  <c:v>14349.945628182828</c:v>
                </c:pt>
                <c:pt idx="25">
                  <c:v>14961.98816000694</c:v>
                </c:pt>
                <c:pt idx="26">
                  <c:v>15600.509141608656</c:v>
                </c:pt>
                <c:pt idx="27">
                  <c:v>16266.569632994235</c:v>
                </c:pt>
                <c:pt idx="28">
                  <c:v>16961.283669209079</c:v>
                </c:pt>
                <c:pt idx="29">
                  <c:v>17685.870550200103</c:v>
                </c:pt>
                <c:pt idx="30">
                  <c:v>18441.62136703344</c:v>
                </c:pt>
                <c:pt idx="31">
                  <c:v>19229.826607902953</c:v>
                </c:pt>
                <c:pt idx="32">
                  <c:v>20051.819616887253</c:v>
                </c:pt>
                <c:pt idx="33">
                  <c:v>20908.984166706276</c:v>
                </c:pt>
                <c:pt idx="34">
                  <c:v>21802.773469391159</c:v>
                </c:pt>
                <c:pt idx="35">
                  <c:v>22734.694057829416</c:v>
                </c:pt>
                <c:pt idx="36">
                  <c:v>23706.286010448624</c:v>
                </c:pt>
                <c:pt idx="37">
                  <c:v>24719.138844952515</c:v>
                </c:pt>
                <c:pt idx="38">
                  <c:v>25774.904623254952</c:v>
                </c:pt>
                <c:pt idx="39">
                  <c:v>26875.334770880661</c:v>
                </c:pt>
                <c:pt idx="40">
                  <c:v>28022.241270587128</c:v>
                </c:pt>
                <c:pt idx="41">
                  <c:v>29217.457391380423</c:v>
                </c:pt>
                <c:pt idx="42">
                  <c:v>30462.868323475985</c:v>
                </c:pt>
                <c:pt idx="43">
                  <c:v>31760.454631568224</c:v>
                </c:pt>
                <c:pt idx="44">
                  <c:v>33112.307326516922</c:v>
                </c:pt>
                <c:pt idx="45">
                  <c:v>34520.647955767061</c:v>
                </c:pt>
                <c:pt idx="46">
                  <c:v>35987.819142567438</c:v>
                </c:pt>
                <c:pt idx="47">
                  <c:v>37516.294679631792</c:v>
                </c:pt>
                <c:pt idx="48">
                  <c:v>39108.648870315577</c:v>
                </c:pt>
              </c:numCache>
            </c:numRef>
          </c:yVal>
          <c:smooth val="1"/>
          <c:extLst>
            <c:ext xmlns:c16="http://schemas.microsoft.com/office/drawing/2014/chart" uri="{C3380CC4-5D6E-409C-BE32-E72D297353CC}">
              <c16:uniqueId val="{00000001-CF6C-4A6D-97DC-BC6419F1F278}"/>
            </c:ext>
          </c:extLst>
        </c:ser>
        <c:ser>
          <c:idx val="2"/>
          <c:order val="2"/>
          <c:tx>
            <c:strRef>
              <c:f>'Passenger TAM Data'!$E$185</c:f>
              <c:strCache>
                <c:ptCount val="1"/>
                <c:pt idx="0">
                  <c:v> [Source 3 - Base]</c:v>
                </c:pt>
              </c:strCache>
            </c:strRef>
          </c:tx>
          <c:spPr>
            <a:ln w="47625">
              <a:noFill/>
            </a:ln>
          </c:spPr>
          <c:marker>
            <c:symbol val="circle"/>
            <c:size val="7"/>
            <c:spPr>
              <a:solidFill>
                <a:srgbClr val="849F4C"/>
              </a:solidFill>
              <a:ln cmpd="sng">
                <a:solidFill>
                  <a:srgbClr val="849F4C"/>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Data'!$E$186:$E$234</c:f>
              <c:numCache>
                <c:formatCode>0.00E+00</c:formatCode>
                <c:ptCount val="49"/>
              </c:numCache>
            </c:numRef>
          </c:yVal>
          <c:smooth val="1"/>
          <c:extLst>
            <c:ext xmlns:c16="http://schemas.microsoft.com/office/drawing/2014/chart" uri="{C3380CC4-5D6E-409C-BE32-E72D297353CC}">
              <c16:uniqueId val="{00000002-CF6C-4A6D-97DC-BC6419F1F278}"/>
            </c:ext>
          </c:extLst>
        </c:ser>
        <c:ser>
          <c:idx val="3"/>
          <c:order val="3"/>
          <c:tx>
            <c:strRef>
              <c:f>'Passenger TAM Data'!$F$185</c:f>
              <c:strCache>
                <c:ptCount val="1"/>
                <c:pt idx="0">
                  <c:v> [Source 1 - Conservative]</c:v>
                </c:pt>
              </c:strCache>
            </c:strRef>
          </c:tx>
          <c:spPr>
            <a:ln w="47625">
              <a:noFill/>
            </a:ln>
          </c:spPr>
          <c:marker>
            <c:symbol val="circle"/>
            <c:size val="7"/>
            <c:spPr>
              <a:solidFill>
                <a:srgbClr val="6D558A"/>
              </a:solidFill>
              <a:ln cmpd="sng">
                <a:solidFill>
                  <a:srgbClr val="6D558A"/>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Data'!$F$186:$F$234</c:f>
              <c:numCache>
                <c:formatCode>0.00%</c:formatCode>
                <c:ptCount val="49"/>
              </c:numCache>
            </c:numRef>
          </c:yVal>
          <c:smooth val="1"/>
          <c:extLst>
            <c:ext xmlns:c16="http://schemas.microsoft.com/office/drawing/2014/chart" uri="{C3380CC4-5D6E-409C-BE32-E72D297353CC}">
              <c16:uniqueId val="{00000003-CF6C-4A6D-97DC-BC6419F1F278}"/>
            </c:ext>
          </c:extLst>
        </c:ser>
        <c:ser>
          <c:idx val="4"/>
          <c:order val="4"/>
          <c:tx>
            <c:strRef>
              <c:f>'Passenger TAM Data'!$G$185</c:f>
              <c:strCache>
                <c:ptCount val="1"/>
                <c:pt idx="0">
                  <c:v> [Source 2 - Conservative]</c:v>
                </c:pt>
              </c:strCache>
            </c:strRef>
          </c:tx>
          <c:spPr>
            <a:ln w="47625">
              <a:noFill/>
            </a:ln>
          </c:spPr>
          <c:marker>
            <c:symbol val="circle"/>
            <c:size val="7"/>
            <c:spPr>
              <a:solidFill>
                <a:srgbClr val="4092A8"/>
              </a:solidFill>
              <a:ln cmpd="sng">
                <a:solidFill>
                  <a:srgbClr val="4092A8"/>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Data'!$G$186:$G$234</c:f>
              <c:numCache>
                <c:formatCode>0.00%</c:formatCode>
                <c:ptCount val="49"/>
              </c:numCache>
            </c:numRef>
          </c:yVal>
          <c:smooth val="1"/>
          <c:extLst>
            <c:ext xmlns:c16="http://schemas.microsoft.com/office/drawing/2014/chart" uri="{C3380CC4-5D6E-409C-BE32-E72D297353CC}">
              <c16:uniqueId val="{00000004-CF6C-4A6D-97DC-BC6419F1F278}"/>
            </c:ext>
          </c:extLst>
        </c:ser>
        <c:ser>
          <c:idx val="5"/>
          <c:order val="5"/>
          <c:tx>
            <c:strRef>
              <c:f>'Passenger TAM Data'!$H$185</c:f>
              <c:strCache>
                <c:ptCount val="1"/>
                <c:pt idx="0">
                  <c:v> [Source 3 - Conservative]</c:v>
                </c:pt>
              </c:strCache>
            </c:strRef>
          </c:tx>
          <c:spPr>
            <a:ln w="47625">
              <a:noFill/>
            </a:ln>
          </c:spPr>
          <c:marker>
            <c:symbol val="circle"/>
            <c:size val="7"/>
            <c:spPr>
              <a:solidFill>
                <a:srgbClr val="D2803C"/>
              </a:solidFill>
              <a:ln cmpd="sng">
                <a:solidFill>
                  <a:srgbClr val="D2803C"/>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Data'!$H$186:$H$234</c:f>
              <c:numCache>
                <c:formatCode>0.00E+00</c:formatCode>
                <c:ptCount val="49"/>
              </c:numCache>
            </c:numRef>
          </c:yVal>
          <c:smooth val="1"/>
          <c:extLst>
            <c:ext xmlns:c16="http://schemas.microsoft.com/office/drawing/2014/chart" uri="{C3380CC4-5D6E-409C-BE32-E72D297353CC}">
              <c16:uniqueId val="{00000005-CF6C-4A6D-97DC-BC6419F1F278}"/>
            </c:ext>
          </c:extLst>
        </c:ser>
        <c:ser>
          <c:idx val="6"/>
          <c:order val="6"/>
          <c:tx>
            <c:strRef>
              <c:f>'Passenger TAM Data'!$I$185</c:f>
              <c:strCache>
                <c:ptCount val="1"/>
                <c:pt idx="0">
                  <c:v> Based on IEA (2016) ETP 2DS Projection of Air Travel + Telepresence Adjustment</c:v>
                </c:pt>
              </c:strCache>
            </c:strRef>
          </c:tx>
          <c:spPr>
            <a:ln w="47625">
              <a:noFill/>
            </a:ln>
          </c:spPr>
          <c:marker>
            <c:symbol val="circle"/>
            <c:size val="7"/>
            <c:spPr>
              <a:solidFill>
                <a:srgbClr val="618EC4"/>
              </a:solidFill>
              <a:ln cmpd="sng">
                <a:solidFill>
                  <a:srgbClr val="618EC4"/>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Data'!$I$186:$I$234</c:f>
              <c:numCache>
                <c:formatCode>0.00E+00</c:formatCode>
                <c:ptCount val="49"/>
                <c:pt idx="0">
                  <c:v>5571.0744736149618</c:v>
                </c:pt>
                <c:pt idx="1">
                  <c:v>5807.6377411495587</c:v>
                </c:pt>
                <c:pt idx="2">
                  <c:v>6078.7494508509508</c:v>
                </c:pt>
                <c:pt idx="3">
                  <c:v>6313.1119848644103</c:v>
                </c:pt>
                <c:pt idx="4">
                  <c:v>6545.6493390894284</c:v>
                </c:pt>
                <c:pt idx="5">
                  <c:v>6776.42133006928</c:v>
                </c:pt>
                <c:pt idx="6">
                  <c:v>7005.4356449339975</c:v>
                </c:pt>
                <c:pt idx="7">
                  <c:v>7232.6680628662243</c:v>
                </c:pt>
                <c:pt idx="8">
                  <c:v>7458.6868670455742</c:v>
                </c:pt>
                <c:pt idx="9">
                  <c:v>7677.5907657639927</c:v>
                </c:pt>
                <c:pt idx="10">
                  <c:v>7894.1373249440585</c:v>
                </c:pt>
                <c:pt idx="11">
                  <c:v>8108.3304986105468</c:v>
                </c:pt>
                <c:pt idx="12">
                  <c:v>8320.031315962533</c:v>
                </c:pt>
                <c:pt idx="13">
                  <c:v>8529.1391739427036</c:v>
                </c:pt>
                <c:pt idx="14">
                  <c:v>8735.704803236913</c:v>
                </c:pt>
                <c:pt idx="15">
                  <c:v>8939.8595029536682</c:v>
                </c:pt>
                <c:pt idx="16">
                  <c:v>9141.6470343323053</c:v>
                </c:pt>
                <c:pt idx="17">
                  <c:v>9341.114459865601</c:v>
                </c:pt>
                <c:pt idx="18">
                  <c:v>9538.3049468289519</c:v>
                </c:pt>
                <c:pt idx="19">
                  <c:v>9733.2635772942922</c:v>
                </c:pt>
                <c:pt idx="20">
                  <c:v>9926.0656585638371</c:v>
                </c:pt>
                <c:pt idx="21">
                  <c:v>10116.851038042938</c:v>
                </c:pt>
                <c:pt idx="22">
                  <c:v>10305.792551315371</c:v>
                </c:pt>
                <c:pt idx="23">
                  <c:v>10493.033987088742</c:v>
                </c:pt>
                <c:pt idx="24">
                  <c:v>10678.67349332557</c:v>
                </c:pt>
                <c:pt idx="25">
                  <c:v>10862.749068947554</c:v>
                </c:pt>
                <c:pt idx="26">
                  <c:v>11045.269101081858</c:v>
                </c:pt>
                <c:pt idx="27">
                  <c:v>11226.208514511742</c:v>
                </c:pt>
                <c:pt idx="28">
                  <c:v>11405.557152905725</c:v>
                </c:pt>
                <c:pt idx="29">
                  <c:v>11583.351459466816</c:v>
                </c:pt>
                <c:pt idx="30">
                  <c:v>11759.653727721154</c:v>
                </c:pt>
                <c:pt idx="31">
                  <c:v>11934.503332513008</c:v>
                </c:pt>
                <c:pt idx="32">
                  <c:v>12107.943428270399</c:v>
                </c:pt>
                <c:pt idx="33">
                  <c:v>12280.013786062887</c:v>
                </c:pt>
                <c:pt idx="34">
                  <c:v>12450.752868270196</c:v>
                </c:pt>
                <c:pt idx="35">
                  <c:v>12620.192802139009</c:v>
                </c:pt>
                <c:pt idx="36">
                  <c:v>12788.359422305675</c:v>
                </c:pt>
                <c:pt idx="37">
                  <c:v>12955.275133913503</c:v>
                </c:pt>
                <c:pt idx="38">
                  <c:v>13120.965475352072</c:v>
                </c:pt>
                <c:pt idx="39">
                  <c:v>13285.460491245458</c:v>
                </c:pt>
                <c:pt idx="40">
                  <c:v>13448.799979545134</c:v>
                </c:pt>
                <c:pt idx="41">
                  <c:v>13611.03147507681</c:v>
                </c:pt>
                <c:pt idx="42">
                  <c:v>13772.208530401624</c:v>
                </c:pt>
                <c:pt idx="43">
                  <c:v>13932.380324937083</c:v>
                </c:pt>
                <c:pt idx="44">
                  <c:v>14091.581957620027</c:v>
                </c:pt>
                <c:pt idx="45">
                  <c:v>14249.843544763711</c:v>
                </c:pt>
                <c:pt idx="46">
                  <c:v>14407.20355448631</c:v>
                </c:pt>
                <c:pt idx="47">
                  <c:v>14563.700773999373</c:v>
                </c:pt>
                <c:pt idx="48">
                  <c:v>14719.37108114146</c:v>
                </c:pt>
              </c:numCache>
            </c:numRef>
          </c:yVal>
          <c:smooth val="1"/>
          <c:extLst>
            <c:ext xmlns:c16="http://schemas.microsoft.com/office/drawing/2014/chart" uri="{C3380CC4-5D6E-409C-BE32-E72D297353CC}">
              <c16:uniqueId val="{00000006-CF6C-4A6D-97DC-BC6419F1F278}"/>
            </c:ext>
          </c:extLst>
        </c:ser>
        <c:ser>
          <c:idx val="7"/>
          <c:order val="7"/>
          <c:tx>
            <c:strRef>
              <c:f>'Passenger TAM Data'!$J$185</c:f>
              <c:strCache>
                <c:ptCount val="1"/>
                <c:pt idx="0">
                  <c:v> [Source 2 - Ambitious]</c:v>
                </c:pt>
              </c:strCache>
            </c:strRef>
          </c:tx>
          <c:spPr>
            <a:ln w="47625">
              <a:noFill/>
            </a:ln>
          </c:spPr>
          <c:marker>
            <c:symbol val="circle"/>
            <c:size val="7"/>
            <c:spPr>
              <a:solidFill>
                <a:srgbClr val="C6625F"/>
              </a:solidFill>
              <a:ln cmpd="sng">
                <a:solidFill>
                  <a:srgbClr val="C6625F"/>
                </a:solidFill>
              </a:ln>
            </c:spPr>
          </c:marke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Data'!$J$186:$J$234</c:f>
              <c:numCache>
                <c:formatCode>0.00%</c:formatCode>
                <c:ptCount val="49"/>
              </c:numCache>
            </c:numRef>
          </c:yVal>
          <c:smooth val="1"/>
          <c:extLst>
            <c:ext xmlns:c16="http://schemas.microsoft.com/office/drawing/2014/chart" uri="{C3380CC4-5D6E-409C-BE32-E72D297353CC}">
              <c16:uniqueId val="{00000007-CF6C-4A6D-97DC-BC6419F1F278}"/>
            </c:ext>
          </c:extLst>
        </c:ser>
        <c:ser>
          <c:idx val="8"/>
          <c:order val="8"/>
          <c:tx>
            <c:strRef>
              <c:f>'Passenger TAM Data'!$K$185</c:f>
              <c:strCache>
                <c:ptCount val="1"/>
                <c:pt idx="0">
                  <c:v> [Source 3 - Ambitious]</c:v>
                </c:pt>
              </c:strCache>
            </c:strRef>
          </c:tx>
          <c:spPr>
            <a:ln w="28575">
              <a:noFill/>
            </a:ln>
          </c:spP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Data'!$K$186:$K$234</c:f>
              <c:numCache>
                <c:formatCode>_-* #,##0.00\ _€_-;\-* #,##0.00\ _€_-;_-* "-"??\ _€_-;_-@</c:formatCode>
                <c:ptCount val="49"/>
              </c:numCache>
            </c:numRef>
          </c:yVal>
          <c:smooth val="0"/>
          <c:extLst>
            <c:ext xmlns:c16="http://schemas.microsoft.com/office/drawing/2014/chart" uri="{C3380CC4-5D6E-409C-BE32-E72D297353CC}">
              <c16:uniqueId val="{00000000-FC8F-41E5-B302-3642D0FFC3CE}"/>
            </c:ext>
          </c:extLst>
        </c:ser>
        <c:ser>
          <c:idx val="9"/>
          <c:order val="9"/>
          <c:tx>
            <c:strRef>
              <c:f>'Passenger TAM Data'!$L$185</c:f>
              <c:strCache>
                <c:ptCount val="1"/>
                <c:pt idx="0">
                  <c:v> [Source 1 - Maximum]</c:v>
                </c:pt>
              </c:strCache>
            </c:strRef>
          </c:tx>
          <c:spPr>
            <a:ln w="28575">
              <a:noFill/>
            </a:ln>
          </c:spP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Data'!$L$186:$L$234</c:f>
              <c:numCache>
                <c:formatCode>_-* #,##0.00\ _€_-;\-* #,##0.00\ _€_-;_-* "-"??\ _€_-;_-@</c:formatCode>
                <c:ptCount val="49"/>
              </c:numCache>
            </c:numRef>
          </c:yVal>
          <c:smooth val="0"/>
          <c:extLst>
            <c:ext xmlns:c16="http://schemas.microsoft.com/office/drawing/2014/chart" uri="{C3380CC4-5D6E-409C-BE32-E72D297353CC}">
              <c16:uniqueId val="{00000001-FC8F-41E5-B302-3642D0FFC3CE}"/>
            </c:ext>
          </c:extLst>
        </c:ser>
        <c:ser>
          <c:idx val="10"/>
          <c:order val="10"/>
          <c:tx>
            <c:strRef>
              <c:f>'Passenger TAM Data'!$M$185</c:f>
              <c:strCache>
                <c:ptCount val="1"/>
                <c:pt idx="0">
                  <c:v> [Source 2 - Maximum]</c:v>
                </c:pt>
              </c:strCache>
            </c:strRef>
          </c:tx>
          <c:spPr>
            <a:ln w="28575">
              <a:noFill/>
            </a:ln>
          </c:spPr>
          <c:xVal>
            <c:numRef>
              <c:f>'Passenger TAM Data'!$B$186:$B$234</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Data'!$M$186:$M$234</c:f>
              <c:numCache>
                <c:formatCode>_-* #,##0.00\ _€_-;\-* #,##0.00\ _€_-;_-* "-"??\ _€_-;_-@</c:formatCode>
                <c:ptCount val="49"/>
              </c:numCache>
            </c:numRef>
          </c:yVal>
          <c:smooth val="0"/>
          <c:extLst>
            <c:ext xmlns:c16="http://schemas.microsoft.com/office/drawing/2014/chart" uri="{C3380CC4-5D6E-409C-BE32-E72D297353CC}">
              <c16:uniqueId val="{00000002-FC8F-41E5-B302-3642D0FFC3CE}"/>
            </c:ext>
          </c:extLst>
        </c:ser>
        <c:dLbls>
          <c:showLegendKey val="0"/>
          <c:showVal val="0"/>
          <c:showCatName val="0"/>
          <c:showSerName val="0"/>
          <c:showPercent val="0"/>
          <c:showBubbleSize val="0"/>
        </c:dLbls>
        <c:axId val="126345600"/>
        <c:axId val="126347520"/>
      </c:scatterChart>
      <c:valAx>
        <c:axId val="126345600"/>
        <c:scaling>
          <c:orientation val="minMax"/>
        </c:scaling>
        <c:delete val="0"/>
        <c:axPos val="b"/>
        <c:majorGridlines>
          <c:spPr>
            <a:ln>
              <a:solidFill>
                <a:srgbClr val="FFFFFF"/>
              </a:solidFill>
            </a:ln>
          </c:spPr>
        </c:majorGridlines>
        <c:numFmt formatCode="General" sourceLinked="1"/>
        <c:majorTickMark val="cross"/>
        <c:minorTickMark val="cross"/>
        <c:tickLblPos val="nextTo"/>
        <c:spPr>
          <a:ln w="47625">
            <a:noFill/>
          </a:ln>
        </c:spPr>
        <c:txPr>
          <a:bodyPr/>
          <a:lstStyle/>
          <a:p>
            <a:pPr lvl="0">
              <a:defRPr/>
            </a:pPr>
            <a:endParaRPr lang="en-US"/>
          </a:p>
        </c:txPr>
        <c:crossAx val="126347520"/>
        <c:crosses val="autoZero"/>
        <c:crossBetween val="midCat"/>
      </c:valAx>
      <c:valAx>
        <c:axId val="126347520"/>
        <c:scaling>
          <c:orientation val="minMax"/>
        </c:scaling>
        <c:delete val="0"/>
        <c:axPos val="l"/>
        <c:majorGridlines>
          <c:spPr>
            <a:ln>
              <a:solidFill>
                <a:srgbClr val="B7B7B7"/>
              </a:solidFill>
            </a:ln>
          </c:spPr>
        </c:majorGridlines>
        <c:numFmt formatCode="0.00E+00" sourceLinked="1"/>
        <c:majorTickMark val="cross"/>
        <c:minorTickMark val="cross"/>
        <c:tickLblPos val="nextTo"/>
        <c:spPr>
          <a:ln w="47625">
            <a:noFill/>
          </a:ln>
        </c:spPr>
        <c:txPr>
          <a:bodyPr/>
          <a:lstStyle/>
          <a:p>
            <a:pPr lvl="0">
              <a:defRPr/>
            </a:pPr>
            <a:endParaRPr lang="en-US"/>
          </a:p>
        </c:txPr>
        <c:crossAx val="126345600"/>
        <c:crosses val="autoZero"/>
        <c:crossBetween val="midCat"/>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1"/>
        <c:ser>
          <c:idx val="0"/>
          <c:order val="0"/>
          <c:tx>
            <c:strRef>
              <c:f>'Passenger TAM Data'!$C$242</c:f>
              <c:strCache>
                <c:ptCount val="1"/>
                <c:pt idx="0">
                  <c:v> Based on IEA (2016) ETP 6DS/4DS Projection of BUSINESS Air Travel + Telepresence Adjustment</c:v>
                </c:pt>
              </c:strCache>
            </c:strRef>
          </c:tx>
          <c:spPr>
            <a:ln w="47625">
              <a:noFill/>
            </a:ln>
          </c:spPr>
          <c:marker>
            <c:symbol val="circle"/>
            <c:size val="7"/>
            <c:spPr>
              <a:solidFill>
                <a:srgbClr val="436EA1"/>
              </a:solidFill>
              <a:ln cmpd="sng">
                <a:solidFill>
                  <a:srgbClr val="436EA1"/>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Data'!$C$243:$C$291</c:f>
              <c:numCache>
                <c:formatCode>0.00E+00</c:formatCode>
                <c:ptCount val="49"/>
                <c:pt idx="0">
                  <c:v>2102.2620335381825</c:v>
                </c:pt>
                <c:pt idx="1">
                  <c:v>2195.5158085460766</c:v>
                </c:pt>
                <c:pt idx="2">
                  <c:v>2305.8188222494018</c:v>
                </c:pt>
                <c:pt idx="3">
                  <c:v>2407.6741826193529</c:v>
                </c:pt>
                <c:pt idx="4">
                  <c:v>2513.459368008369</c:v>
                </c:pt>
                <c:pt idx="5">
                  <c:v>2623.1397807111293</c:v>
                </c:pt>
                <c:pt idx="6">
                  <c:v>2736.6619216175495</c:v>
                </c:pt>
                <c:pt idx="7">
                  <c:v>2853.9597963981546</c:v>
                </c:pt>
                <c:pt idx="8">
                  <c:v>2975.1927534562428</c:v>
                </c:pt>
                <c:pt idx="9">
                  <c:v>3098.0228890249978</c:v>
                </c:pt>
                <c:pt idx="10">
                  <c:v>3224.1733197835424</c:v>
                </c:pt>
                <c:pt idx="11">
                  <c:v>3353.5711507329124</c:v>
                </c:pt>
                <c:pt idx="12">
                  <c:v>3486.0841408311462</c:v>
                </c:pt>
                <c:pt idx="13">
                  <c:v>3621.5908320475187</c:v>
                </c:pt>
                <c:pt idx="14">
                  <c:v>3760.0286413080048</c:v>
                </c:pt>
                <c:pt idx="15">
                  <c:v>3901.3686162419417</c:v>
                </c:pt>
                <c:pt idx="16">
                  <c:v>4045.545874357515</c:v>
                </c:pt>
                <c:pt idx="17">
                  <c:v>4192.4965541909551</c:v>
                </c:pt>
                <c:pt idx="18">
                  <c:v>4342.154800443036</c:v>
                </c:pt>
                <c:pt idx="19">
                  <c:v>4494.4553096369482</c:v>
                </c:pt>
                <c:pt idx="20">
                  <c:v>4649.3464031850208</c:v>
                </c:pt>
                <c:pt idx="21">
                  <c:v>4806.8070900038865</c:v>
                </c:pt>
                <c:pt idx="22">
                  <c:v>4966.8345558410101</c:v>
                </c:pt>
                <c:pt idx="23">
                  <c:v>5129.4157409601858</c:v>
                </c:pt>
                <c:pt idx="24">
                  <c:v>5294.5183194954579</c:v>
                </c:pt>
                <c:pt idx="25">
                  <c:v>5462.0819380861485</c:v>
                </c:pt>
                <c:pt idx="26">
                  <c:v>5632.0313352616176</c:v>
                </c:pt>
                <c:pt idx="27">
                  <c:v>5804.2732963249373</c:v>
                </c:pt>
                <c:pt idx="28">
                  <c:v>5978.7203635565993</c:v>
                </c:pt>
                <c:pt idx="29">
                  <c:v>6155.3079646638616</c:v>
                </c:pt>
                <c:pt idx="30">
                  <c:v>6333.9851501987323</c:v>
                </c:pt>
                <c:pt idx="31">
                  <c:v>6514.6893344391492</c:v>
                </c:pt>
                <c:pt idx="32">
                  <c:v>6697.3600276221041</c:v>
                </c:pt>
                <c:pt idx="33">
                  <c:v>6881.9350350587092</c:v>
                </c:pt>
                <c:pt idx="34">
                  <c:v>7068.3515135903917</c:v>
                </c:pt>
                <c:pt idx="35">
                  <c:v>7256.5430867690238</c:v>
                </c:pt>
                <c:pt idx="36">
                  <c:v>7446.4396526765795</c:v>
                </c:pt>
                <c:pt idx="37">
                  <c:v>7637.9688401105313</c:v>
                </c:pt>
                <c:pt idx="38">
                  <c:v>7831.0597805511597</c:v>
                </c:pt>
                <c:pt idx="39">
                  <c:v>8025.6440716611705</c:v>
                </c:pt>
                <c:pt idx="40">
                  <c:v>8221.6591480337411</c:v>
                </c:pt>
                <c:pt idx="41">
                  <c:v>8419.0474321117817</c:v>
                </c:pt>
                <c:pt idx="42">
                  <c:v>8617.7555766135411</c:v>
                </c:pt>
                <c:pt idx="43">
                  <c:v>8817.7281850646741</c:v>
                </c:pt>
                <c:pt idx="44">
                  <c:v>9018.9015078931261</c:v>
                </c:pt>
                <c:pt idx="45">
                  <c:v>9221.2087934623632</c:v>
                </c:pt>
                <c:pt idx="46">
                  <c:v>9424.5887919593988</c:v>
                </c:pt>
                <c:pt idx="47">
                  <c:v>9628.9808083637581</c:v>
                </c:pt>
                <c:pt idx="48">
                  <c:v>9834.3225951746699</c:v>
                </c:pt>
              </c:numCache>
            </c:numRef>
          </c:yVal>
          <c:smooth val="1"/>
          <c:extLst>
            <c:ext xmlns:c16="http://schemas.microsoft.com/office/drawing/2014/chart" uri="{C3380CC4-5D6E-409C-BE32-E72D297353CC}">
              <c16:uniqueId val="{00000000-A2AF-45D6-ADBE-C36CA3A9AD6A}"/>
            </c:ext>
          </c:extLst>
        </c:ser>
        <c:ser>
          <c:idx val="1"/>
          <c:order val="1"/>
          <c:tx>
            <c:strRef>
              <c:f>'Passenger TAM Data'!$D$242</c:f>
              <c:strCache>
                <c:ptCount val="1"/>
                <c:pt idx="0">
                  <c:v> Based on Airbus (2015) Global Market Forecast BUSINESS  Air Travel 2016-2035 with projections extended + Telepresence Adjustment</c:v>
                </c:pt>
              </c:strCache>
            </c:strRef>
          </c:tx>
          <c:spPr>
            <a:ln w="47625">
              <a:noFill/>
            </a:ln>
          </c:spPr>
          <c:marker>
            <c:symbol val="circle"/>
            <c:size val="7"/>
            <c:spPr>
              <a:solidFill>
                <a:srgbClr val="A34441"/>
              </a:solidFill>
              <a:ln cmpd="sng">
                <a:solidFill>
                  <a:srgbClr val="A34441"/>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Data'!$D$243:$D$291</c:f>
              <c:numCache>
                <c:formatCode>0.00E+00</c:formatCode>
                <c:ptCount val="49"/>
                <c:pt idx="0">
                  <c:v>1956.006587641944</c:v>
                </c:pt>
                <c:pt idx="1">
                  <c:v>2030.5014126681729</c:v>
                </c:pt>
                <c:pt idx="2">
                  <c:v>2124.5129472750746</c:v>
                </c:pt>
                <c:pt idx="3">
                  <c:v>2214.7578449765524</c:v>
                </c:pt>
                <c:pt idx="4">
                  <c:v>2312.6297569744584</c:v>
                </c:pt>
                <c:pt idx="5">
                  <c:v>2418.136445982424</c:v>
                </c:pt>
                <c:pt idx="6">
                  <c:v>2531.2688576841538</c:v>
                </c:pt>
                <c:pt idx="7">
                  <c:v>2652.0065593663689</c:v>
                </c:pt>
                <c:pt idx="8">
                  <c:v>2780.5383054137519</c:v>
                </c:pt>
                <c:pt idx="9">
                  <c:v>2914.7190264673022</c:v>
                </c:pt>
                <c:pt idx="10">
                  <c:v>3056.1694991022123</c:v>
                </c:pt>
                <c:pt idx="11">
                  <c:v>3204.8495069008436</c:v>
                </c:pt>
                <c:pt idx="12">
                  <c:v>3360.6601658577715</c:v>
                </c:pt>
                <c:pt idx="13">
                  <c:v>3523.5092299492826</c:v>
                </c:pt>
                <c:pt idx="14">
                  <c:v>3693.3585766631686</c:v>
                </c:pt>
                <c:pt idx="15">
                  <c:v>3870.2020933071922</c:v>
                </c:pt>
                <c:pt idx="16">
                  <c:v>4053.9978707460018</c:v>
                </c:pt>
                <c:pt idx="17">
                  <c:v>4244.7038750628262</c:v>
                </c:pt>
                <c:pt idx="18">
                  <c:v>4442.2749834640599</c:v>
                </c:pt>
                <c:pt idx="19">
                  <c:v>4646.6655668266376</c:v>
                </c:pt>
                <c:pt idx="20">
                  <c:v>4857.8432534349704</c:v>
                </c:pt>
                <c:pt idx="21">
                  <c:v>5075.8078133357949</c:v>
                </c:pt>
                <c:pt idx="22">
                  <c:v>5300.5796008776979</c:v>
                </c:pt>
                <c:pt idx="23">
                  <c:v>5532.1699284236638</c:v>
                </c:pt>
                <c:pt idx="24">
                  <c:v>5770.5706449639247</c:v>
                </c:pt>
                <c:pt idx="25">
                  <c:v>6015.7433365673114</c:v>
                </c:pt>
                <c:pt idx="26">
                  <c:v>6267.6323271953006</c:v>
                </c:pt>
                <c:pt idx="27">
                  <c:v>6526.1603524107304</c:v>
                </c:pt>
                <c:pt idx="28">
                  <c:v>6791.2545352618654</c:v>
                </c:pt>
                <c:pt idx="29">
                  <c:v>7062.8664602426279</c:v>
                </c:pt>
                <c:pt idx="30">
                  <c:v>7340.9627373970361</c:v>
                </c:pt>
                <c:pt idx="31">
                  <c:v>7625.4960984253312</c:v>
                </c:pt>
                <c:pt idx="32">
                  <c:v>7916.4210163564003</c:v>
                </c:pt>
                <c:pt idx="33">
                  <c:v>8213.6892649074507</c:v>
                </c:pt>
                <c:pt idx="34">
                  <c:v>8517.2510923205773</c:v>
                </c:pt>
                <c:pt idx="35">
                  <c:v>8827.0516507880457</c:v>
                </c:pt>
                <c:pt idx="36">
                  <c:v>9143.0305484235141</c:v>
                </c:pt>
                <c:pt idx="37">
                  <c:v>9465.1234428224161</c:v>
                </c:pt>
                <c:pt idx="38">
                  <c:v>9793.2666479715172</c:v>
                </c:pt>
                <c:pt idx="39">
                  <c:v>10127.398438388653</c:v>
                </c:pt>
                <c:pt idx="40">
                  <c:v>10467.46349865487</c:v>
                </c:pt>
                <c:pt idx="41">
                  <c:v>10813.412151332041</c:v>
                </c:pt>
                <c:pt idx="42">
                  <c:v>11165.199642029847</c:v>
                </c:pt>
                <c:pt idx="43">
                  <c:v>11522.778114605591</c:v>
                </c:pt>
                <c:pt idx="44">
                  <c:v>11886.088127967569</c:v>
                </c:pt>
                <c:pt idx="45">
                  <c:v>12255.065324629826</c:v>
                </c:pt>
                <c:pt idx="46">
                  <c:v>12629.651709772163</c:v>
                </c:pt>
                <c:pt idx="47">
                  <c:v>13009.789225139386</c:v>
                </c:pt>
                <c:pt idx="48">
                  <c:v>13395.416879988974</c:v>
                </c:pt>
              </c:numCache>
            </c:numRef>
          </c:yVal>
          <c:smooth val="1"/>
          <c:extLst>
            <c:ext xmlns:c16="http://schemas.microsoft.com/office/drawing/2014/chart" uri="{C3380CC4-5D6E-409C-BE32-E72D297353CC}">
              <c16:uniqueId val="{00000001-A2AF-45D6-ADBE-C36CA3A9AD6A}"/>
            </c:ext>
          </c:extLst>
        </c:ser>
        <c:ser>
          <c:idx val="2"/>
          <c:order val="2"/>
          <c:tx>
            <c:strRef>
              <c:f>'Passenger TAM Data'!$E$242</c:f>
              <c:strCache>
                <c:ptCount val="1"/>
                <c:pt idx="0">
                  <c:v> Based on Boeing (2017) Current Market Outlook BUSINESS  Air Travel 2017-2036 + Telepresence Adjustment</c:v>
                </c:pt>
              </c:strCache>
            </c:strRef>
          </c:tx>
          <c:spPr>
            <a:ln w="47625">
              <a:noFill/>
            </a:ln>
          </c:spPr>
          <c:marker>
            <c:symbol val="circle"/>
            <c:size val="7"/>
            <c:spPr>
              <a:solidFill>
                <a:srgbClr val="849F4C"/>
              </a:solidFill>
              <a:ln cmpd="sng">
                <a:solidFill>
                  <a:srgbClr val="849F4C"/>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Data'!$E$243:$E$291</c:f>
              <c:numCache>
                <c:formatCode>0.00E+00</c:formatCode>
                <c:ptCount val="49"/>
                <c:pt idx="0">
                  <c:v>2021.937974290669</c:v>
                </c:pt>
                <c:pt idx="1">
                  <c:v>2122.3840701165332</c:v>
                </c:pt>
                <c:pt idx="2">
                  <c:v>2239.205931819763</c:v>
                </c:pt>
                <c:pt idx="3">
                  <c:v>2333.4013352625316</c:v>
                </c:pt>
                <c:pt idx="4">
                  <c:v>2445.6015829424191</c:v>
                </c:pt>
                <c:pt idx="5">
                  <c:v>2562.2882672630712</c:v>
                </c:pt>
                <c:pt idx="6">
                  <c:v>2683.6733530769643</c:v>
                </c:pt>
                <c:pt idx="7">
                  <c:v>2809.9430831325026</c:v>
                </c:pt>
                <c:pt idx="8">
                  <c:v>2941.5116582474129</c:v>
                </c:pt>
                <c:pt idx="9">
                  <c:v>3076.3327692537118</c:v>
                </c:pt>
                <c:pt idx="10">
                  <c:v>3216.3839431967108</c:v>
                </c:pt>
                <c:pt idx="11">
                  <c:v>3361.8818504829133</c:v>
                </c:pt>
                <c:pt idx="12">
                  <c:v>3512.9938726134465</c:v>
                </c:pt>
                <c:pt idx="13">
                  <c:v>3669.8935992905799</c:v>
                </c:pt>
                <c:pt idx="14">
                  <c:v>3832.7969036489985</c:v>
                </c:pt>
                <c:pt idx="15">
                  <c:v>4001.9481031542946</c:v>
                </c:pt>
                <c:pt idx="16">
                  <c:v>4177.5676424849835</c:v>
                </c:pt>
                <c:pt idx="17">
                  <c:v>4359.8790644381625</c:v>
                </c:pt>
                <c:pt idx="18">
                  <c:v>4549.100918856986</c:v>
                </c:pt>
                <c:pt idx="19">
                  <c:v>4745.4442038752932</c:v>
                </c:pt>
                <c:pt idx="20">
                  <c:v>4949.1303638284053</c:v>
                </c:pt>
                <c:pt idx="21">
                  <c:v>5160.4169840308759</c:v>
                </c:pt>
                <c:pt idx="22">
                  <c:v>5379.5810765202059</c:v>
                </c:pt>
                <c:pt idx="23">
                  <c:v>5606.8866769013994</c:v>
                </c:pt>
                <c:pt idx="24">
                  <c:v>5842.5783638083558</c:v>
                </c:pt>
                <c:pt idx="25">
                  <c:v>6086.8606333604412</c:v>
                </c:pt>
                <c:pt idx="26">
                  <c:v>6339.9056978475592</c:v>
                </c:pt>
                <c:pt idx="27">
                  <c:v>6601.8530747934883</c:v>
                </c:pt>
                <c:pt idx="28">
                  <c:v>6872.8475594248994</c:v>
                </c:pt>
                <c:pt idx="29">
                  <c:v>7153.0695439988476</c:v>
                </c:pt>
                <c:pt idx="30">
                  <c:v>7442.7186396330526</c:v>
                </c:pt>
                <c:pt idx="31">
                  <c:v>7741.9701787577005</c:v>
                </c:pt>
                <c:pt idx="32">
                  <c:v>8050.9992719117718</c:v>
                </c:pt>
                <c:pt idx="33">
                  <c:v>8369.9773158535736</c:v>
                </c:pt>
                <c:pt idx="34">
                  <c:v>8699.0701746515515</c:v>
                </c:pt>
                <c:pt idx="35">
                  <c:v>9038.4413616389811</c:v>
                </c:pt>
                <c:pt idx="36">
                  <c:v>9388.2556192090215</c:v>
                </c:pt>
                <c:pt idx="37">
                  <c:v>9748.6771409968424</c:v>
                </c:pt>
                <c:pt idx="38">
                  <c:v>10119.865678705066</c:v>
                </c:pt>
                <c:pt idx="39">
                  <c:v>10501.976922597314</c:v>
                </c:pt>
                <c:pt idx="40">
                  <c:v>10895.161324643763</c:v>
                </c:pt>
                <c:pt idx="41">
                  <c:v>11299.564627478961</c:v>
                </c:pt>
                <c:pt idx="42">
                  <c:v>11715.328355581569</c:v>
                </c:pt>
                <c:pt idx="43">
                  <c:v>12142.592395139645</c:v>
                </c:pt>
                <c:pt idx="44">
                  <c:v>12581.496316125107</c:v>
                </c:pt>
                <c:pt idx="45">
                  <c:v>13032.179635559114</c:v>
                </c:pt>
                <c:pt idx="46">
                  <c:v>13494.782288048747</c:v>
                </c:pt>
                <c:pt idx="47">
                  <c:v>13969.444834683496</c:v>
                </c:pt>
                <c:pt idx="48">
                  <c:v>14456.305934932825</c:v>
                </c:pt>
              </c:numCache>
            </c:numRef>
          </c:yVal>
          <c:smooth val="1"/>
          <c:extLst>
            <c:ext xmlns:c16="http://schemas.microsoft.com/office/drawing/2014/chart" uri="{C3380CC4-5D6E-409C-BE32-E72D297353CC}">
              <c16:uniqueId val="{00000002-A2AF-45D6-ADBE-C36CA3A9AD6A}"/>
            </c:ext>
          </c:extLst>
        </c:ser>
        <c:ser>
          <c:idx val="3"/>
          <c:order val="3"/>
          <c:tx>
            <c:strRef>
              <c:f>'Passenger TAM Data'!$F$242</c:f>
              <c:strCache>
                <c:ptCount val="1"/>
                <c:pt idx="0">
                  <c:v> [Source 1 - Conservative]</c:v>
                </c:pt>
              </c:strCache>
            </c:strRef>
          </c:tx>
          <c:spPr>
            <a:ln w="47625">
              <a:noFill/>
            </a:ln>
          </c:spPr>
          <c:marker>
            <c:symbol val="circle"/>
            <c:size val="7"/>
            <c:spPr>
              <a:solidFill>
                <a:srgbClr val="6D558A"/>
              </a:solidFill>
              <a:ln cmpd="sng">
                <a:solidFill>
                  <a:srgbClr val="6D558A"/>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Data'!$F$243:$F$291</c:f>
              <c:numCache>
                <c:formatCode>0.00E+00</c:formatCode>
                <c:ptCount val="49"/>
              </c:numCache>
            </c:numRef>
          </c:yVal>
          <c:smooth val="1"/>
          <c:extLst>
            <c:ext xmlns:c16="http://schemas.microsoft.com/office/drawing/2014/chart" uri="{C3380CC4-5D6E-409C-BE32-E72D297353CC}">
              <c16:uniqueId val="{00000003-A2AF-45D6-ADBE-C36CA3A9AD6A}"/>
            </c:ext>
          </c:extLst>
        </c:ser>
        <c:ser>
          <c:idx val="4"/>
          <c:order val="4"/>
          <c:tx>
            <c:strRef>
              <c:f>'Passenger TAM Data'!$G$242</c:f>
              <c:strCache>
                <c:ptCount val="1"/>
                <c:pt idx="0">
                  <c:v> [Source 2 - Conservative]</c:v>
                </c:pt>
              </c:strCache>
            </c:strRef>
          </c:tx>
          <c:spPr>
            <a:ln w="47625">
              <a:noFill/>
            </a:ln>
          </c:spPr>
          <c:marker>
            <c:symbol val="circle"/>
            <c:size val="7"/>
            <c:spPr>
              <a:solidFill>
                <a:srgbClr val="4092A8"/>
              </a:solidFill>
              <a:ln cmpd="sng">
                <a:solidFill>
                  <a:srgbClr val="4092A8"/>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Data'!$G$243:$G$291</c:f>
              <c:numCache>
                <c:formatCode>0.00E+00</c:formatCode>
                <c:ptCount val="49"/>
              </c:numCache>
            </c:numRef>
          </c:yVal>
          <c:smooth val="1"/>
          <c:extLst>
            <c:ext xmlns:c16="http://schemas.microsoft.com/office/drawing/2014/chart" uri="{C3380CC4-5D6E-409C-BE32-E72D297353CC}">
              <c16:uniqueId val="{00000004-A2AF-45D6-ADBE-C36CA3A9AD6A}"/>
            </c:ext>
          </c:extLst>
        </c:ser>
        <c:ser>
          <c:idx val="5"/>
          <c:order val="5"/>
          <c:tx>
            <c:strRef>
              <c:f>'Passenger TAM Data'!$H$242</c:f>
              <c:strCache>
                <c:ptCount val="1"/>
                <c:pt idx="0">
                  <c:v> [Source 3 - Conservative]</c:v>
                </c:pt>
              </c:strCache>
            </c:strRef>
          </c:tx>
          <c:spPr>
            <a:ln w="47625">
              <a:noFill/>
            </a:ln>
          </c:spPr>
          <c:marker>
            <c:symbol val="circle"/>
            <c:size val="7"/>
            <c:spPr>
              <a:solidFill>
                <a:srgbClr val="D2803C"/>
              </a:solidFill>
              <a:ln cmpd="sng">
                <a:solidFill>
                  <a:srgbClr val="D2803C"/>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Data'!$H$243:$H$291</c:f>
              <c:numCache>
                <c:formatCode>0.00E+00</c:formatCode>
                <c:ptCount val="49"/>
              </c:numCache>
            </c:numRef>
          </c:yVal>
          <c:smooth val="1"/>
          <c:extLst>
            <c:ext xmlns:c16="http://schemas.microsoft.com/office/drawing/2014/chart" uri="{C3380CC4-5D6E-409C-BE32-E72D297353CC}">
              <c16:uniqueId val="{00000005-A2AF-45D6-ADBE-C36CA3A9AD6A}"/>
            </c:ext>
          </c:extLst>
        </c:ser>
        <c:ser>
          <c:idx val="6"/>
          <c:order val="6"/>
          <c:tx>
            <c:strRef>
              <c:f>'Passenger TAM Data'!$I$242</c:f>
              <c:strCache>
                <c:ptCount val="1"/>
                <c:pt idx="0">
                  <c:v> Based on IEA (2016) ETP 2DS Projection of BUSINESS Air Travel + Telepresence Adjustment</c:v>
                </c:pt>
              </c:strCache>
            </c:strRef>
          </c:tx>
          <c:spPr>
            <a:ln w="47625">
              <a:noFill/>
            </a:ln>
          </c:spPr>
          <c:marker>
            <c:symbol val="circle"/>
            <c:size val="7"/>
            <c:spPr>
              <a:solidFill>
                <a:srgbClr val="618EC4"/>
              </a:solidFill>
              <a:ln cmpd="sng">
                <a:solidFill>
                  <a:srgbClr val="618EC4"/>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Data'!$I$243:$I$291</c:f>
              <c:numCache>
                <c:formatCode>0.00E+00</c:formatCode>
                <c:ptCount val="49"/>
                <c:pt idx="0">
                  <c:v>2118.9290662598996</c:v>
                </c:pt>
                <c:pt idx="1">
                  <c:v>2211.5906387812802</c:v>
                </c:pt>
                <c:pt idx="2">
                  <c:v>2315.7957620872407</c:v>
                </c:pt>
                <c:pt idx="3">
                  <c:v>2405.9545398093042</c:v>
                </c:pt>
                <c:pt idx="4">
                  <c:v>2494.6472786114859</c:v>
                </c:pt>
                <c:pt idx="5">
                  <c:v>2581.9416242352577</c:v>
                </c:pt>
                <c:pt idx="6">
                  <c:v>2667.8862211401615</c:v>
                </c:pt>
                <c:pt idx="7">
                  <c:v>2752.5179885725297</c:v>
                </c:pt>
                <c:pt idx="8">
                  <c:v>2836.089001185348</c:v>
                </c:pt>
                <c:pt idx="9">
                  <c:v>2916.5004690424389</c:v>
                </c:pt>
                <c:pt idx="10">
                  <c:v>2995.5263855482403</c:v>
                </c:pt>
                <c:pt idx="11">
                  <c:v>3073.2148357762057</c:v>
                </c:pt>
                <c:pt idx="12">
                  <c:v>3149.5620202498017</c:v>
                </c:pt>
                <c:pt idx="13">
                  <c:v>3224.5781724321414</c:v>
                </c:pt>
                <c:pt idx="14">
                  <c:v>3298.3285755932088</c:v>
                </c:pt>
                <c:pt idx="15">
                  <c:v>3370.907741127206</c:v>
                </c:pt>
                <c:pt idx="16">
                  <c:v>3442.3783035027982</c:v>
                </c:pt>
                <c:pt idx="17">
                  <c:v>3512.8039888053868</c:v>
                </c:pt>
                <c:pt idx="18">
                  <c:v>3582.2469718863949</c:v>
                </c:pt>
                <c:pt idx="19">
                  <c:v>3650.7699556413904</c:v>
                </c:pt>
                <c:pt idx="20">
                  <c:v>3718.4463875353767</c:v>
                </c:pt>
                <c:pt idx="21">
                  <c:v>3785.3728139577629</c:v>
                </c:pt>
                <c:pt idx="22">
                  <c:v>3851.6573930815962</c:v>
                </c:pt>
                <c:pt idx="23">
                  <c:v>3917.3974491161357</c:v>
                </c:pt>
                <c:pt idx="24">
                  <c:v>3982.6735145617799</c:v>
                </c:pt>
                <c:pt idx="25">
                  <c:v>4047.5441401256867</c:v>
                </c:pt>
                <c:pt idx="26">
                  <c:v>4112.0569581487316</c:v>
                </c:pt>
                <c:pt idx="27">
                  <c:v>4176.2473030482797</c:v>
                </c:pt>
                <c:pt idx="28">
                  <c:v>4240.1556565548753</c:v>
                </c:pt>
                <c:pt idx="29">
                  <c:v>4303.8390419879888</c:v>
                </c:pt>
                <c:pt idx="30">
                  <c:v>4367.3635164184234</c:v>
                </c:pt>
                <c:pt idx="31">
                  <c:v>4430.7865773959184</c:v>
                </c:pt>
                <c:pt idx="32">
                  <c:v>4494.1667845973952</c:v>
                </c:pt>
                <c:pt idx="33">
                  <c:v>4557.5611691149907</c:v>
                </c:pt>
                <c:pt idx="34">
                  <c:v>4621.0259730979287</c:v>
                </c:pt>
                <c:pt idx="35">
                  <c:v>4684.6148253266128</c:v>
                </c:pt>
                <c:pt idx="36">
                  <c:v>4748.3787407070749</c:v>
                </c:pt>
                <c:pt idx="37">
                  <c:v>4812.3671357100748</c:v>
                </c:pt>
                <c:pt idx="38">
                  <c:v>4876.6301843450292</c:v>
                </c:pt>
                <c:pt idx="39">
                  <c:v>4941.2193058454159</c:v>
                </c:pt>
                <c:pt idx="40">
                  <c:v>5006.1890638223176</c:v>
                </c:pt>
                <c:pt idx="41">
                  <c:v>5071.5964452330181</c:v>
                </c:pt>
                <c:pt idx="42">
                  <c:v>5137.5002488727851</c:v>
                </c:pt>
                <c:pt idx="43">
                  <c:v>5203.9573138717469</c:v>
                </c:pt>
                <c:pt idx="44">
                  <c:v>5271.0189627119735</c:v>
                </c:pt>
                <c:pt idx="45">
                  <c:v>5338.7342792941517</c:v>
                </c:pt>
                <c:pt idx="46">
                  <c:v>5407.1549702283482</c:v>
                </c:pt>
                <c:pt idx="47">
                  <c:v>5476.3324374828217</c:v>
                </c:pt>
                <c:pt idx="48">
                  <c:v>5546.3165855131383</c:v>
                </c:pt>
              </c:numCache>
            </c:numRef>
          </c:yVal>
          <c:smooth val="1"/>
          <c:extLst>
            <c:ext xmlns:c16="http://schemas.microsoft.com/office/drawing/2014/chart" uri="{C3380CC4-5D6E-409C-BE32-E72D297353CC}">
              <c16:uniqueId val="{00000006-A2AF-45D6-ADBE-C36CA3A9AD6A}"/>
            </c:ext>
          </c:extLst>
        </c:ser>
        <c:ser>
          <c:idx val="7"/>
          <c:order val="7"/>
          <c:tx>
            <c:strRef>
              <c:f>'Passenger TAM Data'!$J$242</c:f>
              <c:strCache>
                <c:ptCount val="1"/>
                <c:pt idx="0">
                  <c:v> [Source 2 - Ambitious]</c:v>
                </c:pt>
              </c:strCache>
            </c:strRef>
          </c:tx>
          <c:spPr>
            <a:ln w="47625">
              <a:noFill/>
            </a:ln>
          </c:spPr>
          <c:marker>
            <c:symbol val="circle"/>
            <c:size val="7"/>
            <c:spPr>
              <a:solidFill>
                <a:srgbClr val="C6625F"/>
              </a:solidFill>
              <a:ln cmpd="sng">
                <a:solidFill>
                  <a:srgbClr val="C6625F"/>
                </a:solidFill>
              </a:ln>
            </c:spPr>
          </c:marke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Data'!$J$243:$J$291</c:f>
              <c:numCache>
                <c:formatCode>0.00E+00</c:formatCode>
                <c:ptCount val="49"/>
              </c:numCache>
            </c:numRef>
          </c:yVal>
          <c:smooth val="1"/>
          <c:extLst>
            <c:ext xmlns:c16="http://schemas.microsoft.com/office/drawing/2014/chart" uri="{C3380CC4-5D6E-409C-BE32-E72D297353CC}">
              <c16:uniqueId val="{00000007-A2AF-45D6-ADBE-C36CA3A9AD6A}"/>
            </c:ext>
          </c:extLst>
        </c:ser>
        <c:ser>
          <c:idx val="8"/>
          <c:order val="8"/>
          <c:tx>
            <c:strRef>
              <c:f>'Passenger TAM Data'!$K$242</c:f>
              <c:strCache>
                <c:ptCount val="1"/>
                <c:pt idx="0">
                  <c:v> [Source 3 - Ambitious]</c:v>
                </c:pt>
              </c:strCache>
            </c:strRef>
          </c:tx>
          <c:spPr>
            <a:ln w="28575">
              <a:noFill/>
            </a:ln>
          </c:spP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Data'!$K$243:$K$291</c:f>
              <c:numCache>
                <c:formatCode>_-* #,##0.00\ _€_-;\-* #,##0.00\ _€_-;_-* "-"??\ _€_-;_-@</c:formatCode>
                <c:ptCount val="49"/>
              </c:numCache>
            </c:numRef>
          </c:yVal>
          <c:smooth val="0"/>
          <c:extLst>
            <c:ext xmlns:c16="http://schemas.microsoft.com/office/drawing/2014/chart" uri="{C3380CC4-5D6E-409C-BE32-E72D297353CC}">
              <c16:uniqueId val="{00000008-A2AF-45D6-ADBE-C36CA3A9AD6A}"/>
            </c:ext>
          </c:extLst>
        </c:ser>
        <c:ser>
          <c:idx val="9"/>
          <c:order val="9"/>
          <c:tx>
            <c:strRef>
              <c:f>'Passenger TAM Data'!$L$242</c:f>
              <c:strCache>
                <c:ptCount val="1"/>
                <c:pt idx="0">
                  <c:v> [Source 1 - Maximum]</c:v>
                </c:pt>
              </c:strCache>
            </c:strRef>
          </c:tx>
          <c:spPr>
            <a:ln w="28575">
              <a:noFill/>
            </a:ln>
          </c:spP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Data'!$L$243:$L$291</c:f>
              <c:numCache>
                <c:formatCode>_-* #,##0.00\ _€_-;\-* #,##0.00\ _€_-;_-* "-"??\ _€_-;_-@</c:formatCode>
                <c:ptCount val="49"/>
              </c:numCache>
            </c:numRef>
          </c:yVal>
          <c:smooth val="0"/>
          <c:extLst>
            <c:ext xmlns:c16="http://schemas.microsoft.com/office/drawing/2014/chart" uri="{C3380CC4-5D6E-409C-BE32-E72D297353CC}">
              <c16:uniqueId val="{00000009-A2AF-45D6-ADBE-C36CA3A9AD6A}"/>
            </c:ext>
          </c:extLst>
        </c:ser>
        <c:ser>
          <c:idx val="10"/>
          <c:order val="10"/>
          <c:tx>
            <c:strRef>
              <c:f>'Passenger TAM Data'!$M$242</c:f>
              <c:strCache>
                <c:ptCount val="1"/>
                <c:pt idx="0">
                  <c:v> [Source 2 - Maximum]</c:v>
                </c:pt>
              </c:strCache>
            </c:strRef>
          </c:tx>
          <c:spPr>
            <a:ln w="28575">
              <a:noFill/>
            </a:ln>
          </c:spPr>
          <c:xVal>
            <c:numRef>
              <c:f>'Passenger TAM Data'!$B$243:$B$291</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'Passenger TAM Data'!$M$243:$M$291</c:f>
              <c:numCache>
                <c:formatCode>_-* #,##0.00\ _€_-;\-* #,##0.00\ _€_-;_-* "-"??\ _€_-;_-@</c:formatCode>
                <c:ptCount val="49"/>
              </c:numCache>
            </c:numRef>
          </c:yVal>
          <c:smooth val="0"/>
          <c:extLst>
            <c:ext xmlns:c16="http://schemas.microsoft.com/office/drawing/2014/chart" uri="{C3380CC4-5D6E-409C-BE32-E72D297353CC}">
              <c16:uniqueId val="{0000000A-A2AF-45D6-ADBE-C36CA3A9AD6A}"/>
            </c:ext>
          </c:extLst>
        </c:ser>
        <c:dLbls>
          <c:showLegendKey val="0"/>
          <c:showVal val="0"/>
          <c:showCatName val="0"/>
          <c:showSerName val="0"/>
          <c:showPercent val="0"/>
          <c:showBubbleSize val="0"/>
        </c:dLbls>
        <c:axId val="126345600"/>
        <c:axId val="126347520"/>
      </c:scatterChart>
      <c:valAx>
        <c:axId val="126345600"/>
        <c:scaling>
          <c:orientation val="minMax"/>
        </c:scaling>
        <c:delete val="0"/>
        <c:axPos val="b"/>
        <c:majorGridlines>
          <c:spPr>
            <a:ln>
              <a:solidFill>
                <a:srgbClr val="FFFFFF"/>
              </a:solidFill>
            </a:ln>
          </c:spPr>
        </c:majorGridlines>
        <c:numFmt formatCode="General" sourceLinked="1"/>
        <c:majorTickMark val="cross"/>
        <c:minorTickMark val="cross"/>
        <c:tickLblPos val="nextTo"/>
        <c:spPr>
          <a:ln w="47625">
            <a:noFill/>
          </a:ln>
        </c:spPr>
        <c:txPr>
          <a:bodyPr/>
          <a:lstStyle/>
          <a:p>
            <a:pPr lvl="0">
              <a:defRPr/>
            </a:pPr>
            <a:endParaRPr lang="en-US"/>
          </a:p>
        </c:txPr>
        <c:crossAx val="126347520"/>
        <c:crosses val="autoZero"/>
        <c:crossBetween val="midCat"/>
      </c:valAx>
      <c:valAx>
        <c:axId val="126347520"/>
        <c:scaling>
          <c:orientation val="minMax"/>
        </c:scaling>
        <c:delete val="0"/>
        <c:axPos val="l"/>
        <c:majorGridlines>
          <c:spPr>
            <a:ln>
              <a:solidFill>
                <a:srgbClr val="B7B7B7"/>
              </a:solidFill>
            </a:ln>
          </c:spPr>
        </c:majorGridlines>
        <c:numFmt formatCode="0.00E+00" sourceLinked="1"/>
        <c:majorTickMark val="cross"/>
        <c:minorTickMark val="cross"/>
        <c:tickLblPos val="nextTo"/>
        <c:spPr>
          <a:ln w="47625">
            <a:noFill/>
          </a:ln>
        </c:spPr>
        <c:txPr>
          <a:bodyPr/>
          <a:lstStyle/>
          <a:p>
            <a:pPr lvl="0">
              <a:defRPr/>
            </a:pPr>
            <a:endParaRPr lang="en-US"/>
          </a:p>
        </c:txPr>
        <c:crossAx val="126345600"/>
        <c:crosses val="autoZero"/>
        <c:crossBetween val="midCat"/>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1"/>
        <c:ser>
          <c:idx val="0"/>
          <c:order val="0"/>
          <c:tx>
            <c:strRef>
              <c:f>'Freight TAM Data'!$C$10</c:f>
              <c:strCache>
                <c:ptCount val="1"/>
                <c:pt idx="0">
                  <c:v> Combined from Several Sources for Each Mode  (Shipping-4, Land-2, Air-3) - See "Common Data- Freight Projections (TAM for ALL MODES).xlsx" - Base Ranges</c:v>
                </c:pt>
              </c:strCache>
            </c:strRef>
          </c:tx>
          <c:spPr>
            <a:ln w="47625">
              <a:noFill/>
            </a:ln>
          </c:spPr>
          <c:marker>
            <c:symbol val="circle"/>
            <c:size val="7"/>
            <c:spPr>
              <a:solidFill>
                <a:srgbClr val="436EA1"/>
              </a:solidFill>
              <a:ln cmpd="sng">
                <a:solidFill>
                  <a:srgbClr val="436EA1"/>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Data'!$C$11:$C$59</c:f>
              <c:numCache>
                <c:formatCode>_-* #,##0\ _€_-;\-* #,##0\ _€_-;_-* "-"??\ _€_-;_-@_-</c:formatCode>
                <c:ptCount val="49"/>
                <c:pt idx="0">
                  <c:v>111304101.36378722</c:v>
                </c:pt>
                <c:pt idx="1">
                  <c:v>114809281.73291987</c:v>
                </c:pt>
                <c:pt idx="2">
                  <c:v>120041145.08637774</c:v>
                </c:pt>
                <c:pt idx="3">
                  <c:v>121402579.56495498</c:v>
                </c:pt>
                <c:pt idx="4">
                  <c:v>125419175.00682679</c:v>
                </c:pt>
                <c:pt idx="5">
                  <c:v>131106488.58192991</c:v>
                </c:pt>
                <c:pt idx="6">
                  <c:v>136014167.4935613</c:v>
                </c:pt>
                <c:pt idx="7">
                  <c:v>138615066.64722213</c:v>
                </c:pt>
                <c:pt idx="8">
                  <c:v>143607177.61110789</c:v>
                </c:pt>
                <c:pt idx="9">
                  <c:v>147638211.06368932</c:v>
                </c:pt>
                <c:pt idx="10">
                  <c:v>152389535.28659737</c:v>
                </c:pt>
                <c:pt idx="11">
                  <c:v>157362816.04242453</c:v>
                </c:pt>
                <c:pt idx="12">
                  <c:v>162578731.36562198</c:v>
                </c:pt>
                <c:pt idx="13">
                  <c:v>168068843.40691885</c:v>
                </c:pt>
                <c:pt idx="14">
                  <c:v>173824829.62613234</c:v>
                </c:pt>
                <c:pt idx="15">
                  <c:v>179902626.52463171</c:v>
                </c:pt>
                <c:pt idx="16">
                  <c:v>186314810.77474824</c:v>
                </c:pt>
                <c:pt idx="17">
                  <c:v>193084473.44689262</c:v>
                </c:pt>
                <c:pt idx="18">
                  <c:v>198246347.29970783</c:v>
                </c:pt>
                <c:pt idx="19">
                  <c:v>207786858.25092211</c:v>
                </c:pt>
                <c:pt idx="20">
                  <c:v>215764670.0204187</c:v>
                </c:pt>
                <c:pt idx="21">
                  <c:v>224192063.50073788</c:v>
                </c:pt>
                <c:pt idx="22">
                  <c:v>233094046.21393138</c:v>
                </c:pt>
                <c:pt idx="23">
                  <c:v>242456334.56862378</c:v>
                </c:pt>
                <c:pt idx="24">
                  <c:v>252418051.08678243</c:v>
                </c:pt>
                <c:pt idx="25">
                  <c:v>262884921.52289629</c:v>
                </c:pt>
                <c:pt idx="26">
                  <c:v>273915681.80624288</c:v>
                </c:pt>
                <c:pt idx="27">
                  <c:v>285529015.54426575</c:v>
                </c:pt>
                <c:pt idx="28">
                  <c:v>298766260.34611422</c:v>
                </c:pt>
                <c:pt idx="29">
                  <c:v>310580104.35325843</c:v>
                </c:pt>
                <c:pt idx="30">
                  <c:v>324059055.31610924</c:v>
                </c:pt>
                <c:pt idx="31">
                  <c:v>338200406.04604715</c:v>
                </c:pt>
                <c:pt idx="32">
                  <c:v>353023844.56960446</c:v>
                </c:pt>
                <c:pt idx="33">
                  <c:v>368560391.10641456</c:v>
                </c:pt>
                <c:pt idx="34">
                  <c:v>384794352.1876142</c:v>
                </c:pt>
                <c:pt idx="35">
                  <c:v>401779392.47485662</c:v>
                </c:pt>
                <c:pt idx="36">
                  <c:v>419522672.27956676</c:v>
                </c:pt>
                <c:pt idx="37">
                  <c:v>438042788.97083277</c:v>
                </c:pt>
                <c:pt idx="38">
                  <c:v>457153615.6940248</c:v>
                </c:pt>
                <c:pt idx="39">
                  <c:v>477486471.70434684</c:v>
                </c:pt>
                <c:pt idx="40">
                  <c:v>498445785.10352683</c:v>
                </c:pt>
                <c:pt idx="41">
                  <c:v>520253305.07133967</c:v>
                </c:pt>
                <c:pt idx="42">
                  <c:v>542926025.0959208</c:v>
                </c:pt>
                <c:pt idx="43">
                  <c:v>566480741.25414598</c:v>
                </c:pt>
                <c:pt idx="44">
                  <c:v>590934106.64413559</c:v>
                </c:pt>
                <c:pt idx="45">
                  <c:v>616302672.07732093</c:v>
                </c:pt>
                <c:pt idx="46">
                  <c:v>642602912.20113075</c:v>
                </c:pt>
                <c:pt idx="47">
                  <c:v>669851232.07864487</c:v>
                </c:pt>
                <c:pt idx="48">
                  <c:v>698063819.62390327</c:v>
                </c:pt>
              </c:numCache>
            </c:numRef>
          </c:yVal>
          <c:smooth val="1"/>
          <c:extLst>
            <c:ext xmlns:c16="http://schemas.microsoft.com/office/drawing/2014/chart" uri="{C3380CC4-5D6E-409C-BE32-E72D297353CC}">
              <c16:uniqueId val="{00000000-815D-4EC7-A5BF-1907796E442A}"/>
            </c:ext>
          </c:extLst>
        </c:ser>
        <c:ser>
          <c:idx val="1"/>
          <c:order val="1"/>
          <c:tx>
            <c:strRef>
              <c:f>'Freight TAM Data'!$D$10</c:f>
              <c:strCache>
                <c:ptCount val="1"/>
                <c:pt idx="0">
                  <c:v> [Source 2 - Base]</c:v>
                </c:pt>
              </c:strCache>
            </c:strRef>
          </c:tx>
          <c:spPr>
            <a:ln w="47625">
              <a:noFill/>
            </a:ln>
          </c:spPr>
          <c:marker>
            <c:symbol val="circle"/>
            <c:size val="7"/>
            <c:spPr>
              <a:solidFill>
                <a:srgbClr val="A34441"/>
              </a:solidFill>
              <a:ln cmpd="sng">
                <a:solidFill>
                  <a:srgbClr val="A34441"/>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Data'!$D$11:$D$59</c:f>
              <c:numCache>
                <c:formatCode>_-* #,##0\ _€_-;\-* #,##0\ _€_-;_-* "-"??\ _€_-;_-@_-</c:formatCode>
                <c:ptCount val="49"/>
              </c:numCache>
            </c:numRef>
          </c:yVal>
          <c:smooth val="1"/>
          <c:extLst>
            <c:ext xmlns:c16="http://schemas.microsoft.com/office/drawing/2014/chart" uri="{C3380CC4-5D6E-409C-BE32-E72D297353CC}">
              <c16:uniqueId val="{00000001-815D-4EC7-A5BF-1907796E442A}"/>
            </c:ext>
          </c:extLst>
        </c:ser>
        <c:ser>
          <c:idx val="2"/>
          <c:order val="2"/>
          <c:tx>
            <c:strRef>
              <c:f>'Freight TAM Data'!$E$10</c:f>
              <c:strCache>
                <c:ptCount val="1"/>
                <c:pt idx="0">
                  <c:v> [Source 3 - Base]</c:v>
                </c:pt>
              </c:strCache>
            </c:strRef>
          </c:tx>
          <c:spPr>
            <a:ln w="47625">
              <a:noFill/>
            </a:ln>
          </c:spPr>
          <c:marker>
            <c:symbol val="circle"/>
            <c:size val="7"/>
            <c:spPr>
              <a:solidFill>
                <a:srgbClr val="849F4C"/>
              </a:solidFill>
              <a:ln cmpd="sng">
                <a:solidFill>
                  <a:srgbClr val="849F4C"/>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Data'!$E$11:$E$59</c:f>
              <c:numCache>
                <c:formatCode>_-* #,##0\ _€_-;\-* #,##0\ _€_-;_-* "-"??\ _€_-;_-@_-</c:formatCode>
                <c:ptCount val="49"/>
              </c:numCache>
            </c:numRef>
          </c:yVal>
          <c:smooth val="1"/>
          <c:extLst>
            <c:ext xmlns:c16="http://schemas.microsoft.com/office/drawing/2014/chart" uri="{C3380CC4-5D6E-409C-BE32-E72D297353CC}">
              <c16:uniqueId val="{00000002-815D-4EC7-A5BF-1907796E442A}"/>
            </c:ext>
          </c:extLst>
        </c:ser>
        <c:ser>
          <c:idx val="3"/>
          <c:order val="3"/>
          <c:tx>
            <c:strRef>
              <c:f>'Freight TAM Data'!$F$10</c:f>
              <c:strCache>
                <c:ptCount val="1"/>
                <c:pt idx="0">
                  <c:v> Combined from Several Sources for Each Mode (Shipping-4, Land-1, Air-2) - See "Common Data- Freight Projections (TAM for ALL MODES).xlsx" - Highest Ranges</c:v>
                </c:pt>
              </c:strCache>
            </c:strRef>
          </c:tx>
          <c:spPr>
            <a:ln w="47625">
              <a:noFill/>
            </a:ln>
          </c:spPr>
          <c:marker>
            <c:symbol val="circle"/>
            <c:size val="7"/>
            <c:spPr>
              <a:solidFill>
                <a:srgbClr val="6D558A"/>
              </a:solidFill>
              <a:ln cmpd="sng">
                <a:solidFill>
                  <a:srgbClr val="6D558A"/>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Data'!$F$11:$F$59</c:f>
              <c:numCache>
                <c:formatCode>_-* #,##0\ _€_-;\-* #,##0\ _€_-;_-* "-"??\ _€_-;_-@_-</c:formatCode>
                <c:ptCount val="49"/>
                <c:pt idx="0">
                  <c:v>109767424.56999251</c:v>
                </c:pt>
                <c:pt idx="1">
                  <c:v>113172605.65490299</c:v>
                </c:pt>
                <c:pt idx="2">
                  <c:v>118262455.40848908</c:v>
                </c:pt>
                <c:pt idx="3">
                  <c:v>119523740.38021153</c:v>
                </c:pt>
                <c:pt idx="4">
                  <c:v>123443545.21828455</c:v>
                </c:pt>
                <c:pt idx="5">
                  <c:v>129040054.69310692</c:v>
                </c:pt>
                <c:pt idx="6">
                  <c:v>133859335.09285077</c:v>
                </c:pt>
                <c:pt idx="7">
                  <c:v>136373499.22507656</c:v>
                </c:pt>
                <c:pt idx="8">
                  <c:v>141192358.00097936</c:v>
                </c:pt>
                <c:pt idx="9">
                  <c:v>145226219.05387747</c:v>
                </c:pt>
                <c:pt idx="10">
                  <c:v>149892344.31092137</c:v>
                </c:pt>
                <c:pt idx="11">
                  <c:v>154778613.87772885</c:v>
                </c:pt>
                <c:pt idx="12">
                  <c:v>159904733.25018311</c:v>
                </c:pt>
                <c:pt idx="13">
                  <c:v>165310356.80063519</c:v>
                </c:pt>
                <c:pt idx="14">
                  <c:v>170959011.84137458</c:v>
                </c:pt>
                <c:pt idx="15">
                  <c:v>176932844.99498913</c:v>
                </c:pt>
                <c:pt idx="16">
                  <c:v>183234397.23752838</c:v>
                </c:pt>
                <c:pt idx="17">
                  <c:v>189885783.6180681</c:v>
                </c:pt>
                <c:pt idx="18">
                  <c:v>194961435.76036233</c:v>
                </c:pt>
                <c:pt idx="19">
                  <c:v>204324822.41984618</c:v>
                </c:pt>
                <c:pt idx="20">
                  <c:v>212155648.20694238</c:v>
                </c:pt>
                <c:pt idx="21">
                  <c:v>220424528.32105637</c:v>
                </c:pt>
                <c:pt idx="22">
                  <c:v>229155455.56548548</c:v>
                </c:pt>
                <c:pt idx="23">
                  <c:v>238430205.81015611</c:v>
                </c:pt>
                <c:pt idx="24">
                  <c:v>248095773.62054566</c:v>
                </c:pt>
                <c:pt idx="25">
                  <c:v>258348127.64036307</c:v>
                </c:pt>
                <c:pt idx="26">
                  <c:v>269148017.91497946</c:v>
                </c:pt>
                <c:pt idx="27">
                  <c:v>280513217.4245832</c:v>
                </c:pt>
                <c:pt idx="28">
                  <c:v>293435216.26690394</c:v>
                </c:pt>
                <c:pt idx="29">
                  <c:v>305012655.99374437</c:v>
                </c:pt>
                <c:pt idx="30">
                  <c:v>318186310.1520378</c:v>
                </c:pt>
                <c:pt idx="31">
                  <c:v>332001580.69312674</c:v>
                </c:pt>
                <c:pt idx="32">
                  <c:v>346477337.4205395</c:v>
                </c:pt>
                <c:pt idx="33">
                  <c:v>361549134.18558425</c:v>
                </c:pt>
                <c:pt idx="34">
                  <c:v>377484419.37006944</c:v>
                </c:pt>
                <c:pt idx="35">
                  <c:v>394052077.79120499</c:v>
                </c:pt>
                <c:pt idx="36">
                  <c:v>411353137.15803623</c:v>
                </c:pt>
                <c:pt idx="37">
                  <c:v>429405424.36611295</c:v>
                </c:pt>
                <c:pt idx="38">
                  <c:v>448078077.95599443</c:v>
                </c:pt>
                <c:pt idx="39">
                  <c:v>467833574.58308142</c:v>
                </c:pt>
                <c:pt idx="40">
                  <c:v>488243665.25223434</c:v>
                </c:pt>
                <c:pt idx="41">
                  <c:v>509473404.35726798</c:v>
                </c:pt>
                <c:pt idx="42">
                  <c:v>531539149.68724555</c:v>
                </c:pt>
                <c:pt idx="43">
                  <c:v>554457044.15804398</c:v>
                </c:pt>
                <c:pt idx="44">
                  <c:v>578243048.21170115</c:v>
                </c:pt>
                <c:pt idx="45">
                  <c:v>602912980.1711508</c:v>
                </c:pt>
                <c:pt idx="46">
                  <c:v>628482575.51310384</c:v>
                </c:pt>
                <c:pt idx="47">
                  <c:v>654967479.4400034</c:v>
                </c:pt>
                <c:pt idx="48">
                  <c:v>682383128.32053828</c:v>
                </c:pt>
              </c:numCache>
            </c:numRef>
          </c:yVal>
          <c:smooth val="1"/>
          <c:extLst>
            <c:ext xmlns:c16="http://schemas.microsoft.com/office/drawing/2014/chart" uri="{C3380CC4-5D6E-409C-BE32-E72D297353CC}">
              <c16:uniqueId val="{00000003-815D-4EC7-A5BF-1907796E442A}"/>
            </c:ext>
          </c:extLst>
        </c:ser>
        <c:ser>
          <c:idx val="4"/>
          <c:order val="4"/>
          <c:tx>
            <c:strRef>
              <c:f>'Freight TAM Data'!$G$10</c:f>
              <c:strCache>
                <c:ptCount val="1"/>
                <c:pt idx="0">
                  <c:v> [Source 2 - Conservative]</c:v>
                </c:pt>
              </c:strCache>
            </c:strRef>
          </c:tx>
          <c:spPr>
            <a:ln w="47625">
              <a:noFill/>
            </a:ln>
          </c:spPr>
          <c:marker>
            <c:symbol val="circle"/>
            <c:size val="7"/>
            <c:spPr>
              <a:solidFill>
                <a:srgbClr val="4092A8"/>
              </a:solidFill>
              <a:ln cmpd="sng">
                <a:solidFill>
                  <a:srgbClr val="4092A8"/>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Data'!$G$11:$G$59</c:f>
              <c:numCache>
                <c:formatCode>_-* #,##0\ _€_-;\-* #,##0\ _€_-;_-* "-"??\ _€_-;_-@_-</c:formatCode>
                <c:ptCount val="49"/>
              </c:numCache>
            </c:numRef>
          </c:yVal>
          <c:smooth val="1"/>
          <c:extLst>
            <c:ext xmlns:c16="http://schemas.microsoft.com/office/drawing/2014/chart" uri="{C3380CC4-5D6E-409C-BE32-E72D297353CC}">
              <c16:uniqueId val="{00000004-815D-4EC7-A5BF-1907796E442A}"/>
            </c:ext>
          </c:extLst>
        </c:ser>
        <c:ser>
          <c:idx val="5"/>
          <c:order val="5"/>
          <c:tx>
            <c:strRef>
              <c:f>'Freight TAM Data'!$H$10</c:f>
              <c:strCache>
                <c:ptCount val="1"/>
                <c:pt idx="0">
                  <c:v> [Source 3 - Conservative]</c:v>
                </c:pt>
              </c:strCache>
            </c:strRef>
          </c:tx>
          <c:spPr>
            <a:ln w="47625">
              <a:noFill/>
            </a:ln>
          </c:spPr>
          <c:marker>
            <c:symbol val="circle"/>
            <c:size val="7"/>
            <c:spPr>
              <a:solidFill>
                <a:srgbClr val="D2803C"/>
              </a:solidFill>
              <a:ln cmpd="sng">
                <a:solidFill>
                  <a:srgbClr val="D2803C"/>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Data'!$H$11:$H$59</c:f>
              <c:numCache>
                <c:formatCode>_-* #,##0\ _€_-;\-* #,##0\ _€_-;_-* "-"??\ _€_-;_-@_-</c:formatCode>
                <c:ptCount val="49"/>
              </c:numCache>
            </c:numRef>
          </c:yVal>
          <c:smooth val="1"/>
          <c:extLst>
            <c:ext xmlns:c16="http://schemas.microsoft.com/office/drawing/2014/chart" uri="{C3380CC4-5D6E-409C-BE32-E72D297353CC}">
              <c16:uniqueId val="{00000005-815D-4EC7-A5BF-1907796E442A}"/>
            </c:ext>
          </c:extLst>
        </c:ser>
        <c:ser>
          <c:idx val="6"/>
          <c:order val="6"/>
          <c:tx>
            <c:strRef>
              <c:f>'Freight TAM Data'!$I$10</c:f>
              <c:strCache>
                <c:ptCount val="1"/>
                <c:pt idx="0">
                  <c:v> Combined from Several Sources for Each Mode (Shipping-5, Land-1, Air-2) - See "Common Data- Freight Projections (TAM for ALL MODES).xlsx" - Lowest Ranges</c:v>
                </c:pt>
              </c:strCache>
            </c:strRef>
          </c:tx>
          <c:spPr>
            <a:ln w="47625">
              <a:noFill/>
            </a:ln>
          </c:spPr>
          <c:marker>
            <c:symbol val="circle"/>
            <c:size val="7"/>
            <c:spPr>
              <a:solidFill>
                <a:srgbClr val="618EC4"/>
              </a:solidFill>
              <a:ln cmpd="sng">
                <a:solidFill>
                  <a:srgbClr val="618EC4"/>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Data'!$I$11:$I$59</c:f>
              <c:numCache>
                <c:formatCode>_-* #,##0\ _€_-;\-* #,##0\ _€_-;_-* "-"??\ _€_-;_-@_-</c:formatCode>
                <c:ptCount val="49"/>
                <c:pt idx="0">
                  <c:v>109767811.73456299</c:v>
                </c:pt>
                <c:pt idx="1">
                  <c:v>113172752.54782158</c:v>
                </c:pt>
                <c:pt idx="2">
                  <c:v>118259122.42242377</c:v>
                </c:pt>
                <c:pt idx="3">
                  <c:v>119520675.06811307</c:v>
                </c:pt>
                <c:pt idx="4">
                  <c:v>123436626.6825508</c:v>
                </c:pt>
                <c:pt idx="5">
                  <c:v>129030833.83991446</c:v>
                </c:pt>
                <c:pt idx="6">
                  <c:v>133847466.92243296</c:v>
                </c:pt>
                <c:pt idx="7">
                  <c:v>133170648.31842449</c:v>
                </c:pt>
                <c:pt idx="8">
                  <c:v>135911505.65642571</c:v>
                </c:pt>
                <c:pt idx="9">
                  <c:v>138472811.16241682</c:v>
                </c:pt>
                <c:pt idx="10">
                  <c:v>140892499.06831282</c:v>
                </c:pt>
                <c:pt idx="11">
                  <c:v>143196129.57848722</c:v>
                </c:pt>
                <c:pt idx="12">
                  <c:v>145387770.50016072</c:v>
                </c:pt>
                <c:pt idx="13">
                  <c:v>147488976.67847052</c:v>
                </c:pt>
                <c:pt idx="14">
                  <c:v>149456056.94253725</c:v>
                </c:pt>
                <c:pt idx="15">
                  <c:v>151347598.94487116</c:v>
                </c:pt>
                <c:pt idx="16">
                  <c:v>153153654.91092005</c:v>
                </c:pt>
                <c:pt idx="17">
                  <c:v>154881206.36175689</c:v>
                </c:pt>
                <c:pt idx="18">
                  <c:v>156585769.88222799</c:v>
                </c:pt>
                <c:pt idx="19">
                  <c:v>158127660.75936747</c:v>
                </c:pt>
                <c:pt idx="20">
                  <c:v>159660002.83205685</c:v>
                </c:pt>
                <c:pt idx="21">
                  <c:v>161142053.46595404</c:v>
                </c:pt>
                <c:pt idx="22">
                  <c:v>162582206.08177036</c:v>
                </c:pt>
                <c:pt idx="23">
                  <c:v>164046746.86550501</c:v>
                </c:pt>
                <c:pt idx="24">
                  <c:v>165366928.21712536</c:v>
                </c:pt>
                <c:pt idx="25">
                  <c:v>166724145.00480771</c:v>
                </c:pt>
                <c:pt idx="26">
                  <c:v>168064772.74508819</c:v>
                </c:pt>
                <c:pt idx="27">
                  <c:v>169393064.92750204</c:v>
                </c:pt>
                <c:pt idx="28">
                  <c:v>169633728.17071104</c:v>
                </c:pt>
                <c:pt idx="29">
                  <c:v>172032061.61615714</c:v>
                </c:pt>
                <c:pt idx="30">
                  <c:v>173354463.65425992</c:v>
                </c:pt>
                <c:pt idx="31">
                  <c:v>174686379.40690917</c:v>
                </c:pt>
                <c:pt idx="32">
                  <c:v>176033397.64079872</c:v>
                </c:pt>
                <c:pt idx="33">
                  <c:v>177316522.94536132</c:v>
                </c:pt>
                <c:pt idx="34">
                  <c:v>178794827.91987264</c:v>
                </c:pt>
                <c:pt idx="35">
                  <c:v>180220146.93040735</c:v>
                </c:pt>
                <c:pt idx="36">
                  <c:v>181682478.61040521</c:v>
                </c:pt>
                <c:pt idx="37">
                  <c:v>183187280.95008308</c:v>
                </c:pt>
                <c:pt idx="38">
                  <c:v>185195707.30375123</c:v>
                </c:pt>
                <c:pt idx="39">
                  <c:v>186345886.4126054</c:v>
                </c:pt>
                <c:pt idx="40">
                  <c:v>188010385.8841233</c:v>
                </c:pt>
                <c:pt idx="41">
                  <c:v>189738748.72821519</c:v>
                </c:pt>
                <c:pt idx="42">
                  <c:v>191536229.89841321</c:v>
                </c:pt>
                <c:pt idx="43">
                  <c:v>193408056.05282468</c:v>
                </c:pt>
                <c:pt idx="44">
                  <c:v>195359412.70629773</c:v>
                </c:pt>
                <c:pt idx="45">
                  <c:v>197395467.38337287</c:v>
                </c:pt>
                <c:pt idx="46">
                  <c:v>199521404.68614545</c:v>
                </c:pt>
                <c:pt idx="47">
                  <c:v>201742401.77459046</c:v>
                </c:pt>
                <c:pt idx="48">
                  <c:v>204063584.66265363</c:v>
                </c:pt>
              </c:numCache>
            </c:numRef>
          </c:yVal>
          <c:smooth val="1"/>
          <c:extLst>
            <c:ext xmlns:c16="http://schemas.microsoft.com/office/drawing/2014/chart" uri="{C3380CC4-5D6E-409C-BE32-E72D297353CC}">
              <c16:uniqueId val="{00000006-815D-4EC7-A5BF-1907796E442A}"/>
            </c:ext>
          </c:extLst>
        </c:ser>
        <c:ser>
          <c:idx val="7"/>
          <c:order val="7"/>
          <c:tx>
            <c:strRef>
              <c:f>'Freight TAM Data'!$J$10</c:f>
              <c:strCache>
                <c:ptCount val="1"/>
                <c:pt idx="0">
                  <c:v> [Source 2 - Ambitious]</c:v>
                </c:pt>
              </c:strCache>
            </c:strRef>
          </c:tx>
          <c:spPr>
            <a:ln w="47625">
              <a:noFill/>
            </a:ln>
          </c:spPr>
          <c:marker>
            <c:symbol val="circle"/>
            <c:size val="7"/>
            <c:spPr>
              <a:solidFill>
                <a:srgbClr val="C6625F"/>
              </a:solidFill>
              <a:ln cmpd="sng">
                <a:solidFill>
                  <a:srgbClr val="C6625F"/>
                </a:solidFill>
              </a:ln>
            </c:spPr>
          </c:marke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Data'!$J$11:$J$59</c:f>
              <c:numCache>
                <c:formatCode>_-* #,##0\ _€_-;\-* #,##0\ _€_-;_-* "-"??\ _€_-;_-@_-</c:formatCode>
                <c:ptCount val="49"/>
              </c:numCache>
            </c:numRef>
          </c:yVal>
          <c:smooth val="1"/>
          <c:extLst>
            <c:ext xmlns:c16="http://schemas.microsoft.com/office/drawing/2014/chart" uri="{C3380CC4-5D6E-409C-BE32-E72D297353CC}">
              <c16:uniqueId val="{00000007-815D-4EC7-A5BF-1907796E442A}"/>
            </c:ext>
          </c:extLst>
        </c:ser>
        <c:ser>
          <c:idx val="8"/>
          <c:order val="8"/>
          <c:tx>
            <c:strRef>
              <c:f>'Freight TAM Data'!$K$10</c:f>
              <c:strCache>
                <c:ptCount val="1"/>
                <c:pt idx="0">
                  <c:v> [Source 3 - Ambitious]</c:v>
                </c:pt>
              </c:strCache>
            </c:strRef>
          </c:tx>
          <c:spPr>
            <a:ln w="28575">
              <a:noFill/>
            </a:ln>
          </c:spP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Data'!$K$11:$K$59</c:f>
              <c:numCache>
                <c:formatCode>_-* #,##0.00\ _€_-;\-* #,##0.00\ _€_-;_-* "-"??\ _€_-;_-@</c:formatCode>
                <c:ptCount val="49"/>
              </c:numCache>
            </c:numRef>
          </c:yVal>
          <c:smooth val="0"/>
          <c:extLst>
            <c:ext xmlns:c16="http://schemas.microsoft.com/office/drawing/2014/chart" uri="{C3380CC4-5D6E-409C-BE32-E72D297353CC}">
              <c16:uniqueId val="{00000000-F3DE-4ACD-8DA0-456D9063C473}"/>
            </c:ext>
          </c:extLst>
        </c:ser>
        <c:ser>
          <c:idx val="9"/>
          <c:order val="9"/>
          <c:tx>
            <c:strRef>
              <c:f>'Freight TAM Data'!$L$10</c:f>
              <c:strCache>
                <c:ptCount val="1"/>
                <c:pt idx="0">
                  <c:v> [Source 1 - Maximum]</c:v>
                </c:pt>
              </c:strCache>
            </c:strRef>
          </c:tx>
          <c:spPr>
            <a:ln w="28575">
              <a:noFill/>
            </a:ln>
          </c:spP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Data'!$L$11:$L$59</c:f>
              <c:numCache>
                <c:formatCode>_-* #,##0.00\ _€_-;\-* #,##0.00\ _€_-;_-* "-"??\ _€_-;_-@</c:formatCode>
                <c:ptCount val="49"/>
              </c:numCache>
            </c:numRef>
          </c:yVal>
          <c:smooth val="0"/>
          <c:extLst>
            <c:ext xmlns:c16="http://schemas.microsoft.com/office/drawing/2014/chart" uri="{C3380CC4-5D6E-409C-BE32-E72D297353CC}">
              <c16:uniqueId val="{00000001-F3DE-4ACD-8DA0-456D9063C473}"/>
            </c:ext>
          </c:extLst>
        </c:ser>
        <c:ser>
          <c:idx val="10"/>
          <c:order val="10"/>
          <c:tx>
            <c:strRef>
              <c:f>'Freight TAM Data'!$M$10</c:f>
              <c:strCache>
                <c:ptCount val="1"/>
                <c:pt idx="0">
                  <c:v> [Source 2 - Maximum]</c:v>
                </c:pt>
              </c:strCache>
            </c:strRef>
          </c:tx>
          <c:spPr>
            <a:ln w="28575">
              <a:noFill/>
            </a:ln>
          </c:spPr>
          <c:xVal>
            <c:numRef>
              <c:f>'Freight TAM Data'!$B$11:$B$59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Data'!$M$11:$M$59</c:f>
              <c:numCache>
                <c:formatCode>_-* #,##0.00\ _€_-;\-* #,##0.00\ _€_-;_-* "-"??\ _€_-;_-@</c:formatCode>
                <c:ptCount val="49"/>
              </c:numCache>
            </c:numRef>
          </c:yVal>
          <c:smooth val="0"/>
          <c:extLst>
            <c:ext xmlns:c16="http://schemas.microsoft.com/office/drawing/2014/chart" uri="{C3380CC4-5D6E-409C-BE32-E72D297353CC}">
              <c16:uniqueId val="{00000002-F3DE-4ACD-8DA0-456D9063C473}"/>
            </c:ext>
          </c:extLst>
        </c:ser>
        <c:dLbls>
          <c:showLegendKey val="0"/>
          <c:showVal val="0"/>
          <c:showCatName val="0"/>
          <c:showSerName val="0"/>
          <c:showPercent val="0"/>
          <c:showBubbleSize val="0"/>
        </c:dLbls>
        <c:axId val="126345600"/>
        <c:axId val="126347520"/>
      </c:scatterChart>
      <c:valAx>
        <c:axId val="126345600"/>
        <c:scaling>
          <c:orientation val="minMax"/>
        </c:scaling>
        <c:delete val="0"/>
        <c:axPos val="b"/>
        <c:majorGridlines>
          <c:spPr>
            <a:ln>
              <a:solidFill>
                <a:srgbClr val="FFFFFF"/>
              </a:solidFill>
            </a:ln>
          </c:spPr>
        </c:majorGridlines>
        <c:numFmt formatCode="General" sourceLinked="1"/>
        <c:majorTickMark val="cross"/>
        <c:minorTickMark val="cross"/>
        <c:tickLblPos val="nextTo"/>
        <c:spPr>
          <a:ln w="47625">
            <a:noFill/>
          </a:ln>
        </c:spPr>
        <c:txPr>
          <a:bodyPr/>
          <a:lstStyle/>
          <a:p>
            <a:pPr lvl="0">
              <a:defRPr/>
            </a:pPr>
            <a:endParaRPr lang="en-US"/>
          </a:p>
        </c:txPr>
        <c:crossAx val="126347520"/>
        <c:crosses val="autoZero"/>
        <c:crossBetween val="midCat"/>
      </c:valAx>
      <c:valAx>
        <c:axId val="126347520"/>
        <c:scaling>
          <c:orientation val="minMax"/>
        </c:scaling>
        <c:delete val="0"/>
        <c:axPos val="l"/>
        <c:majorGridlines>
          <c:spPr>
            <a:ln>
              <a:solidFill>
                <a:srgbClr val="B7B7B7"/>
              </a:solidFill>
            </a:ln>
          </c:spPr>
        </c:majorGridlines>
        <c:numFmt formatCode="_-* #,##0\ _€_-;\-* #,##0\ _€_-;_-* &quot;-&quot;??\ _€_-;_-@_-" sourceLinked="1"/>
        <c:majorTickMark val="cross"/>
        <c:minorTickMark val="cross"/>
        <c:tickLblPos val="nextTo"/>
        <c:spPr>
          <a:ln w="47625">
            <a:noFill/>
          </a:ln>
        </c:spPr>
        <c:txPr>
          <a:bodyPr/>
          <a:lstStyle/>
          <a:p>
            <a:pPr lvl="0">
              <a:defRPr/>
            </a:pPr>
            <a:endParaRPr lang="en-US"/>
          </a:p>
        </c:txPr>
        <c:crossAx val="126345600"/>
        <c:crosses val="autoZero"/>
        <c:crossBetween val="midCat"/>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1"/>
        <c:ser>
          <c:idx val="0"/>
          <c:order val="0"/>
          <c:tx>
            <c:strRef>
              <c:f>'Freight TAM Data'!$C$70</c:f>
              <c:strCache>
                <c:ptCount val="1"/>
                <c:pt idx="0">
                  <c:v> Based on Smith et al, 2014 (max scenario); Fig 82,83 Pg 159,160</c:v>
                </c:pt>
              </c:strCache>
            </c:strRef>
          </c:tx>
          <c:spPr>
            <a:ln w="47625">
              <a:noFill/>
            </a:ln>
          </c:spPr>
          <c:marker>
            <c:symbol val="circle"/>
            <c:size val="7"/>
            <c:spPr>
              <a:solidFill>
                <a:srgbClr val="436EA1"/>
              </a:solidFill>
              <a:ln cmpd="sng">
                <a:solidFill>
                  <a:srgbClr val="436EA1"/>
                </a:solidFill>
              </a:ln>
            </c:spPr>
          </c:marke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Data'!$C$71:$C$119</c:f>
              <c:numCache>
                <c:formatCode>_-* #,##0\ _€_-;\-* #,##0\ _€_-;_-* "-"??\ _€_-;_-@_-</c:formatCode>
                <c:ptCount val="49"/>
                <c:pt idx="0">
                  <c:v>90496128</c:v>
                </c:pt>
                <c:pt idx="1">
                  <c:v>93507480</c:v>
                </c:pt>
                <c:pt idx="2">
                  <c:v>98076286.816817805</c:v>
                </c:pt>
                <c:pt idx="3">
                  <c:v>98986429.075727418</c:v>
                </c:pt>
                <c:pt idx="4">
                  <c:v>102405880.5458408</c:v>
                </c:pt>
                <c:pt idx="5">
                  <c:v>107552829.14816633</c:v>
                </c:pt>
                <c:pt idx="6">
                  <c:v>111908118.68413797</c:v>
                </c:pt>
                <c:pt idx="7">
                  <c:v>112184915.27248412</c:v>
                </c:pt>
                <c:pt idx="8">
                  <c:v>115476739.47175489</c:v>
                </c:pt>
                <c:pt idx="9">
                  <c:v>118832535.36293708</c:v>
                </c:pt>
                <c:pt idx="10">
                  <c:v>122363325.15823571</c:v>
                </c:pt>
                <c:pt idx="11">
                  <c:v>126104399.15109961</c:v>
                </c:pt>
                <c:pt idx="12">
                  <c:v>130089004.59246306</c:v>
                </c:pt>
                <c:pt idx="13">
                  <c:v>134350610.05521977</c:v>
                </c:pt>
                <c:pt idx="14">
                  <c:v>138924220.22402865</c:v>
                </c:pt>
                <c:pt idx="15">
                  <c:v>143845724.42183489</c:v>
                </c:pt>
                <c:pt idx="16">
                  <c:v>149149878.84347036</c:v>
                </c:pt>
                <c:pt idx="17">
                  <c:v>154871356.41259021</c:v>
                </c:pt>
                <c:pt idx="18">
                  <c:v>159615378.9461275</c:v>
                </c:pt>
                <c:pt idx="19">
                  <c:v>167702959.00434002</c:v>
                </c:pt>
                <c:pt idx="20">
                  <c:v>174880912.40752596</c:v>
                </c:pt>
                <c:pt idx="21">
                  <c:v>182613460.11438853</c:v>
                </c:pt>
                <c:pt idx="22">
                  <c:v>190936301.5819923</c:v>
                </c:pt>
                <c:pt idx="23">
                  <c:v>199884522.7274695</c:v>
                </c:pt>
                <c:pt idx="24">
                  <c:v>209492383.73539582</c:v>
                </c:pt>
                <c:pt idx="25">
                  <c:v>219792558.15531918</c:v>
                </c:pt>
                <c:pt idx="26">
                  <c:v>230816392.32737368</c:v>
                </c:pt>
                <c:pt idx="27">
                  <c:v>242593839.71948045</c:v>
                </c:pt>
                <c:pt idx="28">
                  <c:v>255433019.466876</c:v>
                </c:pt>
                <c:pt idx="29">
                  <c:v>268530487.66483182</c:v>
                </c:pt>
                <c:pt idx="30">
                  <c:v>282752425.41427964</c:v>
                </c:pt>
                <c:pt idx="31">
                  <c:v>297851191.93306386</c:v>
                </c:pt>
                <c:pt idx="32">
                  <c:v>313857117.92281699</c:v>
                </c:pt>
                <c:pt idx="33">
                  <c:v>330800185.33305335</c:v>
                </c:pt>
                <c:pt idx="34">
                  <c:v>348709942.89994651</c:v>
                </c:pt>
                <c:pt idx="35">
                  <c:v>367615623.44291288</c:v>
                </c:pt>
                <c:pt idx="36">
                  <c:v>387546288.56776047</c:v>
                </c:pt>
                <c:pt idx="37">
                  <c:v>408530757.80737466</c:v>
                </c:pt>
                <c:pt idx="38">
                  <c:v>430629312.14330786</c:v>
                </c:pt>
                <c:pt idx="39">
                  <c:v>453774343.87182844</c:v>
                </c:pt>
                <c:pt idx="40">
                  <c:v>478089007.67764711</c:v>
                </c:pt>
                <c:pt idx="41">
                  <c:v>503568518.50944793</c:v>
                </c:pt>
                <c:pt idx="42">
                  <c:v>530239519.23374701</c:v>
                </c:pt>
                <c:pt idx="43">
                  <c:v>558128320.25715303</c:v>
                </c:pt>
                <c:pt idx="44">
                  <c:v>587260961.82447398</c:v>
                </c:pt>
                <c:pt idx="45">
                  <c:v>617663231.50284469</c:v>
                </c:pt>
                <c:pt idx="46">
                  <c:v>649360693.51287889</c:v>
                </c:pt>
                <c:pt idx="47">
                  <c:v>682378707.61192894</c:v>
                </c:pt>
                <c:pt idx="48">
                  <c:v>716742311.69705105</c:v>
                </c:pt>
              </c:numCache>
            </c:numRef>
          </c:yVal>
          <c:smooth val="1"/>
          <c:extLst>
            <c:ext xmlns:c16="http://schemas.microsoft.com/office/drawing/2014/chart" uri="{C3380CC4-5D6E-409C-BE32-E72D297353CC}">
              <c16:uniqueId val="{00000000-5236-467F-9C68-1BD23655B995}"/>
            </c:ext>
          </c:extLst>
        </c:ser>
        <c:ser>
          <c:idx val="1"/>
          <c:order val="1"/>
          <c:tx>
            <c:strRef>
              <c:f>'Freight TAM Data'!$D$70</c:f>
              <c:strCache>
                <c:ptCount val="1"/>
                <c:pt idx="0">
                  <c:v> Based on Buhaug et al,2009 (max scenario) Table 7.4 pg 94</c:v>
                </c:pt>
              </c:strCache>
            </c:strRef>
          </c:tx>
          <c:spPr>
            <a:ln w="47625">
              <a:noFill/>
            </a:ln>
          </c:spPr>
          <c:marker>
            <c:symbol val="circle"/>
            <c:size val="7"/>
            <c:spPr>
              <a:solidFill>
                <a:srgbClr val="A34441"/>
              </a:solidFill>
              <a:ln cmpd="sng">
                <a:solidFill>
                  <a:srgbClr val="A34441"/>
                </a:solidFill>
              </a:ln>
            </c:spPr>
          </c:marke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Data'!$D$71:$D$119</c:f>
              <c:numCache>
                <c:formatCode>_-* #,##0\ _€_-;\-* #,##0\ _€_-;_-* "-"??\ _€_-;_-@_-</c:formatCode>
                <c:ptCount val="49"/>
                <c:pt idx="0">
                  <c:v>90496128</c:v>
                </c:pt>
                <c:pt idx="1">
                  <c:v>93507480</c:v>
                </c:pt>
                <c:pt idx="2">
                  <c:v>98076286.816817805</c:v>
                </c:pt>
                <c:pt idx="3">
                  <c:v>98986429.075727418</c:v>
                </c:pt>
                <c:pt idx="4">
                  <c:v>102405880.5458408</c:v>
                </c:pt>
                <c:pt idx="5">
                  <c:v>107552829.14816633</c:v>
                </c:pt>
                <c:pt idx="6">
                  <c:v>111908118.68413797</c:v>
                </c:pt>
                <c:pt idx="7">
                  <c:v>118317067.62006159</c:v>
                </c:pt>
                <c:pt idx="8">
                  <c:v>125169755.62627372</c:v>
                </c:pt>
                <c:pt idx="9">
                  <c:v>129587333.46048349</c:v>
                </c:pt>
                <c:pt idx="10">
                  <c:v>135734201.23427847</c:v>
                </c:pt>
                <c:pt idx="11">
                  <c:v>142274006.43650272</c:v>
                </c:pt>
                <c:pt idx="12">
                  <c:v>149223310.30296877</c:v>
                </c:pt>
                <c:pt idx="13">
                  <c:v>156598848.93170679</c:v>
                </c:pt>
                <c:pt idx="14">
                  <c:v>164419151.65815583</c:v>
                </c:pt>
                <c:pt idx="15">
                  <c:v>172703936.63592088</c:v>
                </c:pt>
                <c:pt idx="16">
                  <c:v>181471759.46740049</c:v>
                </c:pt>
                <c:pt idx="17">
                  <c:v>190741237.24794218</c:v>
                </c:pt>
                <c:pt idx="18">
                  <c:v>200530686.86532831</c:v>
                </c:pt>
                <c:pt idx="19">
                  <c:v>210858007.261462</c:v>
                </c:pt>
                <c:pt idx="20">
                  <c:v>221741514.59514248</c:v>
                </c:pt>
                <c:pt idx="21">
                  <c:v>233201171.58276591</c:v>
                </c:pt>
                <c:pt idx="22">
                  <c:v>245257864.37486878</c:v>
                </c:pt>
                <c:pt idx="23">
                  <c:v>257931903.3919141</c:v>
                </c:pt>
                <c:pt idx="24">
                  <c:v>271242700.53682137</c:v>
                </c:pt>
                <c:pt idx="25">
                  <c:v>285207742.02060163</c:v>
                </c:pt>
                <c:pt idx="26">
                  <c:v>299842896.56433076</c:v>
                </c:pt>
                <c:pt idx="27">
                  <c:v>315162332.39996958</c:v>
                </c:pt>
                <c:pt idx="28">
                  <c:v>331180335.09549367</c:v>
                </c:pt>
                <c:pt idx="29">
                  <c:v>347912833.78176159</c:v>
                </c:pt>
                <c:pt idx="30">
                  <c:v>365376648.78231788</c:v>
                </c:pt>
                <c:pt idx="31">
                  <c:v>383587322.37611151</c:v>
                </c:pt>
                <c:pt idx="32">
                  <c:v>402560305.28861851</c:v>
                </c:pt>
                <c:pt idx="33">
                  <c:v>422310779.04334676</c:v>
                </c:pt>
                <c:pt idx="34">
                  <c:v>442853557.02445966</c:v>
                </c:pt>
                <c:pt idx="35">
                  <c:v>464203243.83842885</c:v>
                </c:pt>
                <c:pt idx="36">
                  <c:v>486374423.90475178</c:v>
                </c:pt>
                <c:pt idx="37">
                  <c:v>509381573.35178941</c:v>
                </c:pt>
                <c:pt idx="38">
                  <c:v>533236683.59004444</c:v>
                </c:pt>
                <c:pt idx="39">
                  <c:v>557960128.83177876</c:v>
                </c:pt>
                <c:pt idx="40">
                  <c:v>583558894.91297662</c:v>
                </c:pt>
                <c:pt idx="41">
                  <c:v>610048305.73837793</c:v>
                </c:pt>
                <c:pt idx="42">
                  <c:v>637441194.30465734</c:v>
                </c:pt>
                <c:pt idx="43">
                  <c:v>665750213.50469339</c:v>
                </c:pt>
                <c:pt idx="44">
                  <c:v>694987912.21225977</c:v>
                </c:pt>
                <c:pt idx="45">
                  <c:v>725166754.59340775</c:v>
                </c:pt>
                <c:pt idx="46">
                  <c:v>756299151.71238232</c:v>
                </c:pt>
                <c:pt idx="47">
                  <c:v>788397479.06868625</c:v>
                </c:pt>
                <c:pt idx="48">
                  <c:v>821473936.70297194</c:v>
                </c:pt>
              </c:numCache>
            </c:numRef>
          </c:yVal>
          <c:smooth val="1"/>
          <c:extLst>
            <c:ext xmlns:c16="http://schemas.microsoft.com/office/drawing/2014/chart" uri="{C3380CC4-5D6E-409C-BE32-E72D297353CC}">
              <c16:uniqueId val="{00000001-5236-467F-9C68-1BD23655B995}"/>
            </c:ext>
          </c:extLst>
        </c:ser>
        <c:ser>
          <c:idx val="2"/>
          <c:order val="2"/>
          <c:tx>
            <c:strRef>
              <c:f>'Freight TAM Data'!$E$70</c:f>
              <c:strCache>
                <c:ptCount val="1"/>
                <c:pt idx="0">
                  <c:v> Based on  RACE (max) Table 30 pg 126</c:v>
                </c:pt>
              </c:strCache>
            </c:strRef>
          </c:tx>
          <c:spPr>
            <a:ln w="47625">
              <a:noFill/>
            </a:ln>
          </c:spPr>
          <c:marker>
            <c:symbol val="circle"/>
            <c:size val="7"/>
            <c:spPr>
              <a:solidFill>
                <a:srgbClr val="849F4C"/>
              </a:solidFill>
              <a:ln cmpd="sng">
                <a:solidFill>
                  <a:srgbClr val="849F4C"/>
                </a:solidFill>
              </a:ln>
            </c:spPr>
          </c:marke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Data'!$E$71:$E$119</c:f>
              <c:numCache>
                <c:formatCode>_-* #,##0\ _€_-;\-* #,##0\ _€_-;_-* "-"??\ _€_-;_-@_-</c:formatCode>
                <c:ptCount val="49"/>
                <c:pt idx="0">
                  <c:v>90496128</c:v>
                </c:pt>
                <c:pt idx="1">
                  <c:v>93507480</c:v>
                </c:pt>
                <c:pt idx="2">
                  <c:v>98076286.816817805</c:v>
                </c:pt>
                <c:pt idx="3">
                  <c:v>98986429.075727418</c:v>
                </c:pt>
                <c:pt idx="4">
                  <c:v>102405880.5458408</c:v>
                </c:pt>
                <c:pt idx="5">
                  <c:v>107552829.14816633</c:v>
                </c:pt>
                <c:pt idx="6">
                  <c:v>111908118.68413797</c:v>
                </c:pt>
                <c:pt idx="7">
                  <c:v>111333259.00485027</c:v>
                </c:pt>
                <c:pt idx="8">
                  <c:v>114224307.26823409</c:v>
                </c:pt>
                <c:pt idx="9">
                  <c:v>117044356.51850766</c:v>
                </c:pt>
                <c:pt idx="10">
                  <c:v>119884282.65123846</c:v>
                </c:pt>
                <c:pt idx="11">
                  <c:v>122759911.94214948</c:v>
                </c:pt>
                <c:pt idx="12">
                  <c:v>125685207.18179192</c:v>
                </c:pt>
                <c:pt idx="13">
                  <c:v>128674520.95510343</c:v>
                </c:pt>
                <c:pt idx="14">
                  <c:v>131743847.78590037</c:v>
                </c:pt>
                <c:pt idx="15">
                  <c:v>134910140.56507242</c:v>
                </c:pt>
                <c:pt idx="16">
                  <c:v>138189377.46346995</c:v>
                </c:pt>
                <c:pt idx="17">
                  <c:v>141597565.84981325</c:v>
                </c:pt>
                <c:pt idx="18">
                  <c:v>140584308.88821375</c:v>
                </c:pt>
                <c:pt idx="19">
                  <c:v>148863476.03407824</c:v>
                </c:pt>
                <c:pt idx="20">
                  <c:v>152752319.27700451</c:v>
                </c:pt>
                <c:pt idx="21">
                  <c:v>156833734.09881529</c:v>
                </c:pt>
                <c:pt idx="22">
                  <c:v>161124907.5488463</c:v>
                </c:pt>
                <c:pt idx="23">
                  <c:v>165642443.18812379</c:v>
                </c:pt>
                <c:pt idx="24">
                  <c:v>170402215.78766644</c:v>
                </c:pt>
                <c:pt idx="25">
                  <c:v>175418812.78178245</c:v>
                </c:pt>
                <c:pt idx="26">
                  <c:v>180705846.94997579</c:v>
                </c:pt>
                <c:pt idx="27">
                  <c:v>186275994.64155623</c:v>
                </c:pt>
                <c:pt idx="28">
                  <c:v>194933002.28928408</c:v>
                </c:pt>
                <c:pt idx="29">
                  <c:v>198318135.65962616</c:v>
                </c:pt>
                <c:pt idx="30">
                  <c:v>204818428.02245918</c:v>
                </c:pt>
                <c:pt idx="31">
                  <c:v>211656660.15116176</c:v>
                </c:pt>
                <c:pt idx="32">
                  <c:v>218846439.86111948</c:v>
                </c:pt>
                <c:pt idx="33">
                  <c:v>226401222.41456634</c:v>
                </c:pt>
                <c:pt idx="34">
                  <c:v>234334258.15850061</c:v>
                </c:pt>
                <c:pt idx="35">
                  <c:v>242658678.37613794</c:v>
                </c:pt>
                <c:pt idx="36">
                  <c:v>251387589.35371315</c:v>
                </c:pt>
                <c:pt idx="37">
                  <c:v>260534018.943077</c:v>
                </c:pt>
                <c:pt idx="38">
                  <c:v>269470848.524903</c:v>
                </c:pt>
                <c:pt idx="39">
                  <c:v>280130616.05161047</c:v>
                </c:pt>
                <c:pt idx="40">
                  <c:v>290605892.95469451</c:v>
                </c:pt>
                <c:pt idx="41">
                  <c:v>301548885.01764482</c:v>
                </c:pt>
                <c:pt idx="42">
                  <c:v>312971648.4281292</c:v>
                </c:pt>
                <c:pt idx="43">
                  <c:v>324886115.816333</c:v>
                </c:pt>
                <c:pt idx="44">
                  <c:v>337304129.64370978</c:v>
                </c:pt>
                <c:pt idx="45">
                  <c:v>350237447.52679312</c:v>
                </c:pt>
                <c:pt idx="46">
                  <c:v>363697753.94451332</c:v>
                </c:pt>
                <c:pt idx="47">
                  <c:v>377696665.56082892</c:v>
                </c:pt>
                <c:pt idx="48">
                  <c:v>392245661.9345029</c:v>
                </c:pt>
              </c:numCache>
            </c:numRef>
          </c:yVal>
          <c:smooth val="1"/>
          <c:extLst>
            <c:ext xmlns:c16="http://schemas.microsoft.com/office/drawing/2014/chart" uri="{C3380CC4-5D6E-409C-BE32-E72D297353CC}">
              <c16:uniqueId val="{00000002-5236-467F-9C68-1BD23655B995}"/>
            </c:ext>
          </c:extLst>
        </c:ser>
        <c:ser>
          <c:idx val="3"/>
          <c:order val="3"/>
          <c:tx>
            <c:strRef>
              <c:f>'Freight TAM Data'!$F$70</c:f>
              <c:strCache>
                <c:ptCount val="1"/>
                <c:pt idx="0">
                  <c:v> [Source 1 - Conservative]</c:v>
                </c:pt>
              </c:strCache>
            </c:strRef>
          </c:tx>
          <c:spPr>
            <a:ln w="47625">
              <a:noFill/>
            </a:ln>
          </c:spPr>
          <c:marker>
            <c:symbol val="circle"/>
            <c:size val="7"/>
            <c:spPr>
              <a:solidFill>
                <a:srgbClr val="6D558A"/>
              </a:solidFill>
              <a:ln cmpd="sng">
                <a:solidFill>
                  <a:srgbClr val="6D558A"/>
                </a:solidFill>
              </a:ln>
            </c:spPr>
          </c:marke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Data'!$F$71:$F$119</c:f>
              <c:numCache>
                <c:formatCode>_-* #,##0\ _€_-;\-* #,##0\ _€_-;_-* "-"??\ _€_-;_-@_-</c:formatCode>
                <c:ptCount val="49"/>
              </c:numCache>
            </c:numRef>
          </c:yVal>
          <c:smooth val="1"/>
          <c:extLst>
            <c:ext xmlns:c16="http://schemas.microsoft.com/office/drawing/2014/chart" uri="{C3380CC4-5D6E-409C-BE32-E72D297353CC}">
              <c16:uniqueId val="{00000003-5236-467F-9C68-1BD23655B995}"/>
            </c:ext>
          </c:extLst>
        </c:ser>
        <c:ser>
          <c:idx val="4"/>
          <c:order val="4"/>
          <c:tx>
            <c:strRef>
              <c:f>'Freight TAM Data'!$G$70</c:f>
              <c:strCache>
                <c:ptCount val="1"/>
                <c:pt idx="0">
                  <c:v> [Source 2 - Conservative]</c:v>
                </c:pt>
              </c:strCache>
            </c:strRef>
          </c:tx>
          <c:spPr>
            <a:ln w="47625">
              <a:noFill/>
            </a:ln>
          </c:spPr>
          <c:marker>
            <c:symbol val="circle"/>
            <c:size val="7"/>
            <c:spPr>
              <a:solidFill>
                <a:srgbClr val="4092A8"/>
              </a:solidFill>
              <a:ln cmpd="sng">
                <a:solidFill>
                  <a:srgbClr val="4092A8"/>
                </a:solidFill>
              </a:ln>
            </c:spPr>
          </c:marke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Data'!$G$71:$G$119</c:f>
              <c:numCache>
                <c:formatCode>_-* #,##0\ _€_-;\-* #,##0\ _€_-;_-* "-"??\ _€_-;_-@_-</c:formatCode>
                <c:ptCount val="49"/>
              </c:numCache>
            </c:numRef>
          </c:yVal>
          <c:smooth val="1"/>
          <c:extLst>
            <c:ext xmlns:c16="http://schemas.microsoft.com/office/drawing/2014/chart" uri="{C3380CC4-5D6E-409C-BE32-E72D297353CC}">
              <c16:uniqueId val="{00000004-5236-467F-9C68-1BD23655B995}"/>
            </c:ext>
          </c:extLst>
        </c:ser>
        <c:ser>
          <c:idx val="5"/>
          <c:order val="5"/>
          <c:tx>
            <c:strRef>
              <c:f>'Freight TAM Data'!$H$70</c:f>
              <c:strCache>
                <c:ptCount val="1"/>
                <c:pt idx="0">
                  <c:v> [Source 3 - Conservative]</c:v>
                </c:pt>
              </c:strCache>
            </c:strRef>
          </c:tx>
          <c:spPr>
            <a:ln w="47625">
              <a:noFill/>
            </a:ln>
          </c:spPr>
          <c:marker>
            <c:symbol val="circle"/>
            <c:size val="7"/>
            <c:spPr>
              <a:solidFill>
                <a:srgbClr val="D2803C"/>
              </a:solidFill>
              <a:ln cmpd="sng">
                <a:solidFill>
                  <a:srgbClr val="D2803C"/>
                </a:solidFill>
              </a:ln>
            </c:spPr>
          </c:marke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Data'!$H$71:$H$119</c:f>
              <c:numCache>
                <c:formatCode>_-* #,##0\ _€_-;\-* #,##0\ _€_-;_-* "-"??\ _€_-;_-@_-</c:formatCode>
                <c:ptCount val="49"/>
              </c:numCache>
            </c:numRef>
          </c:yVal>
          <c:smooth val="1"/>
          <c:extLst>
            <c:ext xmlns:c16="http://schemas.microsoft.com/office/drawing/2014/chart" uri="{C3380CC4-5D6E-409C-BE32-E72D297353CC}">
              <c16:uniqueId val="{00000005-5236-467F-9C68-1BD23655B995}"/>
            </c:ext>
          </c:extLst>
        </c:ser>
        <c:ser>
          <c:idx val="6"/>
          <c:order val="6"/>
          <c:tx>
            <c:strRef>
              <c:f>'Freight TAM Data'!$I$70</c:f>
              <c:strCache>
                <c:ptCount val="1"/>
                <c:pt idx="0">
                  <c:v> Based on Smith et al, 2014 (min BAU scenario); Fig 82,83 Pg 159,160</c:v>
                </c:pt>
              </c:strCache>
            </c:strRef>
          </c:tx>
          <c:spPr>
            <a:ln w="47625">
              <a:noFill/>
            </a:ln>
          </c:spPr>
          <c:marker>
            <c:symbol val="circle"/>
            <c:size val="7"/>
            <c:spPr>
              <a:solidFill>
                <a:srgbClr val="618EC4"/>
              </a:solidFill>
              <a:ln cmpd="sng">
                <a:solidFill>
                  <a:srgbClr val="618EC4"/>
                </a:solidFill>
              </a:ln>
            </c:spPr>
          </c:marke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Data'!$I$71:$I$119</c:f>
              <c:numCache>
                <c:formatCode>_-* #,##0\ _€_-;\-* #,##0\ _€_-;_-* "-"??\ _€_-;_-@_-</c:formatCode>
                <c:ptCount val="49"/>
                <c:pt idx="0">
                  <c:v>90496128</c:v>
                </c:pt>
                <c:pt idx="1">
                  <c:v>93507480</c:v>
                </c:pt>
                <c:pt idx="2">
                  <c:v>98076286.816817805</c:v>
                </c:pt>
                <c:pt idx="3">
                  <c:v>98986429.075727418</c:v>
                </c:pt>
                <c:pt idx="4">
                  <c:v>102405880.5458408</c:v>
                </c:pt>
                <c:pt idx="5">
                  <c:v>107552829.14816633</c:v>
                </c:pt>
                <c:pt idx="6">
                  <c:v>111908118.68413797</c:v>
                </c:pt>
                <c:pt idx="7">
                  <c:v>109634349.83723392</c:v>
                </c:pt>
                <c:pt idx="8">
                  <c:v>111531310.94471143</c:v>
                </c:pt>
                <c:pt idx="9">
                  <c:v>113206142.34339574</c:v>
                </c:pt>
                <c:pt idx="10">
                  <c:v>114748773.15525906</c:v>
                </c:pt>
                <c:pt idx="11">
                  <c:v>116175273.54721753</c:v>
                </c:pt>
                <c:pt idx="12">
                  <c:v>117500009.52260436</c:v>
                </c:pt>
                <c:pt idx="13">
                  <c:v>118737826.82430957</c:v>
                </c:pt>
                <c:pt idx="14">
                  <c:v>119905167.26948759</c:v>
                </c:pt>
                <c:pt idx="15">
                  <c:v>121019344.22223705</c:v>
                </c:pt>
                <c:pt idx="16">
                  <c:v>122096757.18254854</c:v>
                </c:pt>
                <c:pt idx="17">
                  <c:v>123153816.44402701</c:v>
                </c:pt>
                <c:pt idx="18">
                  <c:v>124206685.24720849</c:v>
                </c:pt>
                <c:pt idx="19">
                  <c:v>125271227.43703158</c:v>
                </c:pt>
                <c:pt idx="20">
                  <c:v>126363515.23670484</c:v>
                </c:pt>
                <c:pt idx="21">
                  <c:v>127500433.75198029</c:v>
                </c:pt>
                <c:pt idx="22">
                  <c:v>128699109.34262885</c:v>
                </c:pt>
                <c:pt idx="23">
                  <c:v>129976069.38832323</c:v>
                </c:pt>
                <c:pt idx="24">
                  <c:v>131347167.94787021</c:v>
                </c:pt>
                <c:pt idx="25">
                  <c:v>132827211.25670491</c:v>
                </c:pt>
                <c:pt idx="26">
                  <c:v>134430274.69921488</c:v>
                </c:pt>
                <c:pt idx="27">
                  <c:v>136169789.12944788</c:v>
                </c:pt>
                <c:pt idx="28">
                  <c:v>136774418.22517118</c:v>
                </c:pt>
                <c:pt idx="29">
                  <c:v>140113543.93452218</c:v>
                </c:pt>
                <c:pt idx="30">
                  <c:v>142346989.40678737</c:v>
                </c:pt>
                <c:pt idx="31">
                  <c:v>144773970.12289909</c:v>
                </c:pt>
                <c:pt idx="32">
                  <c:v>147408674.9045437</c:v>
                </c:pt>
                <c:pt idx="33">
                  <c:v>150265176.52062362</c:v>
                </c:pt>
                <c:pt idx="34">
                  <c:v>153357397.01851499</c:v>
                </c:pt>
                <c:pt idx="35">
                  <c:v>156699164.56083825</c:v>
                </c:pt>
                <c:pt idx="36">
                  <c:v>160304270.45718926</c:v>
                </c:pt>
                <c:pt idx="37">
                  <c:v>164186428.97221771</c:v>
                </c:pt>
                <c:pt idx="38">
                  <c:v>168856721.98150456</c:v>
                </c:pt>
                <c:pt idx="39">
                  <c:v>172836021.84724143</c:v>
                </c:pt>
                <c:pt idx="40">
                  <c:v>177630134.83200005</c:v>
                </c:pt>
                <c:pt idx="41">
                  <c:v>182754643.2524167</c:v>
                </c:pt>
                <c:pt idx="42">
                  <c:v>188222493.31975594</c:v>
                </c:pt>
                <c:pt idx="43">
                  <c:v>194046517.18043754</c:v>
                </c:pt>
                <c:pt idx="44">
                  <c:v>200239449.718225</c:v>
                </c:pt>
                <c:pt idx="45">
                  <c:v>206813928.46597415</c:v>
                </c:pt>
                <c:pt idx="46">
                  <c:v>213782497.73135608</c:v>
                </c:pt>
                <c:pt idx="47">
                  <c:v>221157609.37871844</c:v>
                </c:pt>
                <c:pt idx="48">
                  <c:v>228951580.58531621</c:v>
                </c:pt>
              </c:numCache>
            </c:numRef>
          </c:yVal>
          <c:smooth val="1"/>
          <c:extLst>
            <c:ext xmlns:c16="http://schemas.microsoft.com/office/drawing/2014/chart" uri="{C3380CC4-5D6E-409C-BE32-E72D297353CC}">
              <c16:uniqueId val="{00000006-5236-467F-9C68-1BD23655B995}"/>
            </c:ext>
          </c:extLst>
        </c:ser>
        <c:ser>
          <c:idx val="7"/>
          <c:order val="7"/>
          <c:tx>
            <c:strRef>
              <c:f>'Freight TAM Data'!$J$70</c:f>
              <c:strCache>
                <c:ptCount val="1"/>
                <c:pt idx="0">
                  <c:v> Based on Buhaug et al,2009 (min BAU) Table 7.4 pg 94</c:v>
                </c:pt>
              </c:strCache>
            </c:strRef>
          </c:tx>
          <c:spPr>
            <a:ln w="28575">
              <a:noFill/>
            </a:ln>
          </c:spP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Data'!$J$71:$J$119</c:f>
              <c:numCache>
                <c:formatCode>_-* #,##0\ _€_-;\-* #,##0\ _€_-;_-* "-"??\ _€_-;_-@_-</c:formatCode>
                <c:ptCount val="49"/>
                <c:pt idx="0">
                  <c:v>90496128</c:v>
                </c:pt>
                <c:pt idx="1">
                  <c:v>93507480</c:v>
                </c:pt>
                <c:pt idx="2">
                  <c:v>98076286.816817805</c:v>
                </c:pt>
                <c:pt idx="3">
                  <c:v>98986429.075727418</c:v>
                </c:pt>
                <c:pt idx="4">
                  <c:v>102405880.5458408</c:v>
                </c:pt>
                <c:pt idx="5">
                  <c:v>107552829.14816633</c:v>
                </c:pt>
                <c:pt idx="6">
                  <c:v>111908118.68413797</c:v>
                </c:pt>
                <c:pt idx="7">
                  <c:v>115601797.21302684</c:v>
                </c:pt>
                <c:pt idx="8">
                  <c:v>119597241.28563415</c:v>
                </c:pt>
                <c:pt idx="9">
                  <c:v>123479184.15170556</c:v>
                </c:pt>
                <c:pt idx="10">
                  <c:v>127303843.1252673</c:v>
                </c:pt>
                <c:pt idx="11">
                  <c:v>131049656.72521031</c:v>
                </c:pt>
                <c:pt idx="12">
                  <c:v>134693237.37220362</c:v>
                </c:pt>
                <c:pt idx="13">
                  <c:v>138211788.17492685</c:v>
                </c:pt>
                <c:pt idx="14">
                  <c:v>141584500.11691806</c:v>
                </c:pt>
                <c:pt idx="15">
                  <c:v>144791850.53052172</c:v>
                </c:pt>
                <c:pt idx="16">
                  <c:v>147813525.35453305</c:v>
                </c:pt>
                <c:pt idx="17">
                  <c:v>150629494.86901855</c:v>
                </c:pt>
                <c:pt idx="18">
                  <c:v>153219705.52392304</c:v>
                </c:pt>
                <c:pt idx="19">
                  <c:v>155564007.48224249</c:v>
                </c:pt>
                <c:pt idx="20">
                  <c:v>157642781.23441625</c:v>
                </c:pt>
                <c:pt idx="21">
                  <c:v>159437699.89028078</c:v>
                </c:pt>
                <c:pt idx="22">
                  <c:v>160931005.28950128</c:v>
                </c:pt>
                <c:pt idx="23">
                  <c:v>162104413.52745646</c:v>
                </c:pt>
                <c:pt idx="24">
                  <c:v>162938980.74682683</c:v>
                </c:pt>
                <c:pt idx="25">
                  <c:v>163414625.05403721</c:v>
                </c:pt>
                <c:pt idx="26">
                  <c:v>163510550.13044876</c:v>
                </c:pt>
                <c:pt idx="27">
                  <c:v>163205413.07423493</c:v>
                </c:pt>
                <c:pt idx="28">
                  <c:v>162478432.5237399</c:v>
                </c:pt>
                <c:pt idx="29">
                  <c:v>161310058.57178566</c:v>
                </c:pt>
                <c:pt idx="30">
                  <c:v>159681401.05070806</c:v>
                </c:pt>
                <c:pt idx="31">
                  <c:v>157573201.88428622</c:v>
                </c:pt>
                <c:pt idx="32">
                  <c:v>154966441.20568714</c:v>
                </c:pt>
                <c:pt idx="33">
                  <c:v>151842264.85335168</c:v>
                </c:pt>
                <c:pt idx="34">
                  <c:v>148181964.67352498</c:v>
                </c:pt>
                <c:pt idx="35">
                  <c:v>143967052.24198633</c:v>
                </c:pt>
                <c:pt idx="36">
                  <c:v>139179316.12942624</c:v>
                </c:pt>
                <c:pt idx="37">
                  <c:v>133800779.24163269</c:v>
                </c:pt>
                <c:pt idx="38">
                  <c:v>127816578.15167694</c:v>
                </c:pt>
                <c:pt idx="39">
                  <c:v>121200295.05867928</c:v>
                </c:pt>
                <c:pt idx="40">
                  <c:v>113943329.24626848</c:v>
                </c:pt>
                <c:pt idx="41">
                  <c:v>106025546.50002804</c:v>
                </c:pt>
                <c:pt idx="42">
                  <c:v>97429983.204923615</c:v>
                </c:pt>
                <c:pt idx="43">
                  <c:v>88139938.33712317</c:v>
                </c:pt>
                <c:pt idx="44">
                  <c:v>78138977.663412303</c:v>
                </c:pt>
                <c:pt idx="45">
                  <c:v>67410923.867030129</c:v>
                </c:pt>
                <c:pt idx="46">
                  <c:v>55939846.057848707</c:v>
                </c:pt>
                <c:pt idx="47">
                  <c:v>43710045.804832481</c:v>
                </c:pt>
                <c:pt idx="48">
                  <c:v>30706036.402574915</c:v>
                </c:pt>
              </c:numCache>
            </c:numRef>
          </c:yVal>
          <c:smooth val="0"/>
          <c:extLst>
            <c:ext xmlns:c16="http://schemas.microsoft.com/office/drawing/2014/chart" uri="{C3380CC4-5D6E-409C-BE32-E72D297353CC}">
              <c16:uniqueId val="{00000007-5236-467F-9C68-1BD23655B995}"/>
            </c:ext>
          </c:extLst>
        </c:ser>
        <c:ser>
          <c:idx val="8"/>
          <c:order val="8"/>
          <c:tx>
            <c:strRef>
              <c:f>'Freight TAM Data'!$K$70</c:f>
              <c:strCache>
                <c:ptCount val="1"/>
                <c:pt idx="0">
                  <c:v> Based on RACE (min BAU) Table 30 pg 126</c:v>
                </c:pt>
              </c:strCache>
            </c:strRef>
          </c:tx>
          <c:spPr>
            <a:ln w="28575">
              <a:noFill/>
            </a:ln>
          </c:spP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Data'!$K$71:$K$119</c:f>
              <c:numCache>
                <c:formatCode>_-* #,##0\ _€_-;\-* #,##0\ _€_-;_-* "-"??\ _€_-;_-@_-</c:formatCode>
                <c:ptCount val="49"/>
                <c:pt idx="0">
                  <c:v>90496128</c:v>
                </c:pt>
                <c:pt idx="1">
                  <c:v>93507480</c:v>
                </c:pt>
                <c:pt idx="2">
                  <c:v>98076286.816817805</c:v>
                </c:pt>
                <c:pt idx="3">
                  <c:v>98986429.075727418</c:v>
                </c:pt>
                <c:pt idx="4">
                  <c:v>102405880.5458408</c:v>
                </c:pt>
                <c:pt idx="5">
                  <c:v>107552829.14816633</c:v>
                </c:pt>
                <c:pt idx="6">
                  <c:v>111908118.68413797</c:v>
                </c:pt>
                <c:pt idx="7">
                  <c:v>109480379.16835819</c:v>
                </c:pt>
                <c:pt idx="8">
                  <c:v>111316166.2893777</c:v>
                </c:pt>
                <c:pt idx="9">
                  <c:v>112923221.27167694</c:v>
                </c:pt>
                <c:pt idx="10">
                  <c:v>114391737.49861485</c:v>
                </c:pt>
                <c:pt idx="11">
                  <c:v>115738153.81302063</c:v>
                </c:pt>
                <c:pt idx="12">
                  <c:v>116977212.69952309</c:v>
                </c:pt>
                <c:pt idx="13">
                  <c:v>118124138.55572347</c:v>
                </c:pt>
                <c:pt idx="14">
                  <c:v>119195745.63452539</c:v>
                </c:pt>
                <c:pt idx="15">
                  <c:v>120209711.93692598</c:v>
                </c:pt>
                <c:pt idx="16">
                  <c:v>121182802.98415555</c:v>
                </c:pt>
                <c:pt idx="17">
                  <c:v>122131791.65058705</c:v>
                </c:pt>
                <c:pt idx="18">
                  <c:v>123073201.96866588</c:v>
                </c:pt>
                <c:pt idx="19">
                  <c:v>124023257.70839433</c:v>
                </c:pt>
                <c:pt idx="20">
                  <c:v>124998385.3463607</c:v>
                </c:pt>
                <c:pt idx="21">
                  <c:v>126015810.11405379</c:v>
                </c:pt>
                <c:pt idx="22">
                  <c:v>127092987.6038052</c:v>
                </c:pt>
                <c:pt idx="23">
                  <c:v>128246773.36913985</c:v>
                </c:pt>
                <c:pt idx="24">
                  <c:v>129493351.92251323</c:v>
                </c:pt>
                <c:pt idx="25">
                  <c:v>130847870.42953789</c:v>
                </c:pt>
                <c:pt idx="26">
                  <c:v>132324754.66520143</c:v>
                </c:pt>
                <c:pt idx="27">
                  <c:v>133937796.32483582</c:v>
                </c:pt>
                <c:pt idx="28">
                  <c:v>134385630.36609736</c:v>
                </c:pt>
                <c:pt idx="29">
                  <c:v>137629143.95084596</c:v>
                </c:pt>
                <c:pt idx="30">
                  <c:v>139737334.10914472</c:v>
                </c:pt>
                <c:pt idx="31">
                  <c:v>142040144.37100923</c:v>
                </c:pt>
                <c:pt idx="32">
                  <c:v>144552102.15579638</c:v>
                </c:pt>
                <c:pt idx="33">
                  <c:v>147287617.51391011</c:v>
                </c:pt>
                <c:pt idx="34">
                  <c:v>150260948.99924541</c:v>
                </c:pt>
                <c:pt idx="35">
                  <c:v>153486259.21152538</c:v>
                </c:pt>
                <c:pt idx="36">
                  <c:v>156977670.39278081</c:v>
                </c:pt>
                <c:pt idx="37">
                  <c:v>160749224.78215405</c:v>
                </c:pt>
                <c:pt idx="38">
                  <c:v>165324007.067981</c:v>
                </c:pt>
                <c:pt idx="39">
                  <c:v>169188184.60226822</c:v>
                </c:pt>
                <c:pt idx="40">
                  <c:v>173882915.92356837</c:v>
                </c:pt>
                <c:pt idx="41">
                  <c:v>178912427.75795308</c:v>
                </c:pt>
                <c:pt idx="42">
                  <c:v>184289984.94954473</c:v>
                </c:pt>
                <c:pt idx="43">
                  <c:v>190028735.00661808</c:v>
                </c:pt>
                <c:pt idx="44">
                  <c:v>196141724.39084235</c:v>
                </c:pt>
                <c:pt idx="45">
                  <c:v>202641898.32066664</c:v>
                </c:pt>
                <c:pt idx="46">
                  <c:v>209542104.75179285</c:v>
                </c:pt>
                <c:pt idx="47">
                  <c:v>216855095.13208598</c:v>
                </c:pt>
                <c:pt idx="48">
                  <c:v>224593482.99374112</c:v>
                </c:pt>
              </c:numCache>
            </c:numRef>
          </c:yVal>
          <c:smooth val="0"/>
          <c:extLst>
            <c:ext xmlns:c16="http://schemas.microsoft.com/office/drawing/2014/chart" uri="{C3380CC4-5D6E-409C-BE32-E72D297353CC}">
              <c16:uniqueId val="{00000008-5236-467F-9C68-1BD23655B995}"/>
            </c:ext>
          </c:extLst>
        </c:ser>
        <c:ser>
          <c:idx val="9"/>
          <c:order val="9"/>
          <c:tx>
            <c:strRef>
              <c:f>'Freight TAM Data'!$L$70</c:f>
              <c:strCache>
                <c:ptCount val="1"/>
                <c:pt idx="0">
                  <c:v> OPRF study Pg 30 Appdx 1</c:v>
                </c:pt>
              </c:strCache>
            </c:strRef>
          </c:tx>
          <c:spPr>
            <a:ln w="28575">
              <a:noFill/>
            </a:ln>
          </c:spPr>
          <c:xVal>
            <c:numRef>
              <c:f>'Freight TAM Data'!$B$71:$B$119</c:f>
              <c:numCache>
                <c:formatCode>General</c:formatCode>
                <c:ptCount val="4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numCache>
            </c:numRef>
          </c:xVal>
          <c:yVal>
            <c:numRef>
              <c:f>'Freight TAM Data'!$L$71:$L$119</c:f>
              <c:numCache>
                <c:formatCode>_-* #,##0\ _€_-;\-* #,##0\ _€_-;_-* "-"??\ _€_-;_-@_-</c:formatCode>
                <c:ptCount val="49"/>
                <c:pt idx="0">
                  <c:v>90496128</c:v>
                </c:pt>
                <c:pt idx="1">
                  <c:v>93507480</c:v>
                </c:pt>
                <c:pt idx="2">
                  <c:v>98076286.816817805</c:v>
                </c:pt>
                <c:pt idx="3">
                  <c:v>98986429.075727418</c:v>
                </c:pt>
                <c:pt idx="4">
                  <c:v>102405880.5458408</c:v>
                </c:pt>
                <c:pt idx="5">
                  <c:v>107552829.14816633</c:v>
                </c:pt>
                <c:pt idx="6">
                  <c:v>111908118.68413797</c:v>
                </c:pt>
                <c:pt idx="7">
                  <c:v>108311849.78793049</c:v>
                </c:pt>
                <c:pt idx="8">
                  <c:v>109673539.55993786</c:v>
                </c:pt>
                <c:pt idx="9">
                  <c:v>110751076.12191156</c:v>
                </c:pt>
                <c:pt idx="10">
                  <c:v>111635811.61815067</c:v>
                </c:pt>
                <c:pt idx="11">
                  <c:v>112346140.66611966</c:v>
                </c:pt>
                <c:pt idx="12">
                  <c:v>112898827.277797</c:v>
                </c:pt>
                <c:pt idx="13">
                  <c:v>113311140.91511394</c:v>
                </c:pt>
                <c:pt idx="14">
                  <c:v>113601899.13764074</c:v>
                </c:pt>
                <c:pt idx="15">
                  <c:v>113790728.12576264</c:v>
                </c:pt>
                <c:pt idx="16">
                  <c:v>113896358.44086488</c:v>
                </c:pt>
                <c:pt idx="17">
                  <c:v>113937506.94534798</c:v>
                </c:pt>
                <c:pt idx="18">
                  <c:v>113932633.63597238</c:v>
                </c:pt>
                <c:pt idx="19">
                  <c:v>113899897.78435573</c:v>
                </c:pt>
                <c:pt idx="20">
                  <c:v>113857622.00952946</c:v>
                </c:pt>
                <c:pt idx="21">
                  <c:v>113824818.01996793</c:v>
                </c:pt>
                <c:pt idx="22">
                  <c:v>113820641.79620534</c:v>
                </c:pt>
                <c:pt idx="23">
                  <c:v>113863642.40702106</c:v>
                </c:pt>
                <c:pt idx="24">
                  <c:v>113971718.85249811</c:v>
                </c:pt>
                <c:pt idx="25">
                  <c:v>114161823.69048405</c:v>
                </c:pt>
                <c:pt idx="26">
                  <c:v>114450273.70794949</c:v>
                </c:pt>
                <c:pt idx="27">
                  <c:v>114852849.07340188</c:v>
                </c:pt>
                <c:pt idx="28">
                  <c:v>113843417.08749944</c:v>
                </c:pt>
                <c:pt idx="29">
                  <c:v>116064969.22655143</c:v>
                </c:pt>
                <c:pt idx="30">
                  <c:v>116908061.02223021</c:v>
                </c:pt>
                <c:pt idx="31">
                  <c:v>117931238.47301865</c:v>
                </c:pt>
                <c:pt idx="32">
                  <c:v>119150874.02140419</c:v>
                </c:pt>
                <c:pt idx="33">
                  <c:v>120583221.07754675</c:v>
                </c:pt>
                <c:pt idx="34">
                  <c:v>122244385.2958903</c:v>
                </c:pt>
                <c:pt idx="35">
                  <c:v>124150369.09278391</c:v>
                </c:pt>
                <c:pt idx="36">
                  <c:v>126317114.35182992</c:v>
                </c:pt>
                <c:pt idx="37">
                  <c:v>128760467.60343346</c:v>
                </c:pt>
                <c:pt idx="38">
                  <c:v>132092414.5236267</c:v>
                </c:pt>
                <c:pt idx="39">
                  <c:v>134539619.69058466</c:v>
                </c:pt>
                <c:pt idx="40">
                  <c:v>137906335.77367562</c:v>
                </c:pt>
                <c:pt idx="41">
                  <c:v>141611480.75028032</c:v>
                </c:pt>
                <c:pt idx="42">
                  <c:v>145670104.07450882</c:v>
                </c:pt>
                <c:pt idx="43">
                  <c:v>150097122.05580172</c:v>
                </c:pt>
                <c:pt idx="44">
                  <c:v>154907329.08327988</c:v>
                </c:pt>
                <c:pt idx="45">
                  <c:v>160115396.10211167</c:v>
                </c:pt>
                <c:pt idx="46">
                  <c:v>165735872.76120082</c:v>
                </c:pt>
                <c:pt idx="47">
                  <c:v>171783187.39370435</c:v>
                </c:pt>
                <c:pt idx="48">
                  <c:v>178271613.89841229</c:v>
                </c:pt>
              </c:numCache>
            </c:numRef>
          </c:yVal>
          <c:smooth val="0"/>
          <c:extLst>
            <c:ext xmlns:c16="http://schemas.microsoft.com/office/drawing/2014/chart" uri="{C3380CC4-5D6E-409C-BE32-E72D297353CC}">
              <c16:uniqueId val="{00000009-5236-467F-9C68-1BD23655B995}"/>
            </c:ext>
          </c:extLst>
        </c:ser>
        <c:dLbls>
          <c:showLegendKey val="0"/>
          <c:showVal val="0"/>
          <c:showCatName val="0"/>
          <c:showSerName val="0"/>
          <c:showPercent val="0"/>
          <c:showBubbleSize val="0"/>
        </c:dLbls>
        <c:axId val="126273792"/>
        <c:axId val="126423424"/>
      </c:scatterChart>
      <c:valAx>
        <c:axId val="126273792"/>
        <c:scaling>
          <c:orientation val="minMax"/>
        </c:scaling>
        <c:delete val="0"/>
        <c:axPos val="b"/>
        <c:majorGridlines>
          <c:spPr>
            <a:ln>
              <a:solidFill>
                <a:srgbClr val="FFFFFF"/>
              </a:solidFill>
            </a:ln>
          </c:spPr>
        </c:majorGridlines>
        <c:numFmt formatCode="General" sourceLinked="1"/>
        <c:majorTickMark val="cross"/>
        <c:minorTickMark val="cross"/>
        <c:tickLblPos val="nextTo"/>
        <c:spPr>
          <a:ln w="47625">
            <a:noFill/>
          </a:ln>
        </c:spPr>
        <c:txPr>
          <a:bodyPr/>
          <a:lstStyle/>
          <a:p>
            <a:pPr lvl="0">
              <a:defRPr/>
            </a:pPr>
            <a:endParaRPr lang="en-US"/>
          </a:p>
        </c:txPr>
        <c:crossAx val="126423424"/>
        <c:crosses val="autoZero"/>
        <c:crossBetween val="midCat"/>
      </c:valAx>
      <c:valAx>
        <c:axId val="126423424"/>
        <c:scaling>
          <c:orientation val="minMax"/>
        </c:scaling>
        <c:delete val="0"/>
        <c:axPos val="l"/>
        <c:majorGridlines>
          <c:spPr>
            <a:ln>
              <a:solidFill>
                <a:srgbClr val="B7B7B7"/>
              </a:solidFill>
            </a:ln>
          </c:spPr>
        </c:majorGridlines>
        <c:numFmt formatCode="_-* #,##0\ _€_-;\-* #,##0\ _€_-;_-* &quot;-&quot;??\ _€_-;_-@_-" sourceLinked="1"/>
        <c:majorTickMark val="cross"/>
        <c:minorTickMark val="cross"/>
        <c:tickLblPos val="nextTo"/>
        <c:spPr>
          <a:ln w="47625">
            <a:noFill/>
          </a:ln>
        </c:spPr>
        <c:txPr>
          <a:bodyPr/>
          <a:lstStyle/>
          <a:p>
            <a:pPr lvl="0">
              <a:defRPr/>
            </a:pPr>
            <a:endParaRPr lang="en-US"/>
          </a:p>
        </c:txPr>
        <c:crossAx val="126273792"/>
        <c:crosses val="autoZero"/>
        <c:crossBetween val="midCat"/>
      </c:valAx>
      <c:spPr>
        <a:solidFill>
          <a:srgbClr val="FFFFFF"/>
        </a:solidFill>
      </c:spPr>
    </c:plotArea>
    <c:legend>
      <c:legendPos val="r"/>
      <c:overlay val="0"/>
    </c:legend>
    <c:plotVisOnly val="1"/>
    <c:dispBlanksAs val="zero"/>
    <c:showDLblsOverMax val="1"/>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_xlchart.v1.2</cx:f>
      </cx:strDim>
      <cx:numDim type="size">
        <cx:f dir="row">_xlchart.v1.1</cx:f>
      </cx:numDim>
    </cx:data>
  </cx:chartData>
  <cx:chart>
    <cx:plotArea>
      <cx:plotAreaRegion>
        <cx:series layoutId="treemap" uniqueId="{E764D105-2A4F-43E7-A1E9-40E587C64C28}">
          <cx:tx>
            <cx:txData>
              <cx:f>_xlchart.v1.0</cx:f>
              <cx:v>Total Emissions Reduction (2020-2050) - Drawdown Scenario</cx:v>
            </cx:txData>
          </cx:tx>
          <cx:dataLabels>
            <cx:numFmt formatCode="#,##0.0," sourceLinked="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kern="1200" baseline="0">
                  <a:solidFill>
                    <a:schemeClr val="bg1"/>
                  </a:solidFill>
                  <a:latin typeface="Calibri" panose="020F0502020204030204"/>
                </a:endParaRPr>
              </a:p>
            </cx:txPr>
            <cx:visibility seriesName="0" categoryName="1" value="1"/>
            <cx:separator>
</cx:separator>
          </cx:dataLabels>
          <cx:dataId val="0"/>
          <cx:layoutPr>
            <cx:parentLabelLayout val="none"/>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_xlchart.v1.5</cx:f>
      </cx:strDim>
      <cx:numDim type="size">
        <cx:f dir="row">_xlchart.v1.4</cx:f>
      </cx:numDim>
    </cx:data>
  </cx:chartData>
  <cx:chart>
    <cx:plotArea>
      <cx:plotAreaRegion>
        <cx:series layoutId="treemap" uniqueId="{E764D105-2A4F-43E7-A1E9-40E587C64C28}">
          <cx:tx>
            <cx:txData>
              <cx:f>_xlchart.v1.3</cx:f>
              <cx:v>Total Emissions Reduction (2020-2050) - Plausible Scenario</cx:v>
            </cx:txData>
          </cx:tx>
          <cx:dataLabels>
            <cx:numFmt formatCode="#,##0.0," sourceLinked="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kern="1200" baseline="0">
                  <a:solidFill>
                    <a:schemeClr val="bg1"/>
                  </a:solidFill>
                  <a:latin typeface="Calibri" panose="020F0502020204030204"/>
                </a:endParaRPr>
              </a:p>
            </cx:txPr>
            <cx:visibility seriesName="0" categoryName="1" value="1"/>
            <cx:separator>
</cx:separator>
          </cx:dataLabels>
          <cx:dataId val="0"/>
          <cx:layoutPr>
            <cx:parentLabelLayout val="none"/>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_xlchart.v1.7</cx:f>
      </cx:strDim>
      <cx:numDim type="size">
        <cx:f dir="row">_xlchart.v1.8</cx:f>
      </cx:numDim>
    </cx:data>
  </cx:chartData>
  <cx:chart>
    <cx:plotArea>
      <cx:plotAreaRegion>
        <cx:series layoutId="treemap" uniqueId="{E764D105-2A4F-43E7-A1E9-40E587C64C28}">
          <cx:tx>
            <cx:txData>
              <cx:f>_xlchart.v1.6</cx:f>
              <cx:v>Total Emissions Reduction (2020-2050) - Optimum Scenario</cx:v>
            </cx:txData>
          </cx:tx>
          <cx:dataLabels>
            <cx:numFmt formatCode="#,##0.0," sourceLinked="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kern="1200" baseline="0">
                  <a:solidFill>
                    <a:schemeClr val="bg1"/>
                  </a:solidFill>
                  <a:latin typeface="Calibri" panose="020F0502020204030204"/>
                </a:endParaRPr>
              </a:p>
            </cx:txPr>
            <cx:visibility seriesName="0" categoryName="1" value="1"/>
            <cx:separator>
</cx:separator>
          </cx:dataLabels>
          <cx:dataId val="0"/>
          <cx:layoutPr>
            <cx:parentLabelLayout val="none"/>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image" Target="../media/image1.png"/><Relationship Id="rId4" Type="http://schemas.microsoft.com/office/2014/relationships/chartEx" Target="../charts/chartEx3.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1.png"/><Relationship Id="rId4"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2.xml"/><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11</xdr:col>
      <xdr:colOff>419100</xdr:colOff>
      <xdr:row>7</xdr:row>
      <xdr:rowOff>60960</xdr:rowOff>
    </xdr:from>
    <xdr:to>
      <xdr:col>15</xdr:col>
      <xdr:colOff>61153</xdr:colOff>
      <xdr:row>14</xdr:row>
      <xdr:rowOff>40447</xdr:rowOff>
    </xdr:to>
    <xdr:pic>
      <xdr:nvPicPr>
        <xdr:cNvPr id="2" name="image1.png">
          <a:extLst>
            <a:ext uri="{FF2B5EF4-FFF2-40B4-BE49-F238E27FC236}">
              <a16:creationId xmlns:a16="http://schemas.microsoft.com/office/drawing/2014/main" id="{77FA2E1F-10BE-4341-961A-7C734A61FE14}"/>
            </a:ext>
          </a:extLst>
        </xdr:cNvPr>
        <xdr:cNvPicPr preferRelativeResize="0"/>
      </xdr:nvPicPr>
      <xdr:blipFill>
        <a:blip xmlns:r="http://schemas.openxmlformats.org/officeDocument/2006/relationships" r:embed="rId1" cstate="print"/>
        <a:stretch>
          <a:fillRect/>
        </a:stretch>
      </xdr:blipFill>
      <xdr:spPr>
        <a:xfrm>
          <a:off x="7124700" y="1135380"/>
          <a:ext cx="2080453" cy="1259647"/>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17</xdr:col>
      <xdr:colOff>60739</xdr:colOff>
      <xdr:row>20</xdr:row>
      <xdr:rowOff>88348</xdr:rowOff>
    </xdr:from>
    <xdr:to>
      <xdr:col>21</xdr:col>
      <xdr:colOff>73853</xdr:colOff>
      <xdr:row>27</xdr:row>
      <xdr:rowOff>22777</xdr:rowOff>
    </xdr:to>
    <xdr:pic>
      <xdr:nvPicPr>
        <xdr:cNvPr id="2" name="image1.png">
          <a:extLst>
            <a:ext uri="{FF2B5EF4-FFF2-40B4-BE49-F238E27FC236}">
              <a16:creationId xmlns:a16="http://schemas.microsoft.com/office/drawing/2014/main" id="{1B9CEB58-772A-4CC2-8239-63BE4259E176}"/>
            </a:ext>
          </a:extLst>
        </xdr:cNvPr>
        <xdr:cNvPicPr preferRelativeResize="0"/>
      </xdr:nvPicPr>
      <xdr:blipFill>
        <a:blip xmlns:r="http://schemas.openxmlformats.org/officeDocument/2006/relationships" r:embed="rId1" cstate="print"/>
        <a:stretch>
          <a:fillRect/>
        </a:stretch>
      </xdr:blipFill>
      <xdr:spPr>
        <a:xfrm>
          <a:off x="8978348" y="3787913"/>
          <a:ext cx="2111375" cy="1254125"/>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28</xdr:col>
      <xdr:colOff>0</xdr:colOff>
      <xdr:row>121</xdr:row>
      <xdr:rowOff>0</xdr:rowOff>
    </xdr:from>
    <xdr:to>
      <xdr:col>32</xdr:col>
      <xdr:colOff>85725</xdr:colOff>
      <xdr:row>122</xdr:row>
      <xdr:rowOff>699807</xdr:rowOff>
    </xdr:to>
    <xdr:pic>
      <xdr:nvPicPr>
        <xdr:cNvPr id="4" name="image1.png">
          <a:extLst>
            <a:ext uri="{FF2B5EF4-FFF2-40B4-BE49-F238E27FC236}">
              <a16:creationId xmlns:a16="http://schemas.microsoft.com/office/drawing/2014/main" id="{C0551516-3240-4281-A7B2-DB236425D0AA}"/>
            </a:ext>
          </a:extLst>
        </xdr:cNvPr>
        <xdr:cNvPicPr preferRelativeResize="0"/>
      </xdr:nvPicPr>
      <xdr:blipFill>
        <a:blip xmlns:r="http://schemas.openxmlformats.org/officeDocument/2006/relationships" r:embed="rId1" cstate="print"/>
        <a:stretch>
          <a:fillRect/>
        </a:stretch>
      </xdr:blipFill>
      <xdr:spPr>
        <a:xfrm>
          <a:off x="14916150" y="24050625"/>
          <a:ext cx="2143125" cy="937932"/>
        </a:xfrm>
        <a:prstGeom prst="rect">
          <a:avLst/>
        </a:prstGeom>
        <a:noFill/>
      </xdr:spPr>
    </xdr:pic>
    <xdr:clientData fLocksWithSheet="0"/>
  </xdr:twoCellAnchor>
  <xdr:twoCellAnchor>
    <xdr:from>
      <xdr:col>28</xdr:col>
      <xdr:colOff>0</xdr:colOff>
      <xdr:row>63</xdr:row>
      <xdr:rowOff>0</xdr:rowOff>
    </xdr:from>
    <xdr:to>
      <xdr:col>32</xdr:col>
      <xdr:colOff>85725</xdr:colOff>
      <xdr:row>64</xdr:row>
      <xdr:rowOff>699807</xdr:rowOff>
    </xdr:to>
    <xdr:pic>
      <xdr:nvPicPr>
        <xdr:cNvPr id="5" name="image1.png">
          <a:extLst>
            <a:ext uri="{FF2B5EF4-FFF2-40B4-BE49-F238E27FC236}">
              <a16:creationId xmlns:a16="http://schemas.microsoft.com/office/drawing/2014/main" id="{D6355B22-ED0B-4AE7-BF33-928FA1B5D185}"/>
            </a:ext>
          </a:extLst>
        </xdr:cNvPr>
        <xdr:cNvPicPr preferRelativeResize="0"/>
      </xdr:nvPicPr>
      <xdr:blipFill>
        <a:blip xmlns:r="http://schemas.openxmlformats.org/officeDocument/2006/relationships" r:embed="rId1" cstate="print"/>
        <a:stretch>
          <a:fillRect/>
        </a:stretch>
      </xdr:blipFill>
      <xdr:spPr>
        <a:xfrm>
          <a:off x="14916150" y="12649200"/>
          <a:ext cx="2143125" cy="937932"/>
        </a:xfrm>
        <a:prstGeom prst="rect">
          <a:avLst/>
        </a:prstGeom>
        <a:noFill/>
      </xdr:spPr>
    </xdr:pic>
    <xdr:clientData fLocksWithSheet="0"/>
  </xdr:twoCellAnchor>
  <xdr:twoCellAnchor>
    <xdr:from>
      <xdr:col>28</xdr:col>
      <xdr:colOff>0</xdr:colOff>
      <xdr:row>5</xdr:row>
      <xdr:rowOff>0</xdr:rowOff>
    </xdr:from>
    <xdr:to>
      <xdr:col>32</xdr:col>
      <xdr:colOff>85725</xdr:colOff>
      <xdr:row>6</xdr:row>
      <xdr:rowOff>699807</xdr:rowOff>
    </xdr:to>
    <xdr:pic>
      <xdr:nvPicPr>
        <xdr:cNvPr id="6" name="image1.png">
          <a:extLst>
            <a:ext uri="{FF2B5EF4-FFF2-40B4-BE49-F238E27FC236}">
              <a16:creationId xmlns:a16="http://schemas.microsoft.com/office/drawing/2014/main" id="{FFA01411-9865-4EB7-80FC-4EAF2535AB51}"/>
            </a:ext>
          </a:extLst>
        </xdr:cNvPr>
        <xdr:cNvPicPr preferRelativeResize="0"/>
      </xdr:nvPicPr>
      <xdr:blipFill>
        <a:blip xmlns:r="http://schemas.openxmlformats.org/officeDocument/2006/relationships" r:embed="rId1" cstate="print"/>
        <a:stretch>
          <a:fillRect/>
        </a:stretch>
      </xdr:blipFill>
      <xdr:spPr>
        <a:xfrm>
          <a:off x="14916150" y="1276350"/>
          <a:ext cx="2143125" cy="937932"/>
        </a:xfrm>
        <a:prstGeom prst="rect">
          <a:avLst/>
        </a:prstGeom>
        <a:noFill/>
      </xdr:spPr>
    </xdr:pic>
    <xdr:clientData fLocksWithSheet="0"/>
  </xdr:twoCellAnchor>
</xdr:wsDr>
</file>

<file path=xl/drawings/drawing4.xml><?xml version="1.0" encoding="utf-8"?>
<xdr:wsDr xmlns:xdr="http://schemas.openxmlformats.org/drawingml/2006/spreadsheetDrawing" xmlns:a="http://schemas.openxmlformats.org/drawingml/2006/main">
  <xdr:twoCellAnchor>
    <xdr:from>
      <xdr:col>25</xdr:col>
      <xdr:colOff>342900</xdr:colOff>
      <xdr:row>115</xdr:row>
      <xdr:rowOff>57150</xdr:rowOff>
    </xdr:from>
    <xdr:to>
      <xdr:col>28</xdr:col>
      <xdr:colOff>476250</xdr:colOff>
      <xdr:row>120</xdr:row>
      <xdr:rowOff>137832</xdr:rowOff>
    </xdr:to>
    <xdr:pic>
      <xdr:nvPicPr>
        <xdr:cNvPr id="2" name="image1.png">
          <a:extLst>
            <a:ext uri="{FF2B5EF4-FFF2-40B4-BE49-F238E27FC236}">
              <a16:creationId xmlns:a16="http://schemas.microsoft.com/office/drawing/2014/main" id="{0BC11E92-5965-47BD-A54D-A93E3ACA0FFB}"/>
            </a:ext>
          </a:extLst>
        </xdr:cNvPr>
        <xdr:cNvPicPr preferRelativeResize="0"/>
      </xdr:nvPicPr>
      <xdr:blipFill>
        <a:blip xmlns:r="http://schemas.openxmlformats.org/officeDocument/2006/relationships" r:embed="rId1" cstate="print"/>
        <a:stretch>
          <a:fillRect/>
        </a:stretch>
      </xdr:blipFill>
      <xdr:spPr>
        <a:xfrm>
          <a:off x="14430375" y="27127200"/>
          <a:ext cx="1800225" cy="1176057"/>
        </a:xfrm>
        <a:prstGeom prst="rect">
          <a:avLst/>
        </a:prstGeom>
        <a:noFill/>
      </xdr:spPr>
    </xdr:pic>
    <xdr:clientData fLocksWithSheet="0"/>
  </xdr:twoCellAnchor>
  <xdr:twoCellAnchor>
    <xdr:from>
      <xdr:col>24</xdr:col>
      <xdr:colOff>95250</xdr:colOff>
      <xdr:row>55</xdr:row>
      <xdr:rowOff>142875</xdr:rowOff>
    </xdr:from>
    <xdr:to>
      <xdr:col>27</xdr:col>
      <xdr:colOff>228600</xdr:colOff>
      <xdr:row>61</xdr:row>
      <xdr:rowOff>42582</xdr:rowOff>
    </xdr:to>
    <xdr:pic>
      <xdr:nvPicPr>
        <xdr:cNvPr id="3" name="image1.png">
          <a:extLst>
            <a:ext uri="{FF2B5EF4-FFF2-40B4-BE49-F238E27FC236}">
              <a16:creationId xmlns:a16="http://schemas.microsoft.com/office/drawing/2014/main" id="{08835132-7F53-461D-AF2B-7D3882F0DA8F}"/>
            </a:ext>
          </a:extLst>
        </xdr:cNvPr>
        <xdr:cNvPicPr preferRelativeResize="0"/>
      </xdr:nvPicPr>
      <xdr:blipFill>
        <a:blip xmlns:r="http://schemas.openxmlformats.org/officeDocument/2006/relationships" r:embed="rId1" cstate="print"/>
        <a:stretch>
          <a:fillRect/>
        </a:stretch>
      </xdr:blipFill>
      <xdr:spPr>
        <a:xfrm>
          <a:off x="13439775" y="13315950"/>
          <a:ext cx="1800225" cy="1176057"/>
        </a:xfrm>
        <a:prstGeom prst="rect">
          <a:avLst/>
        </a:prstGeom>
        <a:noFill/>
      </xdr:spPr>
    </xdr:pic>
    <xdr:clientData fLocksWithSheet="0"/>
  </xdr:twoCellAnchor>
  <xdr:twoCellAnchor>
    <xdr:from>
      <xdr:col>18</xdr:col>
      <xdr:colOff>35859</xdr:colOff>
      <xdr:row>1</xdr:row>
      <xdr:rowOff>15128</xdr:rowOff>
    </xdr:from>
    <xdr:to>
      <xdr:col>20</xdr:col>
      <xdr:colOff>1065680</xdr:colOff>
      <xdr:row>4</xdr:row>
      <xdr:rowOff>67796</xdr:rowOff>
    </xdr:to>
    <xdr:pic>
      <xdr:nvPicPr>
        <xdr:cNvPr id="4" name="image1.png">
          <a:extLst>
            <a:ext uri="{FF2B5EF4-FFF2-40B4-BE49-F238E27FC236}">
              <a16:creationId xmlns:a16="http://schemas.microsoft.com/office/drawing/2014/main" id="{181E2F0A-E1C7-4D08-8103-2A02F79F3453}"/>
            </a:ext>
          </a:extLst>
        </xdr:cNvPr>
        <xdr:cNvPicPr preferRelativeResize="0"/>
      </xdr:nvPicPr>
      <xdr:blipFill>
        <a:blip xmlns:r="http://schemas.openxmlformats.org/officeDocument/2006/relationships" r:embed="rId1" cstate="print"/>
        <a:stretch>
          <a:fillRect/>
        </a:stretch>
      </xdr:blipFill>
      <xdr:spPr>
        <a:xfrm>
          <a:off x="9359153" y="203387"/>
          <a:ext cx="1944221" cy="769844"/>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twoCellAnchor>
    <xdr:from>
      <xdr:col>27</xdr:col>
      <xdr:colOff>0</xdr:colOff>
      <xdr:row>6</xdr:row>
      <xdr:rowOff>19050</xdr:rowOff>
    </xdr:from>
    <xdr:to>
      <xdr:col>30</xdr:col>
      <xdr:colOff>180975</xdr:colOff>
      <xdr:row>9</xdr:row>
      <xdr:rowOff>4482</xdr:rowOff>
    </xdr:to>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15801975" y="1676400"/>
          <a:ext cx="1809750" cy="937932"/>
        </a:xfrm>
        <a:prstGeom prst="rect">
          <a:avLst/>
        </a:prstGeom>
        <a:noFill/>
      </xdr:spPr>
    </xdr:pic>
    <xdr:clientData fLocksWithSheet="0"/>
  </xdr:twoCellAnchor>
  <xdr:twoCellAnchor>
    <xdr:from>
      <xdr:col>26</xdr:col>
      <xdr:colOff>95250</xdr:colOff>
      <xdr:row>61</xdr:row>
      <xdr:rowOff>0</xdr:rowOff>
    </xdr:from>
    <xdr:to>
      <xdr:col>30</xdr:col>
      <xdr:colOff>95250</xdr:colOff>
      <xdr:row>63</xdr:row>
      <xdr:rowOff>166407</xdr:rowOff>
    </xdr:to>
    <xdr:pic>
      <xdr:nvPicPr>
        <xdr:cNvPr id="3" name="image1.png">
          <a:extLst>
            <a:ext uri="{FF2B5EF4-FFF2-40B4-BE49-F238E27FC236}">
              <a16:creationId xmlns:a16="http://schemas.microsoft.com/office/drawing/2014/main" id="{3A34AFC2-99F5-4863-9CFC-51E0E074E6A5}"/>
            </a:ext>
          </a:extLst>
        </xdr:cNvPr>
        <xdr:cNvPicPr preferRelativeResize="0"/>
      </xdr:nvPicPr>
      <xdr:blipFill>
        <a:blip xmlns:r="http://schemas.openxmlformats.org/officeDocument/2006/relationships" r:embed="rId1" cstate="print"/>
        <a:stretch>
          <a:fillRect/>
        </a:stretch>
      </xdr:blipFill>
      <xdr:spPr>
        <a:xfrm>
          <a:off x="15716250" y="12487275"/>
          <a:ext cx="1809750" cy="937932"/>
        </a:xfrm>
        <a:prstGeom prst="rect">
          <a:avLst/>
        </a:prstGeom>
        <a:noFill/>
      </xdr:spPr>
    </xdr:pic>
    <xdr:clientData fLocksWithSheet="0"/>
  </xdr:twoCellAnchor>
  <xdr:twoCellAnchor>
    <xdr:from>
      <xdr:col>27</xdr:col>
      <xdr:colOff>0</xdr:colOff>
      <xdr:row>115</xdr:row>
      <xdr:rowOff>190500</xdr:rowOff>
    </xdr:from>
    <xdr:to>
      <xdr:col>30</xdr:col>
      <xdr:colOff>180975</xdr:colOff>
      <xdr:row>116</xdr:row>
      <xdr:rowOff>556932</xdr:rowOff>
    </xdr:to>
    <xdr:pic>
      <xdr:nvPicPr>
        <xdr:cNvPr id="4" name="image1.png">
          <a:extLst>
            <a:ext uri="{FF2B5EF4-FFF2-40B4-BE49-F238E27FC236}">
              <a16:creationId xmlns:a16="http://schemas.microsoft.com/office/drawing/2014/main" id="{A2EBEAAC-0CD8-42A0-84DA-DE081F9FD97D}"/>
            </a:ext>
          </a:extLst>
        </xdr:cNvPr>
        <xdr:cNvPicPr preferRelativeResize="0"/>
      </xdr:nvPicPr>
      <xdr:blipFill>
        <a:blip xmlns:r="http://schemas.openxmlformats.org/officeDocument/2006/relationships" r:embed="rId1" cstate="print"/>
        <a:stretch>
          <a:fillRect/>
        </a:stretch>
      </xdr:blipFill>
      <xdr:spPr>
        <a:xfrm>
          <a:off x="15801975" y="22936200"/>
          <a:ext cx="1809750" cy="937932"/>
        </a:xfrm>
        <a:prstGeom prst="rect">
          <a:avLst/>
        </a:prstGeom>
        <a:noFill/>
      </xdr:spPr>
    </xdr:pic>
    <xdr:clientData fLocksWithSheet="0"/>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113</xdr:row>
      <xdr:rowOff>0</xdr:rowOff>
    </xdr:from>
    <xdr:to>
      <xdr:col>24</xdr:col>
      <xdr:colOff>85725</xdr:colOff>
      <xdr:row>116</xdr:row>
      <xdr:rowOff>318807</xdr:rowOff>
    </xdr:to>
    <xdr:pic>
      <xdr:nvPicPr>
        <xdr:cNvPr id="3" name="image1.png">
          <a:extLst>
            <a:ext uri="{FF2B5EF4-FFF2-40B4-BE49-F238E27FC236}">
              <a16:creationId xmlns:a16="http://schemas.microsoft.com/office/drawing/2014/main" id="{1B55D5A9-482B-48CE-8CB6-3EF31873C5D4}"/>
            </a:ext>
          </a:extLst>
        </xdr:cNvPr>
        <xdr:cNvPicPr preferRelativeResize="0"/>
      </xdr:nvPicPr>
      <xdr:blipFill>
        <a:blip xmlns:r="http://schemas.openxmlformats.org/officeDocument/2006/relationships" r:embed="rId1" cstate="print"/>
        <a:stretch>
          <a:fillRect/>
        </a:stretch>
      </xdr:blipFill>
      <xdr:spPr>
        <a:xfrm>
          <a:off x="12753975" y="21907500"/>
          <a:ext cx="2143125" cy="937932"/>
        </a:xfrm>
        <a:prstGeom prst="rect">
          <a:avLst/>
        </a:prstGeom>
        <a:noFill/>
      </xdr:spPr>
    </xdr:pic>
    <xdr:clientData fLocksWithSheet="0"/>
  </xdr:twoCellAnchor>
  <xdr:twoCellAnchor>
    <xdr:from>
      <xdr:col>19</xdr:col>
      <xdr:colOff>38100</xdr:colOff>
      <xdr:row>56</xdr:row>
      <xdr:rowOff>85725</xdr:rowOff>
    </xdr:from>
    <xdr:to>
      <xdr:col>23</xdr:col>
      <xdr:colOff>123825</xdr:colOff>
      <xdr:row>60</xdr:row>
      <xdr:rowOff>261657</xdr:rowOff>
    </xdr:to>
    <xdr:pic>
      <xdr:nvPicPr>
        <xdr:cNvPr id="4" name="image1.png">
          <a:extLst>
            <a:ext uri="{FF2B5EF4-FFF2-40B4-BE49-F238E27FC236}">
              <a16:creationId xmlns:a16="http://schemas.microsoft.com/office/drawing/2014/main" id="{832F7E61-9C90-4E2E-9435-63A9D5C620CC}"/>
            </a:ext>
          </a:extLst>
        </xdr:cNvPr>
        <xdr:cNvPicPr preferRelativeResize="0"/>
      </xdr:nvPicPr>
      <xdr:blipFill>
        <a:blip xmlns:r="http://schemas.openxmlformats.org/officeDocument/2006/relationships" r:embed="rId1" cstate="print"/>
        <a:stretch>
          <a:fillRect/>
        </a:stretch>
      </xdr:blipFill>
      <xdr:spPr>
        <a:xfrm>
          <a:off x="12277725" y="11315700"/>
          <a:ext cx="1819275" cy="937932"/>
        </a:xfrm>
        <a:prstGeom prst="rect">
          <a:avLst/>
        </a:prstGeom>
        <a:noFill/>
      </xdr:spPr>
    </xdr:pic>
    <xdr:clientData fLocksWithSheet="0"/>
  </xdr:twoCellAnchor>
  <xdr:twoCellAnchor>
    <xdr:from>
      <xdr:col>20</xdr:col>
      <xdr:colOff>0</xdr:colOff>
      <xdr:row>4</xdr:row>
      <xdr:rowOff>0</xdr:rowOff>
    </xdr:from>
    <xdr:to>
      <xdr:col>24</xdr:col>
      <xdr:colOff>85725</xdr:colOff>
      <xdr:row>6</xdr:row>
      <xdr:rowOff>80682</xdr:rowOff>
    </xdr:to>
    <xdr:pic>
      <xdr:nvPicPr>
        <xdr:cNvPr id="5" name="image1.png">
          <a:extLst>
            <a:ext uri="{FF2B5EF4-FFF2-40B4-BE49-F238E27FC236}">
              <a16:creationId xmlns:a16="http://schemas.microsoft.com/office/drawing/2014/main" id="{71AB4784-EC06-4ED3-9192-41E31389EFC3}"/>
            </a:ext>
          </a:extLst>
        </xdr:cNvPr>
        <xdr:cNvPicPr preferRelativeResize="0"/>
      </xdr:nvPicPr>
      <xdr:blipFill>
        <a:blip xmlns:r="http://schemas.openxmlformats.org/officeDocument/2006/relationships" r:embed="rId1" cstate="print"/>
        <a:stretch>
          <a:fillRect/>
        </a:stretch>
      </xdr:blipFill>
      <xdr:spPr>
        <a:xfrm>
          <a:off x="12753975" y="914400"/>
          <a:ext cx="2143125" cy="937932"/>
        </a:xfrm>
        <a:prstGeom prst="rect">
          <a:avLst/>
        </a:prstGeom>
        <a:noFill/>
      </xdr:spPr>
    </xdr:pic>
    <xdr:clientData fLocksWithSheet="0"/>
  </xdr:twoCellAnchor>
</xdr:wsDr>
</file>

<file path=xl/drawings/drawing7.xml><?xml version="1.0" encoding="utf-8"?>
<xdr:wsDr xmlns:xdr="http://schemas.openxmlformats.org/drawingml/2006/spreadsheetDrawing" xmlns:a="http://schemas.openxmlformats.org/drawingml/2006/main">
  <xdr:twoCellAnchor>
    <xdr:from>
      <xdr:col>35</xdr:col>
      <xdr:colOff>7938</xdr:colOff>
      <xdr:row>1</xdr:row>
      <xdr:rowOff>111125</xdr:rowOff>
    </xdr:from>
    <xdr:to>
      <xdr:col>36</xdr:col>
      <xdr:colOff>412750</xdr:colOff>
      <xdr:row>5</xdr:row>
      <xdr:rowOff>141007</xdr:rowOff>
    </xdr:to>
    <xdr:pic>
      <xdr:nvPicPr>
        <xdr:cNvPr id="2" name="image1.png">
          <a:extLst>
            <a:ext uri="{FF2B5EF4-FFF2-40B4-BE49-F238E27FC236}">
              <a16:creationId xmlns:a16="http://schemas.microsoft.com/office/drawing/2014/main" id="{F20C23C9-CF7F-4B36-9755-F5C2648BD5AB}"/>
            </a:ext>
          </a:extLst>
        </xdr:cNvPr>
        <xdr:cNvPicPr preferRelativeResize="0"/>
      </xdr:nvPicPr>
      <xdr:blipFill>
        <a:blip xmlns:r="http://schemas.openxmlformats.org/officeDocument/2006/relationships" r:embed="rId1" cstate="print"/>
        <a:stretch>
          <a:fillRect/>
        </a:stretch>
      </xdr:blipFill>
      <xdr:spPr>
        <a:xfrm>
          <a:off x="21955126" y="301625"/>
          <a:ext cx="1468437" cy="934757"/>
        </a:xfrm>
        <a:prstGeom prst="rect">
          <a:avLst/>
        </a:prstGeom>
        <a:noFill/>
      </xdr:spPr>
    </xdr:pic>
    <xdr:clientData fLocksWithSheet="0"/>
  </xdr:twoCellAnchor>
  <xdr:twoCellAnchor>
    <xdr:from>
      <xdr:col>5</xdr:col>
      <xdr:colOff>55560</xdr:colOff>
      <xdr:row>10</xdr:row>
      <xdr:rowOff>29368</xdr:rowOff>
    </xdr:from>
    <xdr:to>
      <xdr:col>15</xdr:col>
      <xdr:colOff>1063622</xdr:colOff>
      <xdr:row>34</xdr:row>
      <xdr:rowOff>142874</xdr:rowOff>
    </xdr:to>
    <xdr:graphicFrame macro="">
      <xdr:nvGraphicFramePr>
        <xdr:cNvPr id="3" name="Chart 2">
          <a:extLst>
            <a:ext uri="{FF2B5EF4-FFF2-40B4-BE49-F238E27FC236}">
              <a16:creationId xmlns:a16="http://schemas.microsoft.com/office/drawing/2014/main" id="{E57C69FC-4EAE-47EC-8B57-BC8308771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984250</xdr:colOff>
      <xdr:row>30</xdr:row>
      <xdr:rowOff>63500</xdr:rowOff>
    </xdr:from>
    <xdr:to>
      <xdr:col>30</xdr:col>
      <xdr:colOff>230187</xdr:colOff>
      <xdr:row>54</xdr:row>
      <xdr:rowOff>177006</xdr:rowOff>
    </xdr:to>
    <xdr:graphicFrame macro="">
      <xdr:nvGraphicFramePr>
        <xdr:cNvPr id="4" name="Chart 3">
          <a:extLst>
            <a:ext uri="{FF2B5EF4-FFF2-40B4-BE49-F238E27FC236}">
              <a16:creationId xmlns:a16="http://schemas.microsoft.com/office/drawing/2014/main" id="{B2612CDB-2B4A-45AB-ABE6-71946C7BB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981075</xdr:colOff>
      <xdr:row>76</xdr:row>
      <xdr:rowOff>19050</xdr:rowOff>
    </xdr:from>
    <xdr:to>
      <xdr:col>35</xdr:col>
      <xdr:colOff>360362</xdr:colOff>
      <xdr:row>99</xdr:row>
      <xdr:rowOff>132556</xdr:rowOff>
    </xdr:to>
    <xdr:graphicFrame macro="">
      <xdr:nvGraphicFramePr>
        <xdr:cNvPr id="5" name="Chart 4">
          <a:extLst>
            <a:ext uri="{FF2B5EF4-FFF2-40B4-BE49-F238E27FC236}">
              <a16:creationId xmlns:a16="http://schemas.microsoft.com/office/drawing/2014/main" id="{7EAD36C6-FF82-4AB7-AE16-4DD7BDA21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71440</xdr:colOff>
      <xdr:row>83</xdr:row>
      <xdr:rowOff>34132</xdr:rowOff>
    </xdr:from>
    <xdr:to>
      <xdr:col>30</xdr:col>
      <xdr:colOff>396877</xdr:colOff>
      <xdr:row>107</xdr:row>
      <xdr:rowOff>147638</xdr:rowOff>
    </xdr:to>
    <xdr:graphicFrame macro="">
      <xdr:nvGraphicFramePr>
        <xdr:cNvPr id="6" name="Chart 5">
          <a:extLst>
            <a:ext uri="{FF2B5EF4-FFF2-40B4-BE49-F238E27FC236}">
              <a16:creationId xmlns:a16="http://schemas.microsoft.com/office/drawing/2014/main" id="{62261F8E-CDAB-43C4-976A-0AEF0E690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119</xdr:row>
      <xdr:rowOff>0</xdr:rowOff>
    </xdr:from>
    <xdr:to>
      <xdr:col>16</xdr:col>
      <xdr:colOff>150812</xdr:colOff>
      <xdr:row>143</xdr:row>
      <xdr:rowOff>113506</xdr:rowOff>
    </xdr:to>
    <xdr:graphicFrame macro="">
      <xdr:nvGraphicFramePr>
        <xdr:cNvPr id="7" name="Chart 6">
          <a:extLst>
            <a:ext uri="{FF2B5EF4-FFF2-40B4-BE49-F238E27FC236}">
              <a16:creationId xmlns:a16="http://schemas.microsoft.com/office/drawing/2014/main" id="{4494D583-5F56-4588-8BFE-5C57E627C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71440</xdr:colOff>
      <xdr:row>139</xdr:row>
      <xdr:rowOff>34132</xdr:rowOff>
    </xdr:from>
    <xdr:to>
      <xdr:col>30</xdr:col>
      <xdr:colOff>396877</xdr:colOff>
      <xdr:row>163</xdr:row>
      <xdr:rowOff>147638</xdr:rowOff>
    </xdr:to>
    <xdr:graphicFrame macro="">
      <xdr:nvGraphicFramePr>
        <xdr:cNvPr id="8" name="Chart 7">
          <a:extLst>
            <a:ext uri="{FF2B5EF4-FFF2-40B4-BE49-F238E27FC236}">
              <a16:creationId xmlns:a16="http://schemas.microsoft.com/office/drawing/2014/main" id="{360E436C-E162-4578-B648-C31C22214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352425</xdr:colOff>
      <xdr:row>79</xdr:row>
      <xdr:rowOff>66675</xdr:rowOff>
    </xdr:from>
    <xdr:to>
      <xdr:col>21</xdr:col>
      <xdr:colOff>881063</xdr:colOff>
      <xdr:row>108</xdr:row>
      <xdr:rowOff>14288</xdr:rowOff>
    </xdr:to>
    <xdr:graphicFrame macro="">
      <xdr:nvGraphicFramePr>
        <xdr:cNvPr id="9" name="Chart 8">
          <a:extLst>
            <a:ext uri="{FF2B5EF4-FFF2-40B4-BE49-F238E27FC236}">
              <a16:creationId xmlns:a16="http://schemas.microsoft.com/office/drawing/2014/main" id="{4B4F49F7-23F8-4C22-8897-8EBB85191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600075</xdr:colOff>
      <xdr:row>19</xdr:row>
      <xdr:rowOff>114300</xdr:rowOff>
    </xdr:from>
    <xdr:to>
      <xdr:col>24</xdr:col>
      <xdr:colOff>1042988</xdr:colOff>
      <xdr:row>48</xdr:row>
      <xdr:rowOff>61913</xdr:rowOff>
    </xdr:to>
    <xdr:graphicFrame macro="">
      <xdr:nvGraphicFramePr>
        <xdr:cNvPr id="10" name="Chart 9">
          <a:extLst>
            <a:ext uri="{FF2B5EF4-FFF2-40B4-BE49-F238E27FC236}">
              <a16:creationId xmlns:a16="http://schemas.microsoft.com/office/drawing/2014/main" id="{7C0131BB-ABAE-4A51-9DC0-53804655E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812800</xdr:colOff>
      <xdr:row>127</xdr:row>
      <xdr:rowOff>114300</xdr:rowOff>
    </xdr:from>
    <xdr:to>
      <xdr:col>25</xdr:col>
      <xdr:colOff>198438</xdr:colOff>
      <xdr:row>156</xdr:row>
      <xdr:rowOff>61913</xdr:rowOff>
    </xdr:to>
    <xdr:graphicFrame macro="">
      <xdr:nvGraphicFramePr>
        <xdr:cNvPr id="11" name="Chart 10">
          <a:extLst>
            <a:ext uri="{FF2B5EF4-FFF2-40B4-BE49-F238E27FC236}">
              <a16:creationId xmlns:a16="http://schemas.microsoft.com/office/drawing/2014/main" id="{88AF066B-96DE-48CC-8654-64D8A8F1C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446314</xdr:colOff>
      <xdr:row>0</xdr:row>
      <xdr:rowOff>21773</xdr:rowOff>
    </xdr:from>
    <xdr:to>
      <xdr:col>11</xdr:col>
      <xdr:colOff>805543</xdr:colOff>
      <xdr:row>4</xdr:row>
      <xdr:rowOff>97972</xdr:rowOff>
    </xdr:to>
    <xdr:pic>
      <xdr:nvPicPr>
        <xdr:cNvPr id="2" name="image1.png">
          <a:extLst>
            <a:ext uri="{FF2B5EF4-FFF2-40B4-BE49-F238E27FC236}">
              <a16:creationId xmlns:a16="http://schemas.microsoft.com/office/drawing/2014/main" id="{022EFA77-547E-49E0-A3F4-1FD2007ABC3B}"/>
            </a:ext>
          </a:extLst>
        </xdr:cNvPr>
        <xdr:cNvPicPr preferRelativeResize="0"/>
      </xdr:nvPicPr>
      <xdr:blipFill>
        <a:blip xmlns:r="http://schemas.openxmlformats.org/officeDocument/2006/relationships" r:embed="rId1" cstate="print"/>
        <a:stretch>
          <a:fillRect/>
        </a:stretch>
      </xdr:blipFill>
      <xdr:spPr>
        <a:xfrm>
          <a:off x="10047514" y="21773"/>
          <a:ext cx="1469572" cy="729342"/>
        </a:xfrm>
        <a:prstGeom prst="rect">
          <a:avLst/>
        </a:prstGeom>
        <a:noFill/>
      </xdr:spPr>
    </xdr:pic>
    <xdr:clientData fLocksWithSheet="0"/>
  </xdr:twoCellAnchor>
</xdr:wsDr>
</file>

<file path=xl/drawings/drawing9.xml><?xml version="1.0" encoding="utf-8"?>
<xdr:wsDr xmlns:xdr="http://schemas.openxmlformats.org/drawingml/2006/spreadsheetDrawing" xmlns:a="http://schemas.openxmlformats.org/drawingml/2006/main">
  <xdr:twoCellAnchor>
    <xdr:from>
      <xdr:col>10</xdr:col>
      <xdr:colOff>446314</xdr:colOff>
      <xdr:row>0</xdr:row>
      <xdr:rowOff>21773</xdr:rowOff>
    </xdr:from>
    <xdr:to>
      <xdr:col>11</xdr:col>
      <xdr:colOff>805543</xdr:colOff>
      <xdr:row>4</xdr:row>
      <xdr:rowOff>97972</xdr:rowOff>
    </xdr:to>
    <xdr:pic>
      <xdr:nvPicPr>
        <xdr:cNvPr id="2" name="image1.png">
          <a:extLst>
            <a:ext uri="{FF2B5EF4-FFF2-40B4-BE49-F238E27FC236}">
              <a16:creationId xmlns:a16="http://schemas.microsoft.com/office/drawing/2014/main" id="{8D550FF2-D4AA-4F91-9BFD-9C76E0B416FF}"/>
            </a:ext>
          </a:extLst>
        </xdr:cNvPr>
        <xdr:cNvPicPr preferRelativeResize="0"/>
      </xdr:nvPicPr>
      <xdr:blipFill>
        <a:blip xmlns:r="http://schemas.openxmlformats.org/officeDocument/2006/relationships" r:embed="rId1" cstate="print"/>
        <a:stretch>
          <a:fillRect/>
        </a:stretch>
      </xdr:blipFill>
      <xdr:spPr>
        <a:xfrm>
          <a:off x="10062754" y="21773"/>
          <a:ext cx="1471749" cy="769619"/>
        </a:xfrm>
        <a:prstGeom prst="rect">
          <a:avLst/>
        </a:prstGeom>
        <a:noFill/>
      </xdr:spPr>
    </xdr:pic>
    <xdr:clientData fLocksWithSheet="0"/>
  </xdr:twoCellAnchor>
  <xdr:twoCellAnchor>
    <xdr:from>
      <xdr:col>6</xdr:col>
      <xdr:colOff>1026887</xdr:colOff>
      <xdr:row>75</xdr:row>
      <xdr:rowOff>45963</xdr:rowOff>
    </xdr:from>
    <xdr:to>
      <xdr:col>14</xdr:col>
      <xdr:colOff>7984</xdr:colOff>
      <xdr:row>103</xdr:row>
      <xdr:rowOff>76443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F25179F-B284-4D37-9352-677C92C856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490427" y="15537423"/>
              <a:ext cx="7881257" cy="5151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478971</xdr:colOff>
      <xdr:row>20</xdr:row>
      <xdr:rowOff>43543</xdr:rowOff>
    </xdr:from>
    <xdr:to>
      <xdr:col>14</xdr:col>
      <xdr:colOff>570411</xdr:colOff>
      <xdr:row>48</xdr:row>
      <xdr:rowOff>74023</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1E9AFAF-2156-48E2-807D-28A27C99DE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055031" y="4531723"/>
              <a:ext cx="7879080" cy="5151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968829</xdr:colOff>
      <xdr:row>126</xdr:row>
      <xdr:rowOff>43543</xdr:rowOff>
    </xdr:from>
    <xdr:to>
      <xdr:col>14</xdr:col>
      <xdr:colOff>1060269</xdr:colOff>
      <xdr:row>154</xdr:row>
      <xdr:rowOff>74023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0B76E92-F5BF-4DF6-BA52-EC97F4357D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44889" y="25806763"/>
              <a:ext cx="7879080" cy="5151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446314</xdr:colOff>
      <xdr:row>0</xdr:row>
      <xdr:rowOff>21773</xdr:rowOff>
    </xdr:from>
    <xdr:to>
      <xdr:col>13</xdr:col>
      <xdr:colOff>805543</xdr:colOff>
      <xdr:row>4</xdr:row>
      <xdr:rowOff>97972</xdr:rowOff>
    </xdr:to>
    <xdr:pic>
      <xdr:nvPicPr>
        <xdr:cNvPr id="2" name="image1.png">
          <a:extLst>
            <a:ext uri="{FF2B5EF4-FFF2-40B4-BE49-F238E27FC236}">
              <a16:creationId xmlns:a16="http://schemas.microsoft.com/office/drawing/2014/main" id="{E76EC5E2-0E1D-466C-89F5-E1FBA32D44E9}"/>
            </a:ext>
          </a:extLst>
        </xdr:cNvPr>
        <xdr:cNvPicPr preferRelativeResize="0"/>
      </xdr:nvPicPr>
      <xdr:blipFill>
        <a:blip xmlns:r="http://schemas.openxmlformats.org/officeDocument/2006/relationships" r:embed="rId1" cstate="print"/>
        <a:stretch>
          <a:fillRect/>
        </a:stretch>
      </xdr:blipFill>
      <xdr:spPr>
        <a:xfrm>
          <a:off x="10062754" y="21773"/>
          <a:ext cx="1471749" cy="784859"/>
        </a:xfrm>
        <a:prstGeom prst="rect">
          <a:avLst/>
        </a:prstGeom>
        <a:noFill/>
      </xdr:spPr>
    </xdr:pic>
    <xdr:clientData fLocksWithSheet="0"/>
  </xdr:twoCellAnchor>
  <xdr:twoCellAnchor>
    <xdr:from>
      <xdr:col>17</xdr:col>
      <xdr:colOff>134469</xdr:colOff>
      <xdr:row>9</xdr:row>
      <xdr:rowOff>391885</xdr:rowOff>
    </xdr:from>
    <xdr:to>
      <xdr:col>29</xdr:col>
      <xdr:colOff>188898</xdr:colOff>
      <xdr:row>21</xdr:row>
      <xdr:rowOff>266699</xdr:rowOff>
    </xdr:to>
    <xdr:graphicFrame macro="">
      <xdr:nvGraphicFramePr>
        <xdr:cNvPr id="6" name="Chart 5">
          <a:extLst>
            <a:ext uri="{FF2B5EF4-FFF2-40B4-BE49-F238E27FC236}">
              <a16:creationId xmlns:a16="http://schemas.microsoft.com/office/drawing/2014/main" id="{9D43E325-8ADC-4E14-A285-D8962851E1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65315</xdr:colOff>
      <xdr:row>30</xdr:row>
      <xdr:rowOff>326570</xdr:rowOff>
    </xdr:from>
    <xdr:to>
      <xdr:col>29</xdr:col>
      <xdr:colOff>119744</xdr:colOff>
      <xdr:row>42</xdr:row>
      <xdr:rowOff>201385</xdr:rowOff>
    </xdr:to>
    <xdr:graphicFrame macro="">
      <xdr:nvGraphicFramePr>
        <xdr:cNvPr id="7" name="Chart 6">
          <a:extLst>
            <a:ext uri="{FF2B5EF4-FFF2-40B4-BE49-F238E27FC236}">
              <a16:creationId xmlns:a16="http://schemas.microsoft.com/office/drawing/2014/main" id="{9DFA15BF-FB28-47E1-9187-9B3C08DB1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76200</xdr:colOff>
      <xdr:row>51</xdr:row>
      <xdr:rowOff>337457</xdr:rowOff>
    </xdr:from>
    <xdr:to>
      <xdr:col>29</xdr:col>
      <xdr:colOff>130629</xdr:colOff>
      <xdr:row>63</xdr:row>
      <xdr:rowOff>212272</xdr:rowOff>
    </xdr:to>
    <xdr:graphicFrame macro="">
      <xdr:nvGraphicFramePr>
        <xdr:cNvPr id="8" name="Chart 7">
          <a:extLst>
            <a:ext uri="{FF2B5EF4-FFF2-40B4-BE49-F238E27FC236}">
              <a16:creationId xmlns:a16="http://schemas.microsoft.com/office/drawing/2014/main" id="{97ED3F24-9954-497D-AE31-7B6A14529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330200</xdr:colOff>
      <xdr:row>1</xdr:row>
      <xdr:rowOff>143932</xdr:rowOff>
    </xdr:from>
    <xdr:to>
      <xdr:col>24</xdr:col>
      <xdr:colOff>67733</xdr:colOff>
      <xdr:row>26</xdr:row>
      <xdr:rowOff>101599</xdr:rowOff>
    </xdr:to>
    <xdr:grpSp>
      <xdr:nvGrpSpPr>
        <xdr:cNvPr id="45" name="Group 44">
          <a:extLst>
            <a:ext uri="{FF2B5EF4-FFF2-40B4-BE49-F238E27FC236}">
              <a16:creationId xmlns:a16="http://schemas.microsoft.com/office/drawing/2014/main" id="{F572724C-0E02-4D18-8A1B-9E06CA4F1A65}"/>
            </a:ext>
          </a:extLst>
        </xdr:cNvPr>
        <xdr:cNvGrpSpPr/>
      </xdr:nvGrpSpPr>
      <xdr:grpSpPr>
        <a:xfrm>
          <a:off x="939800" y="338665"/>
          <a:ext cx="10100733" cy="4622801"/>
          <a:chOff x="1092200" y="1634066"/>
          <a:chExt cx="10100733" cy="4614333"/>
        </a:xfrm>
      </xdr:grpSpPr>
      <xdr:sp macro="" textlink="">
        <xdr:nvSpPr>
          <xdr:cNvPr id="7" name="Rectangle 6">
            <a:extLst>
              <a:ext uri="{FF2B5EF4-FFF2-40B4-BE49-F238E27FC236}">
                <a16:creationId xmlns:a16="http://schemas.microsoft.com/office/drawing/2014/main" id="{5A262977-C107-45AC-8AD7-B07E477140F6}"/>
              </a:ext>
            </a:extLst>
          </xdr:cNvPr>
          <xdr:cNvSpPr/>
        </xdr:nvSpPr>
        <xdr:spPr>
          <a:xfrm>
            <a:off x="1092200" y="1634066"/>
            <a:ext cx="10100733" cy="4614333"/>
          </a:xfrm>
          <a:prstGeom prst="rect">
            <a:avLst/>
          </a:prstGeom>
          <a:solidFill>
            <a:sysClr val="window" lastClr="FFFFFF"/>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 name="Chart 3">
            <a:extLst>
              <a:ext uri="{FF2B5EF4-FFF2-40B4-BE49-F238E27FC236}">
                <a16:creationId xmlns:a16="http://schemas.microsoft.com/office/drawing/2014/main" id="{77E91484-BFE1-4111-83C6-0B8DAAB2AE30}"/>
              </a:ext>
            </a:extLst>
          </xdr:cNvPr>
          <xdr:cNvGraphicFramePr/>
        </xdr:nvGraphicFramePr>
        <xdr:xfrm>
          <a:off x="6996853" y="2341880"/>
          <a:ext cx="2689860" cy="27940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60C3E1CA-10B6-474B-B014-989AC03AECF1}"/>
              </a:ext>
            </a:extLst>
          </xdr:cNvPr>
          <xdr:cNvGraphicFramePr>
            <a:graphicFrameLocks/>
          </xdr:cNvGraphicFramePr>
        </xdr:nvGraphicFramePr>
        <xdr:xfrm>
          <a:off x="3183382" y="3598335"/>
          <a:ext cx="2688336" cy="184996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0" name="TextBox 9">
            <a:extLst>
              <a:ext uri="{FF2B5EF4-FFF2-40B4-BE49-F238E27FC236}">
                <a16:creationId xmlns:a16="http://schemas.microsoft.com/office/drawing/2014/main" id="{67B79692-15F4-400D-83DE-F4A6A7B73C99}"/>
              </a:ext>
            </a:extLst>
          </xdr:cNvPr>
          <xdr:cNvSpPr txBox="1"/>
        </xdr:nvSpPr>
        <xdr:spPr>
          <a:xfrm>
            <a:off x="2926930" y="1693335"/>
            <a:ext cx="2991270" cy="236523"/>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Urban Mobility - Published Scenarios</a:t>
            </a:r>
          </a:p>
        </xdr:txBody>
      </xdr:sp>
      <xdr:sp macro="" textlink="">
        <xdr:nvSpPr>
          <xdr:cNvPr id="12" name="TextBox 11">
            <a:extLst>
              <a:ext uri="{FF2B5EF4-FFF2-40B4-BE49-F238E27FC236}">
                <a16:creationId xmlns:a16="http://schemas.microsoft.com/office/drawing/2014/main" id="{91578D9E-4C0B-41AA-B28C-F5974A62FB09}"/>
              </a:ext>
            </a:extLst>
          </xdr:cNvPr>
          <xdr:cNvSpPr txBox="1"/>
        </xdr:nvSpPr>
        <xdr:spPr>
          <a:xfrm>
            <a:off x="7016327" y="2256368"/>
            <a:ext cx="2551006" cy="256621"/>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Urban &amp; Non-Urban Mobility</a:t>
            </a:r>
          </a:p>
        </xdr:txBody>
      </xdr:sp>
      <xdr:sp macro="" textlink="">
        <xdr:nvSpPr>
          <xdr:cNvPr id="13" name="TextBox 12">
            <a:extLst>
              <a:ext uri="{FF2B5EF4-FFF2-40B4-BE49-F238E27FC236}">
                <a16:creationId xmlns:a16="http://schemas.microsoft.com/office/drawing/2014/main" id="{0B480E76-7976-403A-84B6-CA66B5DAF791}"/>
              </a:ext>
            </a:extLst>
          </xdr:cNvPr>
          <xdr:cNvSpPr txBox="1"/>
        </xdr:nvSpPr>
        <xdr:spPr>
          <a:xfrm>
            <a:off x="2167468" y="5376326"/>
            <a:ext cx="7950199" cy="855141"/>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tx2"/>
                </a:solidFill>
              </a:rPr>
              <a:t>FIGURE: Illustration of the Meta-Analysis Approach Used to Construct the Addressable Markets for Passenger Mobility. [NM Adjustment - Non-Motorized Adjustment for those sources that excluded Nonmotorized Mobility</a:t>
            </a:r>
          </a:p>
          <a:p>
            <a:pPr algn="ctr"/>
            <a:r>
              <a:rPr lang="en-US" sz="1200" b="1">
                <a:solidFill>
                  <a:schemeClr val="tx2"/>
                </a:solidFill>
              </a:rPr>
              <a:t> TP Adjustment - Telepresence Adjustment since Telepresence effectively represents Replaced</a:t>
            </a:r>
            <a:r>
              <a:rPr lang="en-US" sz="1200" b="1" baseline="0">
                <a:solidFill>
                  <a:schemeClr val="tx2"/>
                </a:solidFill>
              </a:rPr>
              <a:t> Mobility. Note that only Urban and Non-Urban estimates from the same source and scenario are matched.]</a:t>
            </a:r>
            <a:endParaRPr lang="en-US" sz="1200" b="1">
              <a:solidFill>
                <a:schemeClr val="tx2"/>
              </a:solidFill>
            </a:endParaRPr>
          </a:p>
        </xdr:txBody>
      </xdr:sp>
      <xdr:sp macro="" textlink="">
        <xdr:nvSpPr>
          <xdr:cNvPr id="14" name="Right Brace 13">
            <a:extLst>
              <a:ext uri="{FF2B5EF4-FFF2-40B4-BE49-F238E27FC236}">
                <a16:creationId xmlns:a16="http://schemas.microsoft.com/office/drawing/2014/main" id="{C5C006B4-511F-4C52-B21E-C214708184DB}"/>
              </a:ext>
            </a:extLst>
          </xdr:cNvPr>
          <xdr:cNvSpPr/>
        </xdr:nvSpPr>
        <xdr:spPr>
          <a:xfrm>
            <a:off x="6299200" y="1778001"/>
            <a:ext cx="279400" cy="3471334"/>
          </a:xfrm>
          <a:prstGeom prst="rightBrace">
            <a:avLst/>
          </a:prstGeom>
          <a:ln w="25400">
            <a:solidFill>
              <a:schemeClr val="tx2"/>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18" name="TextBox 17">
            <a:extLst>
              <a:ext uri="{FF2B5EF4-FFF2-40B4-BE49-F238E27FC236}">
                <a16:creationId xmlns:a16="http://schemas.microsoft.com/office/drawing/2014/main" id="{DB875CC5-6608-4BFC-BFD5-41293024DB05}"/>
              </a:ext>
            </a:extLst>
          </xdr:cNvPr>
          <xdr:cNvSpPr txBox="1"/>
        </xdr:nvSpPr>
        <xdr:spPr>
          <a:xfrm>
            <a:off x="6474460" y="3141133"/>
            <a:ext cx="696806" cy="973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solidFill>
              </a:rPr>
              <a:t>Matched &amp; Summed</a:t>
            </a:r>
          </a:p>
        </xdr:txBody>
      </xdr:sp>
      <xdr:sp macro="" textlink="">
        <xdr:nvSpPr>
          <xdr:cNvPr id="19" name="TextBox 18">
            <a:extLst>
              <a:ext uri="{FF2B5EF4-FFF2-40B4-BE49-F238E27FC236}">
                <a16:creationId xmlns:a16="http://schemas.microsoft.com/office/drawing/2014/main" id="{3F5A2733-F588-4D33-8735-A270792875E6}"/>
              </a:ext>
            </a:extLst>
          </xdr:cNvPr>
          <xdr:cNvSpPr txBox="1"/>
        </xdr:nvSpPr>
        <xdr:spPr>
          <a:xfrm>
            <a:off x="1921934" y="4157133"/>
            <a:ext cx="787400" cy="338667"/>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solidFill>
              </a:rPr>
              <a:t>Averaged</a:t>
            </a:r>
          </a:p>
        </xdr:txBody>
      </xdr:sp>
      <xdr:sp macro="" textlink="">
        <xdr:nvSpPr>
          <xdr:cNvPr id="22" name="TextBox 21">
            <a:extLst>
              <a:ext uri="{FF2B5EF4-FFF2-40B4-BE49-F238E27FC236}">
                <a16:creationId xmlns:a16="http://schemas.microsoft.com/office/drawing/2014/main" id="{325AE7B6-E81C-4EA9-8ABB-8D950746CD13}"/>
              </a:ext>
            </a:extLst>
          </xdr:cNvPr>
          <xdr:cNvSpPr txBox="1"/>
        </xdr:nvSpPr>
        <xdr:spPr>
          <a:xfrm>
            <a:off x="1944792" y="2421467"/>
            <a:ext cx="789940" cy="338667"/>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solidFill>
              </a:rPr>
              <a:t>Averaged</a:t>
            </a:r>
          </a:p>
        </xdr:txBody>
      </xdr:sp>
      <xdr:sp macro="" textlink="">
        <xdr:nvSpPr>
          <xdr:cNvPr id="23" name="TextBox 22">
            <a:extLst>
              <a:ext uri="{FF2B5EF4-FFF2-40B4-BE49-F238E27FC236}">
                <a16:creationId xmlns:a16="http://schemas.microsoft.com/office/drawing/2014/main" id="{E3C6FAF9-5D2F-4EF1-970C-035FA823ED32}"/>
              </a:ext>
            </a:extLst>
          </xdr:cNvPr>
          <xdr:cNvSpPr txBox="1"/>
        </xdr:nvSpPr>
        <xdr:spPr>
          <a:xfrm>
            <a:off x="9624061" y="3386667"/>
            <a:ext cx="823806" cy="338667"/>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solidFill>
              </a:rPr>
              <a:t>Averaged</a:t>
            </a:r>
          </a:p>
        </xdr:txBody>
      </xdr:sp>
      <xdr:sp macro="" textlink="">
        <xdr:nvSpPr>
          <xdr:cNvPr id="24" name="Right Brace 23">
            <a:extLst>
              <a:ext uri="{FF2B5EF4-FFF2-40B4-BE49-F238E27FC236}">
                <a16:creationId xmlns:a16="http://schemas.microsoft.com/office/drawing/2014/main" id="{CD45421E-2510-4904-BC80-721150E5F7EC}"/>
              </a:ext>
            </a:extLst>
          </xdr:cNvPr>
          <xdr:cNvSpPr/>
        </xdr:nvSpPr>
        <xdr:spPr>
          <a:xfrm rot="10800000">
            <a:off x="2463800" y="1778001"/>
            <a:ext cx="279400" cy="1737360"/>
          </a:xfrm>
          <a:prstGeom prst="rightBrace">
            <a:avLst/>
          </a:prstGeom>
          <a:ln w="25400">
            <a:solidFill>
              <a:schemeClr val="tx2"/>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sp macro="" textlink="">
        <xdr:nvSpPr>
          <xdr:cNvPr id="25" name="Right Brace 24">
            <a:extLst>
              <a:ext uri="{FF2B5EF4-FFF2-40B4-BE49-F238E27FC236}">
                <a16:creationId xmlns:a16="http://schemas.microsoft.com/office/drawing/2014/main" id="{2A4763D8-D6C4-4280-B5E8-80DDF3006362}"/>
              </a:ext>
            </a:extLst>
          </xdr:cNvPr>
          <xdr:cNvSpPr/>
        </xdr:nvSpPr>
        <xdr:spPr>
          <a:xfrm rot="10800000">
            <a:off x="2455333" y="3511975"/>
            <a:ext cx="279400" cy="1737360"/>
          </a:xfrm>
          <a:prstGeom prst="rightBrace">
            <a:avLst/>
          </a:prstGeom>
          <a:ln w="25400">
            <a:solidFill>
              <a:schemeClr val="tx2"/>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xnSp macro="">
        <xdr:nvCxnSpPr>
          <xdr:cNvPr id="16" name="Straight Arrow Connector 15">
            <a:extLst>
              <a:ext uri="{FF2B5EF4-FFF2-40B4-BE49-F238E27FC236}">
                <a16:creationId xmlns:a16="http://schemas.microsoft.com/office/drawing/2014/main" id="{E6E4331F-919E-48B7-AE56-8C01DDC8EDF3}"/>
              </a:ext>
            </a:extLst>
          </xdr:cNvPr>
          <xdr:cNvCxnSpPr>
            <a:stCxn id="14" idx="1"/>
          </xdr:cNvCxnSpPr>
        </xdr:nvCxnSpPr>
        <xdr:spPr>
          <a:xfrm>
            <a:off x="6578600" y="3513668"/>
            <a:ext cx="440267" cy="0"/>
          </a:xfrm>
          <a:prstGeom prst="straightConnector1">
            <a:avLst/>
          </a:prstGeom>
          <a:ln w="25400">
            <a:solidFill>
              <a:schemeClr val="tx2"/>
            </a:solidFill>
            <a:tailEnd type="stealth" w="lg" len="med"/>
          </a:ln>
        </xdr:spPr>
        <xdr:style>
          <a:lnRef idx="1">
            <a:schemeClr val="accent1"/>
          </a:lnRef>
          <a:fillRef idx="0">
            <a:schemeClr val="accent1"/>
          </a:fillRef>
          <a:effectRef idx="0">
            <a:schemeClr val="accent1"/>
          </a:effectRef>
          <a:fontRef idx="minor">
            <a:schemeClr val="tx1"/>
          </a:fontRef>
        </xdr:style>
      </xdr:cxnSp>
      <xdr:cxnSp macro="">
        <xdr:nvCxnSpPr>
          <xdr:cNvPr id="26" name="Straight Arrow Connector 25">
            <a:extLst>
              <a:ext uri="{FF2B5EF4-FFF2-40B4-BE49-F238E27FC236}">
                <a16:creationId xmlns:a16="http://schemas.microsoft.com/office/drawing/2014/main" id="{CE73218B-21E1-44AD-A54B-48694CFED8F2}"/>
              </a:ext>
            </a:extLst>
          </xdr:cNvPr>
          <xdr:cNvCxnSpPr>
            <a:stCxn id="24" idx="1"/>
          </xdr:cNvCxnSpPr>
        </xdr:nvCxnSpPr>
        <xdr:spPr>
          <a:xfrm flipH="1">
            <a:off x="2023533" y="2646681"/>
            <a:ext cx="440267" cy="3386"/>
          </a:xfrm>
          <a:prstGeom prst="straightConnector1">
            <a:avLst/>
          </a:prstGeom>
          <a:ln w="25400">
            <a:solidFill>
              <a:schemeClr val="tx2"/>
            </a:solidFill>
            <a:tailEnd type="stealth" w="lg" len="med"/>
          </a:ln>
        </xdr:spPr>
        <xdr:style>
          <a:lnRef idx="1">
            <a:schemeClr val="accent1"/>
          </a:lnRef>
          <a:fillRef idx="0">
            <a:schemeClr val="accent1"/>
          </a:fillRef>
          <a:effectRef idx="0">
            <a:schemeClr val="accent1"/>
          </a:effectRef>
          <a:fontRef idx="minor">
            <a:schemeClr val="tx1"/>
          </a:fontRef>
        </xdr:style>
      </xdr:cxnSp>
      <xdr:cxnSp macro="">
        <xdr:nvCxnSpPr>
          <xdr:cNvPr id="32" name="Straight Arrow Connector 31">
            <a:extLst>
              <a:ext uri="{FF2B5EF4-FFF2-40B4-BE49-F238E27FC236}">
                <a16:creationId xmlns:a16="http://schemas.microsoft.com/office/drawing/2014/main" id="{18592C56-2961-42C8-9A01-2F4975634D6A}"/>
              </a:ext>
            </a:extLst>
          </xdr:cNvPr>
          <xdr:cNvCxnSpPr>
            <a:stCxn id="25" idx="1"/>
          </xdr:cNvCxnSpPr>
        </xdr:nvCxnSpPr>
        <xdr:spPr>
          <a:xfrm flipH="1">
            <a:off x="2023533" y="4380655"/>
            <a:ext cx="438912" cy="5079"/>
          </a:xfrm>
          <a:prstGeom prst="straightConnector1">
            <a:avLst/>
          </a:prstGeom>
          <a:ln w="25400">
            <a:solidFill>
              <a:schemeClr val="tx2"/>
            </a:solidFill>
            <a:tailEnd type="stealth" w="lg" len="med"/>
          </a:ln>
        </xdr:spPr>
        <xdr:style>
          <a:lnRef idx="1">
            <a:schemeClr val="accent1"/>
          </a:lnRef>
          <a:fillRef idx="0">
            <a:schemeClr val="accent1"/>
          </a:fillRef>
          <a:effectRef idx="0">
            <a:schemeClr val="accent1"/>
          </a:effectRef>
          <a:fontRef idx="minor">
            <a:schemeClr val="tx1"/>
          </a:fontRef>
        </xdr:style>
      </xdr:cxnSp>
      <xdr:sp macro="" textlink="">
        <xdr:nvSpPr>
          <xdr:cNvPr id="34" name="Right Brace 33">
            <a:extLst>
              <a:ext uri="{FF2B5EF4-FFF2-40B4-BE49-F238E27FC236}">
                <a16:creationId xmlns:a16="http://schemas.microsoft.com/office/drawing/2014/main" id="{A925FEF0-2131-4950-8260-6933C707ADD5}"/>
              </a:ext>
            </a:extLst>
          </xdr:cNvPr>
          <xdr:cNvSpPr/>
        </xdr:nvSpPr>
        <xdr:spPr>
          <a:xfrm>
            <a:off x="9533466" y="2336800"/>
            <a:ext cx="279400" cy="2548467"/>
          </a:xfrm>
          <a:prstGeom prst="rightBrace">
            <a:avLst/>
          </a:prstGeom>
          <a:ln w="25400">
            <a:solidFill>
              <a:schemeClr val="tx2"/>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xnSp macro="">
        <xdr:nvCxnSpPr>
          <xdr:cNvPr id="35" name="Straight Arrow Connector 34">
            <a:extLst>
              <a:ext uri="{FF2B5EF4-FFF2-40B4-BE49-F238E27FC236}">
                <a16:creationId xmlns:a16="http://schemas.microsoft.com/office/drawing/2014/main" id="{3E46EF42-A64D-4767-B5C8-16107588CFD3}"/>
              </a:ext>
            </a:extLst>
          </xdr:cNvPr>
          <xdr:cNvCxnSpPr>
            <a:stCxn id="34" idx="1"/>
          </xdr:cNvCxnSpPr>
        </xdr:nvCxnSpPr>
        <xdr:spPr>
          <a:xfrm flipV="1">
            <a:off x="9812866" y="3606800"/>
            <a:ext cx="438912" cy="0"/>
          </a:xfrm>
          <a:prstGeom prst="straightConnector1">
            <a:avLst/>
          </a:prstGeom>
          <a:ln w="25400">
            <a:solidFill>
              <a:schemeClr val="tx2"/>
            </a:solidFill>
            <a:tailEnd type="stealth" w="lg" len="med"/>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a:extLst>
              <a:ext uri="{FF2B5EF4-FFF2-40B4-BE49-F238E27FC236}">
                <a16:creationId xmlns:a16="http://schemas.microsoft.com/office/drawing/2014/main" id="{7522D2EF-AFC5-487B-8196-0C1BAA9BF1BB}"/>
              </a:ext>
            </a:extLst>
          </xdr:cNvPr>
          <xdr:cNvSpPr txBox="1"/>
        </xdr:nvSpPr>
        <xdr:spPr>
          <a:xfrm>
            <a:off x="10284461" y="3183465"/>
            <a:ext cx="789940" cy="846666"/>
          </a:xfrm>
          <a:prstGeom prst="rect">
            <a:avLst/>
          </a:prstGeom>
          <a:ln>
            <a:solidFill>
              <a:schemeClr val="tx2"/>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nchorCtr="0"/>
          <a:lstStyle/>
          <a:p>
            <a:pPr algn="ctr"/>
            <a:r>
              <a:rPr lang="en-US" sz="1100" b="1">
                <a:solidFill>
                  <a:schemeClr val="tx2"/>
                </a:solidFill>
              </a:rPr>
              <a:t>Total Mobility Market</a:t>
            </a:r>
          </a:p>
        </xdr:txBody>
      </xdr:sp>
      <xdr:sp macro="" textlink="">
        <xdr:nvSpPr>
          <xdr:cNvPr id="39" name="TextBox 38">
            <a:extLst>
              <a:ext uri="{FF2B5EF4-FFF2-40B4-BE49-F238E27FC236}">
                <a16:creationId xmlns:a16="http://schemas.microsoft.com/office/drawing/2014/main" id="{0F3D1119-1CB7-47C5-B5FA-F6BDCBA30301}"/>
              </a:ext>
            </a:extLst>
          </xdr:cNvPr>
          <xdr:cNvSpPr txBox="1"/>
        </xdr:nvSpPr>
        <xdr:spPr>
          <a:xfrm>
            <a:off x="1191259" y="3962398"/>
            <a:ext cx="789940" cy="846666"/>
          </a:xfrm>
          <a:prstGeom prst="rect">
            <a:avLst/>
          </a:prstGeom>
          <a:ln>
            <a:solidFill>
              <a:schemeClr val="tx2"/>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nchorCtr="0"/>
          <a:lstStyle/>
          <a:p>
            <a:pPr algn="ctr"/>
            <a:r>
              <a:rPr lang="en-US" sz="1100" b="1">
                <a:solidFill>
                  <a:schemeClr val="tx2"/>
                </a:solidFill>
              </a:rPr>
              <a:t>Non-Urban Mobility Market</a:t>
            </a:r>
          </a:p>
        </xdr:txBody>
      </xdr:sp>
      <xdr:sp macro="" textlink="">
        <xdr:nvSpPr>
          <xdr:cNvPr id="40" name="TextBox 39">
            <a:extLst>
              <a:ext uri="{FF2B5EF4-FFF2-40B4-BE49-F238E27FC236}">
                <a16:creationId xmlns:a16="http://schemas.microsoft.com/office/drawing/2014/main" id="{172F1A1A-59F8-4852-B491-8AE6C96F4DCA}"/>
              </a:ext>
            </a:extLst>
          </xdr:cNvPr>
          <xdr:cNvSpPr txBox="1"/>
        </xdr:nvSpPr>
        <xdr:spPr>
          <a:xfrm>
            <a:off x="1191259" y="2235198"/>
            <a:ext cx="789940" cy="846666"/>
          </a:xfrm>
          <a:prstGeom prst="rect">
            <a:avLst/>
          </a:prstGeom>
          <a:ln>
            <a:solidFill>
              <a:schemeClr val="tx2"/>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nchorCtr="0"/>
          <a:lstStyle/>
          <a:p>
            <a:pPr algn="ctr"/>
            <a:r>
              <a:rPr lang="en-US" sz="1100" b="1">
                <a:solidFill>
                  <a:schemeClr val="tx2"/>
                </a:solidFill>
              </a:rPr>
              <a:t>Urban Mobility Market</a:t>
            </a:r>
          </a:p>
        </xdr:txBody>
      </xdr:sp>
      <xdr:cxnSp macro="">
        <xdr:nvCxnSpPr>
          <xdr:cNvPr id="43" name="Straight Connector 42">
            <a:extLst>
              <a:ext uri="{FF2B5EF4-FFF2-40B4-BE49-F238E27FC236}">
                <a16:creationId xmlns:a16="http://schemas.microsoft.com/office/drawing/2014/main" id="{C265C2CB-4DCD-42E9-8510-D321C707E526}"/>
              </a:ext>
            </a:extLst>
          </xdr:cNvPr>
          <xdr:cNvCxnSpPr/>
        </xdr:nvCxnSpPr>
        <xdr:spPr>
          <a:xfrm flipV="1">
            <a:off x="1092200" y="5401733"/>
            <a:ext cx="10100733" cy="0"/>
          </a:xfrm>
          <a:prstGeom prst="line">
            <a:avLst/>
          </a:prstGeom>
          <a:ln w="25400">
            <a:solidFill>
              <a:schemeClr val="tx2"/>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9" name="Chart 8">
            <a:extLst>
              <a:ext uri="{FF2B5EF4-FFF2-40B4-BE49-F238E27FC236}">
                <a16:creationId xmlns:a16="http://schemas.microsoft.com/office/drawing/2014/main" id="{1E1A0DE7-96E1-4B38-9F6D-D02A2EA402C1}"/>
              </a:ext>
            </a:extLst>
          </xdr:cNvPr>
          <xdr:cNvGraphicFramePr>
            <a:graphicFrameLocks/>
          </xdr:cNvGraphicFramePr>
        </xdr:nvGraphicFramePr>
        <xdr:xfrm>
          <a:off x="2588260" y="1769534"/>
          <a:ext cx="3878580" cy="184150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1" name="TextBox 10">
            <a:extLst>
              <a:ext uri="{FF2B5EF4-FFF2-40B4-BE49-F238E27FC236}">
                <a16:creationId xmlns:a16="http://schemas.microsoft.com/office/drawing/2014/main" id="{8BBD9CE1-4835-4610-BA13-50F6FF9C804D}"/>
              </a:ext>
            </a:extLst>
          </xdr:cNvPr>
          <xdr:cNvSpPr txBox="1"/>
        </xdr:nvSpPr>
        <xdr:spPr>
          <a:xfrm>
            <a:off x="2926930" y="3526365"/>
            <a:ext cx="2915070" cy="254297"/>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Non-Urban Mobility - Published Scenarios</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287111</xdr:colOff>
      <xdr:row>9</xdr:row>
      <xdr:rowOff>678996</xdr:rowOff>
    </xdr:from>
    <xdr:to>
      <xdr:col>29</xdr:col>
      <xdr:colOff>306161</xdr:colOff>
      <xdr:row>32</xdr:row>
      <xdr:rowOff>88446</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14</xdr:col>
      <xdr:colOff>480786</xdr:colOff>
      <xdr:row>69</xdr:row>
      <xdr:rowOff>1251857</xdr:rowOff>
    </xdr:from>
    <xdr:to>
      <xdr:col>31</xdr:col>
      <xdr:colOff>381907</xdr:colOff>
      <xdr:row>108</xdr:row>
      <xdr:rowOff>38553</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14</xdr:col>
      <xdr:colOff>163287</xdr:colOff>
      <xdr:row>127</xdr:row>
      <xdr:rowOff>931182</xdr:rowOff>
    </xdr:from>
    <xdr:to>
      <xdr:col>31</xdr:col>
      <xdr:colOff>64408</xdr:colOff>
      <xdr:row>164</xdr:row>
      <xdr:rowOff>74839</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5</xdr:col>
      <xdr:colOff>24493</xdr:colOff>
      <xdr:row>6</xdr:row>
      <xdr:rowOff>38100</xdr:rowOff>
    </xdr:from>
    <xdr:to>
      <xdr:col>12</xdr:col>
      <xdr:colOff>72118</xdr:colOff>
      <xdr:row>8</xdr:row>
      <xdr:rowOff>95251</xdr:rowOff>
    </xdr:to>
    <xdr:sp macro="" textlink="">
      <xdr:nvSpPr>
        <xdr:cNvPr id="5" name="Shape 3">
          <a:extLst>
            <a:ext uri="{FF2B5EF4-FFF2-40B4-BE49-F238E27FC236}">
              <a16:creationId xmlns:a16="http://schemas.microsoft.com/office/drawing/2014/main" id="{00000000-0008-0000-0200-000005000000}"/>
            </a:ext>
          </a:extLst>
        </xdr:cNvPr>
        <xdr:cNvSpPr/>
      </xdr:nvSpPr>
      <xdr:spPr>
        <a:xfrm>
          <a:off x="6534150" y="1311729"/>
          <a:ext cx="6296025" cy="525236"/>
        </a:xfrm>
        <a:prstGeom prst="rightArrow">
          <a:avLst>
            <a:gd name="adj1" fmla="val 50000"/>
            <a:gd name="adj2" fmla="val 50000"/>
          </a:avLst>
        </a:prstGeom>
        <a:solidFill>
          <a:schemeClr val="accent1"/>
        </a:solidFill>
        <a:ln w="25400" cap="flat" cmpd="sng">
          <a:solidFill>
            <a:srgbClr val="395E89"/>
          </a:solidFill>
          <a:prstDash val="solid"/>
          <a:round/>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600" b="1">
              <a:solidFill>
                <a:schemeClr val="lt1"/>
              </a:solidFill>
              <a:latin typeface="Calibri"/>
              <a:ea typeface="Calibri"/>
              <a:cs typeface="Calibri"/>
              <a:sym typeface="Calibri"/>
            </a:rPr>
            <a:t>In Billion Pass-km. This Way for passenger-km units.</a:t>
          </a:r>
        </a:p>
      </xdr:txBody>
    </xdr:sp>
    <xdr:clientData fLocksWithSheet="0"/>
  </xdr:twoCellAnchor>
  <xdr:twoCellAnchor>
    <xdr:from>
      <xdr:col>6</xdr:col>
      <xdr:colOff>-9525</xdr:colOff>
      <xdr:row>124</xdr:row>
      <xdr:rowOff>-9525</xdr:rowOff>
    </xdr:from>
    <xdr:to>
      <xdr:col>13</xdr:col>
      <xdr:colOff>38100</xdr:colOff>
      <xdr:row>126</xdr:row>
      <xdr:rowOff>47625</xdr:rowOff>
    </xdr:to>
    <xdr:sp macro="" textlink="">
      <xdr:nvSpPr>
        <xdr:cNvPr id="6" name="Shape 4">
          <a:extLst>
            <a:ext uri="{FF2B5EF4-FFF2-40B4-BE49-F238E27FC236}">
              <a16:creationId xmlns:a16="http://schemas.microsoft.com/office/drawing/2014/main" id="{00000000-0008-0000-0200-000006000000}"/>
            </a:ext>
          </a:extLst>
        </xdr:cNvPr>
        <xdr:cNvSpPr/>
      </xdr:nvSpPr>
      <xdr:spPr>
        <a:xfrm>
          <a:off x="1869375" y="3541875"/>
          <a:ext cx="6953249" cy="476249"/>
        </a:xfrm>
        <a:prstGeom prst="rightArrow">
          <a:avLst>
            <a:gd name="adj1" fmla="val 50000"/>
            <a:gd name="adj2" fmla="val 50000"/>
          </a:avLst>
        </a:prstGeom>
        <a:solidFill>
          <a:schemeClr val="accent1"/>
        </a:solidFill>
        <a:ln w="25400" cap="flat" cmpd="sng">
          <a:solidFill>
            <a:srgbClr val="395E89"/>
          </a:solidFill>
          <a:prstDash val="solid"/>
          <a:round/>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600" b="1">
              <a:solidFill>
                <a:schemeClr val="lt1"/>
              </a:solidFill>
              <a:latin typeface="Calibri"/>
              <a:ea typeface="Calibri"/>
              <a:cs typeface="Calibri"/>
              <a:sym typeface="Calibri"/>
            </a:rPr>
            <a:t>In Billion Pass-km. This Way for passenger-km units.</a:t>
          </a:r>
        </a:p>
      </xdr:txBody>
    </xdr:sp>
    <xdr:clientData fLocksWithSheet="0"/>
  </xdr:twoCellAnchor>
  <xdr:twoCellAnchor>
    <xdr:from>
      <xdr:col>15</xdr:col>
      <xdr:colOff>0</xdr:colOff>
      <xdr:row>123</xdr:row>
      <xdr:rowOff>0</xdr:rowOff>
    </xdr:from>
    <xdr:to>
      <xdr:col>19</xdr:col>
      <xdr:colOff>0</xdr:colOff>
      <xdr:row>127</xdr:row>
      <xdr:rowOff>361950</xdr:rowOff>
    </xdr:to>
    <xdr:pic>
      <xdr:nvPicPr>
        <xdr:cNvPr id="7" name="image1.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4" cstate="print"/>
        <a:stretch>
          <a:fillRect/>
        </a:stretch>
      </xdr:blipFill>
      <xdr:spPr>
        <a:xfrm>
          <a:off x="0" y="0"/>
          <a:ext cx="2324100" cy="1247775"/>
        </a:xfrm>
        <a:prstGeom prst="rect">
          <a:avLst/>
        </a:prstGeom>
        <a:noFill/>
      </xdr:spPr>
    </xdr:pic>
    <xdr:clientData fLocksWithSheet="0"/>
  </xdr:twoCellAnchor>
  <xdr:twoCellAnchor>
    <xdr:from>
      <xdr:col>15</xdr:col>
      <xdr:colOff>0</xdr:colOff>
      <xdr:row>4</xdr:row>
      <xdr:rowOff>0</xdr:rowOff>
    </xdr:from>
    <xdr:to>
      <xdr:col>19</xdr:col>
      <xdr:colOff>6804</xdr:colOff>
      <xdr:row>9</xdr:row>
      <xdr:rowOff>147411</xdr:rowOff>
    </xdr:to>
    <xdr:pic>
      <xdr:nvPicPr>
        <xdr:cNvPr id="8" name="image1.png">
          <a:extLst>
            <a:ext uri="{FF2B5EF4-FFF2-40B4-BE49-F238E27FC236}">
              <a16:creationId xmlns:a16="http://schemas.microsoft.com/office/drawing/2014/main" id="{FA87D2C8-0392-454B-88D7-815EAB77A8C7}"/>
            </a:ext>
          </a:extLst>
        </xdr:cNvPr>
        <xdr:cNvPicPr preferRelativeResize="0"/>
      </xdr:nvPicPr>
      <xdr:blipFill>
        <a:blip xmlns:r="http://schemas.openxmlformats.org/officeDocument/2006/relationships" r:embed="rId4" cstate="print"/>
        <a:stretch>
          <a:fillRect/>
        </a:stretch>
      </xdr:blipFill>
      <xdr:spPr>
        <a:xfrm>
          <a:off x="15131143" y="181429"/>
          <a:ext cx="2111375" cy="1254125"/>
        </a:xfrm>
        <a:prstGeom prst="rect">
          <a:avLst/>
        </a:prstGeom>
        <a:noFill/>
      </xdr:spPr>
    </xdr:pic>
    <xdr:clientData fLocksWithSheet="0"/>
  </xdr:twoCellAnchor>
  <xdr:twoCellAnchor>
    <xdr:from>
      <xdr:col>44</xdr:col>
      <xdr:colOff>0</xdr:colOff>
      <xdr:row>6</xdr:row>
      <xdr:rowOff>0</xdr:rowOff>
    </xdr:from>
    <xdr:to>
      <xdr:col>45</xdr:col>
      <xdr:colOff>1050017</xdr:colOff>
      <xdr:row>9</xdr:row>
      <xdr:rowOff>564696</xdr:rowOff>
    </xdr:to>
    <xdr:pic>
      <xdr:nvPicPr>
        <xdr:cNvPr id="9" name="image1.png">
          <a:extLst>
            <a:ext uri="{FF2B5EF4-FFF2-40B4-BE49-F238E27FC236}">
              <a16:creationId xmlns:a16="http://schemas.microsoft.com/office/drawing/2014/main" id="{62681442-6179-47B4-9205-65A875A049C1}"/>
            </a:ext>
          </a:extLst>
        </xdr:cNvPr>
        <xdr:cNvPicPr preferRelativeResize="0"/>
      </xdr:nvPicPr>
      <xdr:blipFill>
        <a:blip xmlns:r="http://schemas.openxmlformats.org/officeDocument/2006/relationships" r:embed="rId4" cstate="print"/>
        <a:stretch>
          <a:fillRect/>
        </a:stretch>
      </xdr:blipFill>
      <xdr:spPr>
        <a:xfrm>
          <a:off x="36902571" y="598714"/>
          <a:ext cx="2111375" cy="1254125"/>
        </a:xfrm>
        <a:prstGeom prst="rect">
          <a:avLst/>
        </a:prstGeom>
        <a:noFill/>
      </xdr:spPr>
    </xdr:pic>
    <xdr:clientData fLocksWithSheet="0"/>
  </xdr:twoCellAnchor>
  <xdr:twoCellAnchor>
    <xdr:from>
      <xdr:col>44</xdr:col>
      <xdr:colOff>0</xdr:colOff>
      <xdr:row>126</xdr:row>
      <xdr:rowOff>0</xdr:rowOff>
    </xdr:from>
    <xdr:to>
      <xdr:col>45</xdr:col>
      <xdr:colOff>1050017</xdr:colOff>
      <xdr:row>127</xdr:row>
      <xdr:rowOff>1045482</xdr:rowOff>
    </xdr:to>
    <xdr:pic>
      <xdr:nvPicPr>
        <xdr:cNvPr id="10" name="image1.png">
          <a:extLst>
            <a:ext uri="{FF2B5EF4-FFF2-40B4-BE49-F238E27FC236}">
              <a16:creationId xmlns:a16="http://schemas.microsoft.com/office/drawing/2014/main" id="{A1BF95A3-B09A-4842-AE48-6DC21D124ABB}"/>
            </a:ext>
          </a:extLst>
        </xdr:cNvPr>
        <xdr:cNvPicPr preferRelativeResize="0"/>
      </xdr:nvPicPr>
      <xdr:blipFill>
        <a:blip xmlns:r="http://schemas.openxmlformats.org/officeDocument/2006/relationships" r:embed="rId4" cstate="print"/>
        <a:stretch>
          <a:fillRect/>
        </a:stretch>
      </xdr:blipFill>
      <xdr:spPr>
        <a:xfrm>
          <a:off x="36902571" y="50700214"/>
          <a:ext cx="2111375" cy="1254125"/>
        </a:xfrm>
        <a:prstGeom prst="rect">
          <a:avLst/>
        </a:prstGeom>
        <a:noFill/>
      </xdr:spPr>
    </xdr:pic>
    <xdr:clientData fLocksWithSheet="0"/>
  </xdr:twoCellAnchor>
  <xdr:twoCellAnchor>
    <xdr:from>
      <xdr:col>16</xdr:col>
      <xdr:colOff>0</xdr:colOff>
      <xdr:row>66</xdr:row>
      <xdr:rowOff>0</xdr:rowOff>
    </xdr:from>
    <xdr:to>
      <xdr:col>20</xdr:col>
      <xdr:colOff>6804</xdr:colOff>
      <xdr:row>69</xdr:row>
      <xdr:rowOff>619125</xdr:rowOff>
    </xdr:to>
    <xdr:pic>
      <xdr:nvPicPr>
        <xdr:cNvPr id="11" name="image1.png">
          <a:extLst>
            <a:ext uri="{FF2B5EF4-FFF2-40B4-BE49-F238E27FC236}">
              <a16:creationId xmlns:a16="http://schemas.microsoft.com/office/drawing/2014/main" id="{2F08D703-F085-4620-9CC0-F04770D1E74F}"/>
            </a:ext>
          </a:extLst>
        </xdr:cNvPr>
        <xdr:cNvPicPr preferRelativeResize="0"/>
      </xdr:nvPicPr>
      <xdr:blipFill>
        <a:blip xmlns:r="http://schemas.openxmlformats.org/officeDocument/2006/relationships" r:embed="rId4" cstate="print"/>
        <a:stretch>
          <a:fillRect/>
        </a:stretch>
      </xdr:blipFill>
      <xdr:spPr>
        <a:xfrm>
          <a:off x="15657286" y="21961929"/>
          <a:ext cx="2111375" cy="1254125"/>
        </a:xfrm>
        <a:prstGeom prst="rect">
          <a:avLst/>
        </a:prstGeom>
        <a:noFill/>
      </xdr:spPr>
    </xdr:pic>
    <xdr:clientData fLocksWithSheet="0"/>
  </xdr:twoCellAnchor>
  <xdr:twoCellAnchor>
    <xdr:from>
      <xdr:col>14</xdr:col>
      <xdr:colOff>287111</xdr:colOff>
      <xdr:row>184</xdr:row>
      <xdr:rowOff>678996</xdr:rowOff>
    </xdr:from>
    <xdr:to>
      <xdr:col>29</xdr:col>
      <xdr:colOff>306161</xdr:colOff>
      <xdr:row>207</xdr:row>
      <xdr:rowOff>88446</xdr:rowOff>
    </xdr:to>
    <xdr:graphicFrame macro="">
      <xdr:nvGraphicFramePr>
        <xdr:cNvPr id="12" name="Chart 11">
          <a:extLst>
            <a:ext uri="{FF2B5EF4-FFF2-40B4-BE49-F238E27FC236}">
              <a16:creationId xmlns:a16="http://schemas.microsoft.com/office/drawing/2014/main" id="{30ABDFBF-EFE9-4B7C-A2A1-784C9012C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xdr:from>
      <xdr:col>5</xdr:col>
      <xdr:colOff>514350</xdr:colOff>
      <xdr:row>180</xdr:row>
      <xdr:rowOff>114300</xdr:rowOff>
    </xdr:from>
    <xdr:to>
      <xdr:col>12</xdr:col>
      <xdr:colOff>561975</xdr:colOff>
      <xdr:row>182</xdr:row>
      <xdr:rowOff>171450</xdr:rowOff>
    </xdr:to>
    <xdr:sp macro="" textlink="">
      <xdr:nvSpPr>
        <xdr:cNvPr id="13" name="Shape 3">
          <a:extLst>
            <a:ext uri="{FF2B5EF4-FFF2-40B4-BE49-F238E27FC236}">
              <a16:creationId xmlns:a16="http://schemas.microsoft.com/office/drawing/2014/main" id="{8BD1073B-325F-42D8-B8FF-B542ABEB5446}"/>
            </a:ext>
          </a:extLst>
        </xdr:cNvPr>
        <xdr:cNvSpPr/>
      </xdr:nvSpPr>
      <xdr:spPr>
        <a:xfrm>
          <a:off x="6834468" y="1127312"/>
          <a:ext cx="6260166" cy="523314"/>
        </a:xfrm>
        <a:prstGeom prst="rightArrow">
          <a:avLst>
            <a:gd name="adj1" fmla="val 50000"/>
            <a:gd name="adj2" fmla="val 50000"/>
          </a:avLst>
        </a:prstGeom>
        <a:solidFill>
          <a:schemeClr val="accent1"/>
        </a:solidFill>
        <a:ln w="25400" cap="flat" cmpd="sng">
          <a:solidFill>
            <a:srgbClr val="395E89"/>
          </a:solidFill>
          <a:prstDash val="solid"/>
          <a:round/>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600" b="1">
              <a:solidFill>
                <a:schemeClr val="lt1"/>
              </a:solidFill>
              <a:latin typeface="Calibri"/>
              <a:ea typeface="Calibri"/>
              <a:cs typeface="Calibri"/>
              <a:sym typeface="Calibri"/>
            </a:rPr>
            <a:t>In Billion Pass-km. This Way for passenger-km units.</a:t>
          </a:r>
        </a:p>
      </xdr:txBody>
    </xdr:sp>
    <xdr:clientData fLocksWithSheet="0"/>
  </xdr:twoCellAnchor>
  <xdr:twoCellAnchor>
    <xdr:from>
      <xdr:col>15</xdr:col>
      <xdr:colOff>0</xdr:colOff>
      <xdr:row>179</xdr:row>
      <xdr:rowOff>0</xdr:rowOff>
    </xdr:from>
    <xdr:to>
      <xdr:col>19</xdr:col>
      <xdr:colOff>6804</xdr:colOff>
      <xdr:row>184</xdr:row>
      <xdr:rowOff>147411</xdr:rowOff>
    </xdr:to>
    <xdr:pic>
      <xdr:nvPicPr>
        <xdr:cNvPr id="14" name="image1.png">
          <a:extLst>
            <a:ext uri="{FF2B5EF4-FFF2-40B4-BE49-F238E27FC236}">
              <a16:creationId xmlns:a16="http://schemas.microsoft.com/office/drawing/2014/main" id="{2CB40055-E248-4C8C-9D41-DAA162735788}"/>
            </a:ext>
          </a:extLst>
        </xdr:cNvPr>
        <xdr:cNvPicPr preferRelativeResize="0"/>
      </xdr:nvPicPr>
      <xdr:blipFill>
        <a:blip xmlns:r="http://schemas.openxmlformats.org/officeDocument/2006/relationships" r:embed="rId4" cstate="print"/>
        <a:stretch>
          <a:fillRect/>
        </a:stretch>
      </xdr:blipFill>
      <xdr:spPr>
        <a:xfrm>
          <a:off x="14827624" y="833718"/>
          <a:ext cx="2086615" cy="1241105"/>
        </a:xfrm>
        <a:prstGeom prst="rect">
          <a:avLst/>
        </a:prstGeom>
        <a:noFill/>
      </xdr:spPr>
    </xdr:pic>
    <xdr:clientData fLocksWithSheet="0"/>
  </xdr:twoCellAnchor>
  <xdr:twoCellAnchor>
    <xdr:from>
      <xdr:col>44</xdr:col>
      <xdr:colOff>0</xdr:colOff>
      <xdr:row>181</xdr:row>
      <xdr:rowOff>0</xdr:rowOff>
    </xdr:from>
    <xdr:to>
      <xdr:col>45</xdr:col>
      <xdr:colOff>1050017</xdr:colOff>
      <xdr:row>184</xdr:row>
      <xdr:rowOff>564696</xdr:rowOff>
    </xdr:to>
    <xdr:pic>
      <xdr:nvPicPr>
        <xdr:cNvPr id="15" name="image1.png">
          <a:extLst>
            <a:ext uri="{FF2B5EF4-FFF2-40B4-BE49-F238E27FC236}">
              <a16:creationId xmlns:a16="http://schemas.microsoft.com/office/drawing/2014/main" id="{32C8B9D2-B9C5-49D8-8B7D-09121E7F073F}"/>
            </a:ext>
          </a:extLst>
        </xdr:cNvPr>
        <xdr:cNvPicPr preferRelativeResize="0"/>
      </xdr:nvPicPr>
      <xdr:blipFill>
        <a:blip xmlns:r="http://schemas.openxmlformats.org/officeDocument/2006/relationships" r:embed="rId4" cstate="print"/>
        <a:stretch>
          <a:fillRect/>
        </a:stretch>
      </xdr:blipFill>
      <xdr:spPr>
        <a:xfrm>
          <a:off x="36244306" y="1246094"/>
          <a:ext cx="2082303" cy="1246014"/>
        </a:xfrm>
        <a:prstGeom prst="rect">
          <a:avLst/>
        </a:prstGeom>
        <a:noFill/>
      </xdr:spPr>
    </xdr:pic>
    <xdr:clientData fLocksWithSheet="0"/>
  </xdr:twoCellAnchor>
  <xdr:twoCellAnchor>
    <xdr:from>
      <xdr:col>14</xdr:col>
      <xdr:colOff>287111</xdr:colOff>
      <xdr:row>241</xdr:row>
      <xdr:rowOff>678996</xdr:rowOff>
    </xdr:from>
    <xdr:to>
      <xdr:col>29</xdr:col>
      <xdr:colOff>306161</xdr:colOff>
      <xdr:row>264</xdr:row>
      <xdr:rowOff>88446</xdr:rowOff>
    </xdr:to>
    <xdr:graphicFrame macro="">
      <xdr:nvGraphicFramePr>
        <xdr:cNvPr id="16" name="Chart 15">
          <a:extLst>
            <a:ext uri="{FF2B5EF4-FFF2-40B4-BE49-F238E27FC236}">
              <a16:creationId xmlns:a16="http://schemas.microsoft.com/office/drawing/2014/main" id="{15106850-335C-4A30-B16A-13BE9109A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xdr:from>
      <xdr:col>5</xdr:col>
      <xdr:colOff>514350</xdr:colOff>
      <xdr:row>237</xdr:row>
      <xdr:rowOff>114300</xdr:rowOff>
    </xdr:from>
    <xdr:to>
      <xdr:col>12</xdr:col>
      <xdr:colOff>561975</xdr:colOff>
      <xdr:row>239</xdr:row>
      <xdr:rowOff>171450</xdr:rowOff>
    </xdr:to>
    <xdr:sp macro="" textlink="">
      <xdr:nvSpPr>
        <xdr:cNvPr id="17" name="Shape 3">
          <a:extLst>
            <a:ext uri="{FF2B5EF4-FFF2-40B4-BE49-F238E27FC236}">
              <a16:creationId xmlns:a16="http://schemas.microsoft.com/office/drawing/2014/main" id="{5C6570F2-AE0F-4728-AA55-F0F834A23B53}"/>
            </a:ext>
          </a:extLst>
        </xdr:cNvPr>
        <xdr:cNvSpPr/>
      </xdr:nvSpPr>
      <xdr:spPr>
        <a:xfrm>
          <a:off x="7024007" y="56883300"/>
          <a:ext cx="6296025" cy="525236"/>
        </a:xfrm>
        <a:prstGeom prst="rightArrow">
          <a:avLst>
            <a:gd name="adj1" fmla="val 50000"/>
            <a:gd name="adj2" fmla="val 50000"/>
          </a:avLst>
        </a:prstGeom>
        <a:solidFill>
          <a:schemeClr val="accent1"/>
        </a:solidFill>
        <a:ln w="25400" cap="flat" cmpd="sng">
          <a:solidFill>
            <a:srgbClr val="395E89"/>
          </a:solidFill>
          <a:prstDash val="solid"/>
          <a:round/>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600" b="1">
              <a:solidFill>
                <a:schemeClr val="lt1"/>
              </a:solidFill>
              <a:latin typeface="Calibri"/>
              <a:ea typeface="Calibri"/>
              <a:cs typeface="Calibri"/>
              <a:sym typeface="Calibri"/>
            </a:rPr>
            <a:t>In Billion Pass-km. This Way for passenger-km units.</a:t>
          </a:r>
        </a:p>
      </xdr:txBody>
    </xdr:sp>
    <xdr:clientData fLocksWithSheet="0"/>
  </xdr:twoCellAnchor>
  <xdr:twoCellAnchor>
    <xdr:from>
      <xdr:col>15</xdr:col>
      <xdr:colOff>0</xdr:colOff>
      <xdr:row>236</xdr:row>
      <xdr:rowOff>0</xdr:rowOff>
    </xdr:from>
    <xdr:to>
      <xdr:col>19</xdr:col>
      <xdr:colOff>6804</xdr:colOff>
      <xdr:row>241</xdr:row>
      <xdr:rowOff>147411</xdr:rowOff>
    </xdr:to>
    <xdr:pic>
      <xdr:nvPicPr>
        <xdr:cNvPr id="18" name="image1.png">
          <a:extLst>
            <a:ext uri="{FF2B5EF4-FFF2-40B4-BE49-F238E27FC236}">
              <a16:creationId xmlns:a16="http://schemas.microsoft.com/office/drawing/2014/main" id="{592CEA0D-ED70-4E84-83FB-D05A78B6E0EE}"/>
            </a:ext>
          </a:extLst>
        </xdr:cNvPr>
        <xdr:cNvPicPr preferRelativeResize="0"/>
      </xdr:nvPicPr>
      <xdr:blipFill>
        <a:blip xmlns:r="http://schemas.openxmlformats.org/officeDocument/2006/relationships" r:embed="rId4" cstate="print"/>
        <a:stretch>
          <a:fillRect/>
        </a:stretch>
      </xdr:blipFill>
      <xdr:spPr>
        <a:xfrm>
          <a:off x="15065829" y="56573057"/>
          <a:ext cx="2096861" cy="1257754"/>
        </a:xfrm>
        <a:prstGeom prst="rect">
          <a:avLst/>
        </a:prstGeom>
        <a:noFill/>
      </xdr:spPr>
    </xdr:pic>
    <xdr:clientData fLocksWithSheet="0"/>
  </xdr:twoCellAnchor>
  <xdr:twoCellAnchor>
    <xdr:from>
      <xdr:col>44</xdr:col>
      <xdr:colOff>0</xdr:colOff>
      <xdr:row>238</xdr:row>
      <xdr:rowOff>0</xdr:rowOff>
    </xdr:from>
    <xdr:to>
      <xdr:col>45</xdr:col>
      <xdr:colOff>1050017</xdr:colOff>
      <xdr:row>241</xdr:row>
      <xdr:rowOff>564696</xdr:rowOff>
    </xdr:to>
    <xdr:pic>
      <xdr:nvPicPr>
        <xdr:cNvPr id="19" name="image1.png">
          <a:extLst>
            <a:ext uri="{FF2B5EF4-FFF2-40B4-BE49-F238E27FC236}">
              <a16:creationId xmlns:a16="http://schemas.microsoft.com/office/drawing/2014/main" id="{7A397178-7724-422F-A238-147E083E604B}"/>
            </a:ext>
          </a:extLst>
        </xdr:cNvPr>
        <xdr:cNvPicPr preferRelativeResize="0"/>
      </xdr:nvPicPr>
      <xdr:blipFill>
        <a:blip xmlns:r="http://schemas.openxmlformats.org/officeDocument/2006/relationships" r:embed="rId4" cstate="print"/>
        <a:stretch>
          <a:fillRect/>
        </a:stretch>
      </xdr:blipFill>
      <xdr:spPr>
        <a:xfrm>
          <a:off x="36554229" y="57008486"/>
          <a:ext cx="2087425" cy="1239610"/>
        </a:xfrm>
        <a:prstGeom prst="rect">
          <a:avLst/>
        </a:prstGeom>
        <a:noFill/>
      </xdr:spPr>
    </xdr:pic>
    <xdr:clientData fLocksWithSheet="0"/>
  </xdr:twoCellAnchor>
</xdr:wsDr>
</file>

<file path=xl/drawings/drawing13.xml><?xml version="1.0" encoding="utf-8"?>
<xdr:wsDr xmlns:xdr="http://schemas.openxmlformats.org/drawingml/2006/spreadsheetDrawing" xmlns:a="http://schemas.openxmlformats.org/drawingml/2006/main">
  <xdr:twoCellAnchor>
    <xdr:from>
      <xdr:col>13</xdr:col>
      <xdr:colOff>272143</xdr:colOff>
      <xdr:row>4</xdr:row>
      <xdr:rowOff>163286</xdr:rowOff>
    </xdr:from>
    <xdr:to>
      <xdr:col>17</xdr:col>
      <xdr:colOff>238125</xdr:colOff>
      <xdr:row>8</xdr:row>
      <xdr:rowOff>133350</xdr:rowOff>
    </xdr:to>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13465629" y="1034143"/>
          <a:ext cx="2099582" cy="1221921"/>
        </a:xfrm>
        <a:prstGeom prst="rect">
          <a:avLst/>
        </a:prstGeom>
        <a:noFill/>
      </xdr:spPr>
    </xdr:pic>
    <xdr:clientData fLocksWithSheet="0"/>
  </xdr:twoCellAnchor>
</xdr:wsDr>
</file>

<file path=xl/drawings/drawing14.xml><?xml version="1.0" encoding="utf-8"?>
<xdr:wsDr xmlns:xdr="http://schemas.openxmlformats.org/drawingml/2006/spreadsheetDrawing" xmlns:a="http://schemas.openxmlformats.org/drawingml/2006/main">
  <xdr:twoCellAnchor>
    <xdr:from>
      <xdr:col>12</xdr:col>
      <xdr:colOff>0</xdr:colOff>
      <xdr:row>3</xdr:row>
      <xdr:rowOff>0</xdr:rowOff>
    </xdr:from>
    <xdr:to>
      <xdr:col>13</xdr:col>
      <xdr:colOff>1028700</xdr:colOff>
      <xdr:row>8</xdr:row>
      <xdr:rowOff>266700</xdr:rowOff>
    </xdr:to>
    <xdr:pic>
      <xdr:nvPicPr>
        <xdr:cNvPr id="2" name="image1.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0" y="0"/>
          <a:ext cx="2419350" cy="1257300"/>
        </a:xfrm>
        <a:prstGeom prst="rect">
          <a:avLst/>
        </a:prstGeom>
        <a:noFill/>
      </xdr:spPr>
    </xdr:pic>
    <xdr:clientData fLocksWithSheet="0"/>
  </xdr:twoCellAnchor>
</xdr:wsDr>
</file>

<file path=xl/drawings/drawing15.xml><?xml version="1.0" encoding="utf-8"?>
<xdr:wsDr xmlns:xdr="http://schemas.openxmlformats.org/drawingml/2006/spreadsheetDrawing" xmlns:a="http://schemas.openxmlformats.org/drawingml/2006/main">
  <xdr:twoCellAnchor>
    <xdr:from>
      <xdr:col>15</xdr:col>
      <xdr:colOff>0</xdr:colOff>
      <xdr:row>5</xdr:row>
      <xdr:rowOff>161925</xdr:rowOff>
    </xdr:from>
    <xdr:to>
      <xdr:col>19</xdr:col>
      <xdr:colOff>0</xdr:colOff>
      <xdr:row>9</xdr:row>
      <xdr:rowOff>133350</xdr:rowOff>
    </xdr:to>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10372725" y="1133475"/>
          <a:ext cx="2057400" cy="1257300"/>
        </a:xfrm>
        <a:prstGeom prst="rect">
          <a:avLst/>
        </a:prstGeom>
        <a:noFill/>
      </xdr:spPr>
    </xdr:pic>
    <xdr:clientData fLocksWithSheet="0"/>
  </xdr:twoCellAnchor>
</xdr:wsDr>
</file>

<file path=xl/drawings/drawing16.xml><?xml version="1.0" encoding="utf-8"?>
<xdr:wsDr xmlns:xdr="http://schemas.openxmlformats.org/drawingml/2006/spreadsheetDrawing" xmlns:a="http://schemas.openxmlformats.org/drawingml/2006/main">
  <xdr:twoCellAnchor>
    <xdr:from>
      <xdr:col>14</xdr:col>
      <xdr:colOff>287111</xdr:colOff>
      <xdr:row>9</xdr:row>
      <xdr:rowOff>678996</xdr:rowOff>
    </xdr:from>
    <xdr:to>
      <xdr:col>29</xdr:col>
      <xdr:colOff>306161</xdr:colOff>
      <xdr:row>32</xdr:row>
      <xdr:rowOff>88446</xdr:rowOff>
    </xdr:to>
    <xdr:graphicFrame macro="">
      <xdr:nvGraphicFramePr>
        <xdr:cNvPr id="2" name="Chart 1">
          <a:extLst>
            <a:ext uri="{FF2B5EF4-FFF2-40B4-BE49-F238E27FC236}">
              <a16:creationId xmlns:a16="http://schemas.microsoft.com/office/drawing/2014/main" id="{115F2B2E-FE5B-4DB1-9B8A-7667B9E98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14</xdr:col>
      <xdr:colOff>480786</xdr:colOff>
      <xdr:row>69</xdr:row>
      <xdr:rowOff>1251857</xdr:rowOff>
    </xdr:from>
    <xdr:to>
      <xdr:col>30</xdr:col>
      <xdr:colOff>54428</xdr:colOff>
      <xdr:row>108</xdr:row>
      <xdr:rowOff>38553</xdr:rowOff>
    </xdr:to>
    <xdr:graphicFrame macro="">
      <xdr:nvGraphicFramePr>
        <xdr:cNvPr id="3" name="Chart 2">
          <a:extLst>
            <a:ext uri="{FF2B5EF4-FFF2-40B4-BE49-F238E27FC236}">
              <a16:creationId xmlns:a16="http://schemas.microsoft.com/office/drawing/2014/main" id="{4A670B60-BC3F-4CBB-8A87-0257C4166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5</xdr:col>
      <xdr:colOff>514350</xdr:colOff>
      <xdr:row>5</xdr:row>
      <xdr:rowOff>114300</xdr:rowOff>
    </xdr:from>
    <xdr:to>
      <xdr:col>12</xdr:col>
      <xdr:colOff>561975</xdr:colOff>
      <xdr:row>7</xdr:row>
      <xdr:rowOff>171450</xdr:rowOff>
    </xdr:to>
    <xdr:sp macro="" textlink="">
      <xdr:nvSpPr>
        <xdr:cNvPr id="5" name="Shape 3">
          <a:extLst>
            <a:ext uri="{FF2B5EF4-FFF2-40B4-BE49-F238E27FC236}">
              <a16:creationId xmlns:a16="http://schemas.microsoft.com/office/drawing/2014/main" id="{FF5AF5C6-B23D-4AB8-BC58-5396B2315014}"/>
            </a:ext>
          </a:extLst>
        </xdr:cNvPr>
        <xdr:cNvSpPr/>
      </xdr:nvSpPr>
      <xdr:spPr>
        <a:xfrm>
          <a:off x="6955064" y="477157"/>
          <a:ext cx="6397625" cy="528864"/>
        </a:xfrm>
        <a:prstGeom prst="rightArrow">
          <a:avLst>
            <a:gd name="adj1" fmla="val 50000"/>
            <a:gd name="adj2" fmla="val 50000"/>
          </a:avLst>
        </a:prstGeom>
        <a:solidFill>
          <a:schemeClr val="accent1"/>
        </a:solidFill>
        <a:ln w="25400" cap="flat" cmpd="sng">
          <a:solidFill>
            <a:srgbClr val="395E89"/>
          </a:solidFill>
          <a:prstDash val="solid"/>
          <a:round/>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600" b="1">
              <a:solidFill>
                <a:schemeClr val="lt1"/>
              </a:solidFill>
              <a:latin typeface="Calibri"/>
              <a:ea typeface="Calibri"/>
              <a:cs typeface="Calibri"/>
              <a:sym typeface="Calibri"/>
            </a:rPr>
            <a:t>In Million Tonne-km. This Way for Billion Tonne-Nautical miles.</a:t>
          </a:r>
        </a:p>
      </xdr:txBody>
    </xdr:sp>
    <xdr:clientData fLocksWithSheet="0"/>
  </xdr:twoCellAnchor>
  <xdr:twoCellAnchor>
    <xdr:from>
      <xdr:col>13</xdr:col>
      <xdr:colOff>188685</xdr:colOff>
      <xdr:row>3</xdr:row>
      <xdr:rowOff>103414</xdr:rowOff>
    </xdr:from>
    <xdr:to>
      <xdr:col>16</xdr:col>
      <xdr:colOff>347890</xdr:colOff>
      <xdr:row>8</xdr:row>
      <xdr:rowOff>105683</xdr:rowOff>
    </xdr:to>
    <xdr:pic>
      <xdr:nvPicPr>
        <xdr:cNvPr id="8" name="image1.png">
          <a:extLst>
            <a:ext uri="{FF2B5EF4-FFF2-40B4-BE49-F238E27FC236}">
              <a16:creationId xmlns:a16="http://schemas.microsoft.com/office/drawing/2014/main" id="{4B21ED05-AEBE-4774-B20A-326751A10F67}"/>
            </a:ext>
          </a:extLst>
        </xdr:cNvPr>
        <xdr:cNvPicPr preferRelativeResize="0"/>
      </xdr:nvPicPr>
      <xdr:blipFill>
        <a:blip xmlns:r="http://schemas.openxmlformats.org/officeDocument/2006/relationships" r:embed="rId3" cstate="print"/>
        <a:stretch>
          <a:fillRect/>
        </a:stretch>
      </xdr:blipFill>
      <xdr:spPr>
        <a:xfrm>
          <a:off x="13654314" y="1072243"/>
          <a:ext cx="2096862" cy="1243240"/>
        </a:xfrm>
        <a:prstGeom prst="rect">
          <a:avLst/>
        </a:prstGeom>
        <a:noFill/>
      </xdr:spPr>
    </xdr:pic>
    <xdr:clientData fLocksWithSheet="0"/>
  </xdr:twoCellAnchor>
  <xdr:twoCellAnchor>
    <xdr:from>
      <xdr:col>44</xdr:col>
      <xdr:colOff>0</xdr:colOff>
      <xdr:row>6</xdr:row>
      <xdr:rowOff>0</xdr:rowOff>
    </xdr:from>
    <xdr:to>
      <xdr:col>45</xdr:col>
      <xdr:colOff>1050017</xdr:colOff>
      <xdr:row>9</xdr:row>
      <xdr:rowOff>564696</xdr:rowOff>
    </xdr:to>
    <xdr:pic>
      <xdr:nvPicPr>
        <xdr:cNvPr id="9" name="image1.png">
          <a:extLst>
            <a:ext uri="{FF2B5EF4-FFF2-40B4-BE49-F238E27FC236}">
              <a16:creationId xmlns:a16="http://schemas.microsoft.com/office/drawing/2014/main" id="{46335112-6176-4C0E-9AC7-07A1A664AA62}"/>
            </a:ext>
          </a:extLst>
        </xdr:cNvPr>
        <xdr:cNvPicPr preferRelativeResize="0"/>
      </xdr:nvPicPr>
      <xdr:blipFill>
        <a:blip xmlns:r="http://schemas.openxmlformats.org/officeDocument/2006/relationships" r:embed="rId3" cstate="print"/>
        <a:stretch>
          <a:fillRect/>
        </a:stretch>
      </xdr:blipFill>
      <xdr:spPr>
        <a:xfrm>
          <a:off x="36906200" y="603250"/>
          <a:ext cx="2110467" cy="1256846"/>
        </a:xfrm>
        <a:prstGeom prst="rect">
          <a:avLst/>
        </a:prstGeom>
        <a:noFill/>
      </xdr:spPr>
    </xdr:pic>
    <xdr:clientData fLocksWithSheet="0"/>
  </xdr:twoCellAnchor>
  <xdr:twoCellAnchor>
    <xdr:from>
      <xdr:col>16</xdr:col>
      <xdr:colOff>0</xdr:colOff>
      <xdr:row>66</xdr:row>
      <xdr:rowOff>0</xdr:rowOff>
    </xdr:from>
    <xdr:to>
      <xdr:col>20</xdr:col>
      <xdr:colOff>6804</xdr:colOff>
      <xdr:row>69</xdr:row>
      <xdr:rowOff>619125</xdr:rowOff>
    </xdr:to>
    <xdr:pic>
      <xdr:nvPicPr>
        <xdr:cNvPr id="11" name="image1.png">
          <a:extLst>
            <a:ext uri="{FF2B5EF4-FFF2-40B4-BE49-F238E27FC236}">
              <a16:creationId xmlns:a16="http://schemas.microsoft.com/office/drawing/2014/main" id="{91D3B345-6E01-4650-A054-46F511C3C259}"/>
            </a:ext>
          </a:extLst>
        </xdr:cNvPr>
        <xdr:cNvPicPr preferRelativeResize="0"/>
      </xdr:nvPicPr>
      <xdr:blipFill>
        <a:blip xmlns:r="http://schemas.openxmlformats.org/officeDocument/2006/relationships" r:embed="rId3" cstate="print"/>
        <a:stretch>
          <a:fillRect/>
        </a:stretch>
      </xdr:blipFill>
      <xdr:spPr>
        <a:xfrm>
          <a:off x="15671800" y="21831300"/>
          <a:ext cx="2115004" cy="1260475"/>
        </a:xfrm>
        <a:prstGeom prst="rect">
          <a:avLst/>
        </a:prstGeom>
        <a:noFill/>
      </xdr:spPr>
    </xdr:pic>
    <xdr:clientData fLocksWithSheet="0"/>
  </xdr:twoCellAnchor>
  <xdr:twoCellAnchor>
    <xdr:from>
      <xdr:col>5</xdr:col>
      <xdr:colOff>81643</xdr:colOff>
      <xdr:row>65</xdr:row>
      <xdr:rowOff>154215</xdr:rowOff>
    </xdr:from>
    <xdr:to>
      <xdr:col>12</xdr:col>
      <xdr:colOff>129268</xdr:colOff>
      <xdr:row>67</xdr:row>
      <xdr:rowOff>211364</xdr:rowOff>
    </xdr:to>
    <xdr:sp macro="" textlink="">
      <xdr:nvSpPr>
        <xdr:cNvPr id="12" name="Shape 3">
          <a:extLst>
            <a:ext uri="{FF2B5EF4-FFF2-40B4-BE49-F238E27FC236}">
              <a16:creationId xmlns:a16="http://schemas.microsoft.com/office/drawing/2014/main" id="{26E3CC0A-5FF1-4B43-952F-4BDD9621ED86}"/>
            </a:ext>
          </a:extLst>
        </xdr:cNvPr>
        <xdr:cNvSpPr/>
      </xdr:nvSpPr>
      <xdr:spPr>
        <a:xfrm>
          <a:off x="6522357" y="21880286"/>
          <a:ext cx="6397625" cy="528864"/>
        </a:xfrm>
        <a:prstGeom prst="rightArrow">
          <a:avLst>
            <a:gd name="adj1" fmla="val 50000"/>
            <a:gd name="adj2" fmla="val 50000"/>
          </a:avLst>
        </a:prstGeom>
        <a:solidFill>
          <a:schemeClr val="accent1"/>
        </a:solidFill>
        <a:ln w="25400" cap="flat" cmpd="sng">
          <a:solidFill>
            <a:srgbClr val="395E89"/>
          </a:solidFill>
          <a:prstDash val="solid"/>
          <a:round/>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600" b="1">
              <a:solidFill>
                <a:schemeClr val="lt1"/>
              </a:solidFill>
              <a:latin typeface="Calibri"/>
              <a:ea typeface="Calibri"/>
              <a:cs typeface="Calibri"/>
              <a:sym typeface="Calibri"/>
            </a:rPr>
            <a:t>In Million Tonne-km. This Way for Billion Tonne-Nautical miles.</a:t>
          </a:r>
        </a:p>
      </xdr:txBody>
    </xdr:sp>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18</xdr:col>
      <xdr:colOff>678181</xdr:colOff>
      <xdr:row>0</xdr:row>
      <xdr:rowOff>0</xdr:rowOff>
    </xdr:from>
    <xdr:to>
      <xdr:col>21</xdr:col>
      <xdr:colOff>586741</xdr:colOff>
      <xdr:row>4</xdr:row>
      <xdr:rowOff>39815</xdr:rowOff>
    </xdr:to>
    <xdr:pic>
      <xdr:nvPicPr>
        <xdr:cNvPr id="2" name="Picture 1">
          <a:extLst>
            <a:ext uri="{FF2B5EF4-FFF2-40B4-BE49-F238E27FC236}">
              <a16:creationId xmlns:a16="http://schemas.microsoft.com/office/drawing/2014/main" id="{B2459A39-F6D1-4EF1-A5B8-9881599D8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803381" y="0"/>
          <a:ext cx="2026920" cy="1068515"/>
        </a:xfrm>
        <a:prstGeom prst="rect">
          <a:avLst/>
        </a:prstGeom>
        <a:noFill/>
        <a:ln>
          <a:noFill/>
        </a:ln>
      </xdr:spPr>
    </xdr:pic>
    <xdr:clientData/>
  </xdr:twoCellAnchor>
  <xdr:twoCellAnchor editAs="oneCell">
    <xdr:from>
      <xdr:col>20</xdr:col>
      <xdr:colOff>495300</xdr:colOff>
      <xdr:row>70</xdr:row>
      <xdr:rowOff>91440</xdr:rowOff>
    </xdr:from>
    <xdr:to>
      <xdr:col>23</xdr:col>
      <xdr:colOff>617220</xdr:colOff>
      <xdr:row>76</xdr:row>
      <xdr:rowOff>85535</xdr:rowOff>
    </xdr:to>
    <xdr:pic>
      <xdr:nvPicPr>
        <xdr:cNvPr id="3" name="Picture 2">
          <a:extLst>
            <a:ext uri="{FF2B5EF4-FFF2-40B4-BE49-F238E27FC236}">
              <a16:creationId xmlns:a16="http://schemas.microsoft.com/office/drawing/2014/main" id="{BA8F2337-0A71-4534-906B-25DFFB3AC9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61220" y="12755880"/>
          <a:ext cx="2026920" cy="1068515"/>
        </a:xfrm>
        <a:prstGeom prst="rect">
          <a:avLst/>
        </a:prstGeom>
        <a:noFill/>
        <a:ln>
          <a:noFill/>
        </a:ln>
      </xdr:spPr>
    </xdr:pic>
    <xdr:clientData/>
  </xdr:twoCellAnchor>
  <xdr:twoCellAnchor editAs="oneCell">
    <xdr:from>
      <xdr:col>20</xdr:col>
      <xdr:colOff>533400</xdr:colOff>
      <xdr:row>29</xdr:row>
      <xdr:rowOff>53340</xdr:rowOff>
    </xdr:from>
    <xdr:to>
      <xdr:col>24</xdr:col>
      <xdr:colOff>15240</xdr:colOff>
      <xdr:row>35</xdr:row>
      <xdr:rowOff>70295</xdr:rowOff>
    </xdr:to>
    <xdr:pic>
      <xdr:nvPicPr>
        <xdr:cNvPr id="4" name="Picture 3">
          <a:extLst>
            <a:ext uri="{FF2B5EF4-FFF2-40B4-BE49-F238E27FC236}">
              <a16:creationId xmlns:a16="http://schemas.microsoft.com/office/drawing/2014/main" id="{504AB76C-9D1F-4D94-AF36-B6EF09B889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9320" y="5494020"/>
          <a:ext cx="2026920" cy="1068515"/>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457200</xdr:colOff>
      <xdr:row>12</xdr:row>
      <xdr:rowOff>106680</xdr:rowOff>
    </xdr:from>
    <xdr:to>
      <xdr:col>7</xdr:col>
      <xdr:colOff>295163</xdr:colOff>
      <xdr:row>18</xdr:row>
      <xdr:rowOff>126458</xdr:rowOff>
    </xdr:to>
    <xdr:pic>
      <xdr:nvPicPr>
        <xdr:cNvPr id="2" name="Picture 1">
          <a:extLst>
            <a:ext uri="{FF2B5EF4-FFF2-40B4-BE49-F238E27FC236}">
              <a16:creationId xmlns:a16="http://schemas.microsoft.com/office/drawing/2014/main" id="{AC3FAF3D-B066-4538-84D3-5A5FBB16633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70220" y="2499360"/>
          <a:ext cx="1971563" cy="1040858"/>
        </a:xfrm>
        <a:prstGeom prst="rect">
          <a:avLst/>
        </a:prstGeom>
        <a:noFill/>
        <a:ln>
          <a:noFill/>
        </a:ln>
      </xdr:spPr>
    </xdr:pic>
    <xdr:clientData/>
  </xdr:twoCellAnchor>
  <xdr:twoCellAnchor>
    <xdr:from>
      <xdr:col>4</xdr:col>
      <xdr:colOff>175260</xdr:colOff>
      <xdr:row>10</xdr:row>
      <xdr:rowOff>68580</xdr:rowOff>
    </xdr:from>
    <xdr:to>
      <xdr:col>7</xdr:col>
      <xdr:colOff>548640</xdr:colOff>
      <xdr:row>10</xdr:row>
      <xdr:rowOff>68580</xdr:rowOff>
    </xdr:to>
    <xdr:cxnSp macro="">
      <xdr:nvCxnSpPr>
        <xdr:cNvPr id="4" name="Straight Arrow Connector 3">
          <a:extLst>
            <a:ext uri="{FF2B5EF4-FFF2-40B4-BE49-F238E27FC236}">
              <a16:creationId xmlns:a16="http://schemas.microsoft.com/office/drawing/2014/main" id="{987C0D71-C566-4B92-B760-C6D19C134187}"/>
            </a:ext>
          </a:extLst>
        </xdr:cNvPr>
        <xdr:cNvCxnSpPr/>
      </xdr:nvCxnSpPr>
      <xdr:spPr>
        <a:xfrm flipH="1">
          <a:off x="4351020" y="2125980"/>
          <a:ext cx="344424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12</xdr:col>
      <xdr:colOff>171450</xdr:colOff>
      <xdr:row>0</xdr:row>
      <xdr:rowOff>66675</xdr:rowOff>
    </xdr:from>
    <xdr:to>
      <xdr:col>16</xdr:col>
      <xdr:colOff>196103</xdr:colOff>
      <xdr:row>5</xdr:row>
      <xdr:rowOff>145903</xdr:rowOff>
    </xdr:to>
    <xdr:pic>
      <xdr:nvPicPr>
        <xdr:cNvPr id="2" name="Picture 1">
          <a:extLst>
            <a:ext uri="{FF2B5EF4-FFF2-40B4-BE49-F238E27FC236}">
              <a16:creationId xmlns:a16="http://schemas.microsoft.com/office/drawing/2014/main" id="{86C36122-A1F7-40BD-B238-44AD359AF8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9510" y="66675"/>
          <a:ext cx="2463053" cy="1298428"/>
        </a:xfrm>
        <a:prstGeom prst="rect">
          <a:avLst/>
        </a:prstGeom>
        <a:noFill/>
        <a:ln>
          <a:noFill/>
        </a:ln>
      </xdr:spPr>
    </xdr:pic>
    <xdr:clientData/>
  </xdr:twoCellAnchor>
  <xdr:twoCellAnchor>
    <xdr:from>
      <xdr:col>4</xdr:col>
      <xdr:colOff>403860</xdr:colOff>
      <xdr:row>36</xdr:row>
      <xdr:rowOff>83820</xdr:rowOff>
    </xdr:from>
    <xdr:to>
      <xdr:col>8</xdr:col>
      <xdr:colOff>60960</xdr:colOff>
      <xdr:row>36</xdr:row>
      <xdr:rowOff>83820</xdr:rowOff>
    </xdr:to>
    <xdr:cxnSp macro="">
      <xdr:nvCxnSpPr>
        <xdr:cNvPr id="3" name="Straight Arrow Connector 2">
          <a:extLst>
            <a:ext uri="{FF2B5EF4-FFF2-40B4-BE49-F238E27FC236}">
              <a16:creationId xmlns:a16="http://schemas.microsoft.com/office/drawing/2014/main" id="{49A34AB1-7B99-4069-9B8E-FB6720C41D4A}"/>
            </a:ext>
          </a:extLst>
        </xdr:cNvPr>
        <xdr:cNvCxnSpPr/>
      </xdr:nvCxnSpPr>
      <xdr:spPr>
        <a:xfrm flipH="1">
          <a:off x="4305300" y="6888480"/>
          <a:ext cx="344424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615315</xdr:colOff>
      <xdr:row>8</xdr:row>
      <xdr:rowOff>161925</xdr:rowOff>
    </xdr:from>
    <xdr:to>
      <xdr:col>9</xdr:col>
      <xdr:colOff>190388</xdr:colOff>
      <xdr:row>15</xdr:row>
      <xdr:rowOff>182098</xdr:rowOff>
    </xdr:to>
    <xdr:pic>
      <xdr:nvPicPr>
        <xdr:cNvPr id="2" name="Picture 1">
          <a:extLst>
            <a:ext uri="{FF2B5EF4-FFF2-40B4-BE49-F238E27FC236}">
              <a16:creationId xmlns:a16="http://schemas.microsoft.com/office/drawing/2014/main" id="{62BC2ED0-5071-4474-AD95-D647FEC91E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81975" y="1914525"/>
          <a:ext cx="2463053" cy="1300333"/>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15</xdr:col>
      <xdr:colOff>240030</xdr:colOff>
      <xdr:row>0</xdr:row>
      <xdr:rowOff>43815</xdr:rowOff>
    </xdr:from>
    <xdr:to>
      <xdr:col>19</xdr:col>
      <xdr:colOff>264683</xdr:colOff>
      <xdr:row>5</xdr:row>
      <xdr:rowOff>115423</xdr:rowOff>
    </xdr:to>
    <xdr:pic>
      <xdr:nvPicPr>
        <xdr:cNvPr id="2" name="Picture 1">
          <a:extLst>
            <a:ext uri="{FF2B5EF4-FFF2-40B4-BE49-F238E27FC236}">
              <a16:creationId xmlns:a16="http://schemas.microsoft.com/office/drawing/2014/main" id="{097772F5-AC14-416C-870C-8A320B89F3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10110" y="43815"/>
          <a:ext cx="2463053" cy="925048"/>
        </a:xfrm>
        <a:prstGeom prst="rect">
          <a:avLst/>
        </a:prstGeom>
        <a:noFill/>
        <a:ln>
          <a:noFill/>
        </a:ln>
      </xdr:spPr>
    </xdr:pic>
    <xdr:clientData/>
  </xdr:twoCellAnchor>
  <xdr:twoCellAnchor>
    <xdr:from>
      <xdr:col>4</xdr:col>
      <xdr:colOff>99060</xdr:colOff>
      <xdr:row>5</xdr:row>
      <xdr:rowOff>167640</xdr:rowOff>
    </xdr:from>
    <xdr:to>
      <xdr:col>9</xdr:col>
      <xdr:colOff>327660</xdr:colOff>
      <xdr:row>5</xdr:row>
      <xdr:rowOff>167640</xdr:rowOff>
    </xdr:to>
    <xdr:cxnSp macro="">
      <xdr:nvCxnSpPr>
        <xdr:cNvPr id="3" name="Straight Arrow Connector 2">
          <a:extLst>
            <a:ext uri="{FF2B5EF4-FFF2-40B4-BE49-F238E27FC236}">
              <a16:creationId xmlns:a16="http://schemas.microsoft.com/office/drawing/2014/main" id="{E371212C-FF86-44BE-9685-F23031579E28}"/>
            </a:ext>
          </a:extLst>
        </xdr:cNvPr>
        <xdr:cNvCxnSpPr/>
      </xdr:nvCxnSpPr>
      <xdr:spPr>
        <a:xfrm flipH="1">
          <a:off x="5006340" y="1021080"/>
          <a:ext cx="344424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297180</xdr:colOff>
      <xdr:row>17</xdr:row>
      <xdr:rowOff>7620</xdr:rowOff>
    </xdr:from>
    <xdr:to>
      <xdr:col>10</xdr:col>
      <xdr:colOff>358140</xdr:colOff>
      <xdr:row>17</xdr:row>
      <xdr:rowOff>7620</xdr:rowOff>
    </xdr:to>
    <xdr:cxnSp macro="">
      <xdr:nvCxnSpPr>
        <xdr:cNvPr id="4" name="Straight Arrow Connector 3">
          <a:extLst>
            <a:ext uri="{FF2B5EF4-FFF2-40B4-BE49-F238E27FC236}">
              <a16:creationId xmlns:a16="http://schemas.microsoft.com/office/drawing/2014/main" id="{0A011A13-0D17-42F9-B308-6D206D7B0D0B}"/>
            </a:ext>
          </a:extLst>
        </xdr:cNvPr>
        <xdr:cNvCxnSpPr/>
      </xdr:nvCxnSpPr>
      <xdr:spPr>
        <a:xfrm flipH="1" flipV="1">
          <a:off x="6591300" y="3048000"/>
          <a:ext cx="249936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39</xdr:row>
      <xdr:rowOff>152400</xdr:rowOff>
    </xdr:from>
    <xdr:to>
      <xdr:col>9</xdr:col>
      <xdr:colOff>312420</xdr:colOff>
      <xdr:row>39</xdr:row>
      <xdr:rowOff>152400</xdr:rowOff>
    </xdr:to>
    <xdr:cxnSp macro="">
      <xdr:nvCxnSpPr>
        <xdr:cNvPr id="6" name="Straight Arrow Connector 5">
          <a:extLst>
            <a:ext uri="{FF2B5EF4-FFF2-40B4-BE49-F238E27FC236}">
              <a16:creationId xmlns:a16="http://schemas.microsoft.com/office/drawing/2014/main" id="{CB599F1A-1275-4638-BFF2-B5076A8DDEB3}"/>
            </a:ext>
          </a:extLst>
        </xdr:cNvPr>
        <xdr:cNvCxnSpPr/>
      </xdr:nvCxnSpPr>
      <xdr:spPr>
        <a:xfrm flipH="1" flipV="1">
          <a:off x="5935980" y="7002780"/>
          <a:ext cx="2499360" cy="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afdc.energy.gov/data/"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www.iea.org/etp/" TargetMode="External"/><Relationship Id="rId7" Type="http://schemas.openxmlformats.org/officeDocument/2006/relationships/drawing" Target="../drawings/drawing18.xml"/><Relationship Id="rId2" Type="http://schemas.openxmlformats.org/officeDocument/2006/relationships/hyperlink" Target="http://www.theicct.org/global-transportation-roadmap-model" TargetMode="External"/><Relationship Id="rId1" Type="http://schemas.openxmlformats.org/officeDocument/2006/relationships/hyperlink" Target="https://www.itdp.org/a-global-high-shift-scenario/" TargetMode="External"/><Relationship Id="rId6" Type="http://schemas.openxmlformats.org/officeDocument/2006/relationships/printerSettings" Target="../printerSettings/printerSettings6.bin"/><Relationship Id="rId5" Type="http://schemas.openxmlformats.org/officeDocument/2006/relationships/hyperlink" Target="https://www.theguardian.com/local-government-network/2013/nov/20/lessons-electric-bikes-china" TargetMode="External"/><Relationship Id="rId4" Type="http://schemas.openxmlformats.org/officeDocument/2006/relationships/hyperlink" Target="http://www.bike-eu.com/home/nieuws/2016/4/china-bans-e-bike-use-in-major-cities-10126136"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7.bin"/><Relationship Id="rId1" Type="http://schemas.openxmlformats.org/officeDocument/2006/relationships/hyperlink" Target="http://www.theicct.org/global-transportation-roadmap-model"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3" Type="http://schemas.openxmlformats.org/officeDocument/2006/relationships/hyperlink" Target="https://unctad.org/en/PublicationsLibrary/rmt2018_en.pdf" TargetMode="External"/><Relationship Id="rId7" Type="http://schemas.openxmlformats.org/officeDocument/2006/relationships/drawing" Target="../drawings/drawing21.xml"/><Relationship Id="rId2" Type="http://schemas.openxmlformats.org/officeDocument/2006/relationships/hyperlink" Target="http://www.imo.org/en/OurWork/Environment/PollutionPrevention/AirPollution/Documents/Third%20Greenhouse%20Gas%20Study/GHG3%20Executive%20Summary%20and%20Report.pdf" TargetMode="External"/><Relationship Id="rId1" Type="http://schemas.openxmlformats.org/officeDocument/2006/relationships/hyperlink" Target="https://www.icao.int/Newsroom/Pages/Solid-passenger-traffic-growth-and-moderate-air-cargo-demand-in-2018.aspx" TargetMode="External"/><Relationship Id="rId6" Type="http://schemas.openxmlformats.org/officeDocument/2006/relationships/hyperlink" Target="http://www.theicct.org/global-transportation-roadmap-model" TargetMode="External"/><Relationship Id="rId5" Type="http://schemas.openxmlformats.org/officeDocument/2006/relationships/hyperlink" Target="http://www.theicct.org/global-transportation-roadmap-model" TargetMode="External"/><Relationship Id="rId4" Type="http://schemas.openxmlformats.org/officeDocument/2006/relationships/hyperlink" Target="http://www.iea.org/et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1C5A5-704A-4686-89BB-06E42A4B1DAF}">
  <sheetPr codeName="Sheet2">
    <tabColor rgb="FFFFFF00"/>
  </sheetPr>
  <dimension ref="A1:Q37"/>
  <sheetViews>
    <sheetView tabSelected="1" workbookViewId="0">
      <selection activeCell="J10" sqref="J10"/>
    </sheetView>
  </sheetViews>
  <sheetFormatPr defaultRowHeight="14.4" x14ac:dyDescent="0.3"/>
  <sheetData>
    <row r="1" spans="2:17" ht="4.2" customHeight="1" x14ac:dyDescent="0.3"/>
    <row r="2" spans="2:17" x14ac:dyDescent="0.3">
      <c r="B2" s="811" t="s">
        <v>468</v>
      </c>
      <c r="C2" s="811"/>
      <c r="D2" s="811"/>
      <c r="E2" s="811"/>
      <c r="F2" s="811"/>
      <c r="G2" s="811"/>
      <c r="H2" s="811"/>
      <c r="I2" s="811"/>
      <c r="J2" s="811"/>
      <c r="K2" s="811"/>
      <c r="L2" s="811"/>
      <c r="M2" s="811"/>
      <c r="N2" s="811"/>
      <c r="O2" s="811"/>
      <c r="P2" s="811"/>
      <c r="Q2" s="811"/>
    </row>
    <row r="3" spans="2:17" x14ac:dyDescent="0.3">
      <c r="B3" s="811"/>
      <c r="C3" s="811"/>
      <c r="D3" s="811"/>
      <c r="E3" s="811"/>
      <c r="F3" s="811"/>
      <c r="G3" s="811"/>
      <c r="H3" s="811"/>
      <c r="I3" s="811"/>
      <c r="J3" s="811"/>
      <c r="K3" s="811"/>
      <c r="L3" s="811"/>
      <c r="M3" s="811"/>
      <c r="N3" s="811"/>
      <c r="O3" s="811"/>
      <c r="P3" s="811"/>
      <c r="Q3" s="811"/>
    </row>
    <row r="4" spans="2:17" x14ac:dyDescent="0.3">
      <c r="B4" s="811"/>
      <c r="C4" s="811"/>
      <c r="D4" s="811"/>
      <c r="E4" s="811"/>
      <c r="F4" s="811"/>
      <c r="G4" s="811"/>
      <c r="H4" s="811"/>
      <c r="I4" s="811"/>
      <c r="J4" s="811"/>
      <c r="K4" s="811"/>
      <c r="L4" s="811"/>
      <c r="M4" s="811"/>
      <c r="N4" s="811"/>
      <c r="O4" s="811"/>
      <c r="P4" s="811"/>
      <c r="Q4" s="811"/>
    </row>
    <row r="5" spans="2:17" x14ac:dyDescent="0.3">
      <c r="B5" s="811"/>
      <c r="C5" s="811"/>
      <c r="D5" s="811"/>
      <c r="E5" s="811"/>
      <c r="F5" s="811"/>
      <c r="G5" s="811"/>
      <c r="H5" s="811"/>
      <c r="I5" s="811"/>
      <c r="J5" s="811"/>
      <c r="K5" s="811"/>
      <c r="L5" s="811"/>
      <c r="M5" s="811"/>
      <c r="N5" s="811"/>
      <c r="O5" s="811"/>
      <c r="P5" s="811"/>
      <c r="Q5" s="811"/>
    </row>
    <row r="6" spans="2:17" ht="8.4" customHeight="1" x14ac:dyDescent="0.3"/>
    <row r="7" spans="2:17" s="251" customFormat="1" x14ac:dyDescent="0.3">
      <c r="B7" s="418">
        <v>0</v>
      </c>
      <c r="C7" s="422" t="s">
        <v>314</v>
      </c>
      <c r="D7" s="422"/>
      <c r="E7" s="422"/>
      <c r="F7" s="422"/>
      <c r="G7" s="422"/>
      <c r="L7" s="135" t="s">
        <v>152</v>
      </c>
      <c r="M7" s="1"/>
      <c r="N7" s="1"/>
      <c r="O7" s="1"/>
      <c r="P7" s="1"/>
    </row>
    <row r="8" spans="2:17" s="251" customFormat="1" x14ac:dyDescent="0.3"/>
    <row r="9" spans="2:17" x14ac:dyDescent="0.3">
      <c r="B9" s="418">
        <v>1</v>
      </c>
      <c r="C9" s="418" t="s">
        <v>451</v>
      </c>
      <c r="D9" s="418"/>
      <c r="E9" s="418"/>
      <c r="F9" s="418"/>
      <c r="G9" s="418"/>
    </row>
    <row r="10" spans="2:17" x14ac:dyDescent="0.3">
      <c r="C10" s="419" t="s">
        <v>452</v>
      </c>
      <c r="D10" s="419"/>
      <c r="E10" s="419"/>
      <c r="F10" s="419"/>
      <c r="G10" s="419"/>
    </row>
    <row r="11" spans="2:17" x14ac:dyDescent="0.3">
      <c r="C11" s="419" t="s">
        <v>453</v>
      </c>
      <c r="D11" s="419"/>
      <c r="E11" s="419"/>
      <c r="F11" s="419"/>
      <c r="G11" s="419"/>
    </row>
    <row r="12" spans="2:17" x14ac:dyDescent="0.3">
      <c r="C12" s="419" t="s">
        <v>455</v>
      </c>
      <c r="D12" s="419"/>
      <c r="E12" s="419"/>
      <c r="F12" s="419"/>
      <c r="G12" s="419"/>
    </row>
    <row r="13" spans="2:17" x14ac:dyDescent="0.3">
      <c r="C13" s="419" t="s">
        <v>454</v>
      </c>
      <c r="D13" s="419"/>
      <c r="E13" s="419"/>
      <c r="F13" s="419"/>
      <c r="G13" s="419"/>
    </row>
    <row r="14" spans="2:17" s="423" customFormat="1" x14ac:dyDescent="0.3">
      <c r="C14" s="419" t="s">
        <v>488</v>
      </c>
      <c r="D14" s="419"/>
      <c r="E14" s="419"/>
      <c r="F14" s="419"/>
      <c r="G14" s="419"/>
    </row>
    <row r="16" spans="2:17" x14ac:dyDescent="0.3">
      <c r="B16" s="418">
        <v>2</v>
      </c>
      <c r="C16" s="418" t="s">
        <v>450</v>
      </c>
      <c r="D16" s="418"/>
      <c r="E16" s="418"/>
      <c r="F16" s="418"/>
      <c r="G16" s="418"/>
    </row>
    <row r="17" spans="1:16" x14ac:dyDescent="0.3">
      <c r="A17" s="639"/>
      <c r="B17" s="639"/>
      <c r="C17" s="421" t="s">
        <v>659</v>
      </c>
      <c r="D17" s="421"/>
      <c r="E17" s="421"/>
      <c r="F17" s="421"/>
      <c r="G17" s="421"/>
      <c r="H17" s="639"/>
      <c r="I17" s="639"/>
      <c r="J17" s="639"/>
      <c r="K17" s="639"/>
      <c r="L17" s="135" t="s">
        <v>608</v>
      </c>
      <c r="M17" s="1"/>
      <c r="N17" s="1"/>
      <c r="O17" s="1"/>
      <c r="P17" s="1"/>
    </row>
    <row r="18" spans="1:16" x14ac:dyDescent="0.3">
      <c r="C18" s="419" t="s">
        <v>456</v>
      </c>
      <c r="D18" s="419"/>
      <c r="E18" s="419"/>
      <c r="F18" s="419"/>
      <c r="G18" s="419"/>
    </row>
    <row r="19" spans="1:16" x14ac:dyDescent="0.3">
      <c r="C19" s="419" t="s">
        <v>457</v>
      </c>
      <c r="D19" s="419"/>
      <c r="E19" s="419"/>
      <c r="F19" s="419"/>
      <c r="G19" s="419"/>
      <c r="L19" s="812" t="s">
        <v>793</v>
      </c>
      <c r="M19" s="812"/>
      <c r="N19" s="812"/>
      <c r="O19" s="812"/>
      <c r="P19" s="812"/>
    </row>
    <row r="20" spans="1:16" x14ac:dyDescent="0.3">
      <c r="C20" s="419" t="s">
        <v>459</v>
      </c>
      <c r="D20" s="419"/>
      <c r="E20" s="419"/>
      <c r="F20" s="419"/>
      <c r="G20" s="419"/>
    </row>
    <row r="21" spans="1:16" x14ac:dyDescent="0.3">
      <c r="C21" s="419" t="s">
        <v>458</v>
      </c>
      <c r="D21" s="419"/>
      <c r="E21" s="419"/>
      <c r="F21" s="419"/>
      <c r="G21" s="419"/>
    </row>
    <row r="22" spans="1:16" x14ac:dyDescent="0.3">
      <c r="C22" s="419" t="s">
        <v>460</v>
      </c>
      <c r="D22" s="419"/>
      <c r="E22" s="419"/>
      <c r="F22" s="419"/>
      <c r="G22" s="419"/>
    </row>
    <row r="24" spans="1:16" x14ac:dyDescent="0.3">
      <c r="B24" s="418">
        <v>3</v>
      </c>
      <c r="C24" s="418" t="s">
        <v>461</v>
      </c>
      <c r="D24" s="418"/>
      <c r="E24" s="418"/>
      <c r="F24" s="418"/>
      <c r="G24" s="418"/>
    </row>
    <row r="25" spans="1:16" x14ac:dyDescent="0.3">
      <c r="C25" s="420" t="s">
        <v>462</v>
      </c>
      <c r="D25" s="420"/>
      <c r="E25" s="420"/>
      <c r="F25" s="420"/>
      <c r="G25" s="420"/>
    </row>
    <row r="26" spans="1:16" x14ac:dyDescent="0.3">
      <c r="C26" s="420" t="s">
        <v>463</v>
      </c>
      <c r="D26" s="420"/>
      <c r="E26" s="420"/>
      <c r="F26" s="420"/>
      <c r="G26" s="420"/>
    </row>
    <row r="27" spans="1:16" s="535" customFormat="1" x14ac:dyDescent="0.3">
      <c r="A27"/>
      <c r="B27"/>
      <c r="C27" s="421" t="s">
        <v>465</v>
      </c>
      <c r="D27" s="421"/>
      <c r="E27" s="421"/>
      <c r="F27" s="421"/>
      <c r="G27" s="421"/>
      <c r="H27"/>
      <c r="I27"/>
      <c r="J27"/>
      <c r="K27"/>
    </row>
    <row r="28" spans="1:16" s="535" customFormat="1" x14ac:dyDescent="0.3">
      <c r="B28"/>
      <c r="C28" s="420" t="s">
        <v>464</v>
      </c>
      <c r="D28" s="420"/>
      <c r="E28" s="420"/>
      <c r="F28" s="420"/>
      <c r="G28" s="420"/>
      <c r="H28"/>
      <c r="I28"/>
    </row>
    <row r="29" spans="1:16" s="535" customFormat="1" x14ac:dyDescent="0.3"/>
    <row r="30" spans="1:16" x14ac:dyDescent="0.3">
      <c r="A30" s="535"/>
      <c r="B30" s="418">
        <v>4</v>
      </c>
      <c r="C30" s="418" t="s">
        <v>573</v>
      </c>
      <c r="D30" s="418"/>
      <c r="E30" s="418"/>
      <c r="F30" s="418"/>
      <c r="G30" s="535"/>
      <c r="H30" s="535"/>
      <c r="I30" s="535"/>
      <c r="J30" s="535"/>
      <c r="K30" s="535"/>
    </row>
    <row r="31" spans="1:16" x14ac:dyDescent="0.3">
      <c r="C31" s="420" t="s">
        <v>466</v>
      </c>
      <c r="D31" s="420"/>
      <c r="E31" s="420"/>
      <c r="F31" s="420"/>
      <c r="G31" s="420"/>
    </row>
    <row r="32" spans="1:16" x14ac:dyDescent="0.3">
      <c r="C32" s="420" t="s">
        <v>572</v>
      </c>
      <c r="D32" s="420"/>
      <c r="E32" s="420"/>
      <c r="F32" s="420"/>
      <c r="G32" s="420"/>
    </row>
    <row r="33" spans="1:11" s="596" customFormat="1" x14ac:dyDescent="0.3">
      <c r="A33"/>
      <c r="B33"/>
      <c r="C33"/>
      <c r="D33"/>
      <c r="E33"/>
      <c r="F33"/>
      <c r="G33"/>
      <c r="H33"/>
      <c r="I33"/>
      <c r="J33"/>
      <c r="K33"/>
    </row>
    <row r="34" spans="1:11" x14ac:dyDescent="0.3">
      <c r="A34" s="596"/>
      <c r="B34" s="418">
        <v>5</v>
      </c>
      <c r="C34" s="418" t="s">
        <v>593</v>
      </c>
      <c r="D34" s="596"/>
      <c r="E34" s="596"/>
      <c r="F34" s="596"/>
      <c r="G34" s="596"/>
      <c r="H34" s="596"/>
      <c r="I34" s="596"/>
      <c r="J34" s="596"/>
      <c r="K34" s="596"/>
    </row>
    <row r="35" spans="1:11" x14ac:dyDescent="0.3">
      <c r="C35" s="420" t="s">
        <v>469</v>
      </c>
      <c r="D35" s="420"/>
      <c r="E35" s="420"/>
      <c r="F35" s="420"/>
      <c r="G35" s="420"/>
    </row>
    <row r="36" spans="1:11" x14ac:dyDescent="0.3">
      <c r="C36" s="421" t="s">
        <v>594</v>
      </c>
      <c r="D36" s="421"/>
      <c r="E36" s="421"/>
      <c r="F36" s="421"/>
      <c r="G36" s="421"/>
    </row>
    <row r="37" spans="1:11" x14ac:dyDescent="0.3">
      <c r="C37" s="421" t="s">
        <v>621</v>
      </c>
      <c r="D37" s="421"/>
      <c r="E37" s="421"/>
      <c r="F37" s="421"/>
      <c r="G37" s="421"/>
    </row>
  </sheetData>
  <mergeCells count="2">
    <mergeCell ref="B2:Q5"/>
    <mergeCell ref="L19:P19"/>
  </mergeCells>
  <hyperlinks>
    <hyperlink ref="C10:G10" location="'Modeshare URBAN'!A1" display="Urban Passenger Sheet" xr:uid="{3948CE8B-D55C-477E-B707-9DC83D262022}"/>
    <hyperlink ref="C11:G11" location="'Modeshare NONURBAN'!A1" display="Nonurban Passenger Sheet" xr:uid="{287BB0BE-BB09-4C63-977B-82706C75BF1F}"/>
    <hyperlink ref="C12:G12" location="'Modeshare URBAN+NONURBAN'!A1" display="Urban + Nonurban Passenger Sheet" xr:uid="{E102E708-B03B-4ADB-B421-CB21A1B8E1B2}"/>
    <hyperlink ref="C13:G13" location="'Modeshare FREIGHT'!A1" display="Freight Sheet" xr:uid="{2FB3B781-B887-46FE-B59B-98660D843906}"/>
    <hyperlink ref="C18:G18" location="'Interp-URBAN'!A1" display="Urban Passenger Interpolations of Source Data" xr:uid="{B8AC6BB2-BFF7-4921-9559-5E20BC968E49}"/>
    <hyperlink ref="C19:G19" location="'Interp-NONURBAN'!A1" display="Nonurban Passenger Interpolations of Source Data" xr:uid="{A633AE39-9370-4139-9F73-FF37C5562F25}"/>
    <hyperlink ref="C20:G20" location="'Passenger TAM Data'!A1" display="Summary of Passenger TAM Data" xr:uid="{52917085-C192-4360-B1FB-3794D325B0A2}"/>
    <hyperlink ref="C21:G21" location="'Interp-FREIGHT'!A1" display="Freight Interpolations of Source Data" xr:uid="{A152A816-C294-4BFD-8DBF-BF033F8D594B}"/>
    <hyperlink ref="C22:G22" location="'Freight TAM Data'!A1" display="Summary of Freight TAM Data" xr:uid="{B8F60D96-05A4-47EC-B4E0-AFCA06A16B3D}"/>
    <hyperlink ref="C25:G25" location="'Urban Pass Adoption'!A1" display="Urban Passenger Adoptions" xr:uid="{428806A2-CEB9-46B1-98E5-217F2AB15696}"/>
    <hyperlink ref="C26:G26" location="'Nonurban Pass Adoption'!A1" display="Nonurban Passenger Adoptions" xr:uid="{119BD776-BE5D-4A32-BFCF-E54D0B30EF6C}"/>
    <hyperlink ref="C27:G27" location="'Global Pass-Km ModeShare'!A1" display="Urban + Nonurban Passenger Summary" xr:uid="{68347AAF-3553-4D09-B6C2-6C59177EE9EC}"/>
    <hyperlink ref="C31:G31" location="'Private Car Analysis &amp; Split'!A1" display="Private Car Adoption Split" xr:uid="{37C8F356-0325-4C43-B275-88CCABB1432D}"/>
    <hyperlink ref="C28:G28" location="'Freight Adoption'!A1" display="Freight Adoptions" xr:uid="{F1B0A72A-8C79-4A08-8C29-FDF48F5CC5D1}"/>
    <hyperlink ref="C7:G7" location="Assumptions!A1" display="Assumptions" xr:uid="{46965A1E-476E-4B0A-A2FF-7993316D9B2C}"/>
    <hyperlink ref="C35:G35" location="'Grid Impacts'!A1" display="Grid Demand Reduction Estimates" xr:uid="{68B17D51-921E-4499-9EF3-0586B03D02CC}"/>
    <hyperlink ref="C14:G14" location="Carshare!A1" display="Car Technology Shares" xr:uid="{4CD215FD-FA16-4550-AE11-4514CD2DA9FD}"/>
    <hyperlink ref="C32:G32" location="'Private Car Variable Adjust'!A1" display="Private Car Variable Integration" xr:uid="{E4B73478-3A7C-4D72-848B-7A32935B569B}"/>
    <hyperlink ref="C36:G36" location="'Emssions Redux'!A1" display="Emissions Results" xr:uid="{9B6605F0-BD02-4CC0-84BA-44376919C788}"/>
    <hyperlink ref="C37:G37" location="'Financials&amp;Adoptions'!A1" display="Financial and Adoption Results" xr:uid="{236A3356-F40B-4235-A243-930FF039FA74}"/>
    <hyperlink ref="C17:G17" location="'TAM Method Plots'!A1" display="Illustration of TAM Methodology" xr:uid="{BE16E8AA-0236-4CF0-AF97-60C5F115E45F}"/>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AA35"/>
  <sheetViews>
    <sheetView zoomScaleNormal="100" workbookViewId="0">
      <selection activeCell="G34" sqref="G34"/>
    </sheetView>
  </sheetViews>
  <sheetFormatPr defaultColWidth="15.21875" defaultRowHeight="15" customHeight="1" x14ac:dyDescent="0.3"/>
  <cols>
    <col min="1" max="25" width="7.5546875" customWidth="1"/>
  </cols>
  <sheetData>
    <row r="1" spans="1:22" ht="14.4" x14ac:dyDescent="0.3">
      <c r="A1" s="1" t="s">
        <v>0</v>
      </c>
      <c r="B1" s="1"/>
      <c r="C1" s="1"/>
      <c r="D1" s="1"/>
      <c r="E1" s="1"/>
      <c r="N1" s="815" t="s">
        <v>467</v>
      </c>
      <c r="O1" s="816"/>
      <c r="P1" s="817"/>
      <c r="R1" s="135" t="s">
        <v>153</v>
      </c>
      <c r="S1" s="1"/>
      <c r="T1" s="1"/>
      <c r="U1" s="1"/>
      <c r="V1" s="1"/>
    </row>
    <row r="2" spans="1:22" s="100" customFormat="1" thickBot="1" x14ac:dyDescent="0.35">
      <c r="N2" s="818"/>
      <c r="O2" s="819"/>
      <c r="P2" s="820"/>
    </row>
    <row r="3" spans="1:22" ht="14.4" x14ac:dyDescent="0.3">
      <c r="A3" s="2">
        <v>1</v>
      </c>
      <c r="B3" s="823" t="s">
        <v>8</v>
      </c>
      <c r="C3" s="824"/>
      <c r="D3" s="824"/>
      <c r="E3" s="824"/>
      <c r="F3" s="824"/>
      <c r="G3" s="824"/>
      <c r="H3" s="824"/>
      <c r="I3" s="824"/>
      <c r="J3" s="824"/>
      <c r="K3" s="824"/>
      <c r="L3" s="824"/>
      <c r="M3" s="824"/>
      <c r="R3" s="13" t="s">
        <v>609</v>
      </c>
      <c r="T3" s="124" t="s">
        <v>154</v>
      </c>
    </row>
    <row r="4" spans="1:22" ht="15" customHeight="1" x14ac:dyDescent="0.3">
      <c r="B4" s="825"/>
      <c r="C4" s="825"/>
      <c r="D4" s="825"/>
      <c r="E4" s="825"/>
      <c r="F4" s="825"/>
      <c r="G4" s="825"/>
      <c r="H4" s="825"/>
      <c r="I4" s="825"/>
      <c r="J4" s="825"/>
      <c r="K4" s="825"/>
      <c r="L4" s="825"/>
      <c r="M4" s="825"/>
      <c r="Q4" s="98" t="s">
        <v>182</v>
      </c>
      <c r="R4" s="13" t="s">
        <v>606</v>
      </c>
      <c r="T4" s="124" t="s">
        <v>156</v>
      </c>
    </row>
    <row r="5" spans="1:22" ht="14.55" customHeight="1" x14ac:dyDescent="0.3">
      <c r="A5" s="2">
        <v>2</v>
      </c>
      <c r="B5" s="829" t="s">
        <v>11</v>
      </c>
      <c r="C5" s="829"/>
      <c r="D5" s="829"/>
      <c r="E5" s="829"/>
      <c r="F5" s="829"/>
      <c r="G5" s="829"/>
      <c r="H5" s="829"/>
      <c r="I5" s="829"/>
      <c r="J5" s="829"/>
      <c r="K5" s="829"/>
      <c r="L5" s="829"/>
      <c r="M5" s="829"/>
      <c r="Q5" s="183"/>
      <c r="R5" s="13" t="s">
        <v>377</v>
      </c>
      <c r="T5" s="124" t="s">
        <v>155</v>
      </c>
    </row>
    <row r="6" spans="1:22" ht="15" customHeight="1" x14ac:dyDescent="0.3">
      <c r="B6" s="823"/>
      <c r="C6" s="823"/>
      <c r="D6" s="823"/>
      <c r="E6" s="823"/>
      <c r="F6" s="823"/>
      <c r="G6" s="823"/>
      <c r="H6" s="823"/>
      <c r="I6" s="823"/>
      <c r="J6" s="823"/>
      <c r="K6" s="823"/>
      <c r="L6" s="823"/>
      <c r="M6" s="823"/>
      <c r="Q6" s="183"/>
      <c r="R6" s="13" t="s">
        <v>612</v>
      </c>
      <c r="T6" s="124" t="s">
        <v>157</v>
      </c>
    </row>
    <row r="7" spans="1:22" ht="14.4" x14ac:dyDescent="0.3">
      <c r="B7" s="830"/>
      <c r="C7" s="830"/>
      <c r="D7" s="830"/>
      <c r="E7" s="830"/>
      <c r="F7" s="830"/>
      <c r="G7" s="830"/>
      <c r="H7" s="830"/>
      <c r="I7" s="830"/>
      <c r="J7" s="830"/>
      <c r="K7" s="830"/>
      <c r="L7" s="830"/>
      <c r="M7" s="830"/>
      <c r="Q7" s="183"/>
      <c r="R7" s="13" t="s">
        <v>380</v>
      </c>
      <c r="T7" s="124" t="s">
        <v>158</v>
      </c>
    </row>
    <row r="8" spans="1:22" ht="14.4" x14ac:dyDescent="0.3">
      <c r="Q8" s="183"/>
      <c r="R8" s="13" t="s">
        <v>6</v>
      </c>
      <c r="T8" s="124" t="s">
        <v>159</v>
      </c>
    </row>
    <row r="9" spans="1:22" ht="15" customHeight="1" x14ac:dyDescent="0.3">
      <c r="B9" s="13" t="s">
        <v>12</v>
      </c>
      <c r="Q9" s="183"/>
      <c r="R9" s="13" t="s">
        <v>600</v>
      </c>
      <c r="T9" s="124" t="s">
        <v>160</v>
      </c>
    </row>
    <row r="10" spans="1:22" ht="14.4" x14ac:dyDescent="0.3">
      <c r="B10" s="178"/>
      <c r="C10" s="179" t="s">
        <v>183</v>
      </c>
      <c r="D10" s="180"/>
      <c r="E10" s="180"/>
      <c r="F10" s="180"/>
      <c r="G10" s="180"/>
      <c r="H10" s="179" t="s">
        <v>184</v>
      </c>
      <c r="I10" s="180"/>
      <c r="J10" s="180"/>
      <c r="K10" s="180"/>
      <c r="L10" s="172"/>
      <c r="M10" s="173" t="s">
        <v>14</v>
      </c>
      <c r="N10" s="174"/>
      <c r="O10" s="174"/>
      <c r="P10" s="174"/>
      <c r="Q10" s="183"/>
      <c r="R10" s="13" t="s">
        <v>267</v>
      </c>
      <c r="T10" s="124" t="s">
        <v>275</v>
      </c>
    </row>
    <row r="11" spans="1:22" ht="15" customHeight="1" x14ac:dyDescent="0.3">
      <c r="B11" s="178"/>
      <c r="C11" s="178"/>
      <c r="D11" s="178"/>
      <c r="E11" s="178"/>
      <c r="F11" s="178"/>
      <c r="G11" s="178"/>
      <c r="H11" s="178"/>
      <c r="I11" s="178"/>
      <c r="J11" s="178"/>
      <c r="K11" s="178"/>
      <c r="L11" s="174"/>
      <c r="M11" s="174"/>
      <c r="N11" s="174"/>
      <c r="O11" s="174"/>
      <c r="P11" s="174"/>
      <c r="Q11" s="183"/>
      <c r="R11" s="13" t="s">
        <v>611</v>
      </c>
      <c r="T11" s="124" t="s">
        <v>161</v>
      </c>
    </row>
    <row r="12" spans="1:22" ht="14.4" x14ac:dyDescent="0.3">
      <c r="B12" s="177">
        <v>1</v>
      </c>
      <c r="C12" s="177" t="s">
        <v>1</v>
      </c>
      <c r="D12" s="178"/>
      <c r="E12" s="178"/>
      <c r="F12" s="178"/>
      <c r="G12" s="177">
        <v>1</v>
      </c>
      <c r="H12" s="177" t="s">
        <v>5</v>
      </c>
      <c r="I12" s="178"/>
      <c r="J12" s="178"/>
      <c r="K12" s="178"/>
      <c r="L12" s="175">
        <v>1</v>
      </c>
      <c r="M12" s="176" t="s">
        <v>610</v>
      </c>
      <c r="N12" s="174"/>
      <c r="O12" s="174"/>
      <c r="P12" s="174"/>
      <c r="Q12" s="183"/>
      <c r="R12" s="13" t="s">
        <v>5</v>
      </c>
      <c r="T12" s="124" t="s">
        <v>162</v>
      </c>
    </row>
    <row r="13" spans="1:22" ht="14.4" x14ac:dyDescent="0.3">
      <c r="B13" s="177">
        <v>2</v>
      </c>
      <c r="C13" s="181" t="s">
        <v>606</v>
      </c>
      <c r="D13" s="178"/>
      <c r="E13" s="178"/>
      <c r="F13" s="178"/>
      <c r="G13" s="177">
        <v>2</v>
      </c>
      <c r="H13" s="177" t="s">
        <v>6</v>
      </c>
      <c r="I13" s="178"/>
      <c r="J13" s="178"/>
      <c r="K13" s="178"/>
      <c r="L13" s="175">
        <v>2</v>
      </c>
      <c r="M13" s="176" t="s">
        <v>611</v>
      </c>
      <c r="N13" s="174"/>
      <c r="O13" s="174"/>
      <c r="P13" s="174"/>
      <c r="Q13" s="183"/>
      <c r="R13" s="13" t="s">
        <v>604</v>
      </c>
      <c r="T13" s="124" t="s">
        <v>163</v>
      </c>
    </row>
    <row r="14" spans="1:22" ht="14.4" x14ac:dyDescent="0.3">
      <c r="B14" s="177">
        <v>3</v>
      </c>
      <c r="C14" s="181" t="s">
        <v>612</v>
      </c>
      <c r="D14" s="178"/>
      <c r="E14" s="178"/>
      <c r="F14" s="178"/>
      <c r="G14" s="177">
        <v>3</v>
      </c>
      <c r="H14" s="181" t="s">
        <v>609</v>
      </c>
      <c r="I14" s="178"/>
      <c r="J14" s="178"/>
      <c r="K14" s="178"/>
      <c r="L14" s="175">
        <v>3</v>
      </c>
      <c r="M14" s="176" t="s">
        <v>604</v>
      </c>
      <c r="N14" s="174"/>
      <c r="O14" s="174"/>
      <c r="P14" s="174"/>
      <c r="Q14" s="183"/>
      <c r="R14" s="13" t="s">
        <v>610</v>
      </c>
      <c r="T14" s="124" t="s">
        <v>164</v>
      </c>
    </row>
    <row r="15" spans="1:22" ht="14.4" x14ac:dyDescent="0.3">
      <c r="B15" s="177">
        <v>4</v>
      </c>
      <c r="C15" s="181" t="s">
        <v>600</v>
      </c>
      <c r="D15" s="178"/>
      <c r="E15" s="178"/>
      <c r="F15" s="178"/>
      <c r="G15" s="177">
        <v>4</v>
      </c>
      <c r="H15" s="181" t="s">
        <v>380</v>
      </c>
      <c r="I15" s="178"/>
      <c r="J15" s="178"/>
      <c r="K15" s="178"/>
      <c r="L15" s="174"/>
      <c r="M15" s="174"/>
      <c r="N15" s="174"/>
      <c r="O15" s="174"/>
      <c r="P15" s="174"/>
      <c r="Q15" s="98" t="s">
        <v>182</v>
      </c>
      <c r="R15" s="13" t="s">
        <v>1</v>
      </c>
      <c r="T15" s="124" t="s">
        <v>165</v>
      </c>
    </row>
    <row r="16" spans="1:22" ht="14.4" x14ac:dyDescent="0.3">
      <c r="B16" s="177">
        <v>5</v>
      </c>
      <c r="C16" s="181" t="s">
        <v>267</v>
      </c>
      <c r="D16" s="178"/>
      <c r="E16" s="178"/>
      <c r="F16" s="178"/>
      <c r="G16" s="177">
        <v>5</v>
      </c>
      <c r="H16" s="181" t="s">
        <v>377</v>
      </c>
      <c r="I16" s="178"/>
      <c r="J16" s="178"/>
      <c r="K16" s="178"/>
      <c r="L16" s="174"/>
      <c r="M16" s="174"/>
      <c r="N16" s="174"/>
      <c r="O16" s="174"/>
      <c r="P16" s="174"/>
      <c r="Q16" s="183"/>
    </row>
    <row r="17" spans="1:27" ht="14.4" x14ac:dyDescent="0.3">
      <c r="B17" s="177">
        <v>6</v>
      </c>
      <c r="C17" s="181" t="s">
        <v>380</v>
      </c>
      <c r="D17" s="178"/>
      <c r="E17" s="178"/>
      <c r="F17" s="178"/>
      <c r="G17" s="178"/>
      <c r="H17" s="182"/>
      <c r="I17" s="178"/>
      <c r="J17" s="178"/>
      <c r="K17" s="178"/>
      <c r="L17" s="174"/>
      <c r="M17" s="174"/>
      <c r="N17" s="174"/>
      <c r="O17" s="174"/>
      <c r="P17" s="174"/>
      <c r="Q17" s="98" t="s">
        <v>182</v>
      </c>
      <c r="R17" s="171" t="s">
        <v>613</v>
      </c>
      <c r="S17" s="119"/>
      <c r="T17" s="119"/>
      <c r="U17" s="119"/>
      <c r="V17" s="119"/>
      <c r="W17" s="119"/>
      <c r="X17" s="119"/>
      <c r="Y17" s="119"/>
      <c r="Z17" s="119"/>
      <c r="AA17" s="119"/>
    </row>
    <row r="18" spans="1:27" ht="14.4" x14ac:dyDescent="0.3">
      <c r="B18" s="177">
        <v>7</v>
      </c>
      <c r="C18" s="181" t="s">
        <v>377</v>
      </c>
      <c r="D18" s="178"/>
      <c r="E18" s="178"/>
      <c r="F18" s="178"/>
      <c r="G18" s="178"/>
      <c r="H18" s="178"/>
      <c r="I18" s="178"/>
      <c r="J18" s="178"/>
      <c r="K18" s="178"/>
      <c r="L18" s="174"/>
      <c r="M18" s="174"/>
      <c r="N18" s="174"/>
      <c r="O18" s="174"/>
      <c r="P18" s="174"/>
    </row>
    <row r="19" spans="1:27" ht="14.4" x14ac:dyDescent="0.3">
      <c r="C19" s="3"/>
      <c r="L19" s="100"/>
      <c r="M19" s="100"/>
      <c r="N19" s="100"/>
      <c r="O19" s="100"/>
      <c r="P19" s="100"/>
    </row>
    <row r="20" spans="1:27" ht="14.4" x14ac:dyDescent="0.3">
      <c r="A20" s="1" t="s">
        <v>15</v>
      </c>
      <c r="B20" s="1"/>
      <c r="C20" s="1"/>
      <c r="D20" s="1"/>
      <c r="E20" s="1"/>
      <c r="J20" s="100"/>
      <c r="K20" s="100"/>
      <c r="L20" s="100"/>
      <c r="M20" s="100"/>
      <c r="N20" s="100"/>
      <c r="O20" s="100"/>
      <c r="P20" s="100"/>
      <c r="R20" s="135" t="s">
        <v>152</v>
      </c>
      <c r="S20" s="1"/>
      <c r="T20" s="1"/>
      <c r="U20" s="1"/>
      <c r="V20" s="1"/>
    </row>
    <row r="21" spans="1:27" ht="15" customHeight="1" x14ac:dyDescent="0.3">
      <c r="L21" s="100"/>
      <c r="M21" s="100"/>
      <c r="N21" s="100"/>
      <c r="O21" s="100"/>
      <c r="P21" s="100"/>
    </row>
    <row r="22" spans="1:27" ht="14.4" x14ac:dyDescent="0.3">
      <c r="B22" s="178"/>
      <c r="C22" s="179" t="s">
        <v>183</v>
      </c>
      <c r="D22" s="180"/>
      <c r="E22" s="180"/>
      <c r="F22" s="180"/>
      <c r="G22" s="180"/>
      <c r="H22" s="179" t="s">
        <v>184</v>
      </c>
      <c r="I22" s="180"/>
      <c r="J22" s="180"/>
      <c r="K22" s="180"/>
      <c r="L22" s="172"/>
      <c r="M22" s="173" t="s">
        <v>14</v>
      </c>
      <c r="N22" s="174"/>
      <c r="O22" s="174"/>
      <c r="P22" s="174"/>
    </row>
    <row r="23" spans="1:27" ht="15" customHeight="1" x14ac:dyDescent="0.3">
      <c r="B23" s="178"/>
      <c r="C23" s="178"/>
      <c r="D23" s="178"/>
      <c r="E23" s="178"/>
      <c r="F23" s="178"/>
      <c r="G23" s="178"/>
      <c r="H23" s="178"/>
      <c r="I23" s="178"/>
      <c r="J23" s="178"/>
      <c r="K23" s="178"/>
      <c r="L23" s="174"/>
      <c r="M23" s="174"/>
      <c r="N23" s="174"/>
      <c r="O23" s="174"/>
      <c r="P23" s="174"/>
    </row>
    <row r="24" spans="1:27" ht="14.4" x14ac:dyDescent="0.3">
      <c r="B24" s="177">
        <v>1</v>
      </c>
      <c r="C24" s="826" t="s">
        <v>16</v>
      </c>
      <c r="D24" s="822"/>
      <c r="E24" s="822"/>
      <c r="F24" s="822"/>
      <c r="G24" s="177">
        <v>1</v>
      </c>
      <c r="H24" s="821" t="s">
        <v>17</v>
      </c>
      <c r="I24" s="822"/>
      <c r="J24" s="822"/>
      <c r="K24" s="822"/>
      <c r="L24" s="175">
        <v>1</v>
      </c>
      <c r="M24" s="828" t="s">
        <v>135</v>
      </c>
      <c r="N24" s="828"/>
      <c r="O24" s="828"/>
      <c r="P24" s="828"/>
    </row>
    <row r="25" spans="1:27" ht="15" customHeight="1" x14ac:dyDescent="0.3">
      <c r="B25" s="178"/>
      <c r="C25" s="822"/>
      <c r="D25" s="822"/>
      <c r="E25" s="822"/>
      <c r="F25" s="822"/>
      <c r="G25" s="178"/>
      <c r="H25" s="822"/>
      <c r="I25" s="822"/>
      <c r="J25" s="822"/>
      <c r="K25" s="822"/>
      <c r="L25" s="175"/>
      <c r="M25" s="828"/>
      <c r="N25" s="828"/>
      <c r="O25" s="828"/>
      <c r="P25" s="828"/>
    </row>
    <row r="26" spans="1:27" ht="14.55" customHeight="1" x14ac:dyDescent="0.3">
      <c r="B26" s="177">
        <v>2</v>
      </c>
      <c r="C26" s="821" t="s">
        <v>18</v>
      </c>
      <c r="D26" s="822"/>
      <c r="E26" s="822"/>
      <c r="F26" s="822"/>
      <c r="G26" s="177">
        <v>2</v>
      </c>
      <c r="H26" s="827" t="s">
        <v>137</v>
      </c>
      <c r="I26" s="827"/>
      <c r="J26" s="827"/>
      <c r="K26" s="827"/>
      <c r="L26" s="174"/>
      <c r="M26" s="174"/>
      <c r="N26" s="174"/>
      <c r="O26" s="174"/>
      <c r="P26" s="174"/>
    </row>
    <row r="27" spans="1:27" ht="15" customHeight="1" x14ac:dyDescent="0.3">
      <c r="B27" s="178"/>
      <c r="C27" s="822"/>
      <c r="D27" s="822"/>
      <c r="E27" s="822"/>
      <c r="F27" s="822"/>
      <c r="G27" s="178"/>
      <c r="H27" s="827"/>
      <c r="I27" s="827"/>
      <c r="J27" s="827"/>
      <c r="K27" s="827"/>
      <c r="L27" s="174"/>
      <c r="M27" s="174"/>
      <c r="N27" s="174"/>
      <c r="O27" s="174"/>
      <c r="P27" s="174"/>
    </row>
    <row r="28" spans="1:27" ht="15" customHeight="1" x14ac:dyDescent="0.3">
      <c r="B28" s="177">
        <v>3</v>
      </c>
      <c r="C28" s="827" t="s">
        <v>137</v>
      </c>
      <c r="D28" s="827"/>
      <c r="E28" s="827"/>
      <c r="F28" s="827"/>
      <c r="G28" s="178"/>
      <c r="H28" s="827"/>
      <c r="I28" s="827"/>
      <c r="J28" s="827"/>
      <c r="K28" s="827"/>
      <c r="L28" s="174"/>
      <c r="M28" s="174"/>
      <c r="N28" s="174"/>
      <c r="O28" s="174"/>
      <c r="P28" s="174"/>
    </row>
    <row r="29" spans="1:27" ht="15" customHeight="1" x14ac:dyDescent="0.3">
      <c r="B29" s="178"/>
      <c r="C29" s="827"/>
      <c r="D29" s="827"/>
      <c r="E29" s="827"/>
      <c r="F29" s="827"/>
      <c r="G29" s="178"/>
      <c r="H29" s="827"/>
      <c r="I29" s="827"/>
      <c r="J29" s="827"/>
      <c r="K29" s="827"/>
      <c r="L29" s="174"/>
      <c r="M29" s="174"/>
      <c r="N29" s="174"/>
      <c r="O29" s="174"/>
      <c r="P29" s="174"/>
    </row>
    <row r="30" spans="1:27" ht="15" customHeight="1" x14ac:dyDescent="0.3">
      <c r="B30" s="178"/>
      <c r="C30" s="827"/>
      <c r="D30" s="827"/>
      <c r="E30" s="827"/>
      <c r="F30" s="827"/>
      <c r="G30" s="178"/>
      <c r="H30" s="827"/>
      <c r="I30" s="827"/>
      <c r="J30" s="827"/>
      <c r="K30" s="827"/>
      <c r="L30" s="174"/>
      <c r="M30" s="174"/>
      <c r="N30" s="174"/>
      <c r="O30" s="174"/>
      <c r="P30" s="174"/>
    </row>
    <row r="31" spans="1:27" ht="15" customHeight="1" x14ac:dyDescent="0.3">
      <c r="B31" s="178"/>
      <c r="C31" s="827"/>
      <c r="D31" s="827"/>
      <c r="E31" s="827"/>
      <c r="F31" s="827"/>
      <c r="G31" s="178"/>
      <c r="H31" s="814"/>
      <c r="I31" s="814"/>
      <c r="J31" s="814"/>
      <c r="K31" s="814"/>
      <c r="L31" s="174"/>
      <c r="M31" s="174"/>
      <c r="N31" s="174"/>
      <c r="O31" s="174"/>
      <c r="P31" s="174"/>
    </row>
    <row r="32" spans="1:27" ht="15" customHeight="1" x14ac:dyDescent="0.3">
      <c r="B32" s="177">
        <v>4</v>
      </c>
      <c r="C32" s="813" t="s">
        <v>618</v>
      </c>
      <c r="D32" s="813"/>
      <c r="E32" s="813"/>
      <c r="F32" s="813"/>
      <c r="G32" s="443"/>
      <c r="H32" s="814"/>
      <c r="I32" s="814"/>
      <c r="J32" s="814"/>
      <c r="K32" s="814"/>
      <c r="L32" s="174"/>
      <c r="M32" s="174"/>
      <c r="N32" s="174"/>
      <c r="O32" s="174"/>
      <c r="P32" s="174"/>
      <c r="Q32" s="100"/>
      <c r="R32" s="100"/>
    </row>
    <row r="33" spans="2:16" ht="15" customHeight="1" x14ac:dyDescent="0.3">
      <c r="B33" s="177"/>
      <c r="C33" s="813"/>
      <c r="D33" s="813"/>
      <c r="E33" s="813"/>
      <c r="F33" s="813"/>
      <c r="G33" s="443"/>
      <c r="H33" s="814"/>
      <c r="I33" s="814"/>
      <c r="J33" s="814"/>
      <c r="K33" s="814"/>
      <c r="L33" s="174"/>
      <c r="M33" s="174"/>
      <c r="N33" s="174"/>
      <c r="O33" s="174"/>
      <c r="P33" s="174"/>
    </row>
    <row r="34" spans="2:16" ht="15" customHeight="1" x14ac:dyDescent="0.3">
      <c r="B34" s="177"/>
      <c r="C34" s="813"/>
      <c r="D34" s="813"/>
      <c r="E34" s="813"/>
      <c r="F34" s="813"/>
      <c r="G34" s="443"/>
      <c r="H34" s="814"/>
      <c r="I34" s="814"/>
      <c r="J34" s="814"/>
      <c r="K34" s="814"/>
      <c r="L34" s="174"/>
      <c r="M34" s="174"/>
      <c r="N34" s="174"/>
      <c r="O34" s="174"/>
      <c r="P34" s="174"/>
    </row>
    <row r="35" spans="2:16" ht="15" customHeight="1" x14ac:dyDescent="0.3">
      <c r="B35" s="177"/>
      <c r="C35" s="813"/>
      <c r="D35" s="813"/>
      <c r="E35" s="813"/>
      <c r="F35" s="813"/>
      <c r="G35" s="443"/>
      <c r="H35" s="443"/>
      <c r="I35" s="443"/>
      <c r="J35" s="443"/>
      <c r="K35" s="443"/>
      <c r="L35" s="174"/>
      <c r="M35" s="174"/>
      <c r="N35" s="174"/>
      <c r="O35" s="174"/>
      <c r="P35" s="174"/>
    </row>
  </sheetData>
  <sortState ref="R3:R15">
    <sortCondition ref="R3"/>
  </sortState>
  <mergeCells count="11">
    <mergeCell ref="C32:F35"/>
    <mergeCell ref="H31:K34"/>
    <mergeCell ref="N1:P2"/>
    <mergeCell ref="C26:F27"/>
    <mergeCell ref="H24:K25"/>
    <mergeCell ref="B3:M4"/>
    <mergeCell ref="C24:F25"/>
    <mergeCell ref="H26:K30"/>
    <mergeCell ref="M24:P25"/>
    <mergeCell ref="C28:F31"/>
    <mergeCell ref="B5:M7"/>
  </mergeCells>
  <hyperlinks>
    <hyperlink ref="N1:P2" location="'Table of Contents'!A1" display="Back to Table of Contents" xr:uid="{56FEC7CA-3B04-47A9-998E-2B702D5821BD}"/>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59999389629810485"/>
  </sheetPr>
  <dimension ref="A1:AI176"/>
  <sheetViews>
    <sheetView zoomScale="85" zoomScaleNormal="85" workbookViewId="0">
      <selection activeCell="N10" sqref="N10"/>
    </sheetView>
  </sheetViews>
  <sheetFormatPr defaultColWidth="15.21875" defaultRowHeight="15" customHeight="1" x14ac:dyDescent="0.3"/>
  <cols>
    <col min="1" max="1" width="2.21875" customWidth="1"/>
    <col min="2" max="2" width="10.21875" customWidth="1"/>
    <col min="3" max="3" width="11.21875" customWidth="1"/>
    <col min="4" max="4" width="0.33203125" customWidth="1"/>
    <col min="5" max="6" width="14.33203125" style="245" customWidth="1"/>
    <col min="7" max="7" width="0.44140625" customWidth="1"/>
    <col min="8" max="8" width="11.21875" customWidth="1"/>
    <col min="9" max="9" width="10.5546875" customWidth="1"/>
    <col min="10" max="10" width="0.44140625" customWidth="1"/>
    <col min="11" max="11" width="12.77734375" customWidth="1"/>
    <col min="12" max="12" width="11.33203125" customWidth="1"/>
    <col min="13" max="13" width="2.44140625" style="254" customWidth="1"/>
    <col min="14" max="14" width="10.44140625" style="260" bestFit="1" customWidth="1"/>
    <col min="15" max="15" width="2.44140625" style="254" customWidth="1"/>
    <col min="16" max="16" width="10.88671875" style="249" customWidth="1"/>
    <col min="17" max="17" width="2.44140625" customWidth="1"/>
    <col min="18" max="18" width="10.88671875" customWidth="1"/>
    <col min="19" max="19" width="11" customWidth="1"/>
    <col min="20" max="20" width="2.44140625" customWidth="1"/>
    <col min="21" max="21" width="10.88671875" customWidth="1"/>
    <col min="22" max="22" width="11" customWidth="1"/>
    <col min="23" max="23" width="2.44140625" customWidth="1"/>
    <col min="24" max="24" width="15" customWidth="1"/>
    <col min="25" max="25" width="6.5546875" customWidth="1"/>
    <col min="26" max="26" width="2.44140625" customWidth="1"/>
    <col min="27" max="27" width="16.77734375" customWidth="1"/>
    <col min="28" max="28" width="6.5546875" customWidth="1"/>
    <col min="29" max="29" width="2.44140625" style="249" customWidth="1"/>
    <col min="30" max="30" width="10.88671875" customWidth="1"/>
    <col min="31" max="34" width="7.5546875" customWidth="1"/>
  </cols>
  <sheetData>
    <row r="1" spans="1:35" s="184" customFormat="1" ht="15" customHeight="1" x14ac:dyDescent="0.4">
      <c r="A1" s="115" t="s">
        <v>19</v>
      </c>
      <c r="B1" s="116"/>
      <c r="C1" s="116"/>
      <c r="D1" s="116"/>
      <c r="E1" s="116"/>
      <c r="F1" s="249"/>
      <c r="G1" s="249"/>
      <c r="H1" s="249"/>
      <c r="I1" s="249"/>
      <c r="J1" s="249"/>
      <c r="K1" s="249"/>
      <c r="M1" s="254"/>
      <c r="N1" s="260"/>
      <c r="O1" s="254"/>
      <c r="P1" s="249"/>
      <c r="Z1" s="811" t="s">
        <v>731</v>
      </c>
      <c r="AA1" s="811"/>
      <c r="AB1" s="811"/>
      <c r="AC1" s="249"/>
      <c r="AD1" s="815" t="s">
        <v>467</v>
      </c>
      <c r="AE1" s="816"/>
      <c r="AF1" s="817"/>
    </row>
    <row r="2" spans="1:35" s="184" customFormat="1" ht="27" customHeight="1" thickBot="1" x14ac:dyDescent="0.35">
      <c r="B2" s="833" t="s">
        <v>269</v>
      </c>
      <c r="C2" s="833"/>
      <c r="D2" s="833"/>
      <c r="E2" s="833"/>
      <c r="F2" s="833"/>
      <c r="G2" s="833"/>
      <c r="H2" s="833"/>
      <c r="I2" s="833"/>
      <c r="J2" s="833"/>
      <c r="K2" s="833"/>
      <c r="L2" s="833"/>
      <c r="M2" s="254"/>
      <c r="N2" s="260"/>
      <c r="O2" s="254"/>
      <c r="P2" s="834" t="s">
        <v>274</v>
      </c>
      <c r="Q2" s="835"/>
      <c r="R2" s="835"/>
      <c r="S2" s="835"/>
      <c r="T2" s="835"/>
      <c r="U2" s="836"/>
      <c r="Y2" s="98" t="s">
        <v>263</v>
      </c>
      <c r="AA2" s="515">
        <f>'Modeshare URBAN'!$G$80</f>
        <v>0.14513944480504376</v>
      </c>
      <c r="AB2" s="124" t="s">
        <v>497</v>
      </c>
      <c r="AC2" s="249"/>
      <c r="AD2" s="818"/>
      <c r="AE2" s="819"/>
      <c r="AF2" s="820"/>
    </row>
    <row r="3" spans="1:35" s="184" customFormat="1" ht="27" customHeight="1" x14ac:dyDescent="0.3">
      <c r="B3" s="833"/>
      <c r="C3" s="833"/>
      <c r="D3" s="833"/>
      <c r="E3" s="833"/>
      <c r="F3" s="833"/>
      <c r="G3" s="833"/>
      <c r="H3" s="833"/>
      <c r="I3" s="833"/>
      <c r="J3" s="833"/>
      <c r="K3" s="833"/>
      <c r="L3" s="833"/>
      <c r="M3" s="254"/>
      <c r="N3" s="260"/>
      <c r="O3" s="254"/>
      <c r="P3" s="11" t="s">
        <v>267</v>
      </c>
      <c r="R3" s="11" t="s">
        <v>260</v>
      </c>
      <c r="S3" s="249"/>
      <c r="T3" s="14"/>
      <c r="U3" s="11" t="s">
        <v>261</v>
      </c>
      <c r="Y3" s="98" t="s">
        <v>264</v>
      </c>
      <c r="Z3" s="245"/>
      <c r="AA3" s="515">
        <f>'Modeshare NONURBAN'!$G$57</f>
        <v>0.10501656604675022</v>
      </c>
      <c r="AB3" s="124" t="s">
        <v>498</v>
      </c>
      <c r="AC3" s="249"/>
    </row>
    <row r="4" spans="1:35" ht="15.75" customHeight="1" x14ac:dyDescent="0.3">
      <c r="B4" s="833"/>
      <c r="C4" s="833"/>
      <c r="D4" s="833"/>
      <c r="E4" s="833"/>
      <c r="F4" s="833"/>
      <c r="G4" s="833"/>
      <c r="H4" s="833"/>
      <c r="I4" s="833"/>
      <c r="J4" s="833"/>
      <c r="K4" s="833"/>
      <c r="L4" s="833"/>
      <c r="M4" s="255"/>
      <c r="O4" s="255" t="s">
        <v>132</v>
      </c>
      <c r="P4" s="92" t="s">
        <v>131</v>
      </c>
      <c r="Q4" s="615"/>
      <c r="R4" s="92" t="s">
        <v>131</v>
      </c>
      <c r="S4" s="615"/>
      <c r="T4" s="5"/>
      <c r="U4" s="92" t="s">
        <v>131</v>
      </c>
      <c r="W4" s="2"/>
      <c r="X4" s="2"/>
      <c r="Y4" s="98" t="s">
        <v>262</v>
      </c>
      <c r="Z4" s="245"/>
      <c r="AA4" s="515">
        <f>'Modeshare NONURBAN'!$G$55</f>
        <v>0.28167749278597232</v>
      </c>
      <c r="AB4" s="124" t="s">
        <v>498</v>
      </c>
    </row>
    <row r="5" spans="1:35" s="95" customFormat="1" ht="15.75" customHeight="1" x14ac:dyDescent="0.3">
      <c r="A5" s="4"/>
      <c r="B5" s="833"/>
      <c r="C5" s="833"/>
      <c r="D5" s="833"/>
      <c r="E5" s="833"/>
      <c r="F5" s="833"/>
      <c r="G5" s="833"/>
      <c r="H5" s="833"/>
      <c r="I5" s="833"/>
      <c r="J5" s="833"/>
      <c r="K5" s="833"/>
      <c r="L5" s="833"/>
      <c r="M5" s="255"/>
      <c r="N5" s="260"/>
      <c r="O5" s="255" t="s">
        <v>133</v>
      </c>
      <c r="P5" s="5"/>
      <c r="Q5" s="615"/>
      <c r="R5" s="92" t="s">
        <v>131</v>
      </c>
      <c r="S5" s="615"/>
      <c r="T5" s="5"/>
      <c r="U5" s="92" t="s">
        <v>131</v>
      </c>
      <c r="W5" s="5"/>
      <c r="X5" s="5"/>
      <c r="Y5" s="98" t="s">
        <v>265</v>
      </c>
      <c r="Z5" s="245"/>
      <c r="AA5" s="515">
        <f>'Modeshare NONURBAN'!$G$58</f>
        <v>0.21376679686241851</v>
      </c>
      <c r="AB5" s="124" t="s">
        <v>498</v>
      </c>
      <c r="AC5" s="249"/>
    </row>
    <row r="6" spans="1:35" ht="18.75" customHeight="1" x14ac:dyDescent="0.35">
      <c r="A6" s="4"/>
      <c r="B6" s="6" t="s">
        <v>128</v>
      </c>
      <c r="C6" s="2"/>
      <c r="D6" s="2"/>
      <c r="E6" s="5"/>
      <c r="F6" s="249"/>
      <c r="G6" s="5"/>
      <c r="H6" s="2"/>
      <c r="I6" s="2"/>
      <c r="J6" s="5"/>
      <c r="K6" s="2"/>
      <c r="L6" s="2"/>
      <c r="Q6" s="99"/>
      <c r="R6" s="99"/>
      <c r="T6" s="99"/>
      <c r="U6" s="99"/>
      <c r="W6" s="2"/>
      <c r="X6" s="7" t="s">
        <v>20</v>
      </c>
      <c r="Y6" s="2"/>
      <c r="Z6" s="2"/>
      <c r="AA6" s="7" t="s">
        <v>20</v>
      </c>
      <c r="AB6" s="2"/>
      <c r="AC6" s="5"/>
    </row>
    <row r="7" spans="1:35" ht="60" customHeight="1" x14ac:dyDescent="0.3">
      <c r="A7" s="8"/>
      <c r="B7" s="12" t="s">
        <v>21</v>
      </c>
      <c r="C7" s="10" t="s">
        <v>22</v>
      </c>
      <c r="D7" s="5"/>
      <c r="E7" s="12" t="s">
        <v>272</v>
      </c>
      <c r="F7" s="10" t="s">
        <v>273</v>
      </c>
      <c r="G7" s="11"/>
      <c r="H7" s="12" t="s">
        <v>744</v>
      </c>
      <c r="I7" s="10" t="s">
        <v>270</v>
      </c>
      <c r="J7" s="11"/>
      <c r="K7" s="12" t="s">
        <v>745</v>
      </c>
      <c r="L7" s="10" t="s">
        <v>271</v>
      </c>
      <c r="M7" s="256"/>
      <c r="O7" s="256" t="s">
        <v>54</v>
      </c>
      <c r="P7" s="11" t="s">
        <v>307</v>
      </c>
      <c r="Q7" s="14" t="s">
        <v>25</v>
      </c>
      <c r="R7" s="11" t="s">
        <v>380</v>
      </c>
      <c r="S7" s="9" t="s">
        <v>23</v>
      </c>
      <c r="T7" s="14" t="s">
        <v>26</v>
      </c>
      <c r="U7" s="11" t="s">
        <v>261</v>
      </c>
      <c r="V7" s="9" t="s">
        <v>24</v>
      </c>
      <c r="W7" s="14"/>
      <c r="X7" s="15" t="str">
        <f>R7</f>
        <v>Electric Cars</v>
      </c>
      <c r="Y7" s="11" t="s">
        <v>27</v>
      </c>
      <c r="Z7" s="14"/>
      <c r="AA7" s="15" t="str">
        <f>U7</f>
        <v>Hybrids</v>
      </c>
      <c r="AB7" s="11" t="s">
        <v>27</v>
      </c>
      <c r="AC7" s="14"/>
    </row>
    <row r="8" spans="1:35" ht="52.8" customHeight="1" x14ac:dyDescent="0.3">
      <c r="A8" s="16"/>
      <c r="B8" s="68" t="s">
        <v>28</v>
      </c>
      <c r="C8" s="17"/>
      <c r="D8" s="5"/>
      <c r="E8" s="749" t="s">
        <v>734</v>
      </c>
      <c r="F8" s="749" t="s">
        <v>735</v>
      </c>
      <c r="G8" s="17"/>
      <c r="H8" s="749" t="s">
        <v>736</v>
      </c>
      <c r="J8" s="17"/>
      <c r="K8" s="749" t="s">
        <v>736</v>
      </c>
      <c r="L8" s="17"/>
      <c r="M8" s="257"/>
      <c r="N8" s="122" t="s">
        <v>276</v>
      </c>
      <c r="O8" s="257"/>
      <c r="P8" s="263" t="s">
        <v>785</v>
      </c>
      <c r="Q8" s="17"/>
      <c r="R8" s="263" t="s">
        <v>787</v>
      </c>
      <c r="S8" s="18">
        <v>1</v>
      </c>
      <c r="T8" s="17"/>
      <c r="U8" s="263" t="s">
        <v>790</v>
      </c>
      <c r="V8" s="18">
        <v>0.5</v>
      </c>
      <c r="W8" s="17"/>
      <c r="X8" s="264" t="str">
        <f>R8</f>
        <v>PDS1-20p2050-LRate at 11%</v>
      </c>
      <c r="Y8" s="17" t="s">
        <v>30</v>
      </c>
      <c r="Z8" s="17"/>
      <c r="AA8" s="264" t="str">
        <f>U8</f>
        <v>PDS1-8p2050-Oct21ComDat</v>
      </c>
      <c r="AB8" s="17" t="s">
        <v>30</v>
      </c>
      <c r="AC8" s="17"/>
      <c r="AD8" s="5"/>
      <c r="AE8" s="5"/>
      <c r="AF8" s="5"/>
      <c r="AG8" s="99"/>
      <c r="AH8" s="99"/>
    </row>
    <row r="9" spans="1:35" ht="14.4" x14ac:dyDescent="0.3">
      <c r="A9" s="831"/>
      <c r="B9" s="19">
        <f>'Urban Pass Adoption'!B8</f>
        <v>26173.156853942612</v>
      </c>
      <c r="C9" s="19">
        <f>'Nonurban Pass Adoption'!B8</f>
        <v>23943.64423576602</v>
      </c>
      <c r="D9" s="2"/>
      <c r="E9" s="19">
        <f>B9*(1-'Urban Pass Adoption'!H8-'Urban Pass Adoption'!K8-'Urban Pass Adoption'!N8-'Urban Pass Adoption'!Q8-$AA$2)</f>
        <v>22374.399399366055</v>
      </c>
      <c r="F9" s="19">
        <f>C9*(1-'Nonurban Pass Adoption'!H8-'Nonurban Pass Adoption'!K8-$AA$3-$AA$4-MAX($AA$5,'Nonurban Pass Adoption'!$N8))</f>
        <v>9566.4231294979236</v>
      </c>
      <c r="G9" s="20"/>
      <c r="H9" s="19">
        <f>E9-MAX(IF($P$4="Include",P9,0),SUM(IF($R$4="Include",R9*S9,0)+IF($U$4="Include",U9*V9,0)))</f>
        <v>22374.399399366055</v>
      </c>
      <c r="I9" s="21">
        <f>H9/E9</f>
        <v>1</v>
      </c>
      <c r="J9" s="22"/>
      <c r="K9" s="19">
        <f>F9-SUM(IF($R$5="Include",R9*(1-S9),0),IF($U$5="Include",U9*(1-V9),0))</f>
        <v>9566.4231294979236</v>
      </c>
      <c r="L9" s="21">
        <f>K9/F9</f>
        <v>1</v>
      </c>
      <c r="M9" s="257"/>
      <c r="N9" s="14">
        <v>2012</v>
      </c>
      <c r="O9" s="257"/>
      <c r="P9" s="25"/>
      <c r="Q9" s="24"/>
      <c r="R9" s="25"/>
      <c r="S9" s="23">
        <f t="shared" ref="S9" si="0">S8</f>
        <v>1</v>
      </c>
      <c r="T9" s="24"/>
      <c r="U9" s="25"/>
      <c r="V9" s="23">
        <f t="shared" ref="V9:V40" si="1">V8</f>
        <v>0.5</v>
      </c>
      <c r="W9" s="24"/>
      <c r="X9" s="252">
        <f t="shared" ref="X9:X40" si="2">R9*S9</f>
        <v>0</v>
      </c>
      <c r="Y9" s="253">
        <f t="shared" ref="Y9:Y57" si="3">X9/$B9</f>
        <v>0</v>
      </c>
      <c r="Z9" s="24"/>
      <c r="AA9" s="252">
        <f t="shared" ref="AA9:AA40" si="4">U9*V9</f>
        <v>0</v>
      </c>
      <c r="AB9" s="253">
        <f t="shared" ref="AB9:AB57" si="5">AA9/$B9</f>
        <v>0</v>
      </c>
      <c r="AC9" s="24"/>
      <c r="AG9" s="99"/>
      <c r="AH9" s="99"/>
    </row>
    <row r="10" spans="1:35" ht="14.4" x14ac:dyDescent="0.3">
      <c r="A10" s="832"/>
      <c r="B10" s="19">
        <f>'Urban Pass Adoption'!B9</f>
        <v>27210.974694761313</v>
      </c>
      <c r="C10" s="19">
        <f>'Nonurban Pass Adoption'!B9</f>
        <v>24762.810564240011</v>
      </c>
      <c r="D10" s="2"/>
      <c r="E10" s="19">
        <f>B10*(1-'Urban Pass Adoption'!H9-'Urban Pass Adoption'!K9-'Urban Pass Adoption'!N9-'Urban Pass Adoption'!Q9-$AA$2)</f>
        <v>23261.58893495956</v>
      </c>
      <c r="F10" s="19">
        <f>C10*(1-'Nonurban Pass Adoption'!H9-'Nonurban Pass Adoption'!K9-$AA$3-$AA$4-MAX($AA$5,'Nonurban Pass Adoption'!$N9))</f>
        <v>9893.7121434197743</v>
      </c>
      <c r="G10" s="20"/>
      <c r="H10" s="19">
        <f t="shared" ref="H10:H57" si="6">E10-MAX(IF($P$4="Include",P10,0),SUM(IF($R$4="Include",R10*S10,0)+IF($U$4="Include",U10*V10,0)))</f>
        <v>23261.58893495956</v>
      </c>
      <c r="I10" s="21">
        <f t="shared" ref="I10:I57" si="7">H10/E10</f>
        <v>1</v>
      </c>
      <c r="J10" s="22"/>
      <c r="K10" s="19">
        <f t="shared" ref="K10:K57" si="8">F10-SUM(IF($R$5="Include",R10*(1-S10),0),IF($U$5="Include",U10*(1-V10),0))</f>
        <v>9893.7121434197743</v>
      </c>
      <c r="L10" s="21">
        <f t="shared" ref="L10:L57" si="9">K10/F10</f>
        <v>1</v>
      </c>
      <c r="M10" s="257"/>
      <c r="N10" s="14">
        <v>2013</v>
      </c>
      <c r="O10" s="257"/>
      <c r="P10" s="25"/>
      <c r="Q10" s="24"/>
      <c r="R10" s="25"/>
      <c r="S10" s="23">
        <f t="shared" ref="S10" si="10">S9</f>
        <v>1</v>
      </c>
      <c r="T10" s="24"/>
      <c r="U10" s="25"/>
      <c r="V10" s="23">
        <f t="shared" si="1"/>
        <v>0.5</v>
      </c>
      <c r="W10" s="24"/>
      <c r="X10" s="252">
        <f t="shared" si="2"/>
        <v>0</v>
      </c>
      <c r="Y10" s="253">
        <f t="shared" si="3"/>
        <v>0</v>
      </c>
      <c r="Z10" s="24"/>
      <c r="AA10" s="252">
        <f t="shared" si="4"/>
        <v>0</v>
      </c>
      <c r="AB10" s="253">
        <f t="shared" si="5"/>
        <v>0</v>
      </c>
      <c r="AC10" s="24"/>
      <c r="AG10" s="99"/>
      <c r="AH10" s="99"/>
    </row>
    <row r="11" spans="1:35" ht="14.4" x14ac:dyDescent="0.3">
      <c r="A11" s="30"/>
      <c r="B11" s="19">
        <f>'Urban Pass Adoption'!B10</f>
        <v>28440.833819984502</v>
      </c>
      <c r="C11" s="19">
        <f>'Nonurban Pass Adoption'!B10</f>
        <v>25792.286681443104</v>
      </c>
      <c r="D11" s="30"/>
      <c r="E11" s="19">
        <f>B11*(1-'Urban Pass Adoption'!H10-'Urban Pass Adoption'!K10-'Urban Pass Adoption'!N10-'Urban Pass Adoption'!Q10-$AA$2)</f>
        <v>12627.813321591922</v>
      </c>
      <c r="F11" s="19">
        <f>C11*(1-'Nonurban Pass Adoption'!H10-'Nonurban Pass Adoption'!K10-$AA$3-$AA$4-MAX($AA$5,'Nonurban Pass Adoption'!$N10))</f>
        <v>9594.122833800353</v>
      </c>
      <c r="G11" s="31"/>
      <c r="H11" s="19">
        <f t="shared" si="6"/>
        <v>9486.3958589572358</v>
      </c>
      <c r="I11" s="21">
        <f t="shared" si="7"/>
        <v>0.75123028962874594</v>
      </c>
      <c r="J11" s="32"/>
      <c r="K11" s="19">
        <f t="shared" si="8"/>
        <v>9467.6248565792775</v>
      </c>
      <c r="L11" s="21">
        <f t="shared" si="9"/>
        <v>0.98681505548632131</v>
      </c>
      <c r="M11" s="258"/>
      <c r="N11" s="259">
        <v>2014</v>
      </c>
      <c r="O11" s="258"/>
      <c r="P11" s="35">
        <v>3141.4174626346876</v>
      </c>
      <c r="Q11" s="34"/>
      <c r="R11" s="35">
        <v>116.38899289627807</v>
      </c>
      <c r="S11" s="23">
        <f t="shared" ref="S11" si="11">S10</f>
        <v>1</v>
      </c>
      <c r="T11" s="34"/>
      <c r="U11" s="35">
        <v>252.99595444214927</v>
      </c>
      <c r="V11" s="23">
        <f t="shared" si="1"/>
        <v>0.5</v>
      </c>
      <c r="W11" s="34"/>
      <c r="X11" s="252">
        <f t="shared" si="2"/>
        <v>116.38899289627807</v>
      </c>
      <c r="Y11" s="253">
        <f t="shared" si="3"/>
        <v>4.0923199943067451E-3</v>
      </c>
      <c r="Z11" s="34"/>
      <c r="AA11" s="252">
        <f t="shared" si="4"/>
        <v>126.49797722107463</v>
      </c>
      <c r="AB11" s="253">
        <f t="shared" si="5"/>
        <v>4.4477590924984897E-3</v>
      </c>
      <c r="AC11" s="34"/>
      <c r="AD11" s="810">
        <f t="shared" ref="AD11:AD57" si="12">AE11/10^9</f>
        <v>252.99595444214927</v>
      </c>
      <c r="AE11">
        <v>252995954442.14926</v>
      </c>
      <c r="AG11" s="99"/>
      <c r="AH11" s="99"/>
    </row>
    <row r="12" spans="1:35" ht="14.4" x14ac:dyDescent="0.3">
      <c r="A12" s="2"/>
      <c r="B12" s="19">
        <f>'Urban Pass Adoption'!B11</f>
        <v>29511.157218679546</v>
      </c>
      <c r="C12" s="19">
        <f>'Nonurban Pass Adoption'!B11</f>
        <v>26650.135894561492</v>
      </c>
      <c r="D12" s="2"/>
      <c r="E12" s="19">
        <f>B12*(1-'Urban Pass Adoption'!H11-'Urban Pass Adoption'!K11-'Urban Pass Adoption'!N11-'Urban Pass Adoption'!Q11-$AA$2)</f>
        <v>13436.84044747937</v>
      </c>
      <c r="F12" s="19">
        <f>C12*(1-'Nonurban Pass Adoption'!H11-'Nonurban Pass Adoption'!K11-$AA$3-$AA$4-MAX($AA$5,'Nonurban Pass Adoption'!$N11))</f>
        <v>9796.124294025225</v>
      </c>
      <c r="G12" s="20"/>
      <c r="H12" s="19">
        <f t="shared" si="6"/>
        <v>10199.732342670792</v>
      </c>
      <c r="I12" s="21">
        <f t="shared" si="7"/>
        <v>0.75908710701288185</v>
      </c>
      <c r="J12" s="22"/>
      <c r="K12" s="19">
        <f t="shared" si="8"/>
        <v>9650.3981808846111</v>
      </c>
      <c r="L12" s="21">
        <f t="shared" si="9"/>
        <v>0.98512410533321892</v>
      </c>
      <c r="M12" s="257"/>
      <c r="N12" s="14">
        <v>2015</v>
      </c>
      <c r="O12" s="257"/>
      <c r="P12" s="35">
        <v>3237.1081048085771</v>
      </c>
      <c r="Q12" s="24"/>
      <c r="R12" s="35">
        <v>121.57668884867235</v>
      </c>
      <c r="S12" s="23">
        <f t="shared" ref="S12" si="13">S11</f>
        <v>1</v>
      </c>
      <c r="T12" s="24"/>
      <c r="U12" s="35">
        <v>291.45222628122792</v>
      </c>
      <c r="V12" s="23">
        <f t="shared" si="1"/>
        <v>0.5</v>
      </c>
      <c r="W12" s="24"/>
      <c r="X12" s="252">
        <f t="shared" si="2"/>
        <v>121.57668884867235</v>
      </c>
      <c r="Y12" s="253">
        <f t="shared" si="3"/>
        <v>4.1196855801953602E-3</v>
      </c>
      <c r="Z12" s="24"/>
      <c r="AA12" s="252">
        <f t="shared" si="4"/>
        <v>145.72611314061396</v>
      </c>
      <c r="AB12" s="253">
        <f t="shared" si="5"/>
        <v>4.938000636870124E-3</v>
      </c>
      <c r="AC12" s="24"/>
      <c r="AD12" s="810">
        <f t="shared" si="12"/>
        <v>291.45222628122792</v>
      </c>
      <c r="AE12">
        <v>291452226281.22791</v>
      </c>
      <c r="AG12" s="99"/>
      <c r="AH12" s="99"/>
      <c r="AI12" s="100"/>
    </row>
    <row r="13" spans="1:35" ht="14.4" x14ac:dyDescent="0.3">
      <c r="A13" s="2"/>
      <c r="B13" s="19">
        <f>'Urban Pass Adoption'!B12</f>
        <v>30522.249674036706</v>
      </c>
      <c r="C13" s="19">
        <f>'Nonurban Pass Adoption'!B12</f>
        <v>27523.033303576412</v>
      </c>
      <c r="D13" s="2"/>
      <c r="E13" s="19">
        <f>B13*(1-'Urban Pass Adoption'!H12-'Urban Pass Adoption'!K12-'Urban Pass Adoption'!N12-'Urban Pass Adoption'!Q12-$AA$2)</f>
        <v>14195.233376260261</v>
      </c>
      <c r="F13" s="19">
        <f>C13*(1-'Nonurban Pass Adoption'!H12-'Nonurban Pass Adoption'!K12-$AA$3-$AA$4-MAX($AA$5,'Nonurban Pass Adoption'!$N12))</f>
        <v>10063.443447385715</v>
      </c>
      <c r="G13" s="20"/>
      <c r="H13" s="19">
        <f t="shared" si="6"/>
        <v>10865.187226054102</v>
      </c>
      <c r="I13" s="21">
        <f t="shared" si="7"/>
        <v>0.76541096141643983</v>
      </c>
      <c r="J13" s="22"/>
      <c r="K13" s="19">
        <f t="shared" si="8"/>
        <v>9896.3779812216671</v>
      </c>
      <c r="L13" s="21">
        <f t="shared" si="9"/>
        <v>0.98339877726371605</v>
      </c>
      <c r="M13" s="257"/>
      <c r="N13" s="14">
        <v>2016</v>
      </c>
      <c r="O13" s="257"/>
      <c r="P13" s="35">
        <v>3330.0461502061598</v>
      </c>
      <c r="Q13" s="24"/>
      <c r="R13" s="35">
        <v>126.76438480106481</v>
      </c>
      <c r="S13" s="23">
        <f t="shared" ref="S13" si="14">S12</f>
        <v>1</v>
      </c>
      <c r="T13" s="24"/>
      <c r="U13" s="35">
        <v>334.13093232809371</v>
      </c>
      <c r="V13" s="23">
        <f t="shared" si="1"/>
        <v>0.5</v>
      </c>
      <c r="W13" s="24"/>
      <c r="X13" s="252">
        <f t="shared" si="2"/>
        <v>126.76438480106481</v>
      </c>
      <c r="Y13" s="253">
        <f t="shared" si="3"/>
        <v>4.1531796035629391E-3</v>
      </c>
      <c r="Z13" s="24"/>
      <c r="AA13" s="252">
        <f t="shared" si="4"/>
        <v>167.06546616404685</v>
      </c>
      <c r="AB13" s="253">
        <f t="shared" si="5"/>
        <v>5.4735633168664687E-3</v>
      </c>
      <c r="AC13" s="24"/>
      <c r="AD13" s="810">
        <f t="shared" si="12"/>
        <v>334.13093232809371</v>
      </c>
      <c r="AE13" s="273">
        <v>334130932328.09369</v>
      </c>
      <c r="AG13" s="99"/>
      <c r="AH13" s="99"/>
      <c r="AI13" s="100"/>
    </row>
    <row r="14" spans="1:35" ht="14.4" x14ac:dyDescent="0.3">
      <c r="A14" s="2"/>
      <c r="B14" s="19">
        <f>'Urban Pass Adoption'!B13</f>
        <v>31561.895718661261</v>
      </c>
      <c r="C14" s="19">
        <f>'Nonurban Pass Adoption'!B13</f>
        <v>28411.259149408132</v>
      </c>
      <c r="D14" s="2"/>
      <c r="E14" s="19">
        <f>B14*(1-'Urban Pass Adoption'!H13-'Urban Pass Adoption'!K13-'Urban Pass Adoption'!N13-'Urban Pass Adoption'!Q13-$AA$2)</f>
        <v>14978.035642215102</v>
      </c>
      <c r="F14" s="19">
        <f>C14*(1-'Nonurban Pass Adoption'!H13-'Nonurban Pass Adoption'!K13-$AA$3-$AA$4-MAX($AA$5,'Nonurban Pass Adoption'!$N13))</f>
        <v>10340.664435857641</v>
      </c>
      <c r="G14" s="20"/>
      <c r="H14" s="19">
        <f t="shared" si="6"/>
        <v>11555.301818836524</v>
      </c>
      <c r="I14" s="21">
        <f t="shared" si="7"/>
        <v>0.77148313002195601</v>
      </c>
      <c r="J14" s="22"/>
      <c r="K14" s="19">
        <f t="shared" si="8"/>
        <v>10150.227107067609</v>
      </c>
      <c r="L14" s="21">
        <f t="shared" si="9"/>
        <v>0.98158364677905363</v>
      </c>
      <c r="M14" s="257"/>
      <c r="N14" s="14">
        <v>2017</v>
      </c>
      <c r="O14" s="257"/>
      <c r="P14" s="35">
        <v>3422.7338233785767</v>
      </c>
      <c r="Q14" s="24"/>
      <c r="R14" s="35">
        <v>131.95208075345909</v>
      </c>
      <c r="S14" s="23">
        <f t="shared" ref="S14" si="15">S13</f>
        <v>1</v>
      </c>
      <c r="T14" s="24"/>
      <c r="U14" s="35">
        <v>380.8746575800638</v>
      </c>
      <c r="V14" s="23">
        <f t="shared" si="1"/>
        <v>0.5</v>
      </c>
      <c r="W14" s="24"/>
      <c r="X14" s="252">
        <f t="shared" si="2"/>
        <v>131.95208075345909</v>
      </c>
      <c r="Y14" s="253">
        <f t="shared" si="3"/>
        <v>4.1807400268242196E-3</v>
      </c>
      <c r="Z14" s="24"/>
      <c r="AA14" s="252">
        <f t="shared" si="4"/>
        <v>190.4373287900319</v>
      </c>
      <c r="AB14" s="253">
        <f t="shared" si="5"/>
        <v>6.0337734617580043E-3</v>
      </c>
      <c r="AC14" s="24"/>
      <c r="AD14" s="810">
        <f t="shared" si="12"/>
        <v>380.8746575800638</v>
      </c>
      <c r="AE14" s="273">
        <v>380874657580.06378</v>
      </c>
      <c r="AG14" s="99"/>
      <c r="AH14" s="99"/>
      <c r="AI14" s="100"/>
    </row>
    <row r="15" spans="1:35" ht="14.4" x14ac:dyDescent="0.3">
      <c r="A15" s="2"/>
      <c r="B15" s="19">
        <f>'Urban Pass Adoption'!B14</f>
        <v>32602.325167364055</v>
      </c>
      <c r="C15" s="19">
        <f>'Nonurban Pass Adoption'!B14</f>
        <v>29314.817849269726</v>
      </c>
      <c r="D15" s="2"/>
      <c r="E15" s="19">
        <f>B15*(1-'Urban Pass Adoption'!H14-'Urban Pass Adoption'!K14-'Urban Pass Adoption'!N14-'Urban Pass Adoption'!Q14-$AA$2)</f>
        <v>15795.931666635273</v>
      </c>
      <c r="F15" s="19">
        <f>C15*(1-'Nonurban Pass Adoption'!H14-'Nonurban Pass Adoption'!K14-$AA$3-$AA$4-MAX($AA$5,'Nonurban Pass Adoption'!$N14))</f>
        <v>10627.611502962134</v>
      </c>
      <c r="G15" s="20"/>
      <c r="H15" s="19">
        <f t="shared" si="6"/>
        <v>12280.709949182476</v>
      </c>
      <c r="I15" s="21">
        <f t="shared" si="7"/>
        <v>0.7774603111965992</v>
      </c>
      <c r="J15" s="22"/>
      <c r="K15" s="19">
        <f t="shared" si="8"/>
        <v>10377.564697765354</v>
      </c>
      <c r="L15" s="21">
        <f t="shared" si="9"/>
        <v>0.97647196596082886</v>
      </c>
      <c r="M15" s="257"/>
      <c r="N15" s="14">
        <v>2018</v>
      </c>
      <c r="O15" s="257"/>
      <c r="P15" s="35">
        <v>3515.2217174527982</v>
      </c>
      <c r="Q15" s="24"/>
      <c r="R15" s="35">
        <v>137.13977670585155</v>
      </c>
      <c r="S15" s="23">
        <f t="shared" ref="S15" si="16">S14</f>
        <v>1</v>
      </c>
      <c r="T15" s="24"/>
      <c r="U15" s="35">
        <v>500.09361039355957</v>
      </c>
      <c r="V15" s="23">
        <f t="shared" si="1"/>
        <v>0.5</v>
      </c>
      <c r="W15" s="24"/>
      <c r="X15" s="252">
        <f t="shared" si="2"/>
        <v>137.13977670585155</v>
      </c>
      <c r="Y15" s="253">
        <f t="shared" si="3"/>
        <v>4.2064415958630074E-3</v>
      </c>
      <c r="Z15" s="24"/>
      <c r="AA15" s="252">
        <f t="shared" si="4"/>
        <v>250.04680519677979</v>
      </c>
      <c r="AB15" s="253">
        <f t="shared" si="5"/>
        <v>7.669600370929508E-3</v>
      </c>
      <c r="AC15" s="24"/>
      <c r="AD15" s="810">
        <f t="shared" si="12"/>
        <v>383.15358371927999</v>
      </c>
      <c r="AE15" s="273">
        <v>383153583719.27997</v>
      </c>
      <c r="AG15" s="99"/>
      <c r="AH15" s="99"/>
      <c r="AI15" s="100"/>
    </row>
    <row r="16" spans="1:35" ht="14.4" x14ac:dyDescent="0.3">
      <c r="A16" s="2"/>
      <c r="B16" s="19">
        <f>'Urban Pass Adoption'!B15</f>
        <v>33644.353306078112</v>
      </c>
      <c r="C16" s="19">
        <f>'Nonurban Pass Adoption'!B15</f>
        <v>30233.500371254417</v>
      </c>
      <c r="D16" s="2"/>
      <c r="E16" s="19">
        <f>B16*(1-'Urban Pass Adoption'!H15-'Urban Pass Adoption'!K15-'Urban Pass Adoption'!N15-'Urban Pass Adoption'!Q15-$AA$2)</f>
        <v>16106.41357009726</v>
      </c>
      <c r="F16" s="19">
        <f>C16*(1-'Nonurban Pass Adoption'!H15-'Nonurban Pass Adoption'!K15-$AA$3-$AA$4-MAX($AA$5,'Nonurban Pass Adoption'!$N15))</f>
        <v>10775.981119715225</v>
      </c>
      <c r="G16" s="20"/>
      <c r="H16" s="19">
        <f t="shared" si="6"/>
        <v>11470.78641445364</v>
      </c>
      <c r="I16" s="21">
        <f t="shared" si="7"/>
        <v>0.71218749999999986</v>
      </c>
      <c r="J16" s="22"/>
      <c r="K16" s="19">
        <f t="shared" si="8"/>
        <v>10483.884772229407</v>
      </c>
      <c r="L16" s="21">
        <f t="shared" si="9"/>
        <v>0.97289375842062187</v>
      </c>
      <c r="M16" s="257"/>
      <c r="N16" s="14">
        <v>2019</v>
      </c>
      <c r="O16" s="257"/>
      <c r="P16" s="35">
        <v>4635.6271556436213</v>
      </c>
      <c r="Q16" s="24"/>
      <c r="R16" s="35">
        <v>180.48254382929443</v>
      </c>
      <c r="S16" s="23">
        <f t="shared" ref="S16" si="17">S15</f>
        <v>1</v>
      </c>
      <c r="T16" s="24"/>
      <c r="U16" s="35">
        <v>584.19269497163532</v>
      </c>
      <c r="V16" s="23">
        <f t="shared" si="1"/>
        <v>0.5</v>
      </c>
      <c r="W16" s="24"/>
      <c r="X16" s="252">
        <f t="shared" si="2"/>
        <v>180.48254382929443</v>
      </c>
      <c r="Y16" s="253">
        <f t="shared" si="3"/>
        <v>5.3644230337067849E-3</v>
      </c>
      <c r="Z16" s="24"/>
      <c r="AA16" s="252">
        <f t="shared" si="4"/>
        <v>292.09634748581766</v>
      </c>
      <c r="AB16" s="253">
        <f t="shared" si="5"/>
        <v>8.681883251804046E-3</v>
      </c>
      <c r="AC16" s="24"/>
      <c r="AD16" s="810">
        <f t="shared" si="12"/>
        <v>487.83448316095041</v>
      </c>
      <c r="AE16" s="273">
        <v>487834483160.95044</v>
      </c>
      <c r="AG16" s="99"/>
      <c r="AH16" s="99"/>
      <c r="AI16" s="100"/>
    </row>
    <row r="17" spans="1:35" s="90" customFormat="1" ht="14.4" x14ac:dyDescent="0.3">
      <c r="A17" s="30"/>
      <c r="B17" s="19">
        <f>'Urban Pass Adoption'!B16</f>
        <v>34697.510647161849</v>
      </c>
      <c r="C17" s="19">
        <f>'Nonurban Pass Adoption'!B16</f>
        <v>31169.676322327818</v>
      </c>
      <c r="D17" s="30"/>
      <c r="E17" s="19">
        <f>B17*(1-'Urban Pass Adoption'!H16-'Urban Pass Adoption'!K16-'Urban Pass Adoption'!N16-'Urban Pass Adoption'!Q16-$AA$2)</f>
        <v>16641.024552320287</v>
      </c>
      <c r="F17" s="19">
        <f>C17*(1-'Nonurban Pass Adoption'!H16-'Nonurban Pass Adoption'!K16-$AA$3-$AA$4-MAX($AA$5,'Nonurban Pass Adoption'!$N16))</f>
        <v>11047.665709233395</v>
      </c>
      <c r="G17" s="31"/>
      <c r="H17" s="19">
        <f t="shared" si="6"/>
        <v>11804.726791802212</v>
      </c>
      <c r="I17" s="21">
        <f t="shared" si="7"/>
        <v>0.70937500000000053</v>
      </c>
      <c r="J17" s="32"/>
      <c r="K17" s="19">
        <f t="shared" si="8"/>
        <v>10717.483734122743</v>
      </c>
      <c r="L17" s="21">
        <f t="shared" si="9"/>
        <v>0.97011296469310315</v>
      </c>
      <c r="M17" s="258"/>
      <c r="N17" s="259">
        <v>2020</v>
      </c>
      <c r="O17" s="258"/>
      <c r="P17" s="35">
        <v>4836.297760518074</v>
      </c>
      <c r="Q17" s="34"/>
      <c r="R17" s="35">
        <v>257.48953831087636</v>
      </c>
      <c r="S17" s="23">
        <f t="shared" ref="S17" si="18">S16</f>
        <v>1</v>
      </c>
      <c r="T17" s="34"/>
      <c r="U17" s="35">
        <v>660.36395022130546</v>
      </c>
      <c r="V17" s="23">
        <f t="shared" si="1"/>
        <v>0.5</v>
      </c>
      <c r="W17" s="34"/>
      <c r="X17" s="252">
        <f t="shared" si="2"/>
        <v>257.48953831087636</v>
      </c>
      <c r="Y17" s="253">
        <f t="shared" si="3"/>
        <v>7.4209801656747445E-3</v>
      </c>
      <c r="Z17" s="34"/>
      <c r="AA17" s="252">
        <f t="shared" si="4"/>
        <v>330.18197511065273</v>
      </c>
      <c r="AB17" s="253">
        <f t="shared" si="5"/>
        <v>9.516013366730117E-3</v>
      </c>
      <c r="AC17" s="34"/>
      <c r="AD17" s="810">
        <f t="shared" si="12"/>
        <v>601.84849183167535</v>
      </c>
      <c r="AE17" s="273">
        <v>601848491831.67529</v>
      </c>
      <c r="AG17" s="99"/>
      <c r="AH17" s="100"/>
      <c r="AI17" s="100"/>
    </row>
    <row r="18" spans="1:35" ht="14.4" x14ac:dyDescent="0.3">
      <c r="A18" s="2"/>
      <c r="B18" s="19">
        <f>'Urban Pass Adoption'!B17</f>
        <v>35718.895175557307</v>
      </c>
      <c r="C18" s="19">
        <f>'Nonurban Pass Adoption'!B17</f>
        <v>32098.234853161026</v>
      </c>
      <c r="D18" s="2"/>
      <c r="E18" s="19">
        <f>B18*(1-'Urban Pass Adoption'!H17-'Urban Pass Adoption'!K17-'Urban Pass Adoption'!N17-'Urban Pass Adoption'!Q17-$AA$2)</f>
        <v>17318.373019010545</v>
      </c>
      <c r="F18" s="19">
        <f>C18*(1-'Nonurban Pass Adoption'!H17-'Nonurban Pass Adoption'!K17-$AA$3-$AA$4-MAX($AA$5,'Nonurban Pass Adoption'!$N17))</f>
        <v>11319.669196866082</v>
      </c>
      <c r="G18" s="20"/>
      <c r="H18" s="19">
        <f t="shared" si="6"/>
        <v>12236.512936244646</v>
      </c>
      <c r="I18" s="21">
        <f t="shared" si="7"/>
        <v>0.70656250000000043</v>
      </c>
      <c r="J18" s="22"/>
      <c r="K18" s="19">
        <f t="shared" si="8"/>
        <v>10937.449549279763</v>
      </c>
      <c r="L18" s="21">
        <f t="shared" si="9"/>
        <v>0.96623402672472636</v>
      </c>
      <c r="M18" s="257"/>
      <c r="N18" s="14">
        <v>2021</v>
      </c>
      <c r="O18" s="257"/>
      <c r="P18" s="35">
        <v>5081.8600827658993</v>
      </c>
      <c r="Q18" s="24"/>
      <c r="R18" s="35">
        <v>350.7227131875656</v>
      </c>
      <c r="S18" s="51">
        <f t="shared" ref="S18:S23" si="19">S17-5%</f>
        <v>0.95</v>
      </c>
      <c r="T18" s="24"/>
      <c r="U18" s="35">
        <v>729.36702385388128</v>
      </c>
      <c r="V18" s="23">
        <f t="shared" si="1"/>
        <v>0.5</v>
      </c>
      <c r="W18" s="24"/>
      <c r="X18" s="252">
        <f t="shared" si="2"/>
        <v>333.18657752818729</v>
      </c>
      <c r="Y18" s="253">
        <f t="shared" si="3"/>
        <v>9.3280202506428374E-3</v>
      </c>
      <c r="Z18" s="24"/>
      <c r="AA18" s="252">
        <f t="shared" si="4"/>
        <v>364.68351192694064</v>
      </c>
      <c r="AB18" s="253">
        <f t="shared" si="5"/>
        <v>1.0209820604319703E-2</v>
      </c>
      <c r="AC18" s="24"/>
      <c r="AD18" s="810">
        <f t="shared" si="12"/>
        <v>733.16895309070435</v>
      </c>
      <c r="AE18" s="273">
        <v>733168953090.70435</v>
      </c>
      <c r="AG18" s="99"/>
      <c r="AH18" s="100"/>
      <c r="AI18" s="100"/>
    </row>
    <row r="19" spans="1:35" ht="14.4" x14ac:dyDescent="0.3">
      <c r="A19" s="2"/>
      <c r="B19" s="19">
        <f>'Urban Pass Adoption'!B18</f>
        <v>36748.653520328357</v>
      </c>
      <c r="C19" s="19">
        <f>'Nonurban Pass Adoption'!B18</f>
        <v>33039.605298664756</v>
      </c>
      <c r="D19" s="2"/>
      <c r="E19" s="19">
        <f>B19*(1-'Urban Pass Adoption'!H18-'Urban Pass Adoption'!K18-'Urban Pass Adoption'!N18-'Urban Pass Adoption'!Q18-$AA$2)</f>
        <v>17816.665746760758</v>
      </c>
      <c r="F19" s="19">
        <f>C19*(1-'Nonurban Pass Adoption'!H18-'Nonurban Pass Adoption'!K18-$AA$3-$AA$4-MAX($AA$5,'Nonurban Pass Adoption'!$N18))</f>
        <v>11599.974701983081</v>
      </c>
      <c r="G19" s="20"/>
      <c r="H19" s="19">
        <f t="shared" si="6"/>
        <v>12538.478519282889</v>
      </c>
      <c r="I19" s="21">
        <f t="shared" si="7"/>
        <v>0.70375000000000032</v>
      </c>
      <c r="J19" s="22"/>
      <c r="K19" s="19">
        <f t="shared" si="8"/>
        <v>11157.938912983725</v>
      </c>
      <c r="L19" s="21">
        <f t="shared" si="9"/>
        <v>0.96189338336024244</v>
      </c>
      <c r="M19" s="257"/>
      <c r="N19" s="14">
        <v>2022</v>
      </c>
      <c r="O19" s="257"/>
      <c r="P19" s="35">
        <v>5278.1872274778689</v>
      </c>
      <c r="Q19" s="24"/>
      <c r="R19" s="35">
        <v>460.55007209017521</v>
      </c>
      <c r="S19" s="51">
        <f t="shared" si="19"/>
        <v>0.89999999999999991</v>
      </c>
      <c r="T19" s="24"/>
      <c r="U19" s="35">
        <v>791.96156358067435</v>
      </c>
      <c r="V19" s="23">
        <f t="shared" si="1"/>
        <v>0.5</v>
      </c>
      <c r="W19" s="24"/>
      <c r="X19" s="252">
        <f t="shared" si="2"/>
        <v>414.49506488115765</v>
      </c>
      <c r="Y19" s="253">
        <f t="shared" si="3"/>
        <v>1.1279190532841434E-2</v>
      </c>
      <c r="Z19" s="24"/>
      <c r="AA19" s="252">
        <f t="shared" si="4"/>
        <v>395.98078179033718</v>
      </c>
      <c r="AB19" s="253">
        <f t="shared" si="5"/>
        <v>1.0775382057775024E-2</v>
      </c>
      <c r="AC19" s="24"/>
      <c r="AD19" s="810">
        <f t="shared" si="12"/>
        <v>881.55948616017656</v>
      </c>
      <c r="AE19" s="273">
        <v>881559486160.17651</v>
      </c>
      <c r="AG19" s="99"/>
      <c r="AH19" s="100"/>
      <c r="AI19" s="100"/>
    </row>
    <row r="20" spans="1:35" ht="14.4" x14ac:dyDescent="0.3">
      <c r="A20" s="2"/>
      <c r="B20" s="19">
        <f>'Urban Pass Adoption'!B19</f>
        <v>37781.871467732562</v>
      </c>
      <c r="C20" s="19">
        <f>'Nonurban Pass Adoption'!B19</f>
        <v>33993.911424286372</v>
      </c>
      <c r="D20" s="2"/>
      <c r="E20" s="19">
        <f>B20*(1-'Urban Pass Adoption'!H19-'Urban Pass Adoption'!K19-'Urban Pass Adoption'!N19-'Urban Pass Adoption'!Q19-$AA$2)</f>
        <v>18321.42455261428</v>
      </c>
      <c r="F20" s="19">
        <f>C20*(1-'Nonurban Pass Adoption'!H19-'Nonurban Pass Adoption'!K19-$AA$3-$AA$4-MAX($AA$5,'Nonurban Pass Adoption'!$N19))</f>
        <v>11888.452483656902</v>
      </c>
      <c r="G20" s="20"/>
      <c r="H20" s="19">
        <f t="shared" si="6"/>
        <v>12842.173522348075</v>
      </c>
      <c r="I20" s="21">
        <f t="shared" si="7"/>
        <v>0.70093750000000021</v>
      </c>
      <c r="J20" s="22"/>
      <c r="K20" s="19">
        <f t="shared" si="8"/>
        <v>11375.897932302976</v>
      </c>
      <c r="L20" s="21">
        <f t="shared" si="9"/>
        <v>0.95688635236095398</v>
      </c>
      <c r="M20" s="257"/>
      <c r="N20" s="14">
        <v>2023</v>
      </c>
      <c r="O20" s="257"/>
      <c r="P20" s="35">
        <v>5479.251030266204</v>
      </c>
      <c r="Q20" s="24"/>
      <c r="R20" s="35">
        <v>587.33961864951812</v>
      </c>
      <c r="S20" s="51">
        <f t="shared" si="19"/>
        <v>0.84999999999999987</v>
      </c>
      <c r="T20" s="24"/>
      <c r="U20" s="35">
        <v>848.90721711299648</v>
      </c>
      <c r="V20" s="23">
        <f t="shared" si="1"/>
        <v>0.5</v>
      </c>
      <c r="W20" s="24"/>
      <c r="X20" s="252">
        <f t="shared" si="2"/>
        <v>499.2386758520903</v>
      </c>
      <c r="Y20" s="253">
        <f t="shared" si="3"/>
        <v>1.3213709550583349E-2</v>
      </c>
      <c r="Z20" s="24"/>
      <c r="AA20" s="252">
        <f t="shared" si="4"/>
        <v>424.45360855649824</v>
      </c>
      <c r="AB20" s="253">
        <f t="shared" si="5"/>
        <v>1.123431931949165E-2</v>
      </c>
      <c r="AC20" s="24"/>
      <c r="AD20" s="810">
        <f t="shared" si="12"/>
        <v>1046.7837102622302</v>
      </c>
      <c r="AE20" s="273">
        <v>1046783710262.2302</v>
      </c>
      <c r="AG20" s="99"/>
      <c r="AH20" s="100"/>
      <c r="AI20" s="100"/>
    </row>
    <row r="21" spans="1:35" ht="14.4" x14ac:dyDescent="0.3">
      <c r="A21" s="2"/>
      <c r="B21" s="19">
        <f>'Urban Pass Adoption'!B20</f>
        <v>38819.140722197262</v>
      </c>
      <c r="C21" s="19">
        <f>'Nonurban Pass Adoption'!B20</f>
        <v>34960.700316671842</v>
      </c>
      <c r="D21" s="2"/>
      <c r="E21" s="19">
        <f>B21*(1-'Urban Pass Adoption'!H20-'Urban Pass Adoption'!K20-'Urban Pass Adoption'!N20-'Urban Pass Adoption'!Q20-$AA$2)</f>
        <v>18834.138522495996</v>
      </c>
      <c r="F21" s="19">
        <f>C21*(1-'Nonurban Pass Adoption'!H20-'Nonurban Pass Adoption'!K20-$AA$3-$AA$4-MAX($AA$5,'Nonurban Pass Adoption'!$N20))</f>
        <v>12184.742404701561</v>
      </c>
      <c r="G21" s="20"/>
      <c r="H21" s="19">
        <f t="shared" si="6"/>
        <v>13148.582956017519</v>
      </c>
      <c r="I21" s="21">
        <f t="shared" si="7"/>
        <v>0.69812500000000011</v>
      </c>
      <c r="J21" s="22"/>
      <c r="K21" s="19">
        <f t="shared" si="8"/>
        <v>11587.968717321201</v>
      </c>
      <c r="L21" s="21">
        <f t="shared" si="9"/>
        <v>0.95102287208385372</v>
      </c>
      <c r="M21" s="257"/>
      <c r="N21" s="14">
        <v>2024</v>
      </c>
      <c r="O21" s="257"/>
      <c r="P21" s="35">
        <v>5685.555566478477</v>
      </c>
      <c r="Q21" s="24"/>
      <c r="R21" s="35">
        <v>731.45935649640705</v>
      </c>
      <c r="S21" s="51">
        <f t="shared" si="19"/>
        <v>0.79999999999999982</v>
      </c>
      <c r="T21" s="24"/>
      <c r="U21" s="35">
        <v>900.96363216215923</v>
      </c>
      <c r="V21" s="23">
        <f t="shared" si="1"/>
        <v>0.5</v>
      </c>
      <c r="W21" s="24"/>
      <c r="X21" s="252">
        <f t="shared" si="2"/>
        <v>585.16748519712553</v>
      </c>
      <c r="Y21" s="253">
        <f t="shared" si="3"/>
        <v>1.5074199848594783E-2</v>
      </c>
      <c r="Z21" s="24"/>
      <c r="AA21" s="252">
        <f t="shared" si="4"/>
        <v>450.48181608107961</v>
      </c>
      <c r="AB21" s="253">
        <f t="shared" si="5"/>
        <v>1.1604631315898463E-2</v>
      </c>
      <c r="AC21" s="24"/>
      <c r="AD21" s="810">
        <f t="shared" si="12"/>
        <v>1228.6052446190042</v>
      </c>
      <c r="AE21" s="273">
        <v>1228605244619.0042</v>
      </c>
      <c r="AG21" s="99"/>
      <c r="AH21" s="100"/>
      <c r="AI21" s="100"/>
    </row>
    <row r="22" spans="1:35" ht="14.4" x14ac:dyDescent="0.3">
      <c r="A22" s="2"/>
      <c r="B22" s="19">
        <f>'Urban Pass Adoption'!B21</f>
        <v>39854.069973673031</v>
      </c>
      <c r="C22" s="19">
        <f>'Nonurban Pass Adoption'!B21</f>
        <v>35939.65896838472</v>
      </c>
      <c r="D22" s="2"/>
      <c r="E22" s="19">
        <f>B22*(1-'Urban Pass Adoption'!H21-'Urban Pass Adoption'!K21-'Urban Pass Adoption'!N21-'Urban Pass Adoption'!Q21-$AA$2)</f>
        <v>19332.478692465098</v>
      </c>
      <c r="F22" s="19">
        <f>C22*(1-'Nonurban Pass Adoption'!H21-'Nonurban Pass Adoption'!K21-$AA$3-$AA$4-MAX($AA$5,'Nonurban Pass Adoption'!$N21))</f>
        <v>12488.540235263967</v>
      </c>
      <c r="G22" s="20"/>
      <c r="H22" s="19">
        <f t="shared" si="6"/>
        <v>13442.114090854639</v>
      </c>
      <c r="I22" s="21">
        <f t="shared" si="7"/>
        <v>0.6953125</v>
      </c>
      <c r="J22" s="22"/>
      <c r="K22" s="19">
        <f t="shared" si="8"/>
        <v>11790.775684728815</v>
      </c>
      <c r="L22" s="21">
        <f t="shared" si="9"/>
        <v>0.94412761320455452</v>
      </c>
      <c r="M22" s="257"/>
      <c r="N22" s="14">
        <v>2025</v>
      </c>
      <c r="O22" s="257"/>
      <c r="P22" s="35">
        <v>5890.3646016104594</v>
      </c>
      <c r="Q22" s="24"/>
      <c r="R22" s="35">
        <v>893.27728926165503</v>
      </c>
      <c r="S22" s="51">
        <f t="shared" si="19"/>
        <v>0.74999999999999978</v>
      </c>
      <c r="T22" s="24"/>
      <c r="U22" s="35">
        <v>948.89045643947429</v>
      </c>
      <c r="V22" s="23">
        <f t="shared" si="1"/>
        <v>0.5</v>
      </c>
      <c r="W22" s="24"/>
      <c r="X22" s="252">
        <f t="shared" si="2"/>
        <v>669.95796694624107</v>
      </c>
      <c r="Y22" s="253">
        <f t="shared" si="3"/>
        <v>1.6810277278802511E-2</v>
      </c>
      <c r="Z22" s="24"/>
      <c r="AA22" s="252">
        <f t="shared" si="4"/>
        <v>474.44522821973715</v>
      </c>
      <c r="AB22" s="253">
        <f t="shared" si="5"/>
        <v>1.1904561529930273E-2</v>
      </c>
      <c r="AC22" s="24"/>
      <c r="AD22" s="810">
        <f t="shared" si="12"/>
        <v>1426.7877084526367</v>
      </c>
      <c r="AE22" s="273">
        <v>1426787708452.6367</v>
      </c>
      <c r="AG22" s="99"/>
      <c r="AH22" s="100"/>
      <c r="AI22" s="100"/>
    </row>
    <row r="23" spans="1:35" ht="14.4" x14ac:dyDescent="0.3">
      <c r="A23" s="2"/>
      <c r="B23" s="19">
        <f>'Urban Pass Adoption'!B22</f>
        <v>40909.376553962953</v>
      </c>
      <c r="C23" s="19">
        <f>'Nonurban Pass Adoption'!B22</f>
        <v>36931.057136525327</v>
      </c>
      <c r="D23" s="2"/>
      <c r="E23" s="19">
        <f>B23*(1-'Urban Pass Adoption'!H22-'Urban Pass Adoption'!K22-'Urban Pass Adoption'!N22-'Urban Pass Adoption'!Q22-$AA$2)</f>
        <v>19884.665180034495</v>
      </c>
      <c r="F23" s="19">
        <f>C23*(1-'Nonurban Pass Adoption'!H22-'Nonurban Pass Adoption'!K22-$AA$3-$AA$4-MAX($AA$5,'Nonurban Pass Adoption'!$N22))</f>
        <v>12799.77459212398</v>
      </c>
      <c r="G23" s="20"/>
      <c r="H23" s="19">
        <f t="shared" si="6"/>
        <v>13770.130637173886</v>
      </c>
      <c r="I23" s="21">
        <f t="shared" si="7"/>
        <v>0.69249999999999989</v>
      </c>
      <c r="J23" s="22"/>
      <c r="K23" s="19">
        <f t="shared" si="8"/>
        <v>11981.102497123031</v>
      </c>
      <c r="L23" s="21">
        <f t="shared" si="9"/>
        <v>0.9360401162451174</v>
      </c>
      <c r="M23" s="257"/>
      <c r="N23" s="14">
        <v>2026</v>
      </c>
      <c r="O23" s="257"/>
      <c r="P23" s="35">
        <v>6114.5345428606097</v>
      </c>
      <c r="Q23" s="24"/>
      <c r="R23" s="35">
        <v>1073.161420576075</v>
      </c>
      <c r="S23" s="51">
        <f t="shared" si="19"/>
        <v>0.69999999999999973</v>
      </c>
      <c r="T23" s="24"/>
      <c r="U23" s="35">
        <v>993.44733765625347</v>
      </c>
      <c r="V23" s="23">
        <f t="shared" si="1"/>
        <v>0.5</v>
      </c>
      <c r="W23" s="24"/>
      <c r="X23" s="252">
        <f t="shared" si="2"/>
        <v>751.2129944032522</v>
      </c>
      <c r="Y23" s="253">
        <f t="shared" si="3"/>
        <v>1.8362856090274028E-2</v>
      </c>
      <c r="Z23" s="24"/>
      <c r="AA23" s="252">
        <f t="shared" si="4"/>
        <v>496.72366882812673</v>
      </c>
      <c r="AB23" s="253">
        <f t="shared" si="5"/>
        <v>1.2142049345897655E-2</v>
      </c>
      <c r="AC23" s="24"/>
      <c r="AD23" s="810">
        <f t="shared" si="12"/>
        <v>1641.094720985267</v>
      </c>
      <c r="AE23" s="273">
        <v>1641094720985.2671</v>
      </c>
      <c r="AG23" s="99"/>
      <c r="AH23" s="100"/>
      <c r="AI23" s="100"/>
    </row>
    <row r="24" spans="1:35" ht="14.4" x14ac:dyDescent="0.3">
      <c r="A24" s="2"/>
      <c r="B24" s="19">
        <f>'Urban Pass Adoption'!B23</f>
        <v>41965.332801393772</v>
      </c>
      <c r="C24" s="19">
        <f>'Nonurban Pass Adoption'!B23</f>
        <v>37935.484772566633</v>
      </c>
      <c r="D24" s="2"/>
      <c r="E24" s="19">
        <f>B24*(1-'Urban Pass Adoption'!H23-'Urban Pass Adoption'!K23-'Urban Pass Adoption'!N23-'Urban Pass Adoption'!Q23-$AA$2)</f>
        <v>20424.135674450576</v>
      </c>
      <c r="F24" s="19">
        <f>C24*(1-'Nonurban Pass Adoption'!H23-'Nonurban Pass Adoption'!K23-$AA$3-$AA$4-MAX($AA$5,'Nonurban Pass Adoption'!$N23))</f>
        <v>13118.502031582264</v>
      </c>
      <c r="G24" s="20"/>
      <c r="H24" s="19">
        <f t="shared" si="6"/>
        <v>14086.271072972628</v>
      </c>
      <c r="I24" s="21">
        <f t="shared" si="7"/>
        <v>0.68968749999999979</v>
      </c>
      <c r="J24" s="22"/>
      <c r="K24" s="19">
        <f t="shared" si="8"/>
        <v>12219.361143599215</v>
      </c>
      <c r="L24" s="21">
        <f t="shared" si="9"/>
        <v>0.93146009461915669</v>
      </c>
      <c r="M24" s="257"/>
      <c r="N24" s="14">
        <v>2027</v>
      </c>
      <c r="O24" s="257"/>
      <c r="P24" s="35">
        <v>6337.8646014779479</v>
      </c>
      <c r="Q24" s="24"/>
      <c r="R24" s="35">
        <v>1271.4797540704801</v>
      </c>
      <c r="S24" s="23">
        <f t="shared" ref="S24:S28" si="20">S23</f>
        <v>0.69999999999999973</v>
      </c>
      <c r="T24" s="24"/>
      <c r="U24" s="35">
        <v>1035.3939235238076</v>
      </c>
      <c r="V24" s="23">
        <f t="shared" si="1"/>
        <v>0.5</v>
      </c>
      <c r="W24" s="24"/>
      <c r="X24" s="252">
        <f t="shared" si="2"/>
        <v>890.03582784933576</v>
      </c>
      <c r="Y24" s="253">
        <f t="shared" si="3"/>
        <v>2.1208835208374077E-2</v>
      </c>
      <c r="Z24" s="24"/>
      <c r="AA24" s="252">
        <f t="shared" si="4"/>
        <v>517.69696176190382</v>
      </c>
      <c r="AB24" s="253">
        <f t="shared" si="5"/>
        <v>1.2336300636813008E-2</v>
      </c>
      <c r="AC24" s="24"/>
      <c r="AD24" s="810">
        <f t="shared" si="12"/>
        <v>1871.289901439033</v>
      </c>
      <c r="AE24" s="273">
        <v>1871289901439.033</v>
      </c>
      <c r="AG24" s="99"/>
      <c r="AH24" s="100"/>
      <c r="AI24" s="100"/>
    </row>
    <row r="25" spans="1:35" ht="14.4" x14ac:dyDescent="0.3">
      <c r="A25" s="2"/>
      <c r="B25" s="19">
        <f>'Urban Pass Adoption'!B24</f>
        <v>43030.378640550611</v>
      </c>
      <c r="C25" s="19">
        <f>'Nonurban Pass Adoption'!B24</f>
        <v>38953.191004810251</v>
      </c>
      <c r="D25" s="2"/>
      <c r="E25" s="19">
        <f>B25*(1-'Urban Pass Adoption'!H24-'Urban Pass Adoption'!K24-'Urban Pass Adoption'!N24-'Urban Pass Adoption'!Q24-$AA$2)</f>
        <v>20974.072475105808</v>
      </c>
      <c r="F25" s="19">
        <f>C25*(1-'Nonurban Pass Adoption'!H24-'Nonurban Pass Adoption'!K24-$AA$3-$AA$4-MAX($AA$5,'Nonurban Pass Adoption'!$N24))</f>
        <v>13444.642947023247</v>
      </c>
      <c r="G25" s="20"/>
      <c r="H25" s="19">
        <f t="shared" si="6"/>
        <v>14406.566031338314</v>
      </c>
      <c r="I25" s="21">
        <f t="shared" si="7"/>
        <v>0.68687500000000057</v>
      </c>
      <c r="J25" s="22"/>
      <c r="K25" s="19">
        <f t="shared" si="8"/>
        <v>12460.317928133816</v>
      </c>
      <c r="L25" s="21">
        <f t="shared" si="9"/>
        <v>0.92678682336392071</v>
      </c>
      <c r="M25" s="257"/>
      <c r="N25" s="14">
        <v>2028</v>
      </c>
      <c r="O25" s="257"/>
      <c r="P25" s="35">
        <v>6567.5064437674937</v>
      </c>
      <c r="Q25" s="24"/>
      <c r="R25" s="35">
        <v>1488.6002933756827</v>
      </c>
      <c r="S25" s="23">
        <f t="shared" si="20"/>
        <v>0.69999999999999973</v>
      </c>
      <c r="T25" s="24"/>
      <c r="U25" s="35">
        <v>1075.4898617534493</v>
      </c>
      <c r="V25" s="23">
        <f t="shared" si="1"/>
        <v>0.5</v>
      </c>
      <c r="W25" s="24"/>
      <c r="X25" s="252">
        <f t="shared" si="2"/>
        <v>1042.0202053629775</v>
      </c>
      <c r="Y25" s="253">
        <f t="shared" si="3"/>
        <v>2.4215919968247901E-2</v>
      </c>
      <c r="Z25" s="24"/>
      <c r="AA25" s="252">
        <f t="shared" si="4"/>
        <v>537.74493087672465</v>
      </c>
      <c r="AB25" s="253">
        <f t="shared" si="5"/>
        <v>1.2496867279944616E-2</v>
      </c>
      <c r="AC25" s="24"/>
      <c r="AD25" s="810">
        <f t="shared" si="12"/>
        <v>2117.1368690360732</v>
      </c>
      <c r="AE25" s="273">
        <v>2117136869036.0732</v>
      </c>
      <c r="AG25" s="99"/>
      <c r="AH25" s="100"/>
      <c r="AI25" s="100"/>
    </row>
    <row r="26" spans="1:35" ht="14.4" x14ac:dyDescent="0.3">
      <c r="A26" s="2"/>
      <c r="B26" s="19">
        <f>'Urban Pass Adoption'!B25</f>
        <v>44105.840131241697</v>
      </c>
      <c r="C26" s="19">
        <f>'Nonurban Pass Adoption'!B25</f>
        <v>39984.440125321955</v>
      </c>
      <c r="D26" s="2"/>
      <c r="E26" s="19">
        <f>B26*(1-'Urban Pass Adoption'!H25-'Urban Pass Adoption'!K25-'Urban Pass Adoption'!N25-'Urban Pass Adoption'!Q25-$AA$2)</f>
        <v>21535.160206070224</v>
      </c>
      <c r="F26" s="19">
        <f>C26*(1-'Nonurban Pass Adoption'!H25-'Nonurban Pass Adoption'!K25-$AA$3-$AA$4-MAX($AA$5,'Nonurban Pass Adoption'!$N25))</f>
        <v>13778.123799577963</v>
      </c>
      <c r="G26" s="20"/>
      <c r="H26" s="19">
        <f t="shared" si="6"/>
        <v>14731.395528464924</v>
      </c>
      <c r="I26" s="21">
        <f t="shared" si="7"/>
        <v>0.68406250000000046</v>
      </c>
      <c r="J26" s="22"/>
      <c r="K26" s="19">
        <f t="shared" si="8"/>
        <v>12703.409086912969</v>
      </c>
      <c r="L26" s="21">
        <f t="shared" si="9"/>
        <v>0.92199847175869376</v>
      </c>
      <c r="M26" s="257"/>
      <c r="N26" s="14">
        <v>2029</v>
      </c>
      <c r="O26" s="257"/>
      <c r="P26" s="35">
        <v>6803.7646776053007</v>
      </c>
      <c r="Q26" s="24"/>
      <c r="R26" s="35">
        <v>1724.8910421224964</v>
      </c>
      <c r="S26" s="23">
        <f t="shared" si="20"/>
        <v>0.69999999999999973</v>
      </c>
      <c r="T26" s="24"/>
      <c r="U26" s="35">
        <v>1114.4948000564896</v>
      </c>
      <c r="V26" s="23">
        <f t="shared" si="1"/>
        <v>0.5</v>
      </c>
      <c r="W26" s="24"/>
      <c r="X26" s="252">
        <f t="shared" si="2"/>
        <v>1207.4237294857471</v>
      </c>
      <c r="Y26" s="253">
        <f t="shared" si="3"/>
        <v>2.737559756016272E-2</v>
      </c>
      <c r="Z26" s="24"/>
      <c r="AA26" s="252">
        <f t="shared" si="4"/>
        <v>557.24740002824478</v>
      </c>
      <c r="AB26" s="253">
        <f t="shared" si="5"/>
        <v>1.2634322311287912E-2</v>
      </c>
      <c r="AC26" s="24"/>
      <c r="AD26" s="810">
        <f t="shared" si="12"/>
        <v>2378.3992429985274</v>
      </c>
      <c r="AE26" s="273">
        <v>2378399242998.5273</v>
      </c>
      <c r="AG26" s="99"/>
      <c r="AH26" s="100"/>
      <c r="AI26" s="100"/>
    </row>
    <row r="27" spans="1:35" ht="14.4" x14ac:dyDescent="0.3">
      <c r="A27" s="2"/>
      <c r="B27" s="19">
        <f>'Urban Pass Adoption'!B26</f>
        <v>45179.177847550411</v>
      </c>
      <c r="C27" s="19">
        <f>'Nonurban Pass Adoption'!B26</f>
        <v>41029.474351604615</v>
      </c>
      <c r="D27" s="2"/>
      <c r="E27" s="19">
        <f>B27*(1-'Urban Pass Adoption'!H26-'Urban Pass Adoption'!K26-'Urban Pass Adoption'!N26-'Urban Pass Adoption'!Q26-$AA$2)</f>
        <v>22078.30240125674</v>
      </c>
      <c r="F27" s="19">
        <f>C27*(1-'Nonurban Pass Adoption'!H26-'Nonurban Pass Adoption'!K26-$AA$3-$AA$4-MAX($AA$5,'Nonurban Pass Adoption'!$N26))</f>
        <v>14118.862239902126</v>
      </c>
      <c r="G27" s="20"/>
      <c r="H27" s="19">
        <f t="shared" si="6"/>
        <v>15040.843510856161</v>
      </c>
      <c r="I27" s="21">
        <f t="shared" si="7"/>
        <v>0.68125000000000024</v>
      </c>
      <c r="J27" s="22"/>
      <c r="K27" s="19">
        <f t="shared" si="8"/>
        <v>12948.062045647486</v>
      </c>
      <c r="L27" s="21">
        <f t="shared" si="9"/>
        <v>0.91707545733070661</v>
      </c>
      <c r="M27" s="257"/>
      <c r="N27" s="14">
        <v>2030</v>
      </c>
      <c r="O27" s="257"/>
      <c r="P27" s="35">
        <v>7037.4588904005795</v>
      </c>
      <c r="Q27" s="24"/>
      <c r="R27" s="35">
        <v>1980.7200039417335</v>
      </c>
      <c r="S27" s="23">
        <f t="shared" si="20"/>
        <v>0.69999999999999973</v>
      </c>
      <c r="T27" s="24"/>
      <c r="U27" s="35">
        <v>1153.16838614424</v>
      </c>
      <c r="V27" s="23">
        <f t="shared" si="1"/>
        <v>0.5</v>
      </c>
      <c r="W27" s="24"/>
      <c r="X27" s="252">
        <f t="shared" si="2"/>
        <v>1386.5040027592129</v>
      </c>
      <c r="Y27" s="253">
        <f t="shared" si="3"/>
        <v>3.0689004732174167E-2</v>
      </c>
      <c r="Z27" s="24"/>
      <c r="AA27" s="252">
        <f t="shared" si="4"/>
        <v>576.58419307212</v>
      </c>
      <c r="AB27" s="253">
        <f t="shared" si="5"/>
        <v>1.2762166567477324E-2</v>
      </c>
      <c r="AC27" s="24"/>
      <c r="AD27" s="810">
        <f t="shared" si="12"/>
        <v>2654.8406425485332</v>
      </c>
      <c r="AE27" s="273">
        <v>2654840642548.5332</v>
      </c>
      <c r="AG27" s="99"/>
      <c r="AH27" s="100"/>
      <c r="AI27" s="100"/>
    </row>
    <row r="28" spans="1:35" ht="14.4" x14ac:dyDescent="0.3">
      <c r="A28" s="2"/>
      <c r="B28" s="19">
        <f>'Urban Pass Adoption'!B27</f>
        <v>46293.203311531608</v>
      </c>
      <c r="C28" s="19">
        <f>'Nonurban Pass Adoption'!B27</f>
        <v>42088.527573781801</v>
      </c>
      <c r="D28" s="2"/>
      <c r="E28" s="19">
        <f>B28*(1-'Urban Pass Adoption'!H27-'Urban Pass Adoption'!K27-'Urban Pass Adoption'!N27-'Urban Pass Adoption'!Q27-$AA$2)</f>
        <v>22693.432070020965</v>
      </c>
      <c r="F28" s="19">
        <f>C28*(1-'Nonurban Pass Adoption'!H27-'Nonurban Pass Adoption'!K27-$AA$3-$AA$4-MAX($AA$5,'Nonurban Pass Adoption'!$N27))</f>
        <v>14341.140188434485</v>
      </c>
      <c r="G28" s="20"/>
      <c r="H28" s="19">
        <f t="shared" si="6"/>
        <v>15396.075320004853</v>
      </c>
      <c r="I28" s="21">
        <f t="shared" si="7"/>
        <v>0.67843750000000025</v>
      </c>
      <c r="J28" s="22"/>
      <c r="K28" s="19">
        <f t="shared" si="8"/>
        <v>13068.068499831215</v>
      </c>
      <c r="L28" s="21">
        <f t="shared" si="9"/>
        <v>0.91122939516134516</v>
      </c>
      <c r="M28" s="257"/>
      <c r="N28" s="14">
        <v>2031</v>
      </c>
      <c r="O28" s="257"/>
      <c r="P28" s="35">
        <v>7297.3567500161116</v>
      </c>
      <c r="Q28" s="24"/>
      <c r="R28" s="35">
        <v>2256.4551824642076</v>
      </c>
      <c r="S28" s="23">
        <f t="shared" si="20"/>
        <v>0.69999999999999973</v>
      </c>
      <c r="T28" s="24"/>
      <c r="U28" s="35">
        <v>1192.2702677280124</v>
      </c>
      <c r="V28" s="23">
        <f t="shared" si="1"/>
        <v>0.5</v>
      </c>
      <c r="W28" s="24"/>
      <c r="X28" s="252">
        <f t="shared" si="2"/>
        <v>1579.5186277249447</v>
      </c>
      <c r="Y28" s="253">
        <f t="shared" si="3"/>
        <v>3.4119881855993482E-2</v>
      </c>
      <c r="Z28" s="24"/>
      <c r="AA28" s="252">
        <f t="shared" si="4"/>
        <v>596.13513386400621</v>
      </c>
      <c r="AB28" s="253">
        <f t="shared" si="5"/>
        <v>1.2877379209476941E-2</v>
      </c>
      <c r="AC28" s="24"/>
      <c r="AD28" s="810">
        <f t="shared" si="12"/>
        <v>2946.2246869082287</v>
      </c>
      <c r="AE28" s="273">
        <v>2946224686908.2285</v>
      </c>
      <c r="AG28" s="99"/>
      <c r="AH28" s="100"/>
      <c r="AI28" s="100"/>
    </row>
    <row r="29" spans="1:35" ht="14.4" x14ac:dyDescent="0.3">
      <c r="A29" s="2"/>
      <c r="B29" s="19">
        <f>'Urban Pass Adoption'!B28</f>
        <v>47407.816241047607</v>
      </c>
      <c r="C29" s="19">
        <f>'Nonurban Pass Adoption'!B28</f>
        <v>43161.96726403365</v>
      </c>
      <c r="D29" s="2"/>
      <c r="E29" s="19">
        <f>B29*(1-'Urban Pass Adoption'!H28-'Urban Pass Adoption'!K28-'Urban Pass Adoption'!N28-'Urban Pass Adoption'!Q28-$AA$2)</f>
        <v>23292.035990760436</v>
      </c>
      <c r="F29" s="19">
        <f>C29*(1-'Nonurban Pass Adoption'!H28-'Nonurban Pass Adoption'!K28-$AA$3-$AA$4-MAX($AA$5,'Nonurban Pass Adoption'!$N28))</f>
        <v>14297.007947929344</v>
      </c>
      <c r="G29" s="20"/>
      <c r="H29" s="19">
        <f t="shared" si="6"/>
        <v>15736.681816257522</v>
      </c>
      <c r="I29" s="21">
        <f t="shared" si="7"/>
        <v>0.67562500000000014</v>
      </c>
      <c r="J29" s="22"/>
      <c r="K29" s="19">
        <f t="shared" si="8"/>
        <v>12914.988527273565</v>
      </c>
      <c r="L29" s="21">
        <f t="shared" si="9"/>
        <v>0.90333505963701033</v>
      </c>
      <c r="M29" s="257"/>
      <c r="N29" s="14">
        <v>2032</v>
      </c>
      <c r="O29" s="257"/>
      <c r="P29" s="35">
        <v>7555.3541745029142</v>
      </c>
      <c r="Q29" s="24"/>
      <c r="R29" s="35">
        <v>2552.4645813207308</v>
      </c>
      <c r="S29" s="23">
        <f t="shared" ref="S29" si="21">S28</f>
        <v>0.69999999999999973</v>
      </c>
      <c r="T29" s="24"/>
      <c r="U29" s="35">
        <v>1232.5600925191188</v>
      </c>
      <c r="V29" s="23">
        <f t="shared" si="1"/>
        <v>0.5</v>
      </c>
      <c r="W29" s="24"/>
      <c r="X29" s="252">
        <f t="shared" si="2"/>
        <v>1786.7252069245108</v>
      </c>
      <c r="Y29" s="253">
        <f t="shared" si="3"/>
        <v>3.7688409814951397E-2</v>
      </c>
      <c r="Z29" s="24"/>
      <c r="AA29" s="252">
        <f t="shared" si="4"/>
        <v>616.28004625955941</v>
      </c>
      <c r="AB29" s="253">
        <f t="shared" si="5"/>
        <v>1.2999545119860619E-2</v>
      </c>
      <c r="AC29" s="24"/>
      <c r="AD29" s="810">
        <f t="shared" si="12"/>
        <v>3252.3149952997537</v>
      </c>
      <c r="AE29" s="273">
        <v>3252314995299.7539</v>
      </c>
      <c r="AG29" s="99"/>
      <c r="AH29" s="100"/>
      <c r="AI29" s="100"/>
    </row>
    <row r="30" spans="1:35" ht="14.4" x14ac:dyDescent="0.3">
      <c r="A30" s="2"/>
      <c r="B30" s="19">
        <f>'Urban Pass Adoption'!B29</f>
        <v>48538.588788213543</v>
      </c>
      <c r="C30" s="19">
        <f>'Nonurban Pass Adoption'!B29</f>
        <v>44250.466123173443</v>
      </c>
      <c r="D30" s="2"/>
      <c r="E30" s="19">
        <f>B30*(1-'Urban Pass Adoption'!H29-'Urban Pass Adoption'!K29-'Urban Pass Adoption'!N29-'Urban Pass Adoption'!Q29-$AA$2)</f>
        <v>23904.905243256304</v>
      </c>
      <c r="F30" s="19">
        <f>C30*(1-'Nonurban Pass Adoption'!H29-'Nonurban Pass Adoption'!K29-$AA$3-$AA$4-MAX($AA$5,'Nonurban Pass Adoption'!$N29))</f>
        <v>14258.679851113251</v>
      </c>
      <c r="G30" s="20"/>
      <c r="H30" s="19">
        <f t="shared" si="6"/>
        <v>16083.519058978383</v>
      </c>
      <c r="I30" s="21">
        <f t="shared" si="7"/>
        <v>0.67281250000000004</v>
      </c>
      <c r="J30" s="22"/>
      <c r="K30" s="19">
        <f t="shared" si="8"/>
        <v>12760.546235756181</v>
      </c>
      <c r="L30" s="21">
        <f t="shared" si="9"/>
        <v>0.89493181479629735</v>
      </c>
      <c r="M30" s="257"/>
      <c r="N30" s="14">
        <v>2033</v>
      </c>
      <c r="O30" s="257"/>
      <c r="P30" s="35">
        <v>7821.3861842779206</v>
      </c>
      <c r="Q30" s="24"/>
      <c r="R30" s="35">
        <v>2869.1162041421167</v>
      </c>
      <c r="S30" s="23">
        <f t="shared" ref="S30" si="22">S29</f>
        <v>0.69999999999999973</v>
      </c>
      <c r="T30" s="24"/>
      <c r="U30" s="35">
        <v>1274.7975082288701</v>
      </c>
      <c r="V30" s="23">
        <f t="shared" si="1"/>
        <v>0.5</v>
      </c>
      <c r="W30" s="24"/>
      <c r="X30" s="252">
        <f t="shared" si="2"/>
        <v>2008.3813428994808</v>
      </c>
      <c r="Y30" s="253">
        <f t="shared" si="3"/>
        <v>4.1377003185291805E-2</v>
      </c>
      <c r="Z30" s="24"/>
      <c r="AA30" s="252">
        <f t="shared" si="4"/>
        <v>637.39875411443506</v>
      </c>
      <c r="AB30" s="253">
        <f t="shared" si="5"/>
        <v>1.3131794105007279E-2</v>
      </c>
      <c r="AC30" s="24"/>
      <c r="AD30" s="810">
        <f t="shared" si="12"/>
        <v>3572.8751869452472</v>
      </c>
      <c r="AE30" s="273">
        <v>3572875186945.2471</v>
      </c>
      <c r="AG30" s="99"/>
      <c r="AH30" s="100"/>
      <c r="AI30" s="100"/>
    </row>
    <row r="31" spans="1:35" ht="14.4" x14ac:dyDescent="0.3">
      <c r="A31" s="2"/>
      <c r="B31" s="19">
        <f>'Urban Pass Adoption'!B30</f>
        <v>49687.414462031556</v>
      </c>
      <c r="C31" s="19">
        <f>'Nonurban Pass Adoption'!B30</f>
        <v>45354.859388420766</v>
      </c>
      <c r="D31" s="2"/>
      <c r="E31" s="19">
        <f>B31*(1-'Urban Pass Adoption'!H30-'Urban Pass Adoption'!K30-'Urban Pass Adoption'!N30-'Urban Pass Adoption'!Q30-$AA$2)</f>
        <v>24533.209541511569</v>
      </c>
      <c r="F31" s="19">
        <f>C31*(1-'Nonurban Pass Adoption'!H30-'Nonurban Pass Adoption'!K30-$AA$3-$AA$4-MAX($AA$5,'Nonurban Pass Adoption'!$N30))</f>
        <v>14226.489065404641</v>
      </c>
      <c r="G31" s="20"/>
      <c r="H31" s="19">
        <f t="shared" si="6"/>
        <v>16437.250392812748</v>
      </c>
      <c r="I31" s="21">
        <f t="shared" si="7"/>
        <v>0.66999999999999982</v>
      </c>
      <c r="J31" s="22"/>
      <c r="K31" s="19">
        <f t="shared" si="8"/>
        <v>12604.584567752598</v>
      </c>
      <c r="L31" s="21">
        <f t="shared" si="9"/>
        <v>0.88599404321083541</v>
      </c>
      <c r="M31" s="257"/>
      <c r="N31" s="14">
        <v>2034</v>
      </c>
      <c r="O31" s="257"/>
      <c r="P31" s="35">
        <v>8095.9591486988202</v>
      </c>
      <c r="Q31" s="24"/>
      <c r="R31" s="35">
        <v>3206.7780545591777</v>
      </c>
      <c r="S31" s="23">
        <f t="shared" ref="S31" si="23">S30</f>
        <v>0.69999999999999973</v>
      </c>
      <c r="T31" s="24"/>
      <c r="U31" s="35">
        <v>1319.7421625685781</v>
      </c>
      <c r="V31" s="23">
        <f t="shared" si="1"/>
        <v>0.5</v>
      </c>
      <c r="W31" s="24"/>
      <c r="X31" s="252">
        <f t="shared" si="2"/>
        <v>2244.7446381914237</v>
      </c>
      <c r="Y31" s="253">
        <f t="shared" si="3"/>
        <v>4.5177328353576067E-2</v>
      </c>
      <c r="Z31" s="24"/>
      <c r="AA31" s="252">
        <f t="shared" si="4"/>
        <v>659.87108128428906</v>
      </c>
      <c r="AB31" s="253">
        <f t="shared" si="5"/>
        <v>1.3280447139959899E-2</v>
      </c>
      <c r="AC31" s="24"/>
      <c r="AD31" s="810">
        <f t="shared" si="12"/>
        <v>3907.6688810668456</v>
      </c>
      <c r="AE31" s="273">
        <v>3907668881066.8457</v>
      </c>
      <c r="AG31" s="99"/>
      <c r="AH31" s="100"/>
      <c r="AI31" s="100"/>
    </row>
    <row r="32" spans="1:35" ht="14.4" x14ac:dyDescent="0.3">
      <c r="A32" s="2"/>
      <c r="B32" s="19">
        <f>'Urban Pass Adoption'!B31</f>
        <v>50841.012954346224</v>
      </c>
      <c r="C32" s="19">
        <f>'Nonurban Pass Adoption'!B31</f>
        <v>46475.857809981047</v>
      </c>
      <c r="D32" s="2"/>
      <c r="E32" s="19">
        <f>B32*(1-'Urban Pass Adoption'!H31-'Urban Pass Adoption'!K31-'Urban Pass Adoption'!N31-'Urban Pass Adoption'!Q31-$AA$2)</f>
        <v>25150.459322866525</v>
      </c>
      <c r="F32" s="19">
        <f>C32*(1-'Nonurban Pass Adoption'!H31-'Nonurban Pass Adoption'!K31-$AA$3-$AA$4-MAX($AA$5,'Nonurban Pass Adoption'!$N31))</f>
        <v>14191.949650652881</v>
      </c>
      <c r="G32" s="20"/>
      <c r="H32" s="19">
        <f t="shared" si="6"/>
        <v>16780.072079475005</v>
      </c>
      <c r="I32" s="21">
        <f t="shared" si="7"/>
        <v>0.66718749999999982</v>
      </c>
      <c r="J32" s="22"/>
      <c r="K32" s="19">
        <f t="shared" si="8"/>
        <v>12438.127358167285</v>
      </c>
      <c r="L32" s="21">
        <f t="shared" si="9"/>
        <v>0.87642132788958182</v>
      </c>
      <c r="M32" s="257"/>
      <c r="N32" s="14">
        <v>2035</v>
      </c>
      <c r="O32" s="257"/>
      <c r="P32" s="35">
        <v>8370.3872433915203</v>
      </c>
      <c r="Q32" s="24"/>
      <c r="R32" s="35">
        <v>3565.8181362027276</v>
      </c>
      <c r="S32" s="23">
        <f t="shared" ref="S32" si="24">S31</f>
        <v>0.69999999999999973</v>
      </c>
      <c r="T32" s="24"/>
      <c r="U32" s="35">
        <v>1368.1537032495548</v>
      </c>
      <c r="V32" s="23">
        <f t="shared" si="1"/>
        <v>0.5</v>
      </c>
      <c r="W32" s="24"/>
      <c r="X32" s="252">
        <f t="shared" si="2"/>
        <v>2496.0726953419085</v>
      </c>
      <c r="Y32" s="253">
        <f t="shared" si="3"/>
        <v>4.9095652314860648E-2</v>
      </c>
      <c r="Z32" s="24"/>
      <c r="AA32" s="252">
        <f t="shared" si="4"/>
        <v>684.07685162477742</v>
      </c>
      <c r="AB32" s="253">
        <f t="shared" si="5"/>
        <v>1.3455216799851311E-2</v>
      </c>
      <c r="AC32" s="24"/>
      <c r="AD32" s="810">
        <f t="shared" si="12"/>
        <v>4256.459696886689</v>
      </c>
      <c r="AE32" s="273">
        <v>4256459696886.6895</v>
      </c>
      <c r="AG32" s="99"/>
      <c r="AH32" s="100"/>
      <c r="AI32" s="100"/>
    </row>
    <row r="33" spans="1:35" ht="14.4" x14ac:dyDescent="0.3">
      <c r="A33" s="2"/>
      <c r="B33" s="19">
        <f>'Urban Pass Adoption'!B32</f>
        <v>52046.039805783817</v>
      </c>
      <c r="C33" s="19">
        <f>'Nonurban Pass Adoption'!B32</f>
        <v>47613.950601827237</v>
      </c>
      <c r="D33" s="2"/>
      <c r="E33" s="19">
        <f>B33*(1-'Urban Pass Adoption'!H32-'Urban Pass Adoption'!K32-'Urban Pass Adoption'!N32-'Urban Pass Adoption'!Q32-$AA$2)</f>
        <v>25840.152933238784</v>
      </c>
      <c r="F33" s="19">
        <f>C33*(1-'Nonurban Pass Adoption'!H32-'Nonurban Pass Adoption'!K32-$AA$3-$AA$4-MAX($AA$5,'Nonurban Pass Adoption'!$N32))</f>
        <v>14191.946585346954</v>
      </c>
      <c r="G33" s="20"/>
      <c r="H33" s="19">
        <f t="shared" si="6"/>
        <v>17167.551605020533</v>
      </c>
      <c r="I33" s="21">
        <f t="shared" si="7"/>
        <v>0.6643750000000006</v>
      </c>
      <c r="J33" s="22"/>
      <c r="K33" s="19">
        <f t="shared" si="8"/>
        <v>12297.569360544323</v>
      </c>
      <c r="L33" s="21">
        <f t="shared" si="9"/>
        <v>0.86651744963875799</v>
      </c>
      <c r="M33" s="257"/>
      <c r="N33" s="14">
        <v>2036</v>
      </c>
      <c r="O33" s="257"/>
      <c r="P33" s="35">
        <v>8672.6013282182521</v>
      </c>
      <c r="Q33" s="24"/>
      <c r="R33" s="35">
        <v>3946.6044527035779</v>
      </c>
      <c r="S33" s="23">
        <f t="shared" ref="S33" si="25">S32</f>
        <v>0.69999999999999973</v>
      </c>
      <c r="T33" s="24"/>
      <c r="U33" s="35">
        <v>1420.7917779831116</v>
      </c>
      <c r="V33" s="23">
        <f t="shared" si="1"/>
        <v>0.5</v>
      </c>
      <c r="W33" s="24"/>
      <c r="X33" s="252">
        <f t="shared" si="2"/>
        <v>2762.6231168925033</v>
      </c>
      <c r="Y33" s="253">
        <f t="shared" si="3"/>
        <v>5.3080371286683296E-2</v>
      </c>
      <c r="Z33" s="24"/>
      <c r="AA33" s="252">
        <f t="shared" si="4"/>
        <v>710.39588899155581</v>
      </c>
      <c r="AB33" s="253">
        <f t="shared" si="5"/>
        <v>1.3649374508463761E-2</v>
      </c>
      <c r="AC33" s="24"/>
      <c r="AD33" s="810">
        <f t="shared" si="12"/>
        <v>4619.0112536269171</v>
      </c>
      <c r="AE33" s="273">
        <v>4619011253626.917</v>
      </c>
      <c r="AG33" s="99"/>
      <c r="AH33" s="100"/>
      <c r="AI33" s="100"/>
    </row>
    <row r="34" spans="1:35" ht="14.4" x14ac:dyDescent="0.3">
      <c r="A34" s="2"/>
      <c r="B34" s="19">
        <f>'Urban Pass Adoption'!B33</f>
        <v>53258.618900917121</v>
      </c>
      <c r="C34" s="19">
        <f>'Nonurban Pass Adoption'!B33</f>
        <v>48769.357016203649</v>
      </c>
      <c r="D34" s="2"/>
      <c r="E34" s="19">
        <f>B34*(1-'Urban Pass Adoption'!H33-'Urban Pass Adoption'!K33-'Urban Pass Adoption'!N33-'Urban Pass Adoption'!Q33-$AA$2)</f>
        <v>26520.270103371797</v>
      </c>
      <c r="F34" s="19">
        <f>C34*(1-'Nonurban Pass Adoption'!H33-'Nonurban Pass Adoption'!K33-$AA$3-$AA$4-MAX($AA$5,'Nonurban Pass Adoption'!$N33))</f>
        <v>14191.128392843759</v>
      </c>
      <c r="G34" s="20"/>
      <c r="H34" s="19">
        <f t="shared" si="6"/>
        <v>17544.816190261918</v>
      </c>
      <c r="I34" s="21">
        <f t="shared" si="7"/>
        <v>0.6615625000000005</v>
      </c>
      <c r="J34" s="22"/>
      <c r="K34" s="19">
        <f t="shared" si="8"/>
        <v>12147.068873295715</v>
      </c>
      <c r="L34" s="21">
        <f t="shared" si="9"/>
        <v>0.85596215727434233</v>
      </c>
      <c r="M34" s="257"/>
      <c r="N34" s="14">
        <v>2037</v>
      </c>
      <c r="O34" s="257"/>
      <c r="P34" s="35">
        <v>8975.4539131098791</v>
      </c>
      <c r="Q34" s="24"/>
      <c r="R34" s="35">
        <v>4349.5050076925427</v>
      </c>
      <c r="S34" s="23">
        <f t="shared" ref="S34" si="26">S33</f>
        <v>0.69999999999999973</v>
      </c>
      <c r="T34" s="24"/>
      <c r="U34" s="35">
        <v>1478.4160344805603</v>
      </c>
      <c r="V34" s="23">
        <f t="shared" si="1"/>
        <v>0.5</v>
      </c>
      <c r="W34" s="24"/>
      <c r="X34" s="252">
        <f t="shared" si="2"/>
        <v>3044.6535053847788</v>
      </c>
      <c r="Y34" s="253">
        <f t="shared" si="3"/>
        <v>5.7167338699658794E-2</v>
      </c>
      <c r="Z34" s="24"/>
      <c r="AA34" s="252">
        <f t="shared" si="4"/>
        <v>739.20801724028013</v>
      </c>
      <c r="AB34" s="253">
        <f t="shared" si="5"/>
        <v>1.3879594185788225E-2</v>
      </c>
      <c r="AC34" s="24"/>
      <c r="AD34" s="810">
        <f t="shared" si="12"/>
        <v>4995.0871705096661</v>
      </c>
      <c r="AE34" s="273">
        <v>4995087170509.666</v>
      </c>
      <c r="AG34" s="99"/>
      <c r="AH34" s="100"/>
      <c r="AI34" s="100"/>
    </row>
    <row r="35" spans="1:35" ht="14.4" x14ac:dyDescent="0.3">
      <c r="A35" s="2"/>
      <c r="B35" s="19">
        <f>'Urban Pass Adoption'!B34</f>
        <v>54494.926096628529</v>
      </c>
      <c r="C35" s="19">
        <f>'Nonurban Pass Adoption'!B34</f>
        <v>49942.183216548918</v>
      </c>
      <c r="D35" s="2"/>
      <c r="E35" s="19">
        <f>B35*(1-'Urban Pass Adoption'!H34-'Urban Pass Adoption'!K34-'Urban Pass Adoption'!N34-'Urban Pass Adoption'!Q34-$AA$2)</f>
        <v>27218.877742009878</v>
      </c>
      <c r="F35" s="19">
        <f>C35*(1-'Nonurban Pass Adoption'!H34-'Nonurban Pass Adoption'!K34-$AA$3-$AA$4-MAX($AA$5,'Nonurban Pass Adoption'!$N34))</f>
        <v>14189.381130651082</v>
      </c>
      <c r="G35" s="20"/>
      <c r="H35" s="19">
        <f t="shared" si="6"/>
        <v>17930.435712549017</v>
      </c>
      <c r="I35" s="21">
        <f t="shared" si="7"/>
        <v>0.65875000000000039</v>
      </c>
      <c r="J35" s="22"/>
      <c r="K35" s="19">
        <f t="shared" si="8"/>
        <v>11986.021728984344</v>
      </c>
      <c r="L35" s="21">
        <f t="shared" si="9"/>
        <v>0.84471772367103681</v>
      </c>
      <c r="M35" s="257"/>
      <c r="N35" s="14">
        <v>2038</v>
      </c>
      <c r="O35" s="257"/>
      <c r="P35" s="35">
        <v>9288.4420294608608</v>
      </c>
      <c r="Q35" s="24"/>
      <c r="R35" s="35">
        <v>4774.8878048004353</v>
      </c>
      <c r="S35" s="23">
        <f t="shared" ref="S35" si="27">S34</f>
        <v>0.69999999999999973</v>
      </c>
      <c r="T35" s="24"/>
      <c r="U35" s="35">
        <v>1541.7861204532123</v>
      </c>
      <c r="V35" s="23">
        <f t="shared" si="1"/>
        <v>0.5</v>
      </c>
      <c r="W35" s="24"/>
      <c r="X35" s="252">
        <f t="shared" si="2"/>
        <v>3342.4214633603033</v>
      </c>
      <c r="Y35" s="253">
        <f t="shared" si="3"/>
        <v>6.1334544383703477E-2</v>
      </c>
      <c r="Z35" s="24"/>
      <c r="AA35" s="252">
        <f t="shared" si="4"/>
        <v>770.89306022660617</v>
      </c>
      <c r="AB35" s="253">
        <f t="shared" si="5"/>
        <v>1.4146143787032302E-2</v>
      </c>
      <c r="AC35" s="24"/>
      <c r="AD35" s="810">
        <f t="shared" si="12"/>
        <v>5384.4510667570758</v>
      </c>
      <c r="AE35" s="273">
        <v>5384451066757.0762</v>
      </c>
      <c r="AG35" s="99"/>
      <c r="AH35" s="100"/>
      <c r="AI35" s="100"/>
    </row>
    <row r="36" spans="1:35" ht="14.4" x14ac:dyDescent="0.3">
      <c r="A36" s="2"/>
      <c r="B36" s="19">
        <f>'Urban Pass Adoption'!B35</f>
        <v>55755.934649449395</v>
      </c>
      <c r="C36" s="19">
        <f>'Nonurban Pass Adoption'!B35</f>
        <v>51132.381094602591</v>
      </c>
      <c r="D36" s="2"/>
      <c r="E36" s="19">
        <f>B36*(1-'Urban Pass Adoption'!H35-'Urban Pass Adoption'!K35-'Urban Pass Adoption'!N35-'Urban Pass Adoption'!Q35-$AA$2)</f>
        <v>27936.358875617902</v>
      </c>
      <c r="F36" s="19">
        <f>C36*(1-'Nonurban Pass Adoption'!H35-'Nonurban Pass Adoption'!K35-$AA$3-$AA$4-MAX($AA$5,'Nonurban Pass Adoption'!$N35))</f>
        <v>14266.000794491349</v>
      </c>
      <c r="G36" s="20"/>
      <c r="H36" s="19">
        <f t="shared" si="6"/>
        <v>18324.505399975624</v>
      </c>
      <c r="I36" s="21">
        <f t="shared" si="7"/>
        <v>0.65593750000000028</v>
      </c>
      <c r="J36" s="22"/>
      <c r="K36" s="19">
        <f t="shared" si="8"/>
        <v>11893.233698387738</v>
      </c>
      <c r="L36" s="21">
        <f t="shared" si="9"/>
        <v>0.83367678648806554</v>
      </c>
      <c r="M36" s="257"/>
      <c r="N36" s="14">
        <v>2039</v>
      </c>
      <c r="O36" s="257"/>
      <c r="P36" s="35">
        <v>9611.8534756422778</v>
      </c>
      <c r="Q36" s="24"/>
      <c r="R36" s="35">
        <v>5223.1208476580669</v>
      </c>
      <c r="S36" s="23">
        <f t="shared" ref="S36" si="28">S35</f>
        <v>0.69999999999999973</v>
      </c>
      <c r="T36" s="24"/>
      <c r="U36" s="35">
        <v>1611.6616836123792</v>
      </c>
      <c r="V36" s="23">
        <f t="shared" si="1"/>
        <v>0.5</v>
      </c>
      <c r="W36" s="24"/>
      <c r="X36" s="252">
        <f t="shared" si="2"/>
        <v>3656.1845933606455</v>
      </c>
      <c r="Y36" s="253">
        <f t="shared" si="3"/>
        <v>6.5574805917037057E-2</v>
      </c>
      <c r="Z36" s="24"/>
      <c r="AA36" s="252">
        <f t="shared" si="4"/>
        <v>805.8308418061896</v>
      </c>
      <c r="AB36" s="253">
        <f t="shared" si="5"/>
        <v>1.445282635602177E-2</v>
      </c>
      <c r="AC36" s="24"/>
      <c r="AD36" s="810">
        <f t="shared" si="12"/>
        <v>5786.8665615912851</v>
      </c>
      <c r="AE36" s="273">
        <v>5786866561591.2852</v>
      </c>
      <c r="AG36" s="99"/>
      <c r="AH36" s="100"/>
      <c r="AI36" s="100"/>
    </row>
    <row r="37" spans="1:35" ht="14.4" x14ac:dyDescent="0.3">
      <c r="A37" s="2"/>
      <c r="B37" s="19">
        <f>'Urban Pass Adoption'!B36</f>
        <v>57039.963217901495</v>
      </c>
      <c r="C37" s="19">
        <f>'Nonurban Pass Adoption'!B36</f>
        <v>52339.948153113881</v>
      </c>
      <c r="D37" s="2"/>
      <c r="E37" s="19">
        <f>B37*(1-'Urban Pass Adoption'!H36-'Urban Pass Adoption'!K36-'Urban Pass Adoption'!N36-'Urban Pass Adoption'!Q36-$AA$2)</f>
        <v>28689.651206741459</v>
      </c>
      <c r="F37" s="19">
        <f>C37*(1-'Nonurban Pass Adoption'!H36-'Nonurban Pass Adoption'!K36-$AA$3-$AA$4-MAX($AA$5,'Nonurban Pass Adoption'!$N36))</f>
        <v>14421.444310500779</v>
      </c>
      <c r="G37" s="20"/>
      <c r="H37" s="19">
        <f t="shared" si="6"/>
        <v>18737.92844440302</v>
      </c>
      <c r="I37" s="21">
        <f t="shared" si="7"/>
        <v>0.65312500000000018</v>
      </c>
      <c r="J37" s="22"/>
      <c r="K37" s="19">
        <f t="shared" si="8"/>
        <v>11868.671482697217</v>
      </c>
      <c r="L37" s="21">
        <f t="shared" si="9"/>
        <v>0.82298771379335456</v>
      </c>
      <c r="M37" s="257"/>
      <c r="N37" s="14">
        <v>2040</v>
      </c>
      <c r="O37" s="257"/>
      <c r="P37" s="35">
        <v>9951.722762338437</v>
      </c>
      <c r="Q37" s="24"/>
      <c r="R37" s="35">
        <v>5694.5721398962514</v>
      </c>
      <c r="S37" s="23">
        <f t="shared" ref="S37" si="29">S36</f>
        <v>0.69999999999999973</v>
      </c>
      <c r="T37" s="24"/>
      <c r="U37" s="35">
        <v>1688.8023716693722</v>
      </c>
      <c r="V37" s="23">
        <f t="shared" si="1"/>
        <v>0.5</v>
      </c>
      <c r="W37" s="24"/>
      <c r="X37" s="252">
        <f t="shared" si="2"/>
        <v>3986.2004979273743</v>
      </c>
      <c r="Y37" s="253">
        <f t="shared" si="3"/>
        <v>6.9884345519289182E-2</v>
      </c>
      <c r="Z37" s="24"/>
      <c r="AA37" s="252">
        <f t="shared" si="4"/>
        <v>844.40118583468609</v>
      </c>
      <c r="AB37" s="253">
        <f t="shared" si="5"/>
        <v>1.4803676899456312E-2</v>
      </c>
      <c r="AC37" s="24"/>
      <c r="AD37" s="810">
        <f t="shared" si="12"/>
        <v>6202.0972742344329</v>
      </c>
      <c r="AE37" s="273">
        <v>6202097274234.4326</v>
      </c>
      <c r="AG37" s="99"/>
      <c r="AH37" s="100"/>
      <c r="AI37" s="100"/>
    </row>
    <row r="38" spans="1:35" ht="14.4" x14ac:dyDescent="0.3">
      <c r="A38" s="2"/>
      <c r="B38" s="19">
        <f>'Urban Pass Adoption'!B37</f>
        <v>58356.304790103561</v>
      </c>
      <c r="C38" s="19">
        <f>'Nonurban Pass Adoption'!B37</f>
        <v>53565.078261454386</v>
      </c>
      <c r="D38" s="2"/>
      <c r="E38" s="19">
        <f>B38*(1-'Urban Pass Adoption'!H37-'Urban Pass Adoption'!K37-'Urban Pass Adoption'!N37-'Urban Pass Adoption'!Q37-$AA$2)</f>
        <v>29429.778010582271</v>
      </c>
      <c r="F38" s="19">
        <f>C38*(1-'Nonurban Pass Adoption'!H37-'Nonurban Pass Adoption'!K37-$AA$3-$AA$4-MAX($AA$5,'Nonurban Pass Adoption'!$N37))</f>
        <v>14723.276067854158</v>
      </c>
      <c r="G38" s="20"/>
      <c r="H38" s="19">
        <f t="shared" si="6"/>
        <v>19138.552512506787</v>
      </c>
      <c r="I38" s="21">
        <f t="shared" si="7"/>
        <v>0.65031250000000018</v>
      </c>
      <c r="J38" s="22"/>
      <c r="K38" s="19">
        <f t="shared" si="8"/>
        <v>11979.409246142664</v>
      </c>
      <c r="L38" s="21">
        <f t="shared" si="9"/>
        <v>0.81363748060784691</v>
      </c>
      <c r="M38" s="257"/>
      <c r="N38" s="14">
        <v>2041</v>
      </c>
      <c r="O38" s="257"/>
      <c r="P38" s="35">
        <v>10291.225498075484</v>
      </c>
      <c r="Q38" s="24"/>
      <c r="R38" s="35">
        <v>6189.6096851458024</v>
      </c>
      <c r="S38" s="23">
        <f t="shared" ref="S38" si="30">S37</f>
        <v>0.69999999999999973</v>
      </c>
      <c r="T38" s="24"/>
      <c r="U38" s="35">
        <v>1773.9678323355033</v>
      </c>
      <c r="V38" s="23">
        <f t="shared" si="1"/>
        <v>0.5</v>
      </c>
      <c r="W38" s="24"/>
      <c r="X38" s="252">
        <f t="shared" si="2"/>
        <v>4332.7267796020597</v>
      </c>
      <c r="Y38" s="253">
        <f t="shared" si="3"/>
        <v>7.4246078383236352E-2</v>
      </c>
      <c r="Z38" s="24"/>
      <c r="AA38" s="252">
        <f t="shared" si="4"/>
        <v>886.98391616775166</v>
      </c>
      <c r="AB38" s="253">
        <f t="shared" si="5"/>
        <v>1.5199453072946664E-2</v>
      </c>
      <c r="AC38" s="24"/>
      <c r="AD38" s="810">
        <f t="shared" si="12"/>
        <v>6629.9068239086555</v>
      </c>
      <c r="AE38" s="273">
        <v>6629906823908.6553</v>
      </c>
      <c r="AG38" s="99"/>
      <c r="AH38" s="100"/>
      <c r="AI38" s="100"/>
    </row>
    <row r="39" spans="1:35" ht="14.4" x14ac:dyDescent="0.3">
      <c r="A39" s="2"/>
      <c r="B39" s="19">
        <f>'Urban Pass Adoption'!B38</f>
        <v>59698.163966034866</v>
      </c>
      <c r="C39" s="19">
        <f>'Nonurban Pass Adoption'!B38</f>
        <v>54808.054221713071</v>
      </c>
      <c r="D39" s="2"/>
      <c r="E39" s="19">
        <f>B39*(1-'Urban Pass Adoption'!H38-'Urban Pass Adoption'!K38-'Urban Pass Adoption'!N38-'Urban Pass Adoption'!Q38-$AA$2)</f>
        <v>30206.95315717901</v>
      </c>
      <c r="F39" s="19">
        <f>C39*(1-'Nonurban Pass Adoption'!H38-'Nonurban Pass Adoption'!K38-$AA$3-$AA$4-MAX($AA$5,'Nonurban Pass Adoption'!$N38))</f>
        <v>15073.418085824991</v>
      </c>
      <c r="G39" s="20"/>
      <c r="H39" s="19">
        <f t="shared" si="6"/>
        <v>19559.002169273408</v>
      </c>
      <c r="I39" s="21">
        <f t="shared" si="7"/>
        <v>0.64749999999999996</v>
      </c>
      <c r="J39" s="22"/>
      <c r="K39" s="19">
        <f t="shared" si="8"/>
        <v>12126.878783052687</v>
      </c>
      <c r="L39" s="21">
        <f t="shared" si="9"/>
        <v>0.80452082692888194</v>
      </c>
      <c r="M39" s="257"/>
      <c r="N39" s="14">
        <v>2042</v>
      </c>
      <c r="O39" s="257"/>
      <c r="P39" s="35">
        <v>10647.950987905604</v>
      </c>
      <c r="Q39" s="24"/>
      <c r="R39" s="35">
        <v>6708.601487037532</v>
      </c>
      <c r="S39" s="23">
        <f t="shared" ref="S39" si="31">S38</f>
        <v>0.69999999999999973</v>
      </c>
      <c r="T39" s="24"/>
      <c r="U39" s="35">
        <v>1867.9177133220844</v>
      </c>
      <c r="V39" s="23">
        <f t="shared" si="1"/>
        <v>0.5</v>
      </c>
      <c r="W39" s="24"/>
      <c r="X39" s="252">
        <f t="shared" si="2"/>
        <v>4696.0210409262709</v>
      </c>
      <c r="Y39" s="253">
        <f t="shared" si="3"/>
        <v>7.8662738163908383E-2</v>
      </c>
      <c r="Z39" s="24"/>
      <c r="AA39" s="252">
        <f t="shared" si="4"/>
        <v>933.9588566610422</v>
      </c>
      <c r="AB39" s="253">
        <f t="shared" si="5"/>
        <v>1.5644683095989619E-2</v>
      </c>
      <c r="AC39" s="24"/>
      <c r="AD39" s="810">
        <f t="shared" si="12"/>
        <v>5847.806837756606</v>
      </c>
      <c r="AE39" s="273">
        <v>5847806837756.6064</v>
      </c>
      <c r="AG39" s="99"/>
      <c r="AH39" s="100"/>
      <c r="AI39" s="100"/>
    </row>
    <row r="40" spans="1:35" ht="14.4" x14ac:dyDescent="0.3">
      <c r="A40" s="2"/>
      <c r="B40" s="19">
        <f>'Urban Pass Adoption'!B39</f>
        <v>61069.375601501466</v>
      </c>
      <c r="C40" s="19">
        <f>'Nonurban Pass Adoption'!B39</f>
        <v>56069.020982361581</v>
      </c>
      <c r="D40" s="2"/>
      <c r="E40" s="19">
        <f>B40*(1-'Urban Pass Adoption'!H39-'Urban Pass Adoption'!K39-'Urban Pass Adoption'!N39-'Urban Pass Adoption'!Q39-$AA$2)</f>
        <v>31005.181954132266</v>
      </c>
      <c r="F40" s="19">
        <f>C40*(1-'Nonurban Pass Adoption'!H39-'Nonurban Pass Adoption'!K39-$AA$3-$AA$4-MAX($AA$5,'Nonurban Pass Adoption'!$N39))</f>
        <v>15467.985635891255</v>
      </c>
      <c r="G40" s="20"/>
      <c r="H40" s="19">
        <f t="shared" si="6"/>
        <v>19988.653241054642</v>
      </c>
      <c r="I40" s="21">
        <f t="shared" si="7"/>
        <v>0.64468749999999997</v>
      </c>
      <c r="J40" s="22"/>
      <c r="K40" s="19">
        <f t="shared" si="8"/>
        <v>12306.705139960362</v>
      </c>
      <c r="L40" s="21">
        <f t="shared" si="9"/>
        <v>0.79562429327606876</v>
      </c>
      <c r="M40" s="257"/>
      <c r="N40" s="14">
        <v>2043</v>
      </c>
      <c r="O40" s="257"/>
      <c r="P40" s="35">
        <v>11016.528713077625</v>
      </c>
      <c r="Q40" s="24"/>
      <c r="R40" s="35">
        <v>7251.9155492022528</v>
      </c>
      <c r="S40" s="23">
        <f t="shared" ref="S40" si="32">S39</f>
        <v>0.69999999999999973</v>
      </c>
      <c r="T40" s="24"/>
      <c r="U40" s="35">
        <v>1971.4116623404273</v>
      </c>
      <c r="V40" s="23">
        <f t="shared" si="1"/>
        <v>0.5</v>
      </c>
      <c r="W40" s="24"/>
      <c r="X40" s="252">
        <f t="shared" si="2"/>
        <v>5076.3408844415753</v>
      </c>
      <c r="Y40" s="253">
        <f t="shared" si="3"/>
        <v>8.3124165499356556E-2</v>
      </c>
      <c r="Z40" s="24"/>
      <c r="AA40" s="252">
        <f t="shared" si="4"/>
        <v>985.70583117021363</v>
      </c>
      <c r="AB40" s="253">
        <f t="shared" si="5"/>
        <v>1.6140755025927902E-2</v>
      </c>
      <c r="AC40" s="24"/>
      <c r="AD40" s="810">
        <f t="shared" si="12"/>
        <v>4798.2741371303709</v>
      </c>
      <c r="AE40" s="273">
        <v>4798274137130.3711</v>
      </c>
      <c r="AG40" s="99"/>
      <c r="AH40" s="100"/>
      <c r="AI40" s="100"/>
    </row>
    <row r="41" spans="1:35" ht="14.4" x14ac:dyDescent="0.3">
      <c r="A41" s="2"/>
      <c r="B41" s="19">
        <f>'Urban Pass Adoption'!B40</f>
        <v>62471.060353448425</v>
      </c>
      <c r="C41" s="19">
        <f>'Nonurban Pass Adoption'!B40</f>
        <v>57348.114144943684</v>
      </c>
      <c r="D41" s="2"/>
      <c r="E41" s="19">
        <f>B41*(1-'Urban Pass Adoption'!H40-'Urban Pass Adoption'!K40-'Urban Pass Adoption'!N40-'Urban Pass Adoption'!Q40-$AA$2)</f>
        <v>31824.973434706404</v>
      </c>
      <c r="F41" s="19">
        <f>C41*(1-'Nonurban Pass Adoption'!H40-'Nonurban Pass Adoption'!K40-$AA$3-$AA$4-MAX($AA$5,'Nonurban Pass Adoption'!$N40))</f>
        <v>15978.477583923546</v>
      </c>
      <c r="G41" s="20"/>
      <c r="H41" s="19">
        <f t="shared" si="6"/>
        <v>20427.654823402194</v>
      </c>
      <c r="I41" s="21">
        <f t="shared" si="7"/>
        <v>0.64187500000000064</v>
      </c>
      <c r="J41" s="22"/>
      <c r="K41" s="19">
        <f t="shared" si="8"/>
        <v>12589.896957791389</v>
      </c>
      <c r="L41" s="21">
        <f t="shared" si="9"/>
        <v>0.78792844259821626</v>
      </c>
      <c r="M41" s="257"/>
      <c r="N41" s="14">
        <v>2044</v>
      </c>
      <c r="O41" s="257"/>
      <c r="P41" s="35">
        <v>11397.31861130421</v>
      </c>
      <c r="Q41" s="24"/>
      <c r="R41" s="35">
        <v>7819.9198752707789</v>
      </c>
      <c r="S41" s="23">
        <f t="shared" ref="S41" si="33">S40</f>
        <v>0.69999999999999973</v>
      </c>
      <c r="T41" s="24"/>
      <c r="U41" s="35">
        <v>2085.209327101843</v>
      </c>
      <c r="V41" s="23">
        <f t="shared" ref="V41:V57" si="34">V40</f>
        <v>0.5</v>
      </c>
      <c r="W41" s="24"/>
      <c r="X41" s="252">
        <f t="shared" ref="X41:X57" si="35">R41*S41</f>
        <v>5473.9439126895431</v>
      </c>
      <c r="Y41" s="253">
        <f t="shared" si="3"/>
        <v>8.7623675374150736E-2</v>
      </c>
      <c r="Z41" s="24"/>
      <c r="AA41" s="252">
        <f t="shared" ref="AA41:AA57" si="36">U41*V41</f>
        <v>1042.6046635509215</v>
      </c>
      <c r="AB41" s="253">
        <f t="shared" si="5"/>
        <v>1.6689402383312825E-2</v>
      </c>
      <c r="AC41" s="24"/>
      <c r="AD41" s="810">
        <f t="shared" si="12"/>
        <v>3653.2720839314061</v>
      </c>
      <c r="AE41" s="273">
        <v>3653272083931.4063</v>
      </c>
      <c r="AG41" s="99"/>
      <c r="AH41" s="100"/>
      <c r="AI41" s="100"/>
    </row>
    <row r="42" spans="1:35" ht="14.4" x14ac:dyDescent="0.3">
      <c r="A42" s="2"/>
      <c r="B42" s="19">
        <f>'Urban Pass Adoption'!B41</f>
        <v>63948.823995163955</v>
      </c>
      <c r="C42" s="19">
        <f>'Nonurban Pass Adoption'!B41</f>
        <v>58645.452699874208</v>
      </c>
      <c r="D42" s="2"/>
      <c r="E42" s="19">
        <f>B42*(1-'Urban Pass Adoption'!H41-'Urban Pass Adoption'!K41-'Urban Pass Adoption'!N41-'Urban Pass Adoption'!Q41-$AA$2)</f>
        <v>32717.206419468068</v>
      </c>
      <c r="F42" s="19">
        <f>C42*(1-'Nonurban Pass Adoption'!H41-'Nonurban Pass Adoption'!K41-$AA$3-$AA$4-MAX($AA$5,'Nonurban Pass Adoption'!$N41))</f>
        <v>16492.258923631085</v>
      </c>
      <c r="G42" s="20"/>
      <c r="H42" s="19">
        <f t="shared" si="6"/>
        <v>20908.339727441329</v>
      </c>
      <c r="I42" s="21">
        <f t="shared" si="7"/>
        <v>0.63906250000000053</v>
      </c>
      <c r="J42" s="22"/>
      <c r="K42" s="19">
        <f t="shared" si="8"/>
        <v>12863.329005310085</v>
      </c>
      <c r="L42" s="21">
        <f t="shared" si="9"/>
        <v>0.77996162107779821</v>
      </c>
      <c r="M42" s="257"/>
      <c r="N42" s="14">
        <v>2045</v>
      </c>
      <c r="O42" s="257"/>
      <c r="P42" s="35">
        <v>11808.866692026739</v>
      </c>
      <c r="Q42" s="24"/>
      <c r="R42" s="35">
        <v>8412.9824688739209</v>
      </c>
      <c r="S42" s="23">
        <f t="shared" ref="S42" si="37">S41</f>
        <v>0.69999999999999973</v>
      </c>
      <c r="T42" s="24"/>
      <c r="U42" s="35">
        <v>2210.0703553176431</v>
      </c>
      <c r="V42" s="23">
        <f t="shared" si="34"/>
        <v>0.5</v>
      </c>
      <c r="W42" s="24"/>
      <c r="X42" s="252">
        <f t="shared" si="35"/>
        <v>5889.0877282117426</v>
      </c>
      <c r="Y42" s="253">
        <f t="shared" si="3"/>
        <v>9.2090633733266106E-2</v>
      </c>
      <c r="Z42" s="24"/>
      <c r="AA42" s="252">
        <f t="shared" si="36"/>
        <v>1105.0351776588216</v>
      </c>
      <c r="AB42" s="253">
        <f t="shared" si="5"/>
        <v>1.7279992165960524E-2</v>
      </c>
      <c r="AC42" s="24"/>
      <c r="AD42" s="810">
        <f t="shared" si="12"/>
        <v>3048.0830022383143</v>
      </c>
      <c r="AE42" s="273">
        <v>3048083002238.3145</v>
      </c>
      <c r="AG42" s="99"/>
      <c r="AH42" s="100"/>
      <c r="AI42" s="100"/>
    </row>
    <row r="43" spans="1:35" ht="14.4" x14ac:dyDescent="0.3">
      <c r="A43" s="2"/>
      <c r="B43" s="19">
        <f>'Urban Pass Adoption'!B42</f>
        <v>65370.246987819992</v>
      </c>
      <c r="C43" s="19">
        <f>'Nonurban Pass Adoption'!B42</f>
        <v>59961.168661590003</v>
      </c>
      <c r="D43" s="2"/>
      <c r="E43" s="19">
        <f>B43*(1-'Urban Pass Adoption'!H42-'Urban Pass Adoption'!K42-'Urban Pass Adoption'!N42-'Urban Pass Adoption'!Q42-$AA$2)</f>
        <v>33531.208047640488</v>
      </c>
      <c r="F43" s="19">
        <f>C43*(1-'Nonurban Pass Adoption'!H42-'Nonurban Pass Adoption'!K42-$AA$3-$AA$4-MAX($AA$5,'Nonurban Pass Adoption'!$N42))</f>
        <v>17009.231635457098</v>
      </c>
      <c r="G43" s="20"/>
      <c r="H43" s="19">
        <f t="shared" si="6"/>
        <v>21334.231120311277</v>
      </c>
      <c r="I43" s="21">
        <f t="shared" si="7"/>
        <v>0.63625000000000054</v>
      </c>
      <c r="J43" s="22"/>
      <c r="K43" s="19">
        <f t="shared" si="8"/>
        <v>13126.413038014776</v>
      </c>
      <c r="L43" s="21">
        <f t="shared" si="9"/>
        <v>0.7717228690478718</v>
      </c>
      <c r="M43" s="257"/>
      <c r="N43" s="14">
        <v>2046</v>
      </c>
      <c r="O43" s="257"/>
      <c r="P43" s="35">
        <v>12196.976927329213</v>
      </c>
      <c r="Q43" s="24"/>
      <c r="R43" s="35">
        <v>9031.4713336424975</v>
      </c>
      <c r="S43" s="23">
        <f t="shared" ref="S43" si="38">S42</f>
        <v>0.69999999999999973</v>
      </c>
      <c r="T43" s="24"/>
      <c r="U43" s="35">
        <v>2346.7543946991395</v>
      </c>
      <c r="V43" s="23">
        <f t="shared" si="34"/>
        <v>0.5</v>
      </c>
      <c r="W43" s="24"/>
      <c r="X43" s="252">
        <f t="shared" si="35"/>
        <v>6322.0299335497457</v>
      </c>
      <c r="Y43" s="253">
        <f t="shared" si="3"/>
        <v>9.6711122029685584E-2</v>
      </c>
      <c r="Z43" s="24"/>
      <c r="AA43" s="252">
        <f t="shared" si="36"/>
        <v>1173.3771973495698</v>
      </c>
      <c r="AB43" s="253">
        <f t="shared" si="5"/>
        <v>1.7949713385176553E-2</v>
      </c>
      <c r="AC43" s="24"/>
      <c r="AD43" s="810">
        <f t="shared" si="12"/>
        <v>1834.1005979937399</v>
      </c>
      <c r="AE43" s="273">
        <v>1834100597993.74</v>
      </c>
      <c r="AG43" s="99"/>
      <c r="AH43" s="100"/>
      <c r="AI43" s="100"/>
    </row>
    <row r="44" spans="1:35" ht="14.4" x14ac:dyDescent="0.3">
      <c r="A44" s="2"/>
      <c r="B44" s="19">
        <f>'Urban Pass Adoption'!B43</f>
        <v>66869.928517970024</v>
      </c>
      <c r="C44" s="19">
        <f>'Nonurban Pass Adoption'!B43</f>
        <v>61295.367493461941</v>
      </c>
      <c r="D44" s="2"/>
      <c r="E44" s="19">
        <f>B44*(1-'Urban Pass Adoption'!H43-'Urban Pass Adoption'!K43-'Urban Pass Adoption'!N43-'Urban Pass Adoption'!Q43-$AA$2)</f>
        <v>34418.616530557374</v>
      </c>
      <c r="F44" s="19">
        <f>C44*(1-'Nonurban Pass Adoption'!H43-'Nonurban Pass Adoption'!K43-$AA$3-$AA$4-MAX($AA$5,'Nonurban Pass Adoption'!$N43))</f>
        <v>17529.281424246481</v>
      </c>
      <c r="G44" s="20"/>
      <c r="H44" s="19">
        <f t="shared" si="6"/>
        <v>21802.042408574947</v>
      </c>
      <c r="I44" s="21">
        <f t="shared" si="7"/>
        <v>0.63343750000000032</v>
      </c>
      <c r="J44" s="22"/>
      <c r="K44" s="19">
        <f t="shared" si="8"/>
        <v>13378.544535805462</v>
      </c>
      <c r="L44" s="21">
        <f t="shared" si="9"/>
        <v>0.76321123564713134</v>
      </c>
      <c r="M44" s="257"/>
      <c r="N44" s="14">
        <v>2047</v>
      </c>
      <c r="O44" s="257"/>
      <c r="P44" s="35">
        <v>12616.574121982429</v>
      </c>
      <c r="Q44" s="24"/>
      <c r="R44" s="35">
        <v>9675.7544732073147</v>
      </c>
      <c r="S44" s="23">
        <f t="shared" ref="S44" si="39">S43</f>
        <v>0.69999999999999973</v>
      </c>
      <c r="T44" s="24"/>
      <c r="U44" s="35">
        <v>2496.0210929576442</v>
      </c>
      <c r="V44" s="23">
        <f t="shared" si="34"/>
        <v>0.5</v>
      </c>
      <c r="W44" s="24"/>
      <c r="X44" s="252">
        <f t="shared" si="35"/>
        <v>6773.0281312451179</v>
      </c>
      <c r="Y44" s="253">
        <f t="shared" si="3"/>
        <v>0.10128660642167421</v>
      </c>
      <c r="Z44" s="24"/>
      <c r="AA44" s="252">
        <f t="shared" si="36"/>
        <v>1248.0105464788221</v>
      </c>
      <c r="AB44" s="253">
        <f t="shared" si="5"/>
        <v>1.8663255279889272E-2</v>
      </c>
      <c r="AC44" s="24"/>
      <c r="AD44" s="810">
        <f t="shared" si="12"/>
        <v>1258.2443704440248</v>
      </c>
      <c r="AE44" s="273">
        <v>1258244370444.0247</v>
      </c>
      <c r="AG44" s="99"/>
      <c r="AH44" s="100"/>
      <c r="AI44" s="100"/>
    </row>
    <row r="45" spans="1:35" ht="14.4" x14ac:dyDescent="0.3">
      <c r="A45" s="2"/>
      <c r="B45" s="19">
        <f>'Urban Pass Adoption'!B44</f>
        <v>68404.362797849724</v>
      </c>
      <c r="C45" s="19">
        <f>'Nonurban Pass Adoption'!B44</f>
        <v>62648.097089823532</v>
      </c>
      <c r="D45" s="2"/>
      <c r="E45" s="19">
        <f>B45*(1-'Urban Pass Adoption'!H44-'Urban Pass Adoption'!K44-'Urban Pass Adoption'!N44-'Urban Pass Adoption'!Q44-$AA$2)</f>
        <v>35329.450298135249</v>
      </c>
      <c r="F45" s="19">
        <f>C45*(1-'Nonurban Pass Adoption'!H44-'Nonurban Pass Adoption'!K44-$AA$3-$AA$4-MAX($AA$5,'Nonurban Pass Adoption'!$N44))</f>
        <v>18052.258695692322</v>
      </c>
      <c r="G45" s="20"/>
      <c r="H45" s="19">
        <f t="shared" si="6"/>
        <v>22279.634594261548</v>
      </c>
      <c r="I45" s="21">
        <f t="shared" si="7"/>
        <v>0.63062500000000021</v>
      </c>
      <c r="J45" s="22"/>
      <c r="K45" s="19">
        <f t="shared" si="8"/>
        <v>13619.08367943033</v>
      </c>
      <c r="L45" s="21">
        <f t="shared" si="9"/>
        <v>0.75442546603213434</v>
      </c>
      <c r="M45" s="257"/>
      <c r="N45" s="14">
        <v>2048</v>
      </c>
      <c r="O45" s="257"/>
      <c r="P45" s="35">
        <v>13049.815703873701</v>
      </c>
      <c r="Q45" s="24"/>
      <c r="R45" s="35">
        <v>10346.199891199187</v>
      </c>
      <c r="S45" s="23">
        <f t="shared" ref="S45" si="40">S44</f>
        <v>0.69999999999999973</v>
      </c>
      <c r="T45" s="24"/>
      <c r="U45" s="35">
        <v>2658.6300978044674</v>
      </c>
      <c r="V45" s="23">
        <f t="shared" si="34"/>
        <v>0.5</v>
      </c>
      <c r="W45" s="24"/>
      <c r="X45" s="252">
        <f t="shared" si="35"/>
        <v>7242.3399238394277</v>
      </c>
      <c r="Y45" s="253">
        <f t="shared" si="3"/>
        <v>0.10587540951506516</v>
      </c>
      <c r="Z45" s="24"/>
      <c r="AA45" s="252">
        <f t="shared" si="36"/>
        <v>1329.3150489022337</v>
      </c>
      <c r="AB45" s="253">
        <f t="shared" si="5"/>
        <v>1.943319102073443E-2</v>
      </c>
      <c r="AC45" s="24"/>
      <c r="AD45" s="810">
        <f t="shared" si="12"/>
        <v>331.66302553296737</v>
      </c>
      <c r="AE45" s="273">
        <v>331663025532.96735</v>
      </c>
      <c r="AG45" s="99"/>
      <c r="AH45" s="100"/>
      <c r="AI45" s="100"/>
    </row>
    <row r="46" spans="1:35" ht="14.4" x14ac:dyDescent="0.3">
      <c r="A46" s="2"/>
      <c r="B46" s="19">
        <f>'Urban Pass Adoption'!B45</f>
        <v>69974.512495007628</v>
      </c>
      <c r="C46" s="19">
        <f>'Nonurban Pass Adoption'!B45</f>
        <v>64019.375866680086</v>
      </c>
      <c r="D46" s="2"/>
      <c r="E46" s="19">
        <f>B46*(1-'Urban Pass Adoption'!H45-'Urban Pass Adoption'!K45-'Urban Pass Adoption'!N45-'Urban Pass Adoption'!Q45-$AA$2)</f>
        <v>36264.083324735286</v>
      </c>
      <c r="F46" s="19">
        <f>C46*(1-'Nonurban Pass Adoption'!H45-'Nonurban Pass Adoption'!K45-$AA$3-$AA$4-MAX($AA$5,'Nonurban Pass Adoption'!$N45))</f>
        <v>18583.82429639568</v>
      </c>
      <c r="G46" s="20"/>
      <c r="H46" s="19">
        <f t="shared" si="6"/>
        <v>22767.044812310374</v>
      </c>
      <c r="I46" s="21">
        <f t="shared" si="7"/>
        <v>0.62781250000000011</v>
      </c>
      <c r="J46" s="22"/>
      <c r="K46" s="19">
        <f t="shared" si="8"/>
        <v>13853.201090545537</v>
      </c>
      <c r="L46" s="21">
        <f t="shared" si="9"/>
        <v>0.74544404152768251</v>
      </c>
      <c r="M46" s="257"/>
      <c r="N46" s="14">
        <v>2049</v>
      </c>
      <c r="O46" s="257"/>
      <c r="P46" s="35">
        <v>13497.038512424911</v>
      </c>
      <c r="Q46" s="24"/>
      <c r="R46" s="35">
        <v>11043.175591248928</v>
      </c>
      <c r="S46" s="23">
        <f t="shared" ref="S46" si="41">S45</f>
        <v>0.69999999999999973</v>
      </c>
      <c r="T46" s="24"/>
      <c r="U46" s="35">
        <v>2835.3410569509233</v>
      </c>
      <c r="V46" s="23">
        <f t="shared" si="34"/>
        <v>0.5</v>
      </c>
      <c r="W46" s="24"/>
      <c r="X46" s="252">
        <f t="shared" si="35"/>
        <v>7730.2229138742468</v>
      </c>
      <c r="Y46" s="253">
        <f t="shared" si="3"/>
        <v>0.1104719795572104</v>
      </c>
      <c r="Z46" s="24"/>
      <c r="AA46" s="252">
        <f t="shared" si="36"/>
        <v>1417.6705284754617</v>
      </c>
      <c r="AB46" s="253">
        <f t="shared" si="5"/>
        <v>2.0259812865100077E-2</v>
      </c>
      <c r="AC46" s="24"/>
      <c r="AD46" s="810">
        <f t="shared" si="12"/>
        <v>3.0922819860279499E-12</v>
      </c>
      <c r="AE46" s="273">
        <v>3.0922819860279499E-3</v>
      </c>
      <c r="AG46" s="99"/>
      <c r="AH46" s="100"/>
      <c r="AI46" s="100"/>
    </row>
    <row r="47" spans="1:35" ht="14.4" x14ac:dyDescent="0.3">
      <c r="A47" s="30"/>
      <c r="B47" s="19">
        <f>'Urban Pass Adoption'!B46</f>
        <v>71558.277761309873</v>
      </c>
      <c r="C47" s="19">
        <f>'Nonurban Pass Adoption'!B46</f>
        <v>65409.223775172293</v>
      </c>
      <c r="D47" s="30"/>
      <c r="E47" s="19">
        <f>B47*(1-'Urban Pass Adoption'!H46-'Urban Pass Adoption'!K46-'Urban Pass Adoption'!N46-'Urban Pass Adoption'!Q46-$AA$2)</f>
        <v>37192.934777069822</v>
      </c>
      <c r="F47" s="19">
        <f>C47*(1-'Nonurban Pass Adoption'!H46-'Nonurban Pass Adoption'!K46-$AA$3-$AA$4-MAX($AA$5,'Nonurban Pass Adoption'!$N46))</f>
        <v>19130.841814140527</v>
      </c>
      <c r="G47" s="31"/>
      <c r="H47" s="19">
        <f t="shared" si="6"/>
        <v>23245.584235668641</v>
      </c>
      <c r="I47" s="21">
        <f t="shared" si="7"/>
        <v>0.625</v>
      </c>
      <c r="J47" s="32"/>
      <c r="K47" s="19">
        <f t="shared" si="8"/>
        <v>14087.270131990157</v>
      </c>
      <c r="L47" s="21">
        <f t="shared" si="9"/>
        <v>0.73636436226123503</v>
      </c>
      <c r="M47" s="258"/>
      <c r="N47" s="259">
        <v>2050</v>
      </c>
      <c r="O47" s="258"/>
      <c r="P47" s="35">
        <v>13947.350541401183</v>
      </c>
      <c r="Q47" s="34"/>
      <c r="R47" s="35">
        <v>11767.049576987356</v>
      </c>
      <c r="S47" s="23">
        <f t="shared" ref="S47" si="42">S46</f>
        <v>0.69999999999999973</v>
      </c>
      <c r="T47" s="34"/>
      <c r="U47" s="35">
        <v>3026.9136181083218</v>
      </c>
      <c r="V47" s="23">
        <f t="shared" si="34"/>
        <v>0.5</v>
      </c>
      <c r="W47" s="34"/>
      <c r="X47" s="252">
        <f t="shared" si="35"/>
        <v>8236.9347038911455</v>
      </c>
      <c r="Y47" s="253">
        <f t="shared" si="3"/>
        <v>0.11510806242942716</v>
      </c>
      <c r="Z47" s="34"/>
      <c r="AA47" s="252">
        <f t="shared" si="36"/>
        <v>1513.4568090541609</v>
      </c>
      <c r="AB47" s="253">
        <f t="shared" si="5"/>
        <v>2.1149989301062478E-2</v>
      </c>
      <c r="AC47" s="34"/>
      <c r="AD47" s="810">
        <f t="shared" si="12"/>
        <v>3.0922819860279499E-12</v>
      </c>
      <c r="AE47" s="273">
        <v>3.0922819860279499E-3</v>
      </c>
      <c r="AG47" s="99"/>
      <c r="AH47" s="100"/>
      <c r="AI47" s="100"/>
    </row>
    <row r="48" spans="1:35" ht="14.4" x14ac:dyDescent="0.3">
      <c r="A48" s="2"/>
      <c r="B48" s="19">
        <f>'Urban Pass Adoption'!B47</f>
        <v>73225.821335686545</v>
      </c>
      <c r="C48" s="19">
        <f>'Nonurban Pass Adoption'!B47</f>
        <v>66817.712351729511</v>
      </c>
      <c r="D48" s="2"/>
      <c r="E48" s="19">
        <f>B48*(1-'Urban Pass Adoption'!H47-'Urban Pass Adoption'!K47-'Urban Pass Adoption'!N47-'Urban Pass Adoption'!Q47-$AA$2)</f>
        <v>38206.253759005718</v>
      </c>
      <c r="F48" s="19">
        <f>C48*(1-'Nonurban Pass Adoption'!H47-'Nonurban Pass Adoption'!K47-$AA$3-$AA$4-MAX($AA$5,'Nonurban Pass Adoption'!$N47))</f>
        <v>19692.247316448611</v>
      </c>
      <c r="G48" s="20"/>
      <c r="H48" s="19">
        <f t="shared" si="6"/>
        <v>23771.453510681367</v>
      </c>
      <c r="I48" s="21">
        <f t="shared" si="7"/>
        <v>0.62218749999999989</v>
      </c>
      <c r="J48" s="22"/>
      <c r="K48" s="19">
        <f t="shared" si="8"/>
        <v>14319.73664634104</v>
      </c>
      <c r="L48" s="21">
        <f t="shared" si="9"/>
        <v>0.72717635606678566</v>
      </c>
      <c r="M48" s="257"/>
      <c r="N48" s="14">
        <v>2051</v>
      </c>
      <c r="O48" s="257"/>
      <c r="P48" s="35">
        <v>14434.800248324351</v>
      </c>
      <c r="Q48" s="24"/>
      <c r="R48" s="35">
        <v>12518.189852045274</v>
      </c>
      <c r="S48" s="23">
        <f t="shared" ref="S48" si="43">S47</f>
        <v>0.69999999999999973</v>
      </c>
      <c r="T48" s="24"/>
      <c r="U48" s="35">
        <v>3234.107428987973</v>
      </c>
      <c r="V48" s="23">
        <f t="shared" si="34"/>
        <v>0.5</v>
      </c>
      <c r="W48" s="24"/>
      <c r="X48" s="252">
        <f t="shared" si="35"/>
        <v>8762.7328964316894</v>
      </c>
      <c r="Y48" s="253">
        <f t="shared" si="3"/>
        <v>0.11966725311637001</v>
      </c>
      <c r="Z48" s="24"/>
      <c r="AA48" s="252">
        <f t="shared" si="36"/>
        <v>1617.0537144939865</v>
      </c>
      <c r="AB48" s="253">
        <f t="shared" si="5"/>
        <v>2.2083107911906982E-2</v>
      </c>
      <c r="AC48" s="24"/>
      <c r="AD48" s="810">
        <f t="shared" si="12"/>
        <v>3.0922819860279499E-12</v>
      </c>
      <c r="AE48" s="273">
        <v>3.0922819860279499E-3</v>
      </c>
      <c r="AG48" s="99"/>
      <c r="AH48" s="100"/>
      <c r="AI48" s="100"/>
    </row>
    <row r="49" spans="1:35" ht="14.4" x14ac:dyDescent="0.3">
      <c r="A49" s="2"/>
      <c r="B49" s="19">
        <f>'Urban Pass Adoption'!B48</f>
        <v>74908.974819260009</v>
      </c>
      <c r="C49" s="19">
        <f>'Nonurban Pass Adoption'!B48</f>
        <v>68244.917949708921</v>
      </c>
      <c r="D49" s="2"/>
      <c r="E49" s="19">
        <f>B49*(1-'Urban Pass Adoption'!H48-'Urban Pass Adoption'!K48-'Urban Pass Adoption'!N48-'Urban Pass Adoption'!Q48-$AA$2)</f>
        <v>39214.598105012905</v>
      </c>
      <c r="F49" s="19">
        <f>C49*(1-'Nonurban Pass Adoption'!H48-'Nonurban Pass Adoption'!K48-$AA$3-$AA$4-MAX($AA$5,'Nonurban Pass Adoption'!$N48))</f>
        <v>20262.943452894313</v>
      </c>
      <c r="G49" s="20"/>
      <c r="H49" s="19">
        <f t="shared" si="6"/>
        <v>24288.541701292361</v>
      </c>
      <c r="I49" s="21">
        <f t="shared" si="7"/>
        <v>0.61937499999999979</v>
      </c>
      <c r="J49" s="22"/>
      <c r="K49" s="19">
        <f t="shared" si="8"/>
        <v>14545.013058227663</v>
      </c>
      <c r="L49" s="21">
        <f t="shared" si="9"/>
        <v>0.71781343574494783</v>
      </c>
      <c r="M49" s="257"/>
      <c r="N49" s="14">
        <v>2052</v>
      </c>
      <c r="O49" s="257"/>
      <c r="P49" s="35">
        <v>14926.056403720544</v>
      </c>
      <c r="Q49" s="24"/>
      <c r="R49" s="35">
        <v>13296.9644200535</v>
      </c>
      <c r="S49" s="23">
        <f t="shared" ref="S49" si="44">S48</f>
        <v>0.69999999999999973</v>
      </c>
      <c r="T49" s="24"/>
      <c r="U49" s="35">
        <v>3457.6821373011908</v>
      </c>
      <c r="V49" s="23">
        <f t="shared" si="34"/>
        <v>0.5</v>
      </c>
      <c r="W49" s="24"/>
      <c r="X49" s="252">
        <f t="shared" si="35"/>
        <v>9307.8750940374466</v>
      </c>
      <c r="Y49" s="253">
        <f t="shared" si="3"/>
        <v>0.12425580668398466</v>
      </c>
      <c r="Z49" s="24"/>
      <c r="AA49" s="252">
        <f t="shared" si="36"/>
        <v>1728.8410686505954</v>
      </c>
      <c r="AB49" s="253">
        <f t="shared" si="5"/>
        <v>2.3079224790112724E-2</v>
      </c>
      <c r="AC49" s="24"/>
      <c r="AD49" s="810">
        <f t="shared" si="12"/>
        <v>3.0922819860279499E-12</v>
      </c>
      <c r="AE49" s="273">
        <v>3.0922819860279499E-3</v>
      </c>
      <c r="AG49" s="99"/>
      <c r="AH49" s="100"/>
      <c r="AI49" s="100"/>
    </row>
    <row r="50" spans="1:35" ht="14.4" x14ac:dyDescent="0.3">
      <c r="A50" s="2"/>
      <c r="B50" s="19">
        <f>'Urban Pass Adoption'!B49</f>
        <v>76631.7011544056</v>
      </c>
      <c r="C50" s="19">
        <f>'Nonurban Pass Adoption'!B49</f>
        <v>69690.862296588006</v>
      </c>
      <c r="D50" s="2"/>
      <c r="E50" s="19">
        <f>B50*(1-'Urban Pass Adoption'!H49-'Urban Pass Adoption'!K49-'Urban Pass Adoption'!N49-'Urban Pass Adoption'!Q49-$AA$2)</f>
        <v>40248.243389848925</v>
      </c>
      <c r="F50" s="19">
        <f>C50*(1-'Nonurban Pass Adoption'!H49-'Nonurban Pass Adoption'!K49-$AA$3-$AA$4-MAX($AA$5,'Nonurban Pass Adoption'!$N49))</f>
        <v>20847.40893443457</v>
      </c>
      <c r="G50" s="20"/>
      <c r="H50" s="19">
        <f t="shared" si="6"/>
        <v>24815.55756505375</v>
      </c>
      <c r="I50" s="21">
        <f t="shared" si="7"/>
        <v>0.61656250000000057</v>
      </c>
      <c r="J50" s="22"/>
      <c r="K50" s="19">
        <f t="shared" si="8"/>
        <v>14767.087853662068</v>
      </c>
      <c r="L50" s="21">
        <f t="shared" si="9"/>
        <v>0.70834164092548824</v>
      </c>
      <c r="M50" s="257"/>
      <c r="N50" s="14">
        <v>2053</v>
      </c>
      <c r="O50" s="257"/>
      <c r="P50" s="35">
        <v>15432.685824795173</v>
      </c>
      <c r="Q50" s="24"/>
      <c r="R50" s="35">
        <v>14103.741284642852</v>
      </c>
      <c r="S50" s="23">
        <f t="shared" ref="S50" si="45">S49</f>
        <v>0.69999999999999973</v>
      </c>
      <c r="T50" s="24"/>
      <c r="U50" s="35">
        <v>3698.3973907592867</v>
      </c>
      <c r="V50" s="23">
        <f t="shared" si="34"/>
        <v>0.5</v>
      </c>
      <c r="W50" s="24"/>
      <c r="X50" s="252">
        <f t="shared" si="35"/>
        <v>9872.6188992499938</v>
      </c>
      <c r="Y50" s="253">
        <f t="shared" si="3"/>
        <v>0.12883204666639991</v>
      </c>
      <c r="Z50" s="24"/>
      <c r="AA50" s="252">
        <f t="shared" si="36"/>
        <v>1849.1986953796434</v>
      </c>
      <c r="AB50" s="253">
        <f t="shared" si="5"/>
        <v>2.4130988448940779E-2</v>
      </c>
      <c r="AC50" s="24"/>
      <c r="AD50" s="810">
        <f t="shared" si="12"/>
        <v>3.0922819860279499E-12</v>
      </c>
      <c r="AE50" s="273">
        <v>3.0922819860279499E-3</v>
      </c>
      <c r="AG50" s="99"/>
      <c r="AH50" s="100"/>
      <c r="AI50" s="100"/>
    </row>
    <row r="51" spans="1:35" ht="14.4" x14ac:dyDescent="0.3">
      <c r="A51" s="2"/>
      <c r="B51" s="19">
        <f>'Urban Pass Adoption'!B50</f>
        <v>78394.871508776298</v>
      </c>
      <c r="C51" s="19">
        <f>'Nonurban Pass Adoption'!B50</f>
        <v>71155.549574570934</v>
      </c>
      <c r="D51" s="2"/>
      <c r="E51" s="19">
        <f>B51*(1-'Urban Pass Adoption'!H50-'Urban Pass Adoption'!K50-'Urban Pass Adoption'!N50-'Urban Pass Adoption'!Q50-$AA$2)</f>
        <v>41307.485368223373</v>
      </c>
      <c r="F51" s="19">
        <f>C51*(1-'Nonurban Pass Adoption'!H50-'Nonurban Pass Adoption'!K50-$AA$3-$AA$4-MAX($AA$5,'Nonurban Pass Adoption'!$N50))</f>
        <v>21445.467406558368</v>
      </c>
      <c r="G51" s="20"/>
      <c r="H51" s="19">
        <f t="shared" si="6"/>
        <v>25352.469144747112</v>
      </c>
      <c r="I51" s="21">
        <f t="shared" si="7"/>
        <v>0.61375000000000046</v>
      </c>
      <c r="J51" s="22"/>
      <c r="K51" s="19">
        <f t="shared" si="8"/>
        <v>14985.294453188337</v>
      </c>
      <c r="L51" s="21">
        <f t="shared" si="9"/>
        <v>0.69876278138874204</v>
      </c>
      <c r="M51" s="257"/>
      <c r="N51" s="14">
        <v>2054</v>
      </c>
      <c r="O51" s="257"/>
      <c r="P51" s="35">
        <v>15955.016223476259</v>
      </c>
      <c r="Q51" s="24"/>
      <c r="R51" s="35">
        <v>14938.888449444134</v>
      </c>
      <c r="S51" s="23">
        <f t="shared" ref="S51" si="46">S50</f>
        <v>0.69999999999999973</v>
      </c>
      <c r="T51" s="24"/>
      <c r="U51" s="35">
        <v>3957.012837073572</v>
      </c>
      <c r="V51" s="23">
        <f t="shared" si="34"/>
        <v>0.5</v>
      </c>
      <c r="W51" s="24"/>
      <c r="X51" s="252">
        <f t="shared" si="35"/>
        <v>10457.221914610889</v>
      </c>
      <c r="Y51" s="253">
        <f t="shared" si="3"/>
        <v>0.13339165832346833</v>
      </c>
      <c r="Z51" s="24"/>
      <c r="AA51" s="252">
        <f t="shared" si="36"/>
        <v>1978.506418536786</v>
      </c>
      <c r="AB51" s="253">
        <f t="shared" si="5"/>
        <v>2.5237702166720083E-2</v>
      </c>
      <c r="AC51" s="24"/>
      <c r="AD51" s="810">
        <f t="shared" si="12"/>
        <v>3.0922819860279499E-12</v>
      </c>
      <c r="AE51" s="273">
        <v>3.0922819860279499E-3</v>
      </c>
      <c r="AG51" s="99"/>
      <c r="AH51" s="100"/>
      <c r="AI51" s="100"/>
    </row>
    <row r="52" spans="1:35" ht="14.4" x14ac:dyDescent="0.3">
      <c r="A52" s="2"/>
      <c r="B52" s="19">
        <f>'Urban Pass Adoption'!B51</f>
        <v>80199.363048847197</v>
      </c>
      <c r="C52" s="19">
        <f>'Nonurban Pass Adoption'!B51</f>
        <v>72638.996466202268</v>
      </c>
      <c r="D52" s="2"/>
      <c r="E52" s="19">
        <f>B52*(1-'Urban Pass Adoption'!H51-'Urban Pass Adoption'!K51-'Urban Pass Adoption'!N51-'Urban Pass Adoption'!Q51-$AA$2)</f>
        <v>42392.62492300231</v>
      </c>
      <c r="F52" s="19">
        <f>C52*(1-'Nonurban Pass Adoption'!H51-'Nonurban Pass Adoption'!K51-$AA$3-$AA$4-MAX($AA$5,'Nonurban Pass Adoption'!$N51))</f>
        <v>22056.950189244304</v>
      </c>
      <c r="G52" s="20"/>
      <c r="H52" s="19">
        <f t="shared" si="6"/>
        <v>25899.244288896738</v>
      </c>
      <c r="I52" s="21">
        <f t="shared" si="7"/>
        <v>0.61093750000000036</v>
      </c>
      <c r="J52" s="22"/>
      <c r="K52" s="19">
        <f t="shared" si="8"/>
        <v>15198.973951840173</v>
      </c>
      <c r="L52" s="21">
        <f t="shared" si="9"/>
        <v>0.6890786723203326</v>
      </c>
      <c r="M52" s="257"/>
      <c r="N52" s="14">
        <v>2055</v>
      </c>
      <c r="O52" s="257"/>
      <c r="P52" s="35">
        <v>16493.380634105572</v>
      </c>
      <c r="Q52" s="24"/>
      <c r="R52" s="35">
        <v>15802.773918088162</v>
      </c>
      <c r="S52" s="23">
        <f t="shared" ref="S52" si="47">S51</f>
        <v>0.69999999999999973</v>
      </c>
      <c r="T52" s="24"/>
      <c r="U52" s="35">
        <v>4234.2881239553581</v>
      </c>
      <c r="V52" s="23">
        <f t="shared" si="34"/>
        <v>0.5</v>
      </c>
      <c r="W52" s="24"/>
      <c r="X52" s="252">
        <f t="shared" si="35"/>
        <v>11061.941742661709</v>
      </c>
      <c r="Y52" s="253">
        <f t="shared" si="3"/>
        <v>0.13793054361197593</v>
      </c>
      <c r="Z52" s="24"/>
      <c r="AA52" s="252">
        <f t="shared" si="36"/>
        <v>2117.144061977679</v>
      </c>
      <c r="AB52" s="253">
        <f t="shared" si="5"/>
        <v>2.639851467010013E-2</v>
      </c>
      <c r="AC52" s="24"/>
      <c r="AD52" s="810">
        <f t="shared" si="12"/>
        <v>3.0000000000000001E-12</v>
      </c>
      <c r="AE52" s="273">
        <v>3.0000000000000001E-3</v>
      </c>
      <c r="AG52" s="99"/>
      <c r="AH52" s="100"/>
      <c r="AI52" s="100"/>
    </row>
    <row r="53" spans="1:35" ht="14.4" x14ac:dyDescent="0.3">
      <c r="A53" s="2"/>
      <c r="B53" s="19">
        <f>'Urban Pass Adoption'!B52</f>
        <v>82046.057137846408</v>
      </c>
      <c r="C53" s="19">
        <f>'Nonurban Pass Adoption'!B52</f>
        <v>74141.223042769358</v>
      </c>
      <c r="D53" s="2"/>
      <c r="E53" s="19">
        <f>B53*(1-'Urban Pass Adoption'!H52-'Urban Pass Adoption'!K52-'Urban Pass Adoption'!N52-'Urban Pass Adoption'!Q52-$AA$2)</f>
        <v>43503.966524690397</v>
      </c>
      <c r="F53" s="19">
        <f>C53*(1-'Nonurban Pass Adoption'!H52-'Nonurban Pass Adoption'!K52-$AA$3-$AA$4-MAX($AA$5,'Nonurban Pass Adoption'!$N52))</f>
        <v>22681.690688718252</v>
      </c>
      <c r="G53" s="20"/>
      <c r="H53" s="19">
        <f t="shared" si="6"/>
        <v>26455.849642827357</v>
      </c>
      <c r="I53" s="21">
        <f t="shared" si="7"/>
        <v>0.60812500000000025</v>
      </c>
      <c r="J53" s="22"/>
      <c r="K53" s="19">
        <f t="shared" si="8"/>
        <v>15407.469530898543</v>
      </c>
      <c r="L53" s="21">
        <f t="shared" si="9"/>
        <v>0.67929105208026375</v>
      </c>
      <c r="M53" s="257"/>
      <c r="N53" s="14">
        <v>2056</v>
      </c>
      <c r="O53" s="257"/>
      <c r="P53" s="35">
        <v>17048.116881863039</v>
      </c>
      <c r="Q53" s="24"/>
      <c r="R53" s="35">
        <v>16695.765694205755</v>
      </c>
      <c r="S53" s="23">
        <f t="shared" ref="S53" si="48">S52</f>
        <v>0.69999999999999973</v>
      </c>
      <c r="T53" s="24"/>
      <c r="U53" s="35">
        <v>4530.9828991159575</v>
      </c>
      <c r="V53" s="23">
        <f t="shared" si="34"/>
        <v>0.5</v>
      </c>
      <c r="W53" s="24"/>
      <c r="X53" s="252">
        <f t="shared" si="35"/>
        <v>11687.035985944023</v>
      </c>
      <c r="Y53" s="253">
        <f t="shared" si="3"/>
        <v>0.14244482177014936</v>
      </c>
      <c r="Z53" s="24"/>
      <c r="AA53" s="252">
        <f t="shared" si="36"/>
        <v>2265.4914495579787</v>
      </c>
      <c r="AB53" s="253">
        <f t="shared" si="5"/>
        <v>2.7612435363611729E-2</v>
      </c>
      <c r="AC53" s="24"/>
      <c r="AD53" s="810">
        <f t="shared" si="12"/>
        <v>3.0000000000000001E-12</v>
      </c>
      <c r="AE53" s="273">
        <v>3.0000000000000001E-3</v>
      </c>
      <c r="AG53" s="99"/>
      <c r="AH53" s="100"/>
      <c r="AI53" s="100"/>
    </row>
    <row r="54" spans="1:35" ht="14.4" x14ac:dyDescent="0.3">
      <c r="A54" s="2"/>
      <c r="B54" s="19">
        <f>'Urban Pass Adoption'!B53</f>
        <v>83935.880917157803</v>
      </c>
      <c r="C54" s="19">
        <f>'Nonurban Pass Adoption'!B53</f>
        <v>75662.292132942268</v>
      </c>
      <c r="D54" s="2"/>
      <c r="E54" s="19">
        <f>B54*(1-'Urban Pass Adoption'!H53-'Urban Pass Adoption'!K53-'Urban Pass Adoption'!N53-'Urban Pass Adoption'!Q53-$AA$2)</f>
        <v>44641.853777731936</v>
      </c>
      <c r="F54" s="19">
        <f>C54*(1-'Nonurban Pass Adoption'!H53-'Nonurban Pass Adoption'!K53-$AA$3-$AA$4-MAX($AA$5,'Nonurban Pass Adoption'!$N53))</f>
        <v>23319.548542429166</v>
      </c>
      <c r="G54" s="20"/>
      <c r="H54" s="19">
        <f t="shared" si="6"/>
        <v>27022.272114833369</v>
      </c>
      <c r="I54" s="21">
        <f t="shared" si="7"/>
        <v>0.60531250000000014</v>
      </c>
      <c r="J54" s="22"/>
      <c r="K54" s="19">
        <f t="shared" si="8"/>
        <v>15610.150602867507</v>
      </c>
      <c r="L54" s="21">
        <f t="shared" si="9"/>
        <v>0.6694019215022684</v>
      </c>
      <c r="M54" s="257"/>
      <c r="N54" s="14">
        <v>2057</v>
      </c>
      <c r="O54" s="257"/>
      <c r="P54" s="35">
        <v>17619.581662898567</v>
      </c>
      <c r="Q54" s="24"/>
      <c r="R54" s="35">
        <v>17618.231781427716</v>
      </c>
      <c r="S54" s="23">
        <f t="shared" ref="S54" si="49">S53</f>
        <v>0.69999999999999973</v>
      </c>
      <c r="T54" s="24"/>
      <c r="U54" s="35">
        <v>4847.8568102666777</v>
      </c>
      <c r="V54" s="23">
        <f t="shared" si="34"/>
        <v>0.5</v>
      </c>
      <c r="W54" s="24"/>
      <c r="X54" s="252">
        <f t="shared" si="35"/>
        <v>12332.762246999397</v>
      </c>
      <c r="Y54" s="253">
        <f t="shared" si="3"/>
        <v>0.1469307537162976</v>
      </c>
      <c r="Z54" s="24"/>
      <c r="AA54" s="252">
        <f t="shared" si="36"/>
        <v>2423.9284051333389</v>
      </c>
      <c r="AB54" s="253">
        <f t="shared" si="5"/>
        <v>2.8878334016958534E-2</v>
      </c>
      <c r="AC54" s="24"/>
      <c r="AD54" s="810">
        <f t="shared" si="12"/>
        <v>3.0000000000000001E-12</v>
      </c>
      <c r="AE54" s="273">
        <v>3.0000000000000001E-3</v>
      </c>
      <c r="AG54" s="99"/>
      <c r="AH54" s="100"/>
      <c r="AI54" s="100"/>
    </row>
    <row r="55" spans="1:35" ht="14.4" x14ac:dyDescent="0.3">
      <c r="A55" s="2"/>
      <c r="B55" s="19">
        <f>'Urban Pass Adoption'!B54</f>
        <v>85869.80992729323</v>
      </c>
      <c r="C55" s="19">
        <f>'Nonurban Pass Adoption'!B54</f>
        <v>77202.320208664125</v>
      </c>
      <c r="D55" s="2"/>
      <c r="E55" s="19">
        <f>B55*(1-'Urban Pass Adoption'!H54-'Urban Pass Adoption'!K54-'Urban Pass Adoption'!N54-'Urban Pass Adoption'!Q54-$AA$2)</f>
        <v>45806.671661076594</v>
      </c>
      <c r="F55" s="19">
        <f>C55*(1-'Nonurban Pass Adoption'!H54-'Nonurban Pass Adoption'!K54-$AA$3-$AA$4-MAX($AA$5,'Nonurban Pass Adoption'!$N54))</f>
        <v>23970.41629538553</v>
      </c>
      <c r="G55" s="20"/>
      <c r="H55" s="19">
        <f t="shared" si="6"/>
        <v>27598.519675798649</v>
      </c>
      <c r="I55" s="21">
        <f t="shared" si="7"/>
        <v>0.60250000000000004</v>
      </c>
      <c r="J55" s="22"/>
      <c r="K55" s="19">
        <f t="shared" si="8"/>
        <v>15806.419487810648</v>
      </c>
      <c r="L55" s="21">
        <f t="shared" si="9"/>
        <v>0.65941364109114331</v>
      </c>
      <c r="M55" s="257"/>
      <c r="N55" s="14">
        <v>2058</v>
      </c>
      <c r="O55" s="257"/>
      <c r="P55" s="35">
        <v>18208.151985277946</v>
      </c>
      <c r="Q55" s="24"/>
      <c r="R55" s="35">
        <v>18570.540183384859</v>
      </c>
      <c r="S55" s="23">
        <f t="shared" ref="S55" si="50">S54</f>
        <v>0.69999999999999973</v>
      </c>
      <c r="T55" s="24"/>
      <c r="U55" s="35">
        <v>5185.6695051188381</v>
      </c>
      <c r="V55" s="23">
        <f t="shared" si="34"/>
        <v>0.5</v>
      </c>
      <c r="W55" s="24"/>
      <c r="X55" s="252">
        <f t="shared" si="35"/>
        <v>12999.378128369397</v>
      </c>
      <c r="Y55" s="253">
        <f t="shared" si="3"/>
        <v>0.15138473159980315</v>
      </c>
      <c r="Z55" s="24"/>
      <c r="AA55" s="252">
        <f t="shared" si="36"/>
        <v>2592.834752559419</v>
      </c>
      <c r="AB55" s="253">
        <f t="shared" si="5"/>
        <v>3.0194951575586302E-2</v>
      </c>
      <c r="AC55" s="24"/>
      <c r="AD55" s="810">
        <f t="shared" si="12"/>
        <v>3.0000000000000001E-12</v>
      </c>
      <c r="AE55" s="273">
        <v>3.0000000000000001E-3</v>
      </c>
      <c r="AG55" s="99"/>
      <c r="AH55" s="100"/>
      <c r="AI55" s="100"/>
    </row>
    <row r="56" spans="1:35" ht="14.4" x14ac:dyDescent="0.3">
      <c r="A56" s="2"/>
      <c r="B56" s="19">
        <f>'Urban Pass Adoption'!B55</f>
        <v>87848.859904726341</v>
      </c>
      <c r="C56" s="19">
        <f>'Nonurban Pass Adoption'!B55</f>
        <v>78761.463919819187</v>
      </c>
      <c r="D56" s="2"/>
      <c r="E56" s="19">
        <f>B56*(1-'Urban Pass Adoption'!H55-'Urban Pass Adoption'!K55-'Urban Pass Adoption'!N55-'Urban Pass Adoption'!Q55-$AA$2)</f>
        <v>46998.839515616353</v>
      </c>
      <c r="F56" s="19">
        <f>C56*(1-'Nonurban Pass Adoption'!H55-'Nonurban Pass Adoption'!K55-$AA$3-$AA$4-MAX($AA$5,'Nonurban Pass Adoption'!$N55))</f>
        <v>24634.211141742777</v>
      </c>
      <c r="G56" s="20"/>
      <c r="H56" s="19">
        <f t="shared" si="6"/>
        <v>28184.616572021179</v>
      </c>
      <c r="I56" s="21">
        <f t="shared" si="7"/>
        <v>0.59968749999999993</v>
      </c>
      <c r="J56" s="22"/>
      <c r="K56" s="19">
        <f t="shared" si="8"/>
        <v>15995.703154938497</v>
      </c>
      <c r="L56" s="21">
        <f t="shared" si="9"/>
        <v>0.64932881604776493</v>
      </c>
      <c r="M56" s="257"/>
      <c r="N56" s="14">
        <v>2059</v>
      </c>
      <c r="O56" s="257"/>
      <c r="P56" s="35">
        <v>18814.222943595174</v>
      </c>
      <c r="Q56" s="24"/>
      <c r="R56" s="35">
        <v>19553.058903708006</v>
      </c>
      <c r="S56" s="23">
        <f t="shared" ref="S56" si="51">S55</f>
        <v>0.69999999999999973</v>
      </c>
      <c r="T56" s="24"/>
      <c r="U56" s="35">
        <v>5545.1806313837442</v>
      </c>
      <c r="V56" s="23">
        <f t="shared" si="34"/>
        <v>0.5</v>
      </c>
      <c r="W56" s="24"/>
      <c r="X56" s="252">
        <f t="shared" si="35"/>
        <v>13687.141232595599</v>
      </c>
      <c r="Y56" s="253">
        <f t="shared" si="3"/>
        <v>0.15580328814101341</v>
      </c>
      <c r="Z56" s="24"/>
      <c r="AA56" s="252">
        <f t="shared" si="36"/>
        <v>2772.5903156918721</v>
      </c>
      <c r="AB56" s="253">
        <f t="shared" si="5"/>
        <v>3.1560914036890132E-2</v>
      </c>
      <c r="AC56" s="24"/>
      <c r="AD56" s="810">
        <f t="shared" si="12"/>
        <v>3.0922819860279499E-12</v>
      </c>
      <c r="AE56" s="273">
        <v>3.0922819860279499E-3</v>
      </c>
      <c r="AG56" s="99"/>
      <c r="AH56" s="100"/>
      <c r="AI56" s="100"/>
    </row>
    <row r="57" spans="1:35" ht="14.4" x14ac:dyDescent="0.3">
      <c r="A57" s="2"/>
      <c r="B57" s="19">
        <f>'Urban Pass Adoption'!B56</f>
        <v>89874.026138251153</v>
      </c>
      <c r="C57" s="19">
        <f>'Nonurban Pass Adoption'!B56</f>
        <v>80339.868171686307</v>
      </c>
      <c r="D57" s="2"/>
      <c r="E57" s="19">
        <f>B57*(1-'Urban Pass Adoption'!H56-'Urban Pass Adoption'!K56-'Urban Pass Adoption'!N56-'Urban Pass Adoption'!Q56-$AA$2)</f>
        <v>48218.759202328394</v>
      </c>
      <c r="F57" s="19">
        <f>C57*(1-'Nonurban Pass Adoption'!H56-'Nonurban Pass Adoption'!K56-$AA$3-$AA$4-MAX($AA$5,'Nonurban Pass Adoption'!$N56))</f>
        <v>25319.585848214942</v>
      </c>
      <c r="G57" s="20"/>
      <c r="H57" s="19">
        <f t="shared" si="6"/>
        <v>28780.571898889753</v>
      </c>
      <c r="I57" s="21">
        <f t="shared" si="7"/>
        <v>0.59687499999999982</v>
      </c>
      <c r="J57" s="22"/>
      <c r="K57" s="19">
        <f t="shared" si="8"/>
        <v>16186.164146020194</v>
      </c>
      <c r="L57" s="21">
        <f t="shared" si="9"/>
        <v>0.63927444323349136</v>
      </c>
      <c r="M57" s="257"/>
      <c r="N57" s="14">
        <v>2060</v>
      </c>
      <c r="O57" s="257"/>
      <c r="P57" s="35">
        <v>19438.187303438641</v>
      </c>
      <c r="Q57" s="24"/>
      <c r="R57" s="35">
        <v>20566.155946027964</v>
      </c>
      <c r="S57" s="23">
        <f t="shared" ref="S57" si="52">S56</f>
        <v>0.69999999999999973</v>
      </c>
      <c r="T57" s="24"/>
      <c r="U57" s="35">
        <v>5927.149836772709</v>
      </c>
      <c r="V57" s="23">
        <f t="shared" si="34"/>
        <v>0.5</v>
      </c>
      <c r="W57" s="24"/>
      <c r="X57" s="252">
        <f t="shared" si="35"/>
        <v>14396.30916221957</v>
      </c>
      <c r="Y57" s="253">
        <f t="shared" si="3"/>
        <v>0.16018320065103189</v>
      </c>
      <c r="Z57" s="24"/>
      <c r="AA57" s="252">
        <f t="shared" si="36"/>
        <v>2963.5749183863545</v>
      </c>
      <c r="AB57" s="253">
        <f t="shared" si="5"/>
        <v>3.2974765299014816E-2</v>
      </c>
      <c r="AC57" s="24"/>
      <c r="AD57" s="810">
        <f t="shared" si="12"/>
        <v>3.0000000000000001E-12</v>
      </c>
      <c r="AE57" s="273">
        <v>3.0000000000000001E-3</v>
      </c>
      <c r="AG57" s="99"/>
      <c r="AH57" s="100"/>
      <c r="AI57" s="100"/>
    </row>
    <row r="58" spans="1:35" ht="14.4" x14ac:dyDescent="0.3">
      <c r="A58" s="2"/>
      <c r="B58" s="2"/>
      <c r="C58" s="2"/>
      <c r="D58" s="2"/>
      <c r="E58" s="5"/>
      <c r="F58" s="5"/>
      <c r="G58" s="5"/>
      <c r="H58" s="2"/>
      <c r="I58" s="2"/>
      <c r="J58" s="5"/>
      <c r="K58" s="2"/>
      <c r="L58" s="2"/>
      <c r="M58" s="257"/>
      <c r="O58" s="257"/>
      <c r="P58" s="5"/>
      <c r="Q58" s="2"/>
      <c r="R58" s="2"/>
      <c r="T58" s="2"/>
      <c r="U58" s="2"/>
      <c r="W58" s="2"/>
      <c r="X58" s="2"/>
      <c r="AE58" s="273"/>
      <c r="AG58" s="99"/>
      <c r="AH58" s="99"/>
    </row>
    <row r="59" spans="1:35" ht="14.4" x14ac:dyDescent="0.3">
      <c r="A59" s="2"/>
      <c r="B59" s="2"/>
      <c r="C59" s="2"/>
      <c r="D59" s="2"/>
      <c r="E59" s="5"/>
      <c r="F59" s="5"/>
      <c r="G59" s="5"/>
      <c r="H59" s="2"/>
      <c r="I59" s="2"/>
      <c r="J59" s="5"/>
      <c r="K59" s="2"/>
      <c r="L59" s="2"/>
      <c r="M59" s="257"/>
      <c r="O59" s="257"/>
      <c r="P59" s="5"/>
      <c r="Q59" s="2"/>
      <c r="R59" s="2"/>
      <c r="T59" s="2"/>
      <c r="U59" s="2"/>
      <c r="W59" s="2"/>
      <c r="X59" s="2"/>
      <c r="Y59" s="245"/>
      <c r="Z59" s="811" t="s">
        <v>731</v>
      </c>
      <c r="AA59" s="811"/>
      <c r="AB59" s="811"/>
      <c r="AE59" s="273"/>
      <c r="AG59" s="99"/>
      <c r="AH59" s="99"/>
    </row>
    <row r="60" spans="1:35" ht="29.4" customHeight="1" x14ac:dyDescent="0.3">
      <c r="A60" s="2"/>
      <c r="B60" s="2"/>
      <c r="C60" s="2"/>
      <c r="D60" s="2"/>
      <c r="E60" s="5"/>
      <c r="F60" s="5"/>
      <c r="G60" s="5"/>
      <c r="H60" s="231" t="s">
        <v>246</v>
      </c>
      <c r="I60" s="231"/>
      <c r="J60" s="5"/>
      <c r="K60" s="2"/>
      <c r="L60" s="2"/>
      <c r="M60" s="257"/>
      <c r="O60" s="257"/>
      <c r="P60" s="834" t="s">
        <v>274</v>
      </c>
      <c r="Q60" s="835"/>
      <c r="R60" s="835"/>
      <c r="S60" s="835"/>
      <c r="T60" s="835"/>
      <c r="U60" s="836"/>
      <c r="W60" s="2"/>
      <c r="X60" s="2"/>
      <c r="Y60" s="98" t="s">
        <v>263</v>
      </c>
      <c r="Z60" s="245"/>
      <c r="AA60" s="515">
        <f t="shared" ref="AA60:AA62" si="53">AA2</f>
        <v>0.14513944480504376</v>
      </c>
      <c r="AB60" s="124" t="s">
        <v>497</v>
      </c>
      <c r="AE60" s="273"/>
      <c r="AG60" s="99"/>
      <c r="AH60" s="99"/>
    </row>
    <row r="61" spans="1:35" ht="14.4" x14ac:dyDescent="0.3">
      <c r="A61" s="2"/>
      <c r="B61" s="2"/>
      <c r="C61" s="2"/>
      <c r="D61" s="2"/>
      <c r="E61" s="5"/>
      <c r="F61" s="5"/>
      <c r="G61" s="5"/>
      <c r="H61" s="2"/>
      <c r="I61" s="2"/>
      <c r="J61" s="5"/>
      <c r="K61" s="2"/>
      <c r="L61" s="2"/>
      <c r="M61" s="257"/>
      <c r="O61" s="257"/>
      <c r="P61" s="11" t="s">
        <v>267</v>
      </c>
      <c r="Q61" s="249"/>
      <c r="R61" s="11" t="s">
        <v>260</v>
      </c>
      <c r="S61" s="249"/>
      <c r="T61" s="14"/>
      <c r="U61" s="11" t="s">
        <v>261</v>
      </c>
      <c r="W61" s="2"/>
      <c r="X61" s="2"/>
      <c r="Y61" s="98" t="s">
        <v>264</v>
      </c>
      <c r="Z61" s="245"/>
      <c r="AA61" s="515">
        <f t="shared" si="53"/>
        <v>0.10501656604675022</v>
      </c>
      <c r="AB61" s="124" t="s">
        <v>498</v>
      </c>
      <c r="AE61" s="273"/>
      <c r="AF61" s="99"/>
      <c r="AG61" s="99"/>
      <c r="AH61" s="99"/>
    </row>
    <row r="62" spans="1:35" ht="14.4" x14ac:dyDescent="0.3">
      <c r="A62" s="2"/>
      <c r="B62" s="2"/>
      <c r="C62" s="2"/>
      <c r="D62" s="2"/>
      <c r="E62" s="5"/>
      <c r="F62" s="5"/>
      <c r="G62" s="5"/>
      <c r="H62" s="2"/>
      <c r="I62" s="2"/>
      <c r="J62" s="5"/>
      <c r="K62" s="2"/>
      <c r="L62" s="2"/>
      <c r="M62" s="255"/>
      <c r="O62" s="255" t="s">
        <v>132</v>
      </c>
      <c r="P62" s="92" t="s">
        <v>131</v>
      </c>
      <c r="Q62" s="809"/>
      <c r="R62" s="92" t="s">
        <v>131</v>
      </c>
      <c r="S62" s="809"/>
      <c r="T62" s="5"/>
      <c r="U62" s="92" t="s">
        <v>131</v>
      </c>
      <c r="W62" s="2"/>
      <c r="X62" s="2"/>
      <c r="Y62" s="98" t="s">
        <v>262</v>
      </c>
      <c r="Z62" s="245"/>
      <c r="AA62" s="515">
        <f t="shared" si="53"/>
        <v>0.28167749278597232</v>
      </c>
      <c r="AB62" s="124" t="s">
        <v>498</v>
      </c>
      <c r="AE62" s="273"/>
      <c r="AF62" s="99"/>
      <c r="AG62" s="99"/>
      <c r="AH62" s="99"/>
    </row>
    <row r="63" spans="1:35" ht="15.75" customHeight="1" x14ac:dyDescent="0.3">
      <c r="A63" s="4" t="s">
        <v>19</v>
      </c>
      <c r="B63" s="2"/>
      <c r="C63" s="2"/>
      <c r="D63" s="2"/>
      <c r="E63" s="5"/>
      <c r="F63" s="5"/>
      <c r="G63" s="5"/>
      <c r="H63" s="2"/>
      <c r="I63" s="2"/>
      <c r="J63" s="5"/>
      <c r="K63" s="2"/>
      <c r="L63" s="2"/>
      <c r="M63" s="255"/>
      <c r="O63" s="255" t="s">
        <v>133</v>
      </c>
      <c r="P63" s="5"/>
      <c r="Q63" s="809"/>
      <c r="R63" s="92" t="s">
        <v>131</v>
      </c>
      <c r="S63" s="809"/>
      <c r="T63" s="5"/>
      <c r="U63" s="92" t="s">
        <v>131</v>
      </c>
      <c r="W63" s="2"/>
      <c r="X63" s="2"/>
      <c r="Y63" s="98" t="s">
        <v>265</v>
      </c>
      <c r="Z63" s="245"/>
      <c r="AA63" s="515">
        <f>AA5</f>
        <v>0.21376679686241851</v>
      </c>
      <c r="AB63" s="124" t="s">
        <v>498</v>
      </c>
      <c r="AE63" s="273"/>
      <c r="AF63" s="99"/>
      <c r="AG63" s="99"/>
      <c r="AH63" s="99"/>
    </row>
    <row r="64" spans="1:35" ht="18.75" customHeight="1" x14ac:dyDescent="0.35">
      <c r="A64" s="4"/>
      <c r="B64" s="6" t="s">
        <v>129</v>
      </c>
      <c r="C64" s="2"/>
      <c r="D64" s="2"/>
      <c r="E64" s="5"/>
      <c r="F64" s="5"/>
      <c r="G64" s="5"/>
      <c r="H64" s="2"/>
      <c r="I64" s="2"/>
      <c r="J64" s="5"/>
      <c r="K64" s="2"/>
      <c r="L64" s="2"/>
      <c r="M64" s="257"/>
      <c r="O64" s="257"/>
      <c r="P64" s="5"/>
      <c r="Q64" s="99"/>
      <c r="R64" s="99"/>
      <c r="T64" s="99"/>
      <c r="U64" s="99"/>
      <c r="W64" s="2"/>
      <c r="X64" s="7" t="s">
        <v>20</v>
      </c>
      <c r="Y64" s="2"/>
      <c r="Z64" s="2"/>
      <c r="AA64" s="7" t="s">
        <v>20</v>
      </c>
      <c r="AB64" s="2"/>
      <c r="AC64" s="5"/>
      <c r="AE64" s="273"/>
      <c r="AF64" s="99"/>
      <c r="AG64" s="99"/>
      <c r="AH64" s="99"/>
    </row>
    <row r="65" spans="1:34" ht="60" customHeight="1" x14ac:dyDescent="0.3">
      <c r="A65" s="8"/>
      <c r="B65" s="12" t="s">
        <v>21</v>
      </c>
      <c r="C65" s="10" t="s">
        <v>22</v>
      </c>
      <c r="D65" s="5"/>
      <c r="E65" s="12" t="s">
        <v>272</v>
      </c>
      <c r="F65" s="10" t="s">
        <v>273</v>
      </c>
      <c r="G65" s="11"/>
      <c r="H65" s="12" t="s">
        <v>744</v>
      </c>
      <c r="I65" s="10" t="s">
        <v>270</v>
      </c>
      <c r="J65" s="11"/>
      <c r="K65" s="12" t="s">
        <v>745</v>
      </c>
      <c r="L65" s="10" t="s">
        <v>271</v>
      </c>
      <c r="M65" s="256"/>
      <c r="O65" s="256" t="s">
        <v>54</v>
      </c>
      <c r="P65" s="754" t="str">
        <f>P7</f>
        <v>Urban Ridesharing/ Carpooling</v>
      </c>
      <c r="Q65" s="14" t="s">
        <v>25</v>
      </c>
      <c r="R65" s="754" t="str">
        <f>R7</f>
        <v>Electric Cars</v>
      </c>
      <c r="S65" s="9" t="s">
        <v>23</v>
      </c>
      <c r="T65" s="14" t="s">
        <v>26</v>
      </c>
      <c r="U65" s="754" t="str">
        <f>U7</f>
        <v>Hybrids</v>
      </c>
      <c r="V65" s="9" t="s">
        <v>24</v>
      </c>
      <c r="W65" s="14"/>
      <c r="X65" s="15" t="str">
        <f>R65</f>
        <v>Electric Cars</v>
      </c>
      <c r="Y65" s="11" t="s">
        <v>27</v>
      </c>
      <c r="Z65" s="14"/>
      <c r="AA65" s="15" t="str">
        <f>U65</f>
        <v>Hybrids</v>
      </c>
      <c r="AB65" s="11" t="s">
        <v>27</v>
      </c>
      <c r="AC65" s="14"/>
      <c r="AE65" s="273"/>
      <c r="AF65" s="99"/>
      <c r="AG65" s="99"/>
      <c r="AH65" s="99"/>
    </row>
    <row r="66" spans="1:34" s="249" customFormat="1" ht="52.8" customHeight="1" x14ac:dyDescent="0.3">
      <c r="A66" s="16"/>
      <c r="B66" s="68" t="s">
        <v>28</v>
      </c>
      <c r="C66" s="17"/>
      <c r="D66" s="5"/>
      <c r="E66" s="749" t="s">
        <v>734</v>
      </c>
      <c r="F66" s="749" t="s">
        <v>735</v>
      </c>
      <c r="G66" s="17"/>
      <c r="H66" s="749" t="s">
        <v>736</v>
      </c>
      <c r="I66" s="750"/>
      <c r="J66" s="17"/>
      <c r="K66" s="749" t="s">
        <v>736</v>
      </c>
      <c r="L66" s="17"/>
      <c r="M66" s="257"/>
      <c r="N66" s="122" t="s">
        <v>276</v>
      </c>
      <c r="O66" s="257"/>
      <c r="P66" s="263" t="s">
        <v>786</v>
      </c>
      <c r="Q66" s="17"/>
      <c r="R66" s="263" t="s">
        <v>788</v>
      </c>
      <c r="S66" s="18">
        <v>1</v>
      </c>
      <c r="T66" s="17"/>
      <c r="U66" s="263" t="s">
        <v>791</v>
      </c>
      <c r="V66" s="18">
        <v>0.5</v>
      </c>
      <c r="W66" s="17"/>
      <c r="X66" s="264" t="str">
        <f>R66</f>
        <v>PDS2-33p2050-LRate at 11%</v>
      </c>
      <c r="Y66" s="17" t="s">
        <v>30</v>
      </c>
      <c r="Z66" s="17"/>
      <c r="AA66" s="264" t="str">
        <f>U66</f>
        <v>PDS2-31p2050-Oct21ComDat-Conservative</v>
      </c>
      <c r="AB66" s="17" t="s">
        <v>30</v>
      </c>
      <c r="AC66" s="17"/>
      <c r="AD66" s="5"/>
      <c r="AE66" s="273"/>
      <c r="AF66" s="5"/>
    </row>
    <row r="67" spans="1:34" ht="14.4" x14ac:dyDescent="0.3">
      <c r="A67" s="831"/>
      <c r="B67" s="19">
        <f>'Urban Pass Adoption'!B63</f>
        <v>26173.156853942612</v>
      </c>
      <c r="C67" s="19">
        <f>'Nonurban Pass Adoption'!B63</f>
        <v>23943.64423576602</v>
      </c>
      <c r="D67" s="2"/>
      <c r="E67" s="19">
        <f>B67*(1-'Urban Pass Adoption'!H63-'Urban Pass Adoption'!K63-'Urban Pass Adoption'!N63-'Urban Pass Adoption'!Q63-$AA$60)</f>
        <v>22374.399399366055</v>
      </c>
      <c r="F67" s="19">
        <f>C67*(1-'Nonurban Pass Adoption'!H63-'Nonurban Pass Adoption'!K63-$AA$61-$AA$62-MAX($AA$63,'Nonurban Pass Adoption'!$N63))</f>
        <v>9566.4231294979236</v>
      </c>
      <c r="G67" s="20"/>
      <c r="H67" s="19">
        <f>E67-MAX(IF($P$62="Include",P67,0),SUM(IF($R$62="Include",R67*S67,0)+IF($U$62="Include",U67*V67,0)))</f>
        <v>22374.399399366055</v>
      </c>
      <c r="I67" s="21">
        <f>H67/E67</f>
        <v>1</v>
      </c>
      <c r="J67" s="22"/>
      <c r="K67" s="19">
        <f>F67-SUM(IF($R$63="Include",R67*(1-S67),0),IF($U$63="Include",U67*(1-V67),0))</f>
        <v>9566.4231294979236</v>
      </c>
      <c r="L67" s="21">
        <f>K67/F67</f>
        <v>1</v>
      </c>
      <c r="M67" s="257"/>
      <c r="N67" s="14">
        <v>2012</v>
      </c>
      <c r="O67" s="257"/>
      <c r="P67" s="25"/>
      <c r="Q67" s="24"/>
      <c r="R67" s="25"/>
      <c r="S67" s="23">
        <f t="shared" ref="S67" si="54">S66</f>
        <v>1</v>
      </c>
      <c r="T67" s="24"/>
      <c r="U67" s="25"/>
      <c r="V67" s="23">
        <f t="shared" ref="V67:V84" si="55">V66</f>
        <v>0.5</v>
      </c>
      <c r="W67" s="24"/>
      <c r="X67" s="252">
        <f t="shared" ref="X67:X98" si="56">R67*S67</f>
        <v>0</v>
      </c>
      <c r="Y67" s="253">
        <f t="shared" ref="Y67:Y115" si="57">X67/$B67</f>
        <v>0</v>
      </c>
      <c r="Z67" s="24"/>
      <c r="AA67" s="252">
        <f t="shared" ref="AA67:AA98" si="58">U67*V67</f>
        <v>0</v>
      </c>
      <c r="AB67" s="253">
        <f t="shared" ref="AB67:AB115" si="59">AA67/$B67</f>
        <v>0</v>
      </c>
      <c r="AC67" s="24"/>
      <c r="AD67" s="757">
        <f>10^9*E67</f>
        <v>22374399399366.055</v>
      </c>
      <c r="AE67" s="273"/>
      <c r="AF67" s="99"/>
      <c r="AG67" s="99"/>
      <c r="AH67" s="99"/>
    </row>
    <row r="68" spans="1:34" ht="14.4" x14ac:dyDescent="0.3">
      <c r="A68" s="832"/>
      <c r="B68" s="19">
        <f>'Urban Pass Adoption'!B64</f>
        <v>27210.974694761313</v>
      </c>
      <c r="C68" s="19">
        <f>'Nonurban Pass Adoption'!B64</f>
        <v>24762.810564240011</v>
      </c>
      <c r="D68" s="2"/>
      <c r="E68" s="19">
        <f>B68*(1-'Urban Pass Adoption'!H64-'Urban Pass Adoption'!K64-'Urban Pass Adoption'!N64-'Urban Pass Adoption'!Q64-$AA$60)</f>
        <v>23261.58893495956</v>
      </c>
      <c r="F68" s="19">
        <f>C68*(1-'Nonurban Pass Adoption'!H64-'Nonurban Pass Adoption'!K64-$AA$61-$AA$62-MAX($AA$63,'Nonurban Pass Adoption'!$N64))</f>
        <v>9893.7121434197743</v>
      </c>
      <c r="G68" s="20"/>
      <c r="H68" s="19">
        <f t="shared" ref="H68:H115" si="60">E68-MAX(IF($P$62="Include",P68,0),SUM(IF($R$62="Include",R68*S68,0)+IF($U$62="Include",U68*V68,0)))</f>
        <v>23261.58893495956</v>
      </c>
      <c r="I68" s="21">
        <f t="shared" ref="I68:I115" si="61">H68/E68</f>
        <v>1</v>
      </c>
      <c r="J68" s="22"/>
      <c r="K68" s="19">
        <f t="shared" ref="K68:K115" si="62">F68-SUM(IF($R$63="Include",R68*(1-S68),0),IF($U$63="Include",U68*(1-V68),0))</f>
        <v>9893.7121434197743</v>
      </c>
      <c r="L68" s="21">
        <f t="shared" ref="L68:L115" si="63">K68/F68</f>
        <v>1</v>
      </c>
      <c r="M68" s="257"/>
      <c r="N68" s="14">
        <v>2013</v>
      </c>
      <c r="O68" s="257"/>
      <c r="P68" s="25"/>
      <c r="Q68" s="24"/>
      <c r="R68" s="25"/>
      <c r="S68" s="23">
        <f t="shared" ref="S68" si="64">S67</f>
        <v>1</v>
      </c>
      <c r="T68" s="24"/>
      <c r="U68" s="25"/>
      <c r="V68" s="23">
        <f t="shared" si="55"/>
        <v>0.5</v>
      </c>
      <c r="W68" s="24"/>
      <c r="X68" s="252">
        <f t="shared" si="56"/>
        <v>0</v>
      </c>
      <c r="Y68" s="253">
        <f t="shared" si="57"/>
        <v>0</v>
      </c>
      <c r="Z68" s="24"/>
      <c r="AA68" s="252">
        <f t="shared" si="58"/>
        <v>0</v>
      </c>
      <c r="AB68" s="253">
        <f t="shared" si="59"/>
        <v>0</v>
      </c>
      <c r="AC68" s="24"/>
      <c r="AD68" s="757">
        <f t="shared" ref="AD68:AD115" si="65">10^9*E68</f>
        <v>23261588934959.559</v>
      </c>
      <c r="AE68" s="273"/>
      <c r="AF68" s="99"/>
      <c r="AG68" s="99"/>
      <c r="AH68" s="99"/>
    </row>
    <row r="69" spans="1:34" ht="14.4" x14ac:dyDescent="0.3">
      <c r="A69" s="30"/>
      <c r="B69" s="19">
        <f>'Urban Pass Adoption'!B65</f>
        <v>28440.833819984502</v>
      </c>
      <c r="C69" s="19">
        <f>'Nonurban Pass Adoption'!B65</f>
        <v>25792.286681443104</v>
      </c>
      <c r="D69" s="30"/>
      <c r="E69" s="19">
        <f>B69*(1-'Urban Pass Adoption'!H65-'Urban Pass Adoption'!K65-'Urban Pass Adoption'!N65-'Urban Pass Adoption'!Q65-$AA$60)</f>
        <v>12627.813321591922</v>
      </c>
      <c r="F69" s="19">
        <f>C69*(1-'Nonurban Pass Adoption'!H65-'Nonurban Pass Adoption'!K65-$AA$61-$AA$62-MAX($AA$63,'Nonurban Pass Adoption'!$N65))</f>
        <v>9594.122833800353</v>
      </c>
      <c r="G69" s="31"/>
      <c r="H69" s="19">
        <f t="shared" si="60"/>
        <v>9486.3958589572358</v>
      </c>
      <c r="I69" s="21">
        <f t="shared" si="61"/>
        <v>0.75123028962874594</v>
      </c>
      <c r="J69" s="32"/>
      <c r="K69" s="19">
        <f t="shared" si="62"/>
        <v>9467.6248565792775</v>
      </c>
      <c r="L69" s="21">
        <f t="shared" si="63"/>
        <v>0.98681505548632131</v>
      </c>
      <c r="M69" s="258"/>
      <c r="N69" s="259">
        <v>2014</v>
      </c>
      <c r="O69" s="258"/>
      <c r="P69" s="35">
        <v>3141.4174626346876</v>
      </c>
      <c r="Q69" s="34"/>
      <c r="R69" s="35">
        <v>116.38899289627807</v>
      </c>
      <c r="S69" s="23">
        <f t="shared" ref="S69" si="66">S68</f>
        <v>1</v>
      </c>
      <c r="T69" s="34"/>
      <c r="U69" s="35">
        <v>252.99595444214927</v>
      </c>
      <c r="V69" s="23">
        <f t="shared" si="55"/>
        <v>0.5</v>
      </c>
      <c r="W69" s="34"/>
      <c r="X69" s="252">
        <f t="shared" si="56"/>
        <v>116.38899289627807</v>
      </c>
      <c r="Y69" s="253">
        <f t="shared" si="57"/>
        <v>4.0923199943067451E-3</v>
      </c>
      <c r="Z69" s="34"/>
      <c r="AA69" s="252">
        <f t="shared" si="58"/>
        <v>126.49797722107463</v>
      </c>
      <c r="AB69" s="253">
        <f t="shared" si="59"/>
        <v>4.4477590924984897E-3</v>
      </c>
      <c r="AC69" s="34"/>
      <c r="AD69" s="757">
        <f t="shared" si="65"/>
        <v>12627813321591.922</v>
      </c>
      <c r="AE69" s="273"/>
      <c r="AF69" s="99"/>
      <c r="AG69" s="99"/>
      <c r="AH69" s="99"/>
    </row>
    <row r="70" spans="1:34" ht="14.4" x14ac:dyDescent="0.3">
      <c r="A70" s="2"/>
      <c r="B70" s="19">
        <f>'Urban Pass Adoption'!B66</f>
        <v>29511.157218679546</v>
      </c>
      <c r="C70" s="19">
        <f>'Nonurban Pass Adoption'!B66</f>
        <v>26650.135894561492</v>
      </c>
      <c r="D70" s="2"/>
      <c r="E70" s="19">
        <f>B70*(1-'Urban Pass Adoption'!H66-'Urban Pass Adoption'!K66-'Urban Pass Adoption'!N66-'Urban Pass Adoption'!Q66-$AA$60)</f>
        <v>13436.84044747937</v>
      </c>
      <c r="F70" s="19">
        <f>C70*(1-'Nonurban Pass Adoption'!H66-'Nonurban Pass Adoption'!K66-$AA$61-$AA$62-MAX($AA$63,'Nonurban Pass Adoption'!$N66))</f>
        <v>9775.1800093365691</v>
      </c>
      <c r="G70" s="20"/>
      <c r="H70" s="19">
        <f t="shared" si="60"/>
        <v>10199.732342670792</v>
      </c>
      <c r="I70" s="21">
        <f t="shared" si="61"/>
        <v>0.75908710701288185</v>
      </c>
      <c r="J70" s="22"/>
      <c r="K70" s="19">
        <f t="shared" si="62"/>
        <v>9629.4538961959552</v>
      </c>
      <c r="L70" s="21">
        <f t="shared" si="63"/>
        <v>0.98509223226565379</v>
      </c>
      <c r="M70" s="257"/>
      <c r="N70" s="14">
        <v>2015</v>
      </c>
      <c r="O70" s="257"/>
      <c r="P70" s="35">
        <v>3237.1081048085771</v>
      </c>
      <c r="Q70" s="24"/>
      <c r="R70" s="35">
        <v>121.57668884867235</v>
      </c>
      <c r="S70" s="23">
        <f t="shared" ref="S70" si="67">S69</f>
        <v>1</v>
      </c>
      <c r="T70" s="24"/>
      <c r="U70" s="35">
        <v>291.45222628122792</v>
      </c>
      <c r="V70" s="23">
        <f t="shared" si="55"/>
        <v>0.5</v>
      </c>
      <c r="W70" s="24"/>
      <c r="X70" s="252">
        <f t="shared" si="56"/>
        <v>121.57668884867235</v>
      </c>
      <c r="Y70" s="253">
        <f t="shared" si="57"/>
        <v>4.1196855801953602E-3</v>
      </c>
      <c r="Z70" s="24"/>
      <c r="AA70" s="252">
        <f t="shared" si="58"/>
        <v>145.72611314061396</v>
      </c>
      <c r="AB70" s="253">
        <f t="shared" si="59"/>
        <v>4.938000636870124E-3</v>
      </c>
      <c r="AC70" s="24"/>
      <c r="AD70" s="757">
        <f t="shared" si="65"/>
        <v>13436840447479.369</v>
      </c>
      <c r="AE70" s="273"/>
      <c r="AF70" s="99"/>
    </row>
    <row r="71" spans="1:34" ht="14.4" x14ac:dyDescent="0.3">
      <c r="A71" s="2"/>
      <c r="B71" s="19">
        <f>'Urban Pass Adoption'!B67</f>
        <v>30522.249674036706</v>
      </c>
      <c r="C71" s="19">
        <f>'Nonurban Pass Adoption'!B67</f>
        <v>27523.033303576412</v>
      </c>
      <c r="D71" s="2"/>
      <c r="E71" s="19">
        <f>B71*(1-'Urban Pass Adoption'!H67-'Urban Pass Adoption'!K67-'Urban Pass Adoption'!N67-'Urban Pass Adoption'!Q67-$AA$60)</f>
        <v>14195.233376260261</v>
      </c>
      <c r="F71" s="19">
        <f>C71*(1-'Nonurban Pass Adoption'!H67-'Nonurban Pass Adoption'!K67-$AA$61-$AA$62-MAX($AA$63,'Nonurban Pass Adoption'!$N67))</f>
        <v>10022.903861759385</v>
      </c>
      <c r="G71" s="20"/>
      <c r="H71" s="19">
        <f t="shared" si="60"/>
        <v>10865.187226054102</v>
      </c>
      <c r="I71" s="21">
        <f t="shared" si="61"/>
        <v>0.76541096141643983</v>
      </c>
      <c r="J71" s="22"/>
      <c r="K71" s="19">
        <f t="shared" si="62"/>
        <v>9855.8383955953377</v>
      </c>
      <c r="L71" s="21">
        <f t="shared" si="63"/>
        <v>0.9833316303869325</v>
      </c>
      <c r="M71" s="257"/>
      <c r="N71" s="14">
        <v>2016</v>
      </c>
      <c r="O71" s="257"/>
      <c r="P71" s="35">
        <v>3330.0461502061598</v>
      </c>
      <c r="Q71" s="24"/>
      <c r="R71" s="35">
        <v>126.76438480106481</v>
      </c>
      <c r="S71" s="23">
        <f t="shared" ref="S71" si="68">S70</f>
        <v>1</v>
      </c>
      <c r="T71" s="24"/>
      <c r="U71" s="35">
        <v>334.13093232809371</v>
      </c>
      <c r="V71" s="23">
        <f t="shared" si="55"/>
        <v>0.5</v>
      </c>
      <c r="W71" s="24"/>
      <c r="X71" s="252">
        <f t="shared" si="56"/>
        <v>126.76438480106481</v>
      </c>
      <c r="Y71" s="253">
        <f t="shared" si="57"/>
        <v>4.1531796035629391E-3</v>
      </c>
      <c r="Z71" s="24"/>
      <c r="AA71" s="252">
        <f t="shared" si="58"/>
        <v>167.06546616404685</v>
      </c>
      <c r="AB71" s="253">
        <f t="shared" si="59"/>
        <v>5.4735633168664687E-3</v>
      </c>
      <c r="AC71" s="24"/>
      <c r="AD71" s="757">
        <f t="shared" si="65"/>
        <v>14195233376260.262</v>
      </c>
      <c r="AE71" s="273"/>
      <c r="AF71" s="99"/>
    </row>
    <row r="72" spans="1:34" ht="14.4" x14ac:dyDescent="0.3">
      <c r="A72" s="2"/>
      <c r="B72" s="19">
        <f>'Urban Pass Adoption'!B68</f>
        <v>31561.895718661261</v>
      </c>
      <c r="C72" s="19">
        <f>'Nonurban Pass Adoption'!B68</f>
        <v>28411.259149408132</v>
      </c>
      <c r="D72" s="2"/>
      <c r="E72" s="19">
        <f>B72*(1-'Urban Pass Adoption'!H68-'Urban Pass Adoption'!K68-'Urban Pass Adoption'!N68-'Urban Pass Adoption'!Q68-$AA$60)</f>
        <v>14978.035642215102</v>
      </c>
      <c r="F72" s="19">
        <f>C72*(1-'Nonurban Pass Adoption'!H68-'Nonurban Pass Adoption'!K68-$AA$61-$AA$62-MAX($AA$63,'Nonurban Pass Adoption'!$N68))</f>
        <v>10280.981548220394</v>
      </c>
      <c r="G72" s="20"/>
      <c r="H72" s="19">
        <f t="shared" si="60"/>
        <v>11555.301818836524</v>
      </c>
      <c r="I72" s="21">
        <f t="shared" si="61"/>
        <v>0.77148313002195601</v>
      </c>
      <c r="J72" s="22"/>
      <c r="K72" s="19">
        <f t="shared" si="62"/>
        <v>10090.544219430361</v>
      </c>
      <c r="L72" s="21">
        <f t="shared" si="63"/>
        <v>0.98147673664262181</v>
      </c>
      <c r="M72" s="257"/>
      <c r="N72" s="14">
        <v>2017</v>
      </c>
      <c r="O72" s="257"/>
      <c r="P72" s="35">
        <v>3422.7338233785767</v>
      </c>
      <c r="Q72" s="24"/>
      <c r="R72" s="35">
        <v>131.95208075345909</v>
      </c>
      <c r="S72" s="23">
        <f t="shared" ref="S72" si="69">S71</f>
        <v>1</v>
      </c>
      <c r="T72" s="24"/>
      <c r="U72" s="35">
        <v>380.8746575800638</v>
      </c>
      <c r="V72" s="23">
        <f t="shared" si="55"/>
        <v>0.5</v>
      </c>
      <c r="W72" s="24"/>
      <c r="X72" s="252">
        <f t="shared" si="56"/>
        <v>131.95208075345909</v>
      </c>
      <c r="Y72" s="253">
        <f t="shared" si="57"/>
        <v>4.1807400268242196E-3</v>
      </c>
      <c r="Z72" s="24"/>
      <c r="AA72" s="252">
        <f t="shared" si="58"/>
        <v>190.4373287900319</v>
      </c>
      <c r="AB72" s="253">
        <f t="shared" si="59"/>
        <v>6.0337734617580043E-3</v>
      </c>
      <c r="AC72" s="24"/>
      <c r="AD72" s="757">
        <f t="shared" si="65"/>
        <v>14978035642215.102</v>
      </c>
      <c r="AE72" s="273"/>
      <c r="AF72" s="99"/>
    </row>
    <row r="73" spans="1:34" ht="14.4" x14ac:dyDescent="0.3">
      <c r="A73" s="2"/>
      <c r="B73" s="19">
        <f>'Urban Pass Adoption'!B69</f>
        <v>32602.325167364055</v>
      </c>
      <c r="C73" s="19">
        <f>'Nonurban Pass Adoption'!B69</f>
        <v>29314.817849269726</v>
      </c>
      <c r="D73" s="2"/>
      <c r="E73" s="19">
        <f>B73*(1-'Urban Pass Adoption'!H69-'Urban Pass Adoption'!K69-'Urban Pass Adoption'!N69-'Urban Pass Adoption'!Q69-$AA$60)</f>
        <v>15795.931666635273</v>
      </c>
      <c r="F73" s="19">
        <f>C73*(1-'Nonurban Pass Adoption'!H69-'Nonurban Pass Adoption'!K69-$AA$61-$AA$62-MAX($AA$63,'Nonurban Pass Adoption'!$N69))</f>
        <v>10549.183329724507</v>
      </c>
      <c r="G73" s="20"/>
      <c r="H73" s="19">
        <f t="shared" si="60"/>
        <v>12280.709949182476</v>
      </c>
      <c r="I73" s="21">
        <f t="shared" si="61"/>
        <v>0.7774603111965992</v>
      </c>
      <c r="J73" s="22"/>
      <c r="K73" s="19">
        <f t="shared" si="62"/>
        <v>10346.918142389375</v>
      </c>
      <c r="L73" s="21">
        <f t="shared" si="63"/>
        <v>0.98082646011419605</v>
      </c>
      <c r="M73" s="257"/>
      <c r="N73" s="14">
        <v>2018</v>
      </c>
      <c r="O73" s="257"/>
      <c r="P73" s="35">
        <v>3515.2217174527982</v>
      </c>
      <c r="Q73" s="24"/>
      <c r="R73" s="35">
        <v>137.13977670585155</v>
      </c>
      <c r="S73" s="23">
        <f t="shared" ref="S73" si="70">S72</f>
        <v>1</v>
      </c>
      <c r="T73" s="24"/>
      <c r="U73" s="35">
        <v>404.53037467026184</v>
      </c>
      <c r="V73" s="23">
        <f t="shared" si="55"/>
        <v>0.5</v>
      </c>
      <c r="W73" s="24"/>
      <c r="X73" s="252">
        <f t="shared" si="56"/>
        <v>137.13977670585155</v>
      </c>
      <c r="Y73" s="253">
        <f t="shared" si="57"/>
        <v>4.2064415958630074E-3</v>
      </c>
      <c r="Z73" s="24"/>
      <c r="AA73" s="252">
        <f t="shared" si="58"/>
        <v>202.26518733513092</v>
      </c>
      <c r="AB73" s="253">
        <f t="shared" si="59"/>
        <v>6.2040111034045104E-3</v>
      </c>
      <c r="AC73" s="24"/>
      <c r="AD73" s="757">
        <f t="shared" si="65"/>
        <v>15795931666635.273</v>
      </c>
      <c r="AE73" s="273"/>
      <c r="AF73" s="99"/>
    </row>
    <row r="74" spans="1:34" ht="14.4" x14ac:dyDescent="0.3">
      <c r="A74" s="2"/>
      <c r="B74" s="19">
        <f>'Urban Pass Adoption'!B70</f>
        <v>33644.353306078112</v>
      </c>
      <c r="C74" s="19">
        <f>'Nonurban Pass Adoption'!B70</f>
        <v>30233.500371254417</v>
      </c>
      <c r="D74" s="2"/>
      <c r="E74" s="19">
        <f>B74*(1-'Urban Pass Adoption'!H70-'Urban Pass Adoption'!K70-'Urban Pass Adoption'!N70-'Urban Pass Adoption'!Q70-$AA$60)</f>
        <v>16129.954657852024</v>
      </c>
      <c r="F74" s="19">
        <f>C74*(1-'Nonurban Pass Adoption'!H70-'Nonurban Pass Adoption'!K70-$AA$61-$AA$62-MAX($AA$63,'Nonurban Pass Adoption'!$N70))</f>
        <v>10654.433447326819</v>
      </c>
      <c r="G74" s="20"/>
      <c r="H74" s="19">
        <f t="shared" si="60"/>
        <v>11424.544447506763</v>
      </c>
      <c r="I74" s="21">
        <f t="shared" si="61"/>
        <v>0.70828125000000064</v>
      </c>
      <c r="J74" s="22"/>
      <c r="K74" s="19">
        <f t="shared" si="62"/>
        <v>10417.632108435622</v>
      </c>
      <c r="L74" s="21">
        <f t="shared" si="63"/>
        <v>0.97777438471394185</v>
      </c>
      <c r="M74" s="257"/>
      <c r="N74" s="14">
        <v>2019</v>
      </c>
      <c r="O74" s="257"/>
      <c r="P74" s="35">
        <v>4705.4102103452597</v>
      </c>
      <c r="Q74" s="24"/>
      <c r="R74" s="35">
        <v>100.95610393109587</v>
      </c>
      <c r="S74" s="23">
        <f t="shared" ref="S74" si="71">S73</f>
        <v>1</v>
      </c>
      <c r="T74" s="24"/>
      <c r="U74" s="35">
        <v>473.60267778239267</v>
      </c>
      <c r="V74" s="23">
        <f t="shared" si="55"/>
        <v>0.5</v>
      </c>
      <c r="W74" s="24"/>
      <c r="X74" s="252">
        <f t="shared" si="56"/>
        <v>100.95610393109587</v>
      </c>
      <c r="Y74" s="253">
        <f t="shared" si="57"/>
        <v>3.000684929582444E-3</v>
      </c>
      <c r="Z74" s="24"/>
      <c r="AA74" s="252">
        <f t="shared" si="58"/>
        <v>236.80133889119634</v>
      </c>
      <c r="AB74" s="253">
        <f t="shared" si="59"/>
        <v>7.0383679762516449E-3</v>
      </c>
      <c r="AC74" s="24"/>
      <c r="AD74" s="757">
        <f t="shared" si="65"/>
        <v>16129954657852.023</v>
      </c>
      <c r="AE74" s="273"/>
      <c r="AF74" s="99"/>
    </row>
    <row r="75" spans="1:34" s="90" customFormat="1" ht="14.4" x14ac:dyDescent="0.3">
      <c r="A75" s="30"/>
      <c r="B75" s="19">
        <f>'Urban Pass Adoption'!B71</f>
        <v>34697.510647161849</v>
      </c>
      <c r="C75" s="19">
        <f>'Nonurban Pass Adoption'!B71</f>
        <v>31169.676322327818</v>
      </c>
      <c r="D75" s="30"/>
      <c r="E75" s="19">
        <f>B75*(1-'Urban Pass Adoption'!H71-'Urban Pass Adoption'!K71-'Urban Pass Adoption'!N71-'Urban Pass Adoption'!Q71-$AA$60)</f>
        <v>16474.348147898796</v>
      </c>
      <c r="F75" s="19">
        <f>C75*(1-'Nonurban Pass Adoption'!H71-'Nonurban Pass Adoption'!K71-$AA$61-$AA$62-MAX($AA$63,'Nonurban Pass Adoption'!$N71))</f>
        <v>10883.335678737629</v>
      </c>
      <c r="G75" s="31"/>
      <c r="H75" s="19">
        <f t="shared" si="60"/>
        <v>11557.784872510243</v>
      </c>
      <c r="I75" s="21">
        <f t="shared" si="61"/>
        <v>0.70156249999999964</v>
      </c>
      <c r="J75" s="32"/>
      <c r="K75" s="19">
        <f t="shared" si="62"/>
        <v>10608.284101995361</v>
      </c>
      <c r="L75" s="21">
        <f t="shared" si="63"/>
        <v>0.97472727251447133</v>
      </c>
      <c r="M75" s="258"/>
      <c r="N75" s="259">
        <v>2020</v>
      </c>
      <c r="O75" s="258"/>
      <c r="P75" s="35">
        <v>4916.5632753885529</v>
      </c>
      <c r="Q75" s="34"/>
      <c r="R75" s="35">
        <v>183.94918774375452</v>
      </c>
      <c r="S75" s="23">
        <f t="shared" ref="S75" si="72">S74</f>
        <v>1</v>
      </c>
      <c r="T75" s="34"/>
      <c r="U75" s="35">
        <v>550.10315348453435</v>
      </c>
      <c r="V75" s="23">
        <f t="shared" si="55"/>
        <v>0.5</v>
      </c>
      <c r="W75" s="34"/>
      <c r="X75" s="252">
        <f t="shared" si="56"/>
        <v>183.94918774375452</v>
      </c>
      <c r="Y75" s="253">
        <f t="shared" si="57"/>
        <v>5.3015096562496773E-3</v>
      </c>
      <c r="Z75" s="34"/>
      <c r="AA75" s="252">
        <f t="shared" si="58"/>
        <v>275.05157674226717</v>
      </c>
      <c r="AB75" s="253">
        <f t="shared" si="59"/>
        <v>7.927127093907688E-3</v>
      </c>
      <c r="AC75" s="34"/>
      <c r="AD75" s="757">
        <f t="shared" si="65"/>
        <v>16474348147898.797</v>
      </c>
      <c r="AE75" s="273"/>
      <c r="AF75" s="99"/>
    </row>
    <row r="76" spans="1:34" ht="14.4" x14ac:dyDescent="0.3">
      <c r="A76" s="2"/>
      <c r="B76" s="19">
        <f>'Urban Pass Adoption'!B72</f>
        <v>35718.895175557307</v>
      </c>
      <c r="C76" s="19">
        <f>'Nonurban Pass Adoption'!B72</f>
        <v>32098.234853161026</v>
      </c>
      <c r="D76" s="2"/>
      <c r="E76" s="19">
        <f>B76*(1-'Urban Pass Adoption'!H72-'Urban Pass Adoption'!K72-'Urban Pass Adoption'!N72-'Urban Pass Adoption'!Q72-$AA$60)</f>
        <v>17116.247853028974</v>
      </c>
      <c r="F76" s="19">
        <f>C76*(1-'Nonurban Pass Adoption'!H72-'Nonurban Pass Adoption'!K72-$AA$61-$AA$62-MAX($AA$63,'Nonurban Pass Adoption'!$N72))</f>
        <v>11112.845175673618</v>
      </c>
      <c r="G76" s="20"/>
      <c r="H76" s="19">
        <f t="shared" si="60"/>
        <v>11893.117844128108</v>
      </c>
      <c r="I76" s="21">
        <f t="shared" si="61"/>
        <v>0.69484375000000043</v>
      </c>
      <c r="J76" s="22"/>
      <c r="K76" s="19">
        <f t="shared" si="62"/>
        <v>10781.175630783328</v>
      </c>
      <c r="L76" s="21">
        <f t="shared" si="63"/>
        <v>0.97015439883781285</v>
      </c>
      <c r="M76" s="257"/>
      <c r="N76" s="14">
        <v>2021</v>
      </c>
      <c r="O76" s="257"/>
      <c r="P76" s="35">
        <v>5223.1300089008655</v>
      </c>
      <c r="Q76" s="24"/>
      <c r="R76" s="35">
        <v>290.43608327460674</v>
      </c>
      <c r="S76" s="51">
        <f t="shared" ref="S76:S85" si="73">S75-5%</f>
        <v>0.95</v>
      </c>
      <c r="T76" s="24"/>
      <c r="U76" s="35">
        <v>634.29548145312083</v>
      </c>
      <c r="V76" s="23">
        <f t="shared" si="55"/>
        <v>0.5</v>
      </c>
      <c r="W76" s="24"/>
      <c r="X76" s="252">
        <f t="shared" si="56"/>
        <v>275.91427911087641</v>
      </c>
      <c r="Y76" s="253">
        <f t="shared" si="57"/>
        <v>7.7246028398909299E-3</v>
      </c>
      <c r="Z76" s="24"/>
      <c r="AA76" s="252">
        <f t="shared" si="58"/>
        <v>317.14774072656041</v>
      </c>
      <c r="AB76" s="253">
        <f t="shared" si="59"/>
        <v>8.8789907741487727E-3</v>
      </c>
      <c r="AC76" s="24"/>
      <c r="AD76" s="757">
        <f t="shared" si="65"/>
        <v>17116247853028.973</v>
      </c>
      <c r="AE76" s="273"/>
      <c r="AF76" s="99"/>
    </row>
    <row r="77" spans="1:34" ht="14.4" x14ac:dyDescent="0.3">
      <c r="A77" s="2"/>
      <c r="B77" s="19">
        <f>'Urban Pass Adoption'!B73</f>
        <v>36748.653520328357</v>
      </c>
      <c r="C77" s="19">
        <f>'Nonurban Pass Adoption'!B73</f>
        <v>33039.605298664756</v>
      </c>
      <c r="D77" s="2"/>
      <c r="E77" s="19">
        <f>B77*(1-'Urban Pass Adoption'!H73-'Urban Pass Adoption'!K73-'Urban Pass Adoption'!N73-'Urban Pass Adoption'!Q73-$AA$60)</f>
        <v>18059.831003520132</v>
      </c>
      <c r="F77" s="19">
        <f>C77*(1-'Nonurban Pass Adoption'!H73-'Nonurban Pass Adoption'!K73-$AA$61-$AA$62-MAX($AA$63,'Nonurban Pass Adoption'!$N73))</f>
        <v>11350.896189908812</v>
      </c>
      <c r="G77" s="20"/>
      <c r="H77" s="19">
        <f t="shared" si="60"/>
        <v>12427.421209297281</v>
      </c>
      <c r="I77" s="21">
        <f t="shared" si="61"/>
        <v>0.68812499999999943</v>
      </c>
      <c r="J77" s="22"/>
      <c r="K77" s="19">
        <f t="shared" si="62"/>
        <v>10945.566478925932</v>
      </c>
      <c r="L77" s="21">
        <f t="shared" si="63"/>
        <v>0.96429095075829985</v>
      </c>
      <c r="M77" s="257"/>
      <c r="N77" s="14">
        <v>2022</v>
      </c>
      <c r="O77" s="257"/>
      <c r="P77" s="35">
        <v>5632.4097942228518</v>
      </c>
      <c r="Q77" s="24"/>
      <c r="R77" s="35">
        <v>421.08040300586612</v>
      </c>
      <c r="S77" s="51">
        <f t="shared" si="73"/>
        <v>0.89999999999999991</v>
      </c>
      <c r="T77" s="24"/>
      <c r="U77" s="35">
        <v>726.4433413645869</v>
      </c>
      <c r="V77" s="23">
        <f t="shared" si="55"/>
        <v>0.5</v>
      </c>
      <c r="W77" s="24"/>
      <c r="X77" s="252">
        <f t="shared" si="56"/>
        <v>378.97236270527947</v>
      </c>
      <c r="Y77" s="253">
        <f t="shared" si="57"/>
        <v>1.0312550975388588E-2</v>
      </c>
      <c r="Z77" s="24"/>
      <c r="AA77" s="252">
        <f t="shared" si="58"/>
        <v>363.22167068229345</v>
      </c>
      <c r="AB77" s="253">
        <f t="shared" si="59"/>
        <v>9.8839450126075798E-3</v>
      </c>
      <c r="AC77" s="24"/>
      <c r="AD77" s="757">
        <f t="shared" si="65"/>
        <v>18059831003520.133</v>
      </c>
      <c r="AE77" s="273"/>
      <c r="AF77" s="99"/>
    </row>
    <row r="78" spans="1:34" ht="14.4" x14ac:dyDescent="0.3">
      <c r="A78" s="2"/>
      <c r="B78" s="19">
        <f>'Urban Pass Adoption'!B74</f>
        <v>37781.871467732562</v>
      </c>
      <c r="C78" s="19">
        <f>'Nonurban Pass Adoption'!B74</f>
        <v>33993.911424286372</v>
      </c>
      <c r="D78" s="2"/>
      <c r="E78" s="19">
        <f>B78*(1-'Urban Pass Adoption'!H74-'Urban Pass Adoption'!K74-'Urban Pass Adoption'!N74-'Urban Pass Adoption'!Q74-$AA$60)</f>
        <v>18345.442986059516</v>
      </c>
      <c r="F78" s="19">
        <f>C78*(1-'Nonurban Pass Adoption'!H74-'Nonurban Pass Adoption'!K74-$AA$61-$AA$62-MAX($AA$63,'Nonurban Pass Adoption'!$N74))</f>
        <v>11597.310018793178</v>
      </c>
      <c r="G78" s="20"/>
      <c r="H78" s="19">
        <f t="shared" si="60"/>
        <v>12500.699509719621</v>
      </c>
      <c r="I78" s="21">
        <f t="shared" si="61"/>
        <v>0.68140625000000021</v>
      </c>
      <c r="J78" s="22"/>
      <c r="K78" s="19">
        <f t="shared" si="62"/>
        <v>11097.422948432533</v>
      </c>
      <c r="L78" s="21">
        <f t="shared" si="63"/>
        <v>0.9568962915063417</v>
      </c>
      <c r="M78" s="257"/>
      <c r="N78" s="14">
        <v>2023</v>
      </c>
      <c r="O78" s="257"/>
      <c r="P78" s="35">
        <v>5844.7434763398942</v>
      </c>
      <c r="Q78" s="24"/>
      <c r="R78" s="35">
        <v>576.54575941974588</v>
      </c>
      <c r="S78" s="51">
        <f t="shared" si="73"/>
        <v>0.84999999999999987</v>
      </c>
      <c r="T78" s="24"/>
      <c r="U78" s="35">
        <v>826.81041289536665</v>
      </c>
      <c r="V78" s="23">
        <f t="shared" si="55"/>
        <v>0.5</v>
      </c>
      <c r="W78" s="24"/>
      <c r="X78" s="252">
        <f t="shared" si="56"/>
        <v>490.06389550678392</v>
      </c>
      <c r="Y78" s="253">
        <f t="shared" si="57"/>
        <v>1.2970874032148482E-2</v>
      </c>
      <c r="Z78" s="24"/>
      <c r="AA78" s="252">
        <f t="shared" si="58"/>
        <v>413.40520644768333</v>
      </c>
      <c r="AB78" s="253">
        <f t="shared" si="59"/>
        <v>1.0941893304590541E-2</v>
      </c>
      <c r="AC78" s="24"/>
      <c r="AD78" s="757">
        <f t="shared" si="65"/>
        <v>18345442986059.516</v>
      </c>
      <c r="AE78" s="273"/>
      <c r="AF78" s="99"/>
    </row>
    <row r="79" spans="1:34" ht="14.4" x14ac:dyDescent="0.3">
      <c r="A79" s="2"/>
      <c r="B79" s="19">
        <f>'Urban Pass Adoption'!B75</f>
        <v>38819.140722197262</v>
      </c>
      <c r="C79" s="19">
        <f>'Nonurban Pass Adoption'!B75</f>
        <v>34960.700316671842</v>
      </c>
      <c r="D79" s="2"/>
      <c r="E79" s="19">
        <f>B79*(1-'Urban Pass Adoption'!H75-'Urban Pass Adoption'!K75-'Urban Pass Adoption'!N75-'Urban Pass Adoption'!Q75-$AA$60)</f>
        <v>18640.459082334211</v>
      </c>
      <c r="F79" s="19">
        <f>C79*(1-'Nonurban Pass Adoption'!H75-'Nonurban Pass Adoption'!K75-$AA$61-$AA$62-MAX($AA$63,'Nonurban Pass Adoption'!$N75))</f>
        <v>11851.677469166432</v>
      </c>
      <c r="G79" s="20"/>
      <c r="H79" s="19">
        <f t="shared" si="60"/>
        <v>12576.484737112383</v>
      </c>
      <c r="I79" s="21">
        <f t="shared" si="61"/>
        <v>0.67468750000000111</v>
      </c>
      <c r="J79" s="22"/>
      <c r="K79" s="19">
        <f t="shared" si="62"/>
        <v>11232.348128305794</v>
      </c>
      <c r="L79" s="21">
        <f t="shared" si="63"/>
        <v>0.94774331798415046</v>
      </c>
      <c r="M79" s="257"/>
      <c r="N79" s="14">
        <v>2024</v>
      </c>
      <c r="O79" s="257"/>
      <c r="P79" s="35">
        <v>6063.974345221829</v>
      </c>
      <c r="Q79" s="24"/>
      <c r="R79" s="35">
        <v>757.49576499845932</v>
      </c>
      <c r="S79" s="51">
        <f t="shared" si="73"/>
        <v>0.79999999999999982</v>
      </c>
      <c r="T79" s="24"/>
      <c r="U79" s="35">
        <v>935.66037572189475</v>
      </c>
      <c r="V79" s="23">
        <f t="shared" si="55"/>
        <v>0.5</v>
      </c>
      <c r="W79" s="24"/>
      <c r="X79" s="252">
        <f t="shared" si="56"/>
        <v>605.99661199876732</v>
      </c>
      <c r="Y79" s="253">
        <f t="shared" si="57"/>
        <v>1.5610768314926946E-2</v>
      </c>
      <c r="Z79" s="24"/>
      <c r="AA79" s="252">
        <f t="shared" si="58"/>
        <v>467.83018786094738</v>
      </c>
      <c r="AB79" s="253">
        <f t="shared" si="59"/>
        <v>1.2051533835045357E-2</v>
      </c>
      <c r="AC79" s="24"/>
      <c r="AD79" s="757">
        <f t="shared" si="65"/>
        <v>18640459082334.211</v>
      </c>
      <c r="AE79" s="273"/>
      <c r="AF79" s="99"/>
    </row>
    <row r="80" spans="1:34" ht="14.4" x14ac:dyDescent="0.3">
      <c r="A80" s="2"/>
      <c r="B80" s="19">
        <f>'Urban Pass Adoption'!B76</f>
        <v>39854.069973673031</v>
      </c>
      <c r="C80" s="19">
        <f>'Nonurban Pass Adoption'!B76</f>
        <v>35939.65896838472</v>
      </c>
      <c r="D80" s="2"/>
      <c r="E80" s="19">
        <f>B80*(1-'Urban Pass Adoption'!H76-'Urban Pass Adoption'!K76-'Urban Pass Adoption'!N76-'Urban Pass Adoption'!Q76-$AA$60)</f>
        <v>18939.671302275419</v>
      </c>
      <c r="F80" s="19">
        <f>C80*(1-'Nonurban Pass Adoption'!H76-'Nonurban Pass Adoption'!K76-$AA$61-$AA$62-MAX($AA$63,'Nonurban Pass Adoption'!$N76))</f>
        <v>12113.64516086283</v>
      </c>
      <c r="G80" s="20"/>
      <c r="H80" s="19">
        <f t="shared" si="60"/>
        <v>12651.108565191786</v>
      </c>
      <c r="I80" s="21">
        <f t="shared" si="61"/>
        <v>0.66796875000000011</v>
      </c>
      <c r="J80" s="22"/>
      <c r="K80" s="19">
        <f t="shared" si="62"/>
        <v>11345.868198046472</v>
      </c>
      <c r="L80" s="21">
        <f t="shared" si="63"/>
        <v>0.93661883333871143</v>
      </c>
      <c r="M80" s="257"/>
      <c r="N80" s="14">
        <v>2025</v>
      </c>
      <c r="O80" s="257"/>
      <c r="P80" s="35">
        <v>6288.5627370836346</v>
      </c>
      <c r="Q80" s="24"/>
      <c r="R80" s="35">
        <v>964.59403222421997</v>
      </c>
      <c r="S80" s="51">
        <f t="shared" si="73"/>
        <v>0.74999999999999978</v>
      </c>
      <c r="T80" s="24"/>
      <c r="U80" s="35">
        <v>1053.2569095206054</v>
      </c>
      <c r="V80" s="23">
        <f t="shared" si="55"/>
        <v>0.5</v>
      </c>
      <c r="W80" s="24"/>
      <c r="X80" s="252">
        <f t="shared" si="56"/>
        <v>723.44552416816475</v>
      </c>
      <c r="Y80" s="253">
        <f t="shared" si="57"/>
        <v>1.8152362472541986E-2</v>
      </c>
      <c r="Z80" s="24"/>
      <c r="AA80" s="252">
        <f t="shared" si="58"/>
        <v>526.6284547603027</v>
      </c>
      <c r="AB80" s="253">
        <f t="shared" si="59"/>
        <v>1.321391905790764E-2</v>
      </c>
      <c r="AC80" s="24"/>
      <c r="AD80" s="757">
        <f t="shared" si="65"/>
        <v>18939671302275.418</v>
      </c>
      <c r="AE80" s="273"/>
      <c r="AF80" s="99"/>
    </row>
    <row r="81" spans="1:32" ht="14.4" x14ac:dyDescent="0.3">
      <c r="A81" s="2"/>
      <c r="B81" s="19">
        <f>'Urban Pass Adoption'!B77</f>
        <v>40909.376553962953</v>
      </c>
      <c r="C81" s="19">
        <f>'Nonurban Pass Adoption'!B77</f>
        <v>36931.057136525327</v>
      </c>
      <c r="D81" s="2"/>
      <c r="E81" s="19">
        <f>B81*(1-'Urban Pass Adoption'!H77-'Urban Pass Adoption'!K77-'Urban Pass Adoption'!N77-'Urban Pass Adoption'!Q77-$AA$60)</f>
        <v>19262.535890189269</v>
      </c>
      <c r="F81" s="19">
        <f>C81*(1-'Nonurban Pass Adoption'!H77-'Nonurban Pass Adoption'!K77-$AA$61-$AA$62-MAX($AA$63,'Nonurban Pass Adoption'!$N77))</f>
        <v>12383.092465962625</v>
      </c>
      <c r="G81" s="20"/>
      <c r="H81" s="19">
        <f t="shared" si="60"/>
        <v>12737.351857387668</v>
      </c>
      <c r="I81" s="21">
        <f t="shared" si="61"/>
        <v>0.66125000000000078</v>
      </c>
      <c r="J81" s="22"/>
      <c r="K81" s="19">
        <f t="shared" si="62"/>
        <v>11433.609366904886</v>
      </c>
      <c r="L81" s="21">
        <f t="shared" si="63"/>
        <v>0.92332423409842246</v>
      </c>
      <c r="M81" s="257"/>
      <c r="N81" s="14">
        <v>2026</v>
      </c>
      <c r="O81" s="257"/>
      <c r="P81" s="35">
        <v>6525.1840328015996</v>
      </c>
      <c r="Q81" s="24"/>
      <c r="R81" s="35">
        <v>1198.5041735792411</v>
      </c>
      <c r="S81" s="51">
        <f t="shared" si="73"/>
        <v>0.69999999999999973</v>
      </c>
      <c r="T81" s="24"/>
      <c r="U81" s="35">
        <v>1179.8636939679329</v>
      </c>
      <c r="V81" s="23">
        <f t="shared" si="55"/>
        <v>0.5</v>
      </c>
      <c r="W81" s="24"/>
      <c r="X81" s="252">
        <f t="shared" si="56"/>
        <v>838.95292150546845</v>
      </c>
      <c r="Y81" s="253">
        <f t="shared" si="57"/>
        <v>2.0507594888394792E-2</v>
      </c>
      <c r="Z81" s="24"/>
      <c r="AA81" s="252">
        <f t="shared" si="58"/>
        <v>589.93184698396647</v>
      </c>
      <c r="AB81" s="253">
        <f t="shared" si="59"/>
        <v>1.4420455569783521E-2</v>
      </c>
      <c r="AC81" s="24"/>
      <c r="AD81" s="757">
        <f t="shared" si="65"/>
        <v>19262535890189.27</v>
      </c>
      <c r="AE81" s="273"/>
      <c r="AF81" s="99"/>
    </row>
    <row r="82" spans="1:32" ht="14.4" x14ac:dyDescent="0.3">
      <c r="A82" s="2"/>
      <c r="B82" s="19">
        <f>'Urban Pass Adoption'!B78</f>
        <v>41965.332801393772</v>
      </c>
      <c r="C82" s="19">
        <f>'Nonurban Pass Adoption'!B78</f>
        <v>37935.484772566633</v>
      </c>
      <c r="D82" s="2"/>
      <c r="E82" s="19">
        <f>B82*(1-'Urban Pass Adoption'!H78-'Urban Pass Adoption'!K78-'Urban Pass Adoption'!N78-'Urban Pass Adoption'!Q78-$AA$60)</f>
        <v>19592.093562638169</v>
      </c>
      <c r="F82" s="19">
        <f>C82*(1-'Nonurban Pass Adoption'!H78-'Nonurban Pass Adoption'!K78-$AA$61-$AA$62-MAX($AA$63,'Nonurban Pass Adoption'!$N78))</f>
        <v>12660.026601668827</v>
      </c>
      <c r="G82" s="20"/>
      <c r="H82" s="19">
        <f t="shared" si="60"/>
        <v>12823.637489670509</v>
      </c>
      <c r="I82" s="21">
        <f t="shared" si="61"/>
        <v>0.65453124999999979</v>
      </c>
      <c r="J82" s="22"/>
      <c r="K82" s="19">
        <f t="shared" si="62"/>
        <v>11491.192966757664</v>
      </c>
      <c r="L82" s="21">
        <f t="shared" si="63"/>
        <v>0.90767526232866769</v>
      </c>
      <c r="M82" s="257"/>
      <c r="N82" s="14">
        <v>2027</v>
      </c>
      <c r="O82" s="257"/>
      <c r="P82" s="35">
        <v>6768.4560729676596</v>
      </c>
      <c r="Q82" s="24"/>
      <c r="R82" s="35">
        <v>1459.889801545736</v>
      </c>
      <c r="S82" s="51">
        <f t="shared" si="73"/>
        <v>0.64999999999999969</v>
      </c>
      <c r="T82" s="24"/>
      <c r="U82" s="35">
        <v>1315.7444087403114</v>
      </c>
      <c r="V82" s="23">
        <f t="shared" si="55"/>
        <v>0.5</v>
      </c>
      <c r="W82" s="24"/>
      <c r="X82" s="252">
        <f t="shared" si="56"/>
        <v>948.92837100472798</v>
      </c>
      <c r="Y82" s="253">
        <f t="shared" si="57"/>
        <v>2.2612196964948452E-2</v>
      </c>
      <c r="Z82" s="24"/>
      <c r="AA82" s="252">
        <f t="shared" si="58"/>
        <v>657.87220437015571</v>
      </c>
      <c r="AB82" s="253">
        <f t="shared" si="59"/>
        <v>1.5676563497866652E-2</v>
      </c>
      <c r="AC82" s="24"/>
      <c r="AD82" s="757">
        <f t="shared" si="65"/>
        <v>19592093562638.168</v>
      </c>
      <c r="AE82" s="273"/>
      <c r="AF82" s="99"/>
    </row>
    <row r="83" spans="1:32" ht="14.4" x14ac:dyDescent="0.3">
      <c r="A83" s="2"/>
      <c r="B83" s="19">
        <f>'Urban Pass Adoption'!B79</f>
        <v>43030.378640550611</v>
      </c>
      <c r="C83" s="19">
        <f>'Nonurban Pass Adoption'!B79</f>
        <v>38953.191004810251</v>
      </c>
      <c r="D83" s="2"/>
      <c r="E83" s="19">
        <f>B83*(1-'Urban Pass Adoption'!H79-'Urban Pass Adoption'!K79-'Urban Pass Adoption'!N79-'Urban Pass Adoption'!Q79-$AA$60)</f>
        <v>19935.574524500142</v>
      </c>
      <c r="F83" s="19">
        <f>C83*(1-'Nonurban Pass Adoption'!H79-'Nonurban Pass Adoption'!K79-$AA$61-$AA$62-MAX($AA$63,'Nonurban Pass Adoption'!$N79))</f>
        <v>12944.318527896219</v>
      </c>
      <c r="G83" s="20"/>
      <c r="H83" s="19">
        <f t="shared" si="60"/>
        <v>12914.51437165276</v>
      </c>
      <c r="I83" s="21">
        <f t="shared" si="61"/>
        <v>0.64781250000000057</v>
      </c>
      <c r="J83" s="22"/>
      <c r="K83" s="19">
        <f t="shared" si="62"/>
        <v>11513.971349696763</v>
      </c>
      <c r="L83" s="21">
        <f t="shared" si="63"/>
        <v>0.88950000147810615</v>
      </c>
      <c r="M83" s="257"/>
      <c r="N83" s="14">
        <v>2028</v>
      </c>
      <c r="O83" s="257"/>
      <c r="P83" s="35">
        <v>7021.0601528473817</v>
      </c>
      <c r="Q83" s="24"/>
      <c r="R83" s="35">
        <v>1749.4145286059179</v>
      </c>
      <c r="S83" s="51">
        <f t="shared" si="73"/>
        <v>0.59999999999999964</v>
      </c>
      <c r="T83" s="24"/>
      <c r="U83" s="35">
        <v>1461.1627335141757</v>
      </c>
      <c r="V83" s="23">
        <f t="shared" si="55"/>
        <v>0.5</v>
      </c>
      <c r="W83" s="24"/>
      <c r="X83" s="252">
        <f t="shared" si="56"/>
        <v>1049.6487171635501</v>
      </c>
      <c r="Y83" s="253">
        <f t="shared" si="57"/>
        <v>2.439320197323086E-2</v>
      </c>
      <c r="Z83" s="24"/>
      <c r="AA83" s="252">
        <f t="shared" si="58"/>
        <v>730.58136675708784</v>
      </c>
      <c r="AB83" s="253">
        <f t="shared" si="59"/>
        <v>1.697826953510952E-2</v>
      </c>
      <c r="AC83" s="24"/>
      <c r="AD83" s="757">
        <f t="shared" si="65"/>
        <v>19935574524500.141</v>
      </c>
      <c r="AE83" s="273"/>
      <c r="AF83" s="99"/>
    </row>
    <row r="84" spans="1:32" ht="14.4" x14ac:dyDescent="0.3">
      <c r="A84" s="2"/>
      <c r="B84" s="19">
        <f>'Urban Pass Adoption'!B80</f>
        <v>44105.840131241697</v>
      </c>
      <c r="C84" s="19">
        <f>'Nonurban Pass Adoption'!B80</f>
        <v>39984.440125321955</v>
      </c>
      <c r="D84" s="2"/>
      <c r="E84" s="19">
        <f>B84*(1-'Urban Pass Adoption'!H80-'Urban Pass Adoption'!K80-'Urban Pass Adoption'!N80-'Urban Pass Adoption'!Q80-$AA$60)</f>
        <v>20294.111242555842</v>
      </c>
      <c r="F84" s="19">
        <f>C84*(1-'Nonurban Pass Adoption'!H80-'Nonurban Pass Adoption'!K80-$AA$61-$AA$62-MAX($AA$63,'Nonurban Pass Adoption'!$N80))</f>
        <v>13235.845177996711</v>
      </c>
      <c r="G84" s="20"/>
      <c r="H84" s="19">
        <f t="shared" si="60"/>
        <v>13010.427879407274</v>
      </c>
      <c r="I84" s="21">
        <f t="shared" si="61"/>
        <v>0.64109374999999946</v>
      </c>
      <c r="J84" s="22"/>
      <c r="K84" s="19">
        <f t="shared" si="62"/>
        <v>11497.17011875483</v>
      </c>
      <c r="L84" s="21">
        <f t="shared" si="63"/>
        <v>0.86863890927552878</v>
      </c>
      <c r="M84" s="257"/>
      <c r="N84" s="14">
        <v>2029</v>
      </c>
      <c r="O84" s="257"/>
      <c r="P84" s="35">
        <v>7283.683363148567</v>
      </c>
      <c r="Q84" s="24"/>
      <c r="R84" s="35">
        <v>2067.7419672420006</v>
      </c>
      <c r="S84" s="51">
        <f t="shared" si="73"/>
        <v>0.5499999999999996</v>
      </c>
      <c r="T84" s="24"/>
      <c r="U84" s="35">
        <v>1616.3823479659602</v>
      </c>
      <c r="V84" s="23">
        <f t="shared" si="55"/>
        <v>0.5</v>
      </c>
      <c r="W84" s="24"/>
      <c r="X84" s="252">
        <f t="shared" si="56"/>
        <v>1137.2580819830994</v>
      </c>
      <c r="Y84" s="253">
        <f t="shared" si="57"/>
        <v>2.5784750468397493E-2</v>
      </c>
      <c r="Z84" s="24"/>
      <c r="AA84" s="252">
        <f t="shared" si="58"/>
        <v>808.1911739829801</v>
      </c>
      <c r="AB84" s="253">
        <f t="shared" si="59"/>
        <v>1.8323903854412928E-2</v>
      </c>
      <c r="AC84" s="24"/>
      <c r="AD84" s="757">
        <f t="shared" si="65"/>
        <v>20294111242555.844</v>
      </c>
      <c r="AE84" s="273"/>
      <c r="AF84" s="99"/>
    </row>
    <row r="85" spans="1:32" ht="14.4" x14ac:dyDescent="0.3">
      <c r="A85" s="2"/>
      <c r="B85" s="19">
        <f>'Urban Pass Adoption'!B81</f>
        <v>45179.177847550411</v>
      </c>
      <c r="C85" s="19">
        <f>'Nonurban Pass Adoption'!B81</f>
        <v>41029.474351604615</v>
      </c>
      <c r="D85" s="2"/>
      <c r="E85" s="19">
        <f>B85*(1-'Urban Pass Adoption'!H81-'Urban Pass Adoption'!K81-'Urban Pass Adoption'!N81-'Urban Pass Adoption'!Q81-$AA$60)</f>
        <v>20656.982439570995</v>
      </c>
      <c r="F85" s="19">
        <f>C85*(1-'Nonurban Pass Adoption'!H81-'Nonurban Pass Adoption'!K81-$AA$61-$AA$62-MAX($AA$63,'Nonurban Pass Adoption'!$N81))</f>
        <v>13136.829741657519</v>
      </c>
      <c r="G85" s="20"/>
      <c r="H85" s="19">
        <f t="shared" si="60"/>
        <v>13104.273235102857</v>
      </c>
      <c r="I85" s="21">
        <f t="shared" si="61"/>
        <v>0.63437500000000036</v>
      </c>
      <c r="J85" s="22"/>
      <c r="K85" s="19">
        <f t="shared" si="62"/>
        <v>10949.145064214765</v>
      </c>
      <c r="L85" s="21">
        <f t="shared" si="63"/>
        <v>0.83346935901091113</v>
      </c>
      <c r="M85" s="257"/>
      <c r="N85" s="14">
        <v>2030</v>
      </c>
      <c r="O85" s="257"/>
      <c r="P85" s="35">
        <v>7552.7092044681376</v>
      </c>
      <c r="Q85" s="24"/>
      <c r="R85" s="35">
        <v>2415.5357299361967</v>
      </c>
      <c r="S85" s="51">
        <f t="shared" si="73"/>
        <v>0.49999999999999961</v>
      </c>
      <c r="T85" s="24"/>
      <c r="U85" s="35">
        <v>1781.6669317720989</v>
      </c>
      <c r="V85" s="51">
        <f>V84-5%</f>
        <v>0.45</v>
      </c>
      <c r="W85" s="24"/>
      <c r="X85" s="252">
        <f t="shared" si="56"/>
        <v>1207.7678649680975</v>
      </c>
      <c r="Y85" s="253">
        <f t="shared" si="57"/>
        <v>2.6732842926967561E-2</v>
      </c>
      <c r="Z85" s="24"/>
      <c r="AA85" s="252">
        <f t="shared" si="58"/>
        <v>801.75011929744448</v>
      </c>
      <c r="AB85" s="253">
        <f t="shared" si="59"/>
        <v>1.774600950027945E-2</v>
      </c>
      <c r="AC85" s="24"/>
      <c r="AD85" s="757">
        <f t="shared" si="65"/>
        <v>20656982439570.996</v>
      </c>
      <c r="AE85" s="273"/>
      <c r="AF85" s="99"/>
    </row>
    <row r="86" spans="1:32" ht="14.4" x14ac:dyDescent="0.3">
      <c r="A86" s="2"/>
      <c r="B86" s="19">
        <f>'Urban Pass Adoption'!B82</f>
        <v>46293.203311531608</v>
      </c>
      <c r="C86" s="19">
        <f>'Nonurban Pass Adoption'!B82</f>
        <v>42088.527573781801</v>
      </c>
      <c r="D86" s="2"/>
      <c r="E86" s="19">
        <f>B86*(1-'Urban Pass Adoption'!H82-'Urban Pass Adoption'!K82-'Urban Pass Adoption'!N82-'Urban Pass Adoption'!Q82-$AA$60)</f>
        <v>21060.806406517651</v>
      </c>
      <c r="F86" s="19">
        <f>C86*(1-'Nonurban Pass Adoption'!H82-'Nonurban Pass Adoption'!K82-$AA$61-$AA$62-MAX($AA$63,'Nonurban Pass Adoption'!$N82))</f>
        <v>12995.647366435611</v>
      </c>
      <c r="G86" s="20"/>
      <c r="H86" s="19">
        <f t="shared" si="60"/>
        <v>13218.946771090868</v>
      </c>
      <c r="I86" s="21">
        <f t="shared" si="61"/>
        <v>0.62765625000000114</v>
      </c>
      <c r="J86" s="22"/>
      <c r="K86" s="19">
        <f t="shared" si="62"/>
        <v>10522.413561315285</v>
      </c>
      <c r="L86" s="21">
        <f t="shared" si="63"/>
        <v>0.80968752572434</v>
      </c>
      <c r="M86" s="257"/>
      <c r="N86" s="14">
        <v>2031</v>
      </c>
      <c r="O86" s="257"/>
      <c r="P86" s="35">
        <v>7841.8596354267829</v>
      </c>
      <c r="Q86" s="24"/>
      <c r="R86" s="35">
        <v>2793.4594291707203</v>
      </c>
      <c r="S86" s="23">
        <f t="shared" ref="S86" si="74">S85</f>
        <v>0.49999999999999961</v>
      </c>
      <c r="T86" s="24"/>
      <c r="U86" s="35">
        <v>1957.2801646090265</v>
      </c>
      <c r="V86" s="23">
        <f t="shared" ref="V86:V93" si="75">V85</f>
        <v>0.45</v>
      </c>
      <c r="W86" s="24"/>
      <c r="X86" s="252">
        <f t="shared" si="56"/>
        <v>1396.729714585359</v>
      </c>
      <c r="Y86" s="253">
        <f t="shared" si="57"/>
        <v>3.0171377538642578E-2</v>
      </c>
      <c r="Z86" s="24"/>
      <c r="AA86" s="252">
        <f t="shared" si="58"/>
        <v>880.77607407406197</v>
      </c>
      <c r="AB86" s="253">
        <f t="shared" si="59"/>
        <v>1.9026034300258957E-2</v>
      </c>
      <c r="AC86" s="24"/>
      <c r="AD86" s="757">
        <f t="shared" si="65"/>
        <v>21060806406517.652</v>
      </c>
      <c r="AE86" s="273"/>
      <c r="AF86" s="99"/>
    </row>
    <row r="87" spans="1:32" ht="14.4" x14ac:dyDescent="0.3">
      <c r="A87" s="2"/>
      <c r="B87" s="19">
        <f>'Urban Pass Adoption'!B83</f>
        <v>47407.816241047607</v>
      </c>
      <c r="C87" s="19">
        <f>'Nonurban Pass Adoption'!B83</f>
        <v>43161.96726403365</v>
      </c>
      <c r="D87" s="2"/>
      <c r="E87" s="19">
        <f>B87*(1-'Urban Pass Adoption'!H83-'Urban Pass Adoption'!K83-'Urban Pass Adoption'!N83-'Urban Pass Adoption'!Q83-$AA$60)</f>
        <v>21471.259476579038</v>
      </c>
      <c r="F87" s="19">
        <f>C87*(1-'Nonurban Pass Adoption'!H83-'Nonurban Pass Adoption'!K83-$AA$61-$AA$62-MAX($AA$63,'Nonurban Pass Adoption'!$N83))</f>
        <v>12859.415369662282</v>
      </c>
      <c r="G87" s="20"/>
      <c r="H87" s="19">
        <f t="shared" si="60"/>
        <v>13332.310181238299</v>
      </c>
      <c r="I87" s="21">
        <f t="shared" si="61"/>
        <v>0.62093750000000014</v>
      </c>
      <c r="J87" s="22"/>
      <c r="K87" s="19">
        <f t="shared" si="62"/>
        <v>10079.409881564141</v>
      </c>
      <c r="L87" s="21">
        <f t="shared" si="63"/>
        <v>0.78381556173566935</v>
      </c>
      <c r="M87" s="257"/>
      <c r="N87" s="14">
        <v>2032</v>
      </c>
      <c r="O87" s="257"/>
      <c r="P87" s="35">
        <v>8138.9492953407389</v>
      </c>
      <c r="Q87" s="24"/>
      <c r="R87" s="35">
        <v>3202.1766774277844</v>
      </c>
      <c r="S87" s="23">
        <f t="shared" ref="S87" si="76">S86</f>
        <v>0.49999999999999961</v>
      </c>
      <c r="T87" s="24"/>
      <c r="U87" s="35">
        <v>2143.485726153177</v>
      </c>
      <c r="V87" s="23">
        <f t="shared" si="75"/>
        <v>0.45</v>
      </c>
      <c r="W87" s="24"/>
      <c r="X87" s="252">
        <f t="shared" si="56"/>
        <v>1601.0883387138911</v>
      </c>
      <c r="Y87" s="253">
        <f t="shared" si="57"/>
        <v>3.3772665894861532E-2</v>
      </c>
      <c r="Z87" s="24"/>
      <c r="AA87" s="252">
        <f t="shared" si="58"/>
        <v>964.56857676892969</v>
      </c>
      <c r="AB87" s="253">
        <f t="shared" si="59"/>
        <v>2.0346192954016878E-2</v>
      </c>
      <c r="AC87" s="24"/>
      <c r="AD87" s="757">
        <f t="shared" si="65"/>
        <v>21471259476579.039</v>
      </c>
      <c r="AE87" s="273"/>
      <c r="AF87" s="99"/>
    </row>
    <row r="88" spans="1:32" ht="14.4" x14ac:dyDescent="0.3">
      <c r="A88" s="2"/>
      <c r="B88" s="19">
        <f>'Urban Pass Adoption'!B84</f>
        <v>48538.588788213543</v>
      </c>
      <c r="C88" s="19">
        <f>'Nonurban Pass Adoption'!B84</f>
        <v>44250.466123173443</v>
      </c>
      <c r="D88" s="2"/>
      <c r="E88" s="19">
        <f>B88*(1-'Urban Pass Adoption'!H84-'Urban Pass Adoption'!K84-'Urban Pass Adoption'!N84-'Urban Pass Adoption'!Q84-$AA$60)</f>
        <v>21901.462384250652</v>
      </c>
      <c r="F88" s="19">
        <f>C88*(1-'Nonurban Pass Adoption'!H84-'Nonurban Pass Adoption'!K84-$AA$61-$AA$62-MAX($AA$63,'Nonurban Pass Adoption'!$N84))</f>
        <v>12728.317321565846</v>
      </c>
      <c r="G88" s="20"/>
      <c r="H88" s="19">
        <f t="shared" si="60"/>
        <v>13452.288848826474</v>
      </c>
      <c r="I88" s="21">
        <f t="shared" si="61"/>
        <v>0.61421875000000092</v>
      </c>
      <c r="J88" s="22"/>
      <c r="K88" s="19">
        <f t="shared" si="62"/>
        <v>9619.8407651265006</v>
      </c>
      <c r="L88" s="21">
        <f t="shared" si="63"/>
        <v>0.75578260048776513</v>
      </c>
      <c r="M88" s="257"/>
      <c r="N88" s="14">
        <v>2033</v>
      </c>
      <c r="O88" s="257"/>
      <c r="P88" s="35">
        <v>8449.1735354241773</v>
      </c>
      <c r="Q88" s="24"/>
      <c r="R88" s="35">
        <v>3642.3510871896019</v>
      </c>
      <c r="S88" s="23">
        <f t="shared" ref="S88" si="77">S87</f>
        <v>0.49999999999999961</v>
      </c>
      <c r="T88" s="24"/>
      <c r="U88" s="35">
        <v>2340.5472960809852</v>
      </c>
      <c r="V88" s="23">
        <f t="shared" si="75"/>
        <v>0.45</v>
      </c>
      <c r="W88" s="24"/>
      <c r="X88" s="252">
        <f t="shared" si="56"/>
        <v>1821.1755435947996</v>
      </c>
      <c r="Y88" s="253">
        <f t="shared" si="57"/>
        <v>3.7520158477228518E-2</v>
      </c>
      <c r="Z88" s="24"/>
      <c r="AA88" s="252">
        <f t="shared" si="58"/>
        <v>1053.2462832364433</v>
      </c>
      <c r="AB88" s="253">
        <f t="shared" si="59"/>
        <v>2.1699153385608926E-2</v>
      </c>
      <c r="AC88" s="24"/>
      <c r="AD88" s="757">
        <f t="shared" si="65"/>
        <v>21901462384250.652</v>
      </c>
      <c r="AE88" s="273"/>
      <c r="AF88" s="99"/>
    </row>
    <row r="89" spans="1:32" ht="14.4" x14ac:dyDescent="0.3">
      <c r="A89" s="2"/>
      <c r="B89" s="19">
        <f>'Urban Pass Adoption'!B85</f>
        <v>49687.414462031556</v>
      </c>
      <c r="C89" s="19">
        <f>'Nonurban Pass Adoption'!B85</f>
        <v>45354.859388420766</v>
      </c>
      <c r="D89" s="2"/>
      <c r="E89" s="19">
        <f>B89*(1-'Urban Pass Adoption'!H85-'Urban Pass Adoption'!K85-'Urban Pass Adoption'!N85-'Urban Pass Adoption'!Q85-$AA$60)</f>
        <v>22352.765688204297</v>
      </c>
      <c r="F89" s="19">
        <f>C89*(1-'Nonurban Pass Adoption'!H85-'Nonurban Pass Adoption'!K85-$AA$61-$AA$62-MAX($AA$63,'Nonurban Pass Adoption'!$N85))</f>
        <v>12602.636392421997</v>
      </c>
      <c r="G89" s="20"/>
      <c r="H89" s="19">
        <f t="shared" si="60"/>
        <v>13579.305155584108</v>
      </c>
      <c r="I89" s="21">
        <f t="shared" si="61"/>
        <v>0.60749999999999993</v>
      </c>
      <c r="J89" s="22"/>
      <c r="K89" s="19">
        <f t="shared" si="62"/>
        <v>9143.5125522149137</v>
      </c>
      <c r="L89" s="21">
        <f t="shared" si="63"/>
        <v>0.725523792602073</v>
      </c>
      <c r="M89" s="257"/>
      <c r="N89" s="14">
        <v>2034</v>
      </c>
      <c r="O89" s="257"/>
      <c r="P89" s="35">
        <v>8773.460532620189</v>
      </c>
      <c r="Q89" s="24"/>
      <c r="R89" s="35">
        <v>4114.6462709383868</v>
      </c>
      <c r="S89" s="23">
        <f t="shared" ref="S89" si="78">S88</f>
        <v>0.49999999999999961</v>
      </c>
      <c r="T89" s="24"/>
      <c r="U89" s="35">
        <v>2548.7285540688849</v>
      </c>
      <c r="V89" s="23">
        <f t="shared" si="75"/>
        <v>0.45</v>
      </c>
      <c r="W89" s="24"/>
      <c r="X89" s="252">
        <f t="shared" si="56"/>
        <v>2057.3231354691916</v>
      </c>
      <c r="Y89" s="253">
        <f t="shared" si="57"/>
        <v>4.1405316773753385E-2</v>
      </c>
      <c r="Z89" s="24"/>
      <c r="AA89" s="252">
        <f t="shared" si="58"/>
        <v>1146.9278493309982</v>
      </c>
      <c r="AB89" s="253">
        <f t="shared" si="59"/>
        <v>2.3082864378210274E-2</v>
      </c>
      <c r="AC89" s="24"/>
      <c r="AD89" s="757">
        <f t="shared" si="65"/>
        <v>22352765688204.297</v>
      </c>
      <c r="AE89" s="273"/>
      <c r="AF89" s="99"/>
    </row>
    <row r="90" spans="1:32" ht="14.4" x14ac:dyDescent="0.3">
      <c r="A90" s="2"/>
      <c r="B90" s="19">
        <f>'Urban Pass Adoption'!B86</f>
        <v>50841.012954346224</v>
      </c>
      <c r="C90" s="19">
        <f>'Nonurban Pass Adoption'!B86</f>
        <v>46475.857809981047</v>
      </c>
      <c r="D90" s="2"/>
      <c r="E90" s="19">
        <f>B90*(1-'Urban Pass Adoption'!H86-'Urban Pass Adoption'!K86-'Urban Pass Adoption'!N86-'Urban Pass Adoption'!Q86-$AA$60)</f>
        <v>22813.607372108832</v>
      </c>
      <c r="F90" s="19">
        <f>C90*(1-'Nonurban Pass Adoption'!H86-'Nonurban Pass Adoption'!K86-$AA$61-$AA$62-MAX($AA$63,'Nonurban Pass Adoption'!$N86))</f>
        <v>12473.147700298417</v>
      </c>
      <c r="G90" s="20"/>
      <c r="H90" s="19">
        <f t="shared" si="60"/>
        <v>13705.987554024776</v>
      </c>
      <c r="I90" s="21">
        <f t="shared" si="61"/>
        <v>0.60078125000000071</v>
      </c>
      <c r="J90" s="22"/>
      <c r="K90" s="19">
        <f t="shared" si="62"/>
        <v>8640.7235308339186</v>
      </c>
      <c r="L90" s="21">
        <f t="shared" si="63"/>
        <v>0.69274602838441424</v>
      </c>
      <c r="M90" s="257"/>
      <c r="N90" s="14">
        <v>2035</v>
      </c>
      <c r="O90" s="257"/>
      <c r="P90" s="35">
        <v>9107.6198180840565</v>
      </c>
      <c r="Q90" s="24"/>
      <c r="R90" s="35">
        <v>4619.7258411563525</v>
      </c>
      <c r="S90" s="23">
        <f t="shared" ref="S90" si="79">S89</f>
        <v>0.49999999999999961</v>
      </c>
      <c r="T90" s="24"/>
      <c r="U90" s="35">
        <v>2768.2931797933115</v>
      </c>
      <c r="V90" s="23">
        <f t="shared" si="75"/>
        <v>0.45</v>
      </c>
      <c r="W90" s="24"/>
      <c r="X90" s="252">
        <f t="shared" si="56"/>
        <v>2309.8629205781745</v>
      </c>
      <c r="Y90" s="253">
        <f t="shared" si="57"/>
        <v>4.543306252871801E-2</v>
      </c>
      <c r="Z90" s="24"/>
      <c r="AA90" s="252">
        <f t="shared" si="58"/>
        <v>1245.7319309069903</v>
      </c>
      <c r="AB90" s="253">
        <f t="shared" si="59"/>
        <v>2.4502500216225472E-2</v>
      </c>
      <c r="AC90" s="24"/>
      <c r="AD90" s="757">
        <f t="shared" si="65"/>
        <v>22813607372108.832</v>
      </c>
      <c r="AE90" s="273"/>
      <c r="AF90" s="99"/>
    </row>
    <row r="91" spans="1:32" ht="14.4" x14ac:dyDescent="0.3">
      <c r="A91" s="2"/>
      <c r="B91" s="19">
        <f>'Urban Pass Adoption'!B87</f>
        <v>52046.039805783817</v>
      </c>
      <c r="C91" s="19">
        <f>'Nonurban Pass Adoption'!B87</f>
        <v>47613.950601827237</v>
      </c>
      <c r="D91" s="2"/>
      <c r="E91" s="19">
        <f>B91*(1-'Urban Pass Adoption'!H87-'Urban Pass Adoption'!K87-'Urban Pass Adoption'!N87-'Urban Pass Adoption'!Q87-$AA$60)</f>
        <v>23323.764229974</v>
      </c>
      <c r="F91" s="19">
        <f>C91*(1-'Nonurban Pass Adoption'!H87-'Nonurban Pass Adoption'!K87-$AA$61-$AA$62-MAX($AA$63,'Nonurban Pass Adoption'!$N87))</f>
        <v>12379.582713766627</v>
      </c>
      <c r="G91" s="20"/>
      <c r="H91" s="19">
        <f t="shared" si="60"/>
        <v>13855.773687868921</v>
      </c>
      <c r="I91" s="21">
        <f t="shared" si="61"/>
        <v>0.5940624999999996</v>
      </c>
      <c r="J91" s="22"/>
      <c r="K91" s="19">
        <f t="shared" si="62"/>
        <v>8150.728339491885</v>
      </c>
      <c r="L91" s="21">
        <f t="shared" si="63"/>
        <v>0.65840089508250754</v>
      </c>
      <c r="M91" s="257"/>
      <c r="N91" s="14">
        <v>2036</v>
      </c>
      <c r="O91" s="257"/>
      <c r="P91" s="35">
        <v>9467.9905421050789</v>
      </c>
      <c r="Q91" s="24"/>
      <c r="R91" s="35">
        <v>5158.2534103257112</v>
      </c>
      <c r="S91" s="23">
        <f t="shared" ref="S91" si="80">S90</f>
        <v>0.49999999999999961</v>
      </c>
      <c r="T91" s="24"/>
      <c r="U91" s="35">
        <v>2999.5048529306982</v>
      </c>
      <c r="V91" s="23">
        <f t="shared" si="75"/>
        <v>0.45</v>
      </c>
      <c r="W91" s="24"/>
      <c r="X91" s="252">
        <f t="shared" si="56"/>
        <v>2579.1267051628538</v>
      </c>
      <c r="Y91" s="253">
        <f t="shared" si="57"/>
        <v>4.9554715686096033E-2</v>
      </c>
      <c r="Z91" s="24"/>
      <c r="AA91" s="252">
        <f t="shared" si="58"/>
        <v>1349.7771838188141</v>
      </c>
      <c r="AB91" s="253">
        <f t="shared" si="59"/>
        <v>2.593429180886141E-2</v>
      </c>
      <c r="AC91" s="24"/>
      <c r="AD91" s="757">
        <f t="shared" si="65"/>
        <v>23323764229974</v>
      </c>
      <c r="AE91" s="273"/>
      <c r="AF91" s="99"/>
    </row>
    <row r="92" spans="1:32" ht="14.4" x14ac:dyDescent="0.3">
      <c r="A92" s="2"/>
      <c r="B92" s="19">
        <f>'Urban Pass Adoption'!B88</f>
        <v>53258.618900917121</v>
      </c>
      <c r="C92" s="19">
        <f>'Nonurban Pass Adoption'!B88</f>
        <v>48769.357016203649</v>
      </c>
      <c r="D92" s="2"/>
      <c r="E92" s="19">
        <f>B92*(1-'Urban Pass Adoption'!H88-'Urban Pass Adoption'!K88-'Urban Pass Adoption'!N88-'Urban Pass Adoption'!Q88-$AA$60)</f>
        <v>23845.753221564712</v>
      </c>
      <c r="F92" s="19">
        <f>C92*(1-'Nonurban Pass Adoption'!H88-'Nonurban Pass Adoption'!K88-$AA$61-$AA$62-MAX($AA$63,'Nonurban Pass Adoption'!$N88))</f>
        <v>12283.757815660703</v>
      </c>
      <c r="G92" s="20"/>
      <c r="H92" s="19">
        <f t="shared" si="60"/>
        <v>14005.654118728411</v>
      </c>
      <c r="I92" s="21">
        <f t="shared" si="61"/>
        <v>0.5873437500000005</v>
      </c>
      <c r="J92" s="22"/>
      <c r="K92" s="19">
        <f t="shared" si="62"/>
        <v>7634.8665309597473</v>
      </c>
      <c r="L92" s="21">
        <f t="shared" si="63"/>
        <v>0.62154160359836863</v>
      </c>
      <c r="M92" s="257"/>
      <c r="N92" s="14">
        <v>2037</v>
      </c>
      <c r="O92" s="257"/>
      <c r="P92" s="35">
        <v>9840.0991028363005</v>
      </c>
      <c r="Q92" s="24"/>
      <c r="R92" s="35">
        <v>5730.8925909286791</v>
      </c>
      <c r="S92" s="23">
        <f t="shared" ref="S92" si="81">S91</f>
        <v>0.49999999999999961</v>
      </c>
      <c r="T92" s="24"/>
      <c r="U92" s="35">
        <v>3242.6272531574796</v>
      </c>
      <c r="V92" s="23">
        <f t="shared" si="75"/>
        <v>0.45</v>
      </c>
      <c r="W92" s="24"/>
      <c r="X92" s="252">
        <f t="shared" si="56"/>
        <v>2865.4462954643373</v>
      </c>
      <c r="Y92" s="253">
        <f t="shared" si="57"/>
        <v>5.3802489711482056E-2</v>
      </c>
      <c r="Z92" s="24"/>
      <c r="AA92" s="252">
        <f t="shared" si="58"/>
        <v>1459.1822639208658</v>
      </c>
      <c r="AB92" s="253">
        <f t="shared" si="59"/>
        <v>2.7398049255380492E-2</v>
      </c>
      <c r="AC92" s="24"/>
      <c r="AD92" s="757">
        <f t="shared" si="65"/>
        <v>23845753221564.711</v>
      </c>
      <c r="AE92" s="273"/>
      <c r="AF92" s="99"/>
    </row>
    <row r="93" spans="1:32" ht="14.4" x14ac:dyDescent="0.3">
      <c r="A93" s="2"/>
      <c r="B93" s="19">
        <f>'Urban Pass Adoption'!B89</f>
        <v>54494.926096628529</v>
      </c>
      <c r="C93" s="19">
        <f>'Nonurban Pass Adoption'!B89</f>
        <v>49942.183216548918</v>
      </c>
      <c r="D93" s="2"/>
      <c r="E93" s="19">
        <f>B93*(1-'Urban Pass Adoption'!H89-'Urban Pass Adoption'!K89-'Urban Pass Adoption'!N89-'Urban Pass Adoption'!Q89-$AA$60)</f>
        <v>24393.491006697244</v>
      </c>
      <c r="F93" s="19">
        <f>C93*(1-'Nonurban Pass Adoption'!H89-'Nonurban Pass Adoption'!K89-$AA$61-$AA$62-MAX($AA$63,'Nonurban Pass Adoption'!$N89))</f>
        <v>12185.508695514256</v>
      </c>
      <c r="G93" s="20"/>
      <c r="H93" s="19">
        <f t="shared" si="60"/>
        <v>14163.470715763575</v>
      </c>
      <c r="I93" s="21">
        <f t="shared" si="61"/>
        <v>0.5806249999999995</v>
      </c>
      <c r="J93" s="22"/>
      <c r="K93" s="19">
        <f t="shared" si="62"/>
        <v>7092.4969647079697</v>
      </c>
      <c r="L93" s="21">
        <f t="shared" si="63"/>
        <v>0.58204356846578498</v>
      </c>
      <c r="M93" s="257"/>
      <c r="N93" s="14">
        <v>2038</v>
      </c>
      <c r="O93" s="257"/>
      <c r="P93" s="35">
        <v>10230.020290933669</v>
      </c>
      <c r="Q93" s="24"/>
      <c r="R93" s="35">
        <v>6338.3069954474668</v>
      </c>
      <c r="S93" s="23">
        <f t="shared" ref="S93" si="82">S92</f>
        <v>0.49999999999999961</v>
      </c>
      <c r="T93" s="24"/>
      <c r="U93" s="35">
        <v>3497.924060150091</v>
      </c>
      <c r="V93" s="23">
        <f t="shared" si="75"/>
        <v>0.45</v>
      </c>
      <c r="W93" s="24"/>
      <c r="X93" s="252">
        <f t="shared" si="56"/>
        <v>3169.1534977237311</v>
      </c>
      <c r="Y93" s="253">
        <f t="shared" si="57"/>
        <v>5.8155019645394088E-2</v>
      </c>
      <c r="Z93" s="24"/>
      <c r="AA93" s="252">
        <f t="shared" si="58"/>
        <v>1574.065827067541</v>
      </c>
      <c r="AB93" s="253">
        <f t="shared" si="59"/>
        <v>2.8884630915481223E-2</v>
      </c>
      <c r="AC93" s="24"/>
      <c r="AD93" s="757">
        <f t="shared" si="65"/>
        <v>24393491006697.246</v>
      </c>
      <c r="AE93" s="273"/>
      <c r="AF93" s="99"/>
    </row>
    <row r="94" spans="1:32" ht="14.4" x14ac:dyDescent="0.3">
      <c r="A94" s="2"/>
      <c r="B94" s="19">
        <f>'Urban Pass Adoption'!B90</f>
        <v>55755.934649449395</v>
      </c>
      <c r="C94" s="19">
        <f>'Nonurban Pass Adoption'!B90</f>
        <v>51132.381094602591</v>
      </c>
      <c r="D94" s="2"/>
      <c r="E94" s="19">
        <f>B94*(1-'Urban Pass Adoption'!H90-'Urban Pass Adoption'!K90-'Urban Pass Adoption'!N90-'Urban Pass Adoption'!Q90-$AA$60)</f>
        <v>24967.977097302624</v>
      </c>
      <c r="F94" s="19">
        <f>C94*(1-'Nonurban Pass Adoption'!H90-'Nonurban Pass Adoption'!K90-$AA$61-$AA$62-MAX($AA$63,'Nonurban Pass Adoption'!$N90))</f>
        <v>12170.345132102688</v>
      </c>
      <c r="G94" s="20"/>
      <c r="H94" s="19">
        <f t="shared" si="60"/>
        <v>14329.278105998841</v>
      </c>
      <c r="I94" s="21">
        <f t="shared" si="61"/>
        <v>0.57390625000000028</v>
      </c>
      <c r="J94" s="22"/>
      <c r="K94" s="19">
        <f t="shared" si="62"/>
        <v>6683.9657685205084</v>
      </c>
      <c r="L94" s="21">
        <f t="shared" si="63"/>
        <v>0.54920100424183371</v>
      </c>
      <c r="M94" s="257"/>
      <c r="N94" s="14">
        <v>2039</v>
      </c>
      <c r="O94" s="257"/>
      <c r="P94" s="35">
        <v>10638.698991303783</v>
      </c>
      <c r="Q94" s="24"/>
      <c r="R94" s="35">
        <v>6981.1602363642887</v>
      </c>
      <c r="S94" s="23">
        <f t="shared" ref="S94" si="83">S93</f>
        <v>0.49999999999999961</v>
      </c>
      <c r="T94" s="24"/>
      <c r="U94" s="35">
        <v>3765.6589535849657</v>
      </c>
      <c r="V94" s="606">
        <f t="shared" ref="V94:V97" si="84">V93+2%</f>
        <v>0.47000000000000003</v>
      </c>
      <c r="W94" s="24"/>
      <c r="X94" s="252">
        <f t="shared" si="56"/>
        <v>3490.5801181821416</v>
      </c>
      <c r="Y94" s="253">
        <f t="shared" si="57"/>
        <v>6.2604638234983148E-2</v>
      </c>
      <c r="Z94" s="24"/>
      <c r="AA94" s="252">
        <f t="shared" si="58"/>
        <v>1769.8597081849341</v>
      </c>
      <c r="AB94" s="253">
        <f t="shared" si="59"/>
        <v>3.1742983402797499E-2</v>
      </c>
      <c r="AC94" s="24"/>
      <c r="AD94" s="757">
        <f t="shared" si="65"/>
        <v>24967977097302.625</v>
      </c>
      <c r="AE94" s="273"/>
      <c r="AF94" s="99"/>
    </row>
    <row r="95" spans="1:32" ht="14.4" x14ac:dyDescent="0.3">
      <c r="A95" s="2"/>
      <c r="B95" s="19">
        <f>'Urban Pass Adoption'!B91</f>
        <v>57039.963217901495</v>
      </c>
      <c r="C95" s="19">
        <f>'Nonurban Pass Adoption'!B91</f>
        <v>52339.948153113881</v>
      </c>
      <c r="D95" s="2"/>
      <c r="E95" s="19">
        <f>B95*(1-'Urban Pass Adoption'!H91-'Urban Pass Adoption'!K91-'Urban Pass Adoption'!N91-'Urban Pass Adoption'!Q91-$AA$60)</f>
        <v>25567.916151567992</v>
      </c>
      <c r="F95" s="19">
        <f>C95*(1-'Nonurban Pass Adoption'!H91-'Nonurban Pass Adoption'!K91-$AA$61-$AA$62-MAX($AA$63,'Nonurban Pass Adoption'!$N91))</f>
        <v>12238.723729183837</v>
      </c>
      <c r="G95" s="20"/>
      <c r="H95" s="19">
        <f t="shared" si="60"/>
        <v>14501.802442217497</v>
      </c>
      <c r="I95" s="21">
        <f t="shared" si="61"/>
        <v>0.56718750000000107</v>
      </c>
      <c r="J95" s="22"/>
      <c r="K95" s="19">
        <f t="shared" si="62"/>
        <v>6345.1570034025008</v>
      </c>
      <c r="L95" s="21">
        <f t="shared" si="63"/>
        <v>0.51844923897351836</v>
      </c>
      <c r="M95" s="257"/>
      <c r="N95" s="14">
        <v>2040</v>
      </c>
      <c r="O95" s="257"/>
      <c r="P95" s="35">
        <v>11066.113709350495</v>
      </c>
      <c r="Q95" s="24"/>
      <c r="R95" s="35">
        <v>7660.1159261613575</v>
      </c>
      <c r="S95" s="23">
        <f t="shared" ref="S95" si="85">S94</f>
        <v>0.49999999999999961</v>
      </c>
      <c r="T95" s="24"/>
      <c r="U95" s="35">
        <v>4046.0956131385383</v>
      </c>
      <c r="V95" s="606">
        <f t="shared" si="84"/>
        <v>0.49000000000000005</v>
      </c>
      <c r="W95" s="24"/>
      <c r="X95" s="252">
        <f t="shared" si="56"/>
        <v>3830.0579630806756</v>
      </c>
      <c r="Y95" s="253">
        <f t="shared" si="57"/>
        <v>6.7146922035157361E-2</v>
      </c>
      <c r="Z95" s="24"/>
      <c r="AA95" s="252">
        <f t="shared" si="58"/>
        <v>1982.5868504378839</v>
      </c>
      <c r="AB95" s="253">
        <f t="shared" si="59"/>
        <v>3.4757856397348907E-2</v>
      </c>
      <c r="AC95" s="24"/>
      <c r="AD95" s="757">
        <f t="shared" si="65"/>
        <v>25567916151567.992</v>
      </c>
      <c r="AE95" s="273"/>
      <c r="AF95" s="99"/>
    </row>
    <row r="96" spans="1:32" ht="14.4" x14ac:dyDescent="0.3">
      <c r="A96" s="2"/>
      <c r="B96" s="19">
        <f>'Urban Pass Adoption'!B92</f>
        <v>58356.304790103561</v>
      </c>
      <c r="C96" s="19">
        <f>'Nonurban Pass Adoption'!B92</f>
        <v>53565.078261454386</v>
      </c>
      <c r="D96" s="2"/>
      <c r="E96" s="19">
        <f>B96*(1-'Urban Pass Adoption'!H92-'Urban Pass Adoption'!K92-'Urban Pass Adoption'!N92-'Urban Pass Adoption'!Q92-$AA$60)</f>
        <v>26201.291572094186</v>
      </c>
      <c r="F96" s="19">
        <f>C96*(1-'Nonurban Pass Adoption'!H92-'Nonurban Pass Adoption'!K92-$AA$61-$AA$62-MAX($AA$63,'Nonurban Pass Adoption'!$N92))</f>
        <v>12463.486437229863</v>
      </c>
      <c r="G96" s="20"/>
      <c r="H96" s="19">
        <f t="shared" si="60"/>
        <v>14685.005135797166</v>
      </c>
      <c r="I96" s="21">
        <f t="shared" si="61"/>
        <v>0.56046875000000007</v>
      </c>
      <c r="J96" s="22"/>
      <c r="K96" s="19">
        <f t="shared" si="62"/>
        <v>6149.2137165106669</v>
      </c>
      <c r="L96" s="21">
        <f t="shared" si="63"/>
        <v>0.49337829727501131</v>
      </c>
      <c r="M96" s="257"/>
      <c r="N96" s="14">
        <v>2041</v>
      </c>
      <c r="O96" s="257"/>
      <c r="P96" s="35">
        <v>11516.286436297019</v>
      </c>
      <c r="Q96" s="24"/>
      <c r="R96" s="35">
        <v>8375.8376773208875</v>
      </c>
      <c r="S96" s="23">
        <f t="shared" ref="S96" si="86">S95</f>
        <v>0.49999999999999961</v>
      </c>
      <c r="T96" s="24"/>
      <c r="U96" s="35">
        <v>4339.4977184872432</v>
      </c>
      <c r="V96" s="606">
        <f t="shared" si="84"/>
        <v>0.51</v>
      </c>
      <c r="W96" s="24"/>
      <c r="X96" s="252">
        <f t="shared" si="56"/>
        <v>4187.9188386604401</v>
      </c>
      <c r="Y96" s="253">
        <f t="shared" si="57"/>
        <v>7.176463372250147E-2</v>
      </c>
      <c r="Z96" s="24"/>
      <c r="AA96" s="252">
        <f t="shared" si="58"/>
        <v>2213.1438364284941</v>
      </c>
      <c r="AB96" s="253">
        <f t="shared" si="59"/>
        <v>3.7924674024319191E-2</v>
      </c>
      <c r="AC96" s="24"/>
      <c r="AD96" s="757">
        <f t="shared" si="65"/>
        <v>26201291572094.184</v>
      </c>
      <c r="AE96" s="273"/>
      <c r="AF96" s="99"/>
    </row>
    <row r="97" spans="1:33" ht="14.4" x14ac:dyDescent="0.3">
      <c r="A97" s="2"/>
      <c r="B97" s="19">
        <f>'Urban Pass Adoption'!B93</f>
        <v>59698.163966034866</v>
      </c>
      <c r="C97" s="19">
        <f>'Nonurban Pass Adoption'!B93</f>
        <v>54808.054221713071</v>
      </c>
      <c r="D97" s="2"/>
      <c r="E97" s="19">
        <f>B97*(1-'Urban Pass Adoption'!H93-'Urban Pass Adoption'!K93-'Urban Pass Adoption'!N93-'Urban Pass Adoption'!Q93-$AA$60)</f>
        <v>26862.292091163621</v>
      </c>
      <c r="F97" s="19">
        <f>C97*(1-'Nonurban Pass Adoption'!H93-'Nonurban Pass Adoption'!K93-$AA$61-$AA$62-MAX($AA$63,'Nonurban Pass Adoption'!$N93))</f>
        <v>12738.777319849087</v>
      </c>
      <c r="G97" s="20"/>
      <c r="H97" s="19">
        <f t="shared" si="60"/>
        <v>14874.994245481879</v>
      </c>
      <c r="I97" s="21">
        <f t="shared" si="61"/>
        <v>0.55375000000000085</v>
      </c>
      <c r="J97" s="22"/>
      <c r="K97" s="19">
        <f t="shared" si="62"/>
        <v>5990.6021625120065</v>
      </c>
      <c r="L97" s="21">
        <f t="shared" si="63"/>
        <v>0.47026508212665546</v>
      </c>
      <c r="M97" s="257"/>
      <c r="N97" s="14">
        <v>2042</v>
      </c>
      <c r="O97" s="257"/>
      <c r="P97" s="35">
        <v>11987.297845681742</v>
      </c>
      <c r="Q97" s="24"/>
      <c r="R97" s="35">
        <v>9128.9891023250893</v>
      </c>
      <c r="S97" s="23">
        <f t="shared" ref="S97" si="87">S96</f>
        <v>0.49999999999999961</v>
      </c>
      <c r="T97" s="24"/>
      <c r="U97" s="35">
        <v>4646.1289493075155</v>
      </c>
      <c r="V97" s="606">
        <f t="shared" si="84"/>
        <v>0.53</v>
      </c>
      <c r="W97" s="24"/>
      <c r="X97" s="252">
        <f t="shared" si="56"/>
        <v>4564.494551162541</v>
      </c>
      <c r="Y97" s="253">
        <f t="shared" si="57"/>
        <v>7.6459546624574576E-2</v>
      </c>
      <c r="Z97" s="24"/>
      <c r="AA97" s="252">
        <f t="shared" si="58"/>
        <v>2462.4483431329832</v>
      </c>
      <c r="AB97" s="253">
        <f t="shared" si="59"/>
        <v>4.1248309487943169E-2</v>
      </c>
      <c r="AC97" s="24"/>
      <c r="AD97" s="757">
        <f t="shared" si="65"/>
        <v>26862292091163.621</v>
      </c>
      <c r="AE97" s="273"/>
      <c r="AF97" s="99"/>
    </row>
    <row r="98" spans="1:33" ht="14.4" x14ac:dyDescent="0.3">
      <c r="A98" s="2"/>
      <c r="B98" s="19">
        <f>'Urban Pass Adoption'!B94</f>
        <v>61069.375601501466</v>
      </c>
      <c r="C98" s="19">
        <f>'Nonurban Pass Adoption'!B94</f>
        <v>56069.020982361581</v>
      </c>
      <c r="D98" s="2"/>
      <c r="E98" s="19">
        <f>B98*(1-'Urban Pass Adoption'!H94-'Urban Pass Adoption'!K94-'Urban Pass Adoption'!N94-'Urban Pass Adoption'!Q94-$AA$60)</f>
        <v>27554.265702662065</v>
      </c>
      <c r="F98" s="19">
        <f>C98*(1-'Nonurban Pass Adoption'!H94-'Nonurban Pass Adoption'!K94-$AA$61-$AA$62-MAX($AA$63,'Nonurban Pass Adoption'!$N94))</f>
        <v>13060.361844538384</v>
      </c>
      <c r="G98" s="20"/>
      <c r="H98" s="19">
        <f t="shared" si="60"/>
        <v>15073.044410159355</v>
      </c>
      <c r="I98" s="21">
        <f t="shared" si="61"/>
        <v>0.54703124999999986</v>
      </c>
      <c r="J98" s="22"/>
      <c r="K98" s="19">
        <f t="shared" si="62"/>
        <v>8100.2449377102894</v>
      </c>
      <c r="L98" s="21">
        <f t="shared" si="63"/>
        <v>0.62021596599926299</v>
      </c>
      <c r="M98" s="257"/>
      <c r="N98" s="14">
        <v>2043</v>
      </c>
      <c r="O98" s="257"/>
      <c r="P98" s="35">
        <v>12481.221292502711</v>
      </c>
      <c r="Q98" s="24"/>
      <c r="R98" s="35">
        <v>9920.2338136561793</v>
      </c>
      <c r="S98" s="23">
        <f t="shared" ref="S98" si="88">S97</f>
        <v>0.49999999999999961</v>
      </c>
      <c r="T98" s="24"/>
      <c r="U98" s="35">
        <v>4966.2529852757889</v>
      </c>
      <c r="V98" s="606">
        <v>1</v>
      </c>
      <c r="W98" s="24"/>
      <c r="X98" s="252">
        <f t="shared" si="56"/>
        <v>4960.116906828086</v>
      </c>
      <c r="Y98" s="253">
        <f t="shared" si="57"/>
        <v>8.1221018849030699E-2</v>
      </c>
      <c r="Z98" s="24"/>
      <c r="AA98" s="252">
        <f t="shared" si="58"/>
        <v>4966.2529852757889</v>
      </c>
      <c r="AB98" s="253">
        <f t="shared" si="59"/>
        <v>8.1321496025803269E-2</v>
      </c>
      <c r="AC98" s="24"/>
      <c r="AD98" s="757">
        <f t="shared" si="65"/>
        <v>27554265702662.066</v>
      </c>
      <c r="AE98" s="273"/>
      <c r="AF98" s="99"/>
    </row>
    <row r="99" spans="1:33" ht="14.4" x14ac:dyDescent="0.3">
      <c r="A99" s="2"/>
      <c r="B99" s="19">
        <f>'Urban Pass Adoption'!B95</f>
        <v>62471.060353448425</v>
      </c>
      <c r="C99" s="19">
        <f>'Nonurban Pass Adoption'!B95</f>
        <v>57348.114144943684</v>
      </c>
      <c r="D99" s="2"/>
      <c r="E99" s="19">
        <f>B99*(1-'Urban Pass Adoption'!H95-'Urban Pass Adoption'!K95-'Urban Pass Adoption'!N95-'Urban Pass Adoption'!Q95-$AA$60)</f>
        <v>28278.247164501892</v>
      </c>
      <c r="F99" s="19">
        <f>C99*(1-'Nonurban Pass Adoption'!H95-'Nonurban Pass Adoption'!K95-$AA$61-$AA$62-MAX($AA$63,'Nonurban Pass Adoption'!$N95))</f>
        <v>13505.328983793857</v>
      </c>
      <c r="G99" s="20"/>
      <c r="H99" s="19">
        <f t="shared" si="60"/>
        <v>15279.090421069946</v>
      </c>
      <c r="I99" s="21">
        <f t="shared" si="61"/>
        <v>0.54031250000000064</v>
      </c>
      <c r="J99" s="22"/>
      <c r="K99" s="19">
        <f t="shared" si="62"/>
        <v>8130.2112718956669</v>
      </c>
      <c r="L99" s="21">
        <f t="shared" si="63"/>
        <v>0.60200023869479735</v>
      </c>
      <c r="M99" s="257"/>
      <c r="N99" s="14">
        <v>2044</v>
      </c>
      <c r="O99" s="257"/>
      <c r="P99" s="35">
        <v>12999.156743431946</v>
      </c>
      <c r="Q99" s="24"/>
      <c r="R99" s="35">
        <v>10750.235423796372</v>
      </c>
      <c r="S99" s="23">
        <f t="shared" ref="S99" si="89">S98</f>
        <v>0.49999999999999961</v>
      </c>
      <c r="T99" s="24"/>
      <c r="U99" s="35">
        <v>5300.1335060684978</v>
      </c>
      <c r="V99" s="606">
        <v>1</v>
      </c>
      <c r="W99" s="24"/>
      <c r="X99" s="252">
        <f t="shared" ref="X99:X115" si="90">R99*S99</f>
        <v>5375.1177118981814</v>
      </c>
      <c r="Y99" s="253">
        <f t="shared" si="57"/>
        <v>8.6041723663515063E-2</v>
      </c>
      <c r="Z99" s="24"/>
      <c r="AA99" s="252">
        <f t="shared" ref="AA99:AA115" si="91">U99*V99</f>
        <v>5300.1335060684978</v>
      </c>
      <c r="AB99" s="253">
        <f t="shared" si="59"/>
        <v>8.484142058869229E-2</v>
      </c>
      <c r="AC99" s="24"/>
      <c r="AD99" s="757">
        <f t="shared" si="65"/>
        <v>28278247164501.891</v>
      </c>
      <c r="AE99" s="273"/>
      <c r="AF99" s="99"/>
      <c r="AG99" s="100"/>
    </row>
    <row r="100" spans="1:33" ht="14.4" x14ac:dyDescent="0.3">
      <c r="A100" s="2"/>
      <c r="B100" s="19">
        <f>'Urban Pass Adoption'!B96</f>
        <v>63948.823995163955</v>
      </c>
      <c r="C100" s="19">
        <f>'Nonurban Pass Adoption'!B96</f>
        <v>58645.452699874208</v>
      </c>
      <c r="D100" s="2"/>
      <c r="E100" s="19">
        <f>B100*(1-'Urban Pass Adoption'!H96-'Urban Pass Adoption'!K96-'Urban Pass Adoption'!N96-'Urban Pass Adoption'!Q96-$AA$60)</f>
        <v>29073.299249223339</v>
      </c>
      <c r="F100" s="19">
        <f>C100*(1-'Nonurban Pass Adoption'!H96-'Nonurban Pass Adoption'!K96-$AA$61-$AA$62-MAX($AA$63,'Nonurban Pass Adoption'!$N96))</f>
        <v>13952.126458814962</v>
      </c>
      <c r="G100" s="20"/>
      <c r="H100" s="19">
        <f t="shared" si="60"/>
        <v>15513.330771265255</v>
      </c>
      <c r="I100" s="21">
        <f t="shared" si="61"/>
        <v>0.53359374999999964</v>
      </c>
      <c r="J100" s="22"/>
      <c r="K100" s="19">
        <f t="shared" si="62"/>
        <v>8142.2976862010191</v>
      </c>
      <c r="L100" s="21">
        <f t="shared" si="63"/>
        <v>0.58358829460413253</v>
      </c>
      <c r="M100" s="257"/>
      <c r="N100" s="14">
        <v>2045</v>
      </c>
      <c r="O100" s="257"/>
      <c r="P100" s="35">
        <v>13559.968477958084</v>
      </c>
      <c r="Q100" s="24"/>
      <c r="R100" s="35">
        <v>11619.657545227876</v>
      </c>
      <c r="S100" s="23">
        <f t="shared" ref="S100" si="92">S99</f>
        <v>0.49999999999999961</v>
      </c>
      <c r="T100" s="24"/>
      <c r="U100" s="35">
        <v>5648.0341913620759</v>
      </c>
      <c r="V100" s="606">
        <v>1</v>
      </c>
      <c r="W100" s="24"/>
      <c r="X100" s="252">
        <f t="shared" si="90"/>
        <v>5809.8287726139333</v>
      </c>
      <c r="Y100" s="253">
        <f t="shared" si="57"/>
        <v>9.0851221486939207E-2</v>
      </c>
      <c r="Z100" s="24"/>
      <c r="AA100" s="252">
        <f t="shared" si="91"/>
        <v>5648.0341913620759</v>
      </c>
      <c r="AB100" s="253">
        <f t="shared" si="59"/>
        <v>8.8321158052714163E-2</v>
      </c>
      <c r="AC100" s="24"/>
      <c r="AD100" s="757">
        <f t="shared" si="65"/>
        <v>29073299249223.34</v>
      </c>
      <c r="AE100" s="273"/>
      <c r="AF100" s="99"/>
      <c r="AG100" s="100"/>
    </row>
    <row r="101" spans="1:33" ht="14.4" x14ac:dyDescent="0.3">
      <c r="A101" s="2"/>
      <c r="B101" s="19">
        <f>'Urban Pass Adoption'!B97</f>
        <v>65370.246987819992</v>
      </c>
      <c r="C101" s="19">
        <f>'Nonurban Pass Adoption'!B97</f>
        <v>59961.168661590003</v>
      </c>
      <c r="D101" s="2"/>
      <c r="E101" s="19">
        <f>B101*(1-'Urban Pass Adoption'!H97-'Urban Pass Adoption'!K97-'Urban Pass Adoption'!N97-'Urban Pass Adoption'!Q97-$AA$60)</f>
        <v>29826.281808486652</v>
      </c>
      <c r="F101" s="19">
        <f>C101*(1-'Nonurban Pass Adoption'!H97-'Nonurban Pass Adoption'!K97-$AA$61-$AA$62-MAX($AA$63,'Nonurban Pass Adoption'!$N97))</f>
        <v>14400.605161304844</v>
      </c>
      <c r="G101" s="20"/>
      <c r="H101" s="19">
        <f t="shared" si="60"/>
        <v>15714.722227846418</v>
      </c>
      <c r="I101" s="21">
        <f t="shared" si="61"/>
        <v>0.52687500000000043</v>
      </c>
      <c r="J101" s="22"/>
      <c r="K101" s="19">
        <f t="shared" si="62"/>
        <v>8136.0232660883839</v>
      </c>
      <c r="L101" s="21">
        <f t="shared" si="63"/>
        <v>0.56497787245429731</v>
      </c>
      <c r="M101" s="257"/>
      <c r="N101" s="14">
        <v>2046</v>
      </c>
      <c r="O101" s="257"/>
      <c r="P101" s="35">
        <v>14111.559580640234</v>
      </c>
      <c r="Q101" s="24"/>
      <c r="R101" s="35">
        <v>12529.163790432909</v>
      </c>
      <c r="S101" s="23">
        <f t="shared" ref="S101" si="93">S100</f>
        <v>0.49999999999999961</v>
      </c>
      <c r="T101" s="24"/>
      <c r="U101" s="35">
        <v>6010.2187208329588</v>
      </c>
      <c r="V101" s="606">
        <v>1</v>
      </c>
      <c r="W101" s="24"/>
      <c r="X101" s="252">
        <f t="shared" si="90"/>
        <v>6264.58189521645</v>
      </c>
      <c r="Y101" s="253">
        <f t="shared" si="57"/>
        <v>9.5832311852572447E-2</v>
      </c>
      <c r="Z101" s="24"/>
      <c r="AA101" s="252">
        <f t="shared" si="91"/>
        <v>6010.2187208329588</v>
      </c>
      <c r="AB101" s="253">
        <f t="shared" si="59"/>
        <v>9.1941196458272575E-2</v>
      </c>
      <c r="AC101" s="24"/>
      <c r="AD101" s="757">
        <f t="shared" si="65"/>
        <v>29826281808486.652</v>
      </c>
      <c r="AE101" s="273"/>
      <c r="AF101" s="99"/>
      <c r="AG101" s="100"/>
    </row>
    <row r="102" spans="1:33" ht="14.4" x14ac:dyDescent="0.3">
      <c r="A102" s="2"/>
      <c r="B102" s="19">
        <f>'Urban Pass Adoption'!B98</f>
        <v>66869.928517970024</v>
      </c>
      <c r="C102" s="19">
        <f>'Nonurban Pass Adoption'!B98</f>
        <v>61295.367493461941</v>
      </c>
      <c r="D102" s="2"/>
      <c r="E102" s="19">
        <f>B102*(1-'Urban Pass Adoption'!H98-'Urban Pass Adoption'!K98-'Urban Pass Adoption'!N98-'Urban Pass Adoption'!Q98-$AA$60)</f>
        <v>30652.32036536164</v>
      </c>
      <c r="F102" s="19">
        <f>C102*(1-'Nonurban Pass Adoption'!H98-'Nonurban Pass Adoption'!K98-$AA$61-$AA$62-MAX($AA$63,'Nonurban Pass Adoption'!$N98))</f>
        <v>14850.599619779168</v>
      </c>
      <c r="G102" s="20"/>
      <c r="H102" s="19">
        <f t="shared" si="60"/>
        <v>15943.996015045122</v>
      </c>
      <c r="I102" s="21">
        <f t="shared" si="61"/>
        <v>0.52015624999999943</v>
      </c>
      <c r="J102" s="22"/>
      <c r="K102" s="19">
        <f t="shared" si="62"/>
        <v>8110.8907338323206</v>
      </c>
      <c r="L102" s="21">
        <f t="shared" si="63"/>
        <v>0.5461658748802044</v>
      </c>
      <c r="M102" s="257"/>
      <c r="N102" s="14">
        <v>2047</v>
      </c>
      <c r="O102" s="257"/>
      <c r="P102" s="35">
        <v>14708.324350316518</v>
      </c>
      <c r="Q102" s="24"/>
      <c r="R102" s="35">
        <v>13479.417771893683</v>
      </c>
      <c r="S102" s="23">
        <f t="shared" ref="S102" si="94">S101</f>
        <v>0.49999999999999961</v>
      </c>
      <c r="T102" s="24"/>
      <c r="U102" s="35">
        <v>6386.9507741575808</v>
      </c>
      <c r="V102" s="606">
        <v>1</v>
      </c>
      <c r="W102" s="24"/>
      <c r="X102" s="252">
        <f t="shared" si="90"/>
        <v>6739.7088859468358</v>
      </c>
      <c r="Y102" s="253">
        <f t="shared" si="57"/>
        <v>0.1007883369298902</v>
      </c>
      <c r="Z102" s="24"/>
      <c r="AA102" s="252">
        <f t="shared" si="91"/>
        <v>6386.9507741575808</v>
      </c>
      <c r="AB102" s="253">
        <f t="shared" si="59"/>
        <v>9.5513049224229526E-2</v>
      </c>
      <c r="AC102" s="24"/>
      <c r="AD102" s="757">
        <f t="shared" si="65"/>
        <v>30652320365361.641</v>
      </c>
      <c r="AE102" s="273"/>
      <c r="AF102" s="99"/>
      <c r="AG102" s="100"/>
    </row>
    <row r="103" spans="1:33" ht="14.4" x14ac:dyDescent="0.3">
      <c r="A103" s="2"/>
      <c r="B103" s="19">
        <f>'Urban Pass Adoption'!B99</f>
        <v>68404.362797849724</v>
      </c>
      <c r="C103" s="19">
        <f>'Nonurban Pass Adoption'!B99</f>
        <v>62648.097089823532</v>
      </c>
      <c r="D103" s="2"/>
      <c r="E103" s="19">
        <f>B103*(1-'Urban Pass Adoption'!H99-'Urban Pass Adoption'!K99-'Urban Pass Adoption'!N99-'Urban Pass Adoption'!Q99-$AA$60)</f>
        <v>31514.30270357287</v>
      </c>
      <c r="F103" s="19">
        <f>C103*(1-'Nonurban Pass Adoption'!H99-'Nonurban Pass Adoption'!K99-$AA$61-$AA$62-MAX($AA$63,'Nonurban Pass Adoption'!$N99))</f>
        <v>15301.908976654729</v>
      </c>
      <c r="G103" s="20"/>
      <c r="H103" s="19">
        <f t="shared" si="60"/>
        <v>16180.624794365702</v>
      </c>
      <c r="I103" s="21">
        <f t="shared" si="61"/>
        <v>0.51343750000000021</v>
      </c>
      <c r="J103" s="22"/>
      <c r="K103" s="19">
        <f t="shared" si="62"/>
        <v>8066.3674256085187</v>
      </c>
      <c r="L103" s="21">
        <f t="shared" si="63"/>
        <v>0.52714778514987415</v>
      </c>
      <c r="M103" s="257"/>
      <c r="N103" s="14">
        <v>2048</v>
      </c>
      <c r="O103" s="257"/>
      <c r="P103" s="35">
        <v>15333.677909207168</v>
      </c>
      <c r="Q103" s="24"/>
      <c r="R103" s="35">
        <v>14471.083102092409</v>
      </c>
      <c r="S103" s="23">
        <f t="shared" ref="S103" si="95">S102</f>
        <v>0.49999999999999961</v>
      </c>
      <c r="T103" s="24"/>
      <c r="U103" s="35">
        <v>6778.4940310123757</v>
      </c>
      <c r="V103" s="606">
        <v>1</v>
      </c>
      <c r="W103" s="24"/>
      <c r="X103" s="252">
        <f t="shared" si="90"/>
        <v>7235.5415510461989</v>
      </c>
      <c r="Y103" s="253">
        <f t="shared" si="57"/>
        <v>0.10577602443909684</v>
      </c>
      <c r="Z103" s="24"/>
      <c r="AA103" s="252">
        <f t="shared" si="91"/>
        <v>6778.4940310123757</v>
      </c>
      <c r="AB103" s="253">
        <f t="shared" si="59"/>
        <v>9.9094469325653245E-2</v>
      </c>
      <c r="AC103" s="24"/>
      <c r="AD103" s="757">
        <f t="shared" si="65"/>
        <v>31514302703572.871</v>
      </c>
      <c r="AE103" s="273"/>
      <c r="AF103" s="99"/>
      <c r="AG103" s="100"/>
    </row>
    <row r="104" spans="1:33" ht="14.4" x14ac:dyDescent="0.3">
      <c r="A104" s="2"/>
      <c r="B104" s="19">
        <f>'Urban Pass Adoption'!B100</f>
        <v>69974.512495007628</v>
      </c>
      <c r="C104" s="19">
        <f>'Nonurban Pass Adoption'!B100</f>
        <v>64019.375866680086</v>
      </c>
      <c r="D104" s="2"/>
      <c r="E104" s="19">
        <f>B104*(1-'Urban Pass Adoption'!H100-'Urban Pass Adoption'!K100-'Urban Pass Adoption'!N100-'Urban Pass Adoption'!Q100-$AA$60)</f>
        <v>32413.135799273983</v>
      </c>
      <c r="F104" s="19">
        <f>C104*(1-'Nonurban Pass Adoption'!H100-'Nonurban Pass Adoption'!K100-$AA$61-$AA$62-MAX($AA$63,'Nonurban Pass Adoption'!$N100))</f>
        <v>15760.601963270941</v>
      </c>
      <c r="G104" s="20"/>
      <c r="H104" s="19">
        <f t="shared" si="60"/>
        <v>16424.343655788398</v>
      </c>
      <c r="I104" s="21">
        <f t="shared" si="61"/>
        <v>0.50671875000000111</v>
      </c>
      <c r="J104" s="22"/>
      <c r="K104" s="19">
        <f t="shared" si="62"/>
        <v>8008.1902665152811</v>
      </c>
      <c r="L104" s="21">
        <f t="shared" si="63"/>
        <v>0.5081144924018669</v>
      </c>
      <c r="M104" s="257"/>
      <c r="N104" s="14">
        <v>2049</v>
      </c>
      <c r="O104" s="257"/>
      <c r="P104" s="35">
        <v>15988.792143485587</v>
      </c>
      <c r="Q104" s="24"/>
      <c r="R104" s="35">
        <v>15504.823393511306</v>
      </c>
      <c r="S104" s="23">
        <f t="shared" ref="S104" si="96">S103</f>
        <v>0.49999999999999961</v>
      </c>
      <c r="T104" s="24"/>
      <c r="U104" s="35">
        <v>7185.1121710737771</v>
      </c>
      <c r="V104" s="606">
        <v>1</v>
      </c>
      <c r="W104" s="24"/>
      <c r="X104" s="252">
        <f t="shared" si="90"/>
        <v>7752.4116967556465</v>
      </c>
      <c r="Y104" s="253">
        <f t="shared" si="57"/>
        <v>0.11078907762749682</v>
      </c>
      <c r="Z104" s="24"/>
      <c r="AA104" s="252">
        <f t="shared" si="91"/>
        <v>7185.1121710737771</v>
      </c>
      <c r="AB104" s="253">
        <f t="shared" si="59"/>
        <v>0.10268184678794873</v>
      </c>
      <c r="AC104" s="24"/>
      <c r="AD104" s="757">
        <f t="shared" si="65"/>
        <v>32413135799273.984</v>
      </c>
      <c r="AE104" s="273"/>
      <c r="AF104" s="99"/>
      <c r="AG104" s="100"/>
    </row>
    <row r="105" spans="1:33" ht="14.4" x14ac:dyDescent="0.3">
      <c r="A105" s="30"/>
      <c r="B105" s="19">
        <f>'Urban Pass Adoption'!B101</f>
        <v>71558.277761309873</v>
      </c>
      <c r="C105" s="19">
        <f>'Nonurban Pass Adoption'!B101</f>
        <v>65409.223775172293</v>
      </c>
      <c r="D105" s="30"/>
      <c r="E105" s="19">
        <f>B105*(1-'Urban Pass Adoption'!H101-'Urban Pass Adoption'!K101-'Urban Pass Adoption'!N101-'Urban Pass Adoption'!Q101-$AA$60)</f>
        <v>33330.004060143445</v>
      </c>
      <c r="F105" s="19">
        <f>C105*(1-'Nonurban Pass Adoption'!H101-'Nonurban Pass Adoption'!K101-$AA$61-$AA$62-MAX($AA$63,'Nonurban Pass Adoption'!$N101))</f>
        <v>16234.044656913271</v>
      </c>
      <c r="G105" s="31"/>
      <c r="H105" s="19">
        <f t="shared" si="60"/>
        <v>16665.002030071722</v>
      </c>
      <c r="I105" s="21">
        <f t="shared" si="61"/>
        <v>0.5</v>
      </c>
      <c r="J105" s="32"/>
      <c r="K105" s="19">
        <f t="shared" si="62"/>
        <v>8192.1130614764625</v>
      </c>
      <c r="L105" s="21">
        <f t="shared" si="63"/>
        <v>0.50462550982252286</v>
      </c>
      <c r="M105" s="258"/>
      <c r="N105" s="259">
        <v>2050</v>
      </c>
      <c r="O105" s="258"/>
      <c r="P105" s="35">
        <v>16665.002030071722</v>
      </c>
      <c r="Q105" s="34"/>
      <c r="R105" s="35">
        <v>16581.302258632579</v>
      </c>
      <c r="S105" s="123">
        <f>S104+1.5%</f>
        <v>0.51499999999999957</v>
      </c>
      <c r="T105" s="34"/>
      <c r="U105" s="35">
        <v>7607.0688740182213</v>
      </c>
      <c r="V105" s="606">
        <v>1</v>
      </c>
      <c r="W105" s="34"/>
      <c r="X105" s="252">
        <f t="shared" si="90"/>
        <v>8539.3706631957702</v>
      </c>
      <c r="Y105" s="253">
        <f t="shared" si="57"/>
        <v>0.11933449113573884</v>
      </c>
      <c r="Z105" s="34"/>
      <c r="AA105" s="252">
        <f t="shared" si="91"/>
        <v>7607.0688740182213</v>
      </c>
      <c r="AB105" s="253">
        <f t="shared" si="59"/>
        <v>0.10630592451361666</v>
      </c>
      <c r="AC105" s="34"/>
      <c r="AD105" s="757">
        <f t="shared" si="65"/>
        <v>33330004060143.445</v>
      </c>
      <c r="AE105" s="273"/>
      <c r="AF105" s="99"/>
      <c r="AG105" s="100"/>
    </row>
    <row r="106" spans="1:33" ht="14.4" x14ac:dyDescent="0.3">
      <c r="A106" s="2"/>
      <c r="B106" s="19">
        <f>'Urban Pass Adoption'!B102</f>
        <v>73225.821335686545</v>
      </c>
      <c r="C106" s="19">
        <f>'Nonurban Pass Adoption'!B102</f>
        <v>66817.712351729511</v>
      </c>
      <c r="D106" s="2"/>
      <c r="E106" s="19">
        <f>B106*(1-'Urban Pass Adoption'!H102-'Urban Pass Adoption'!K102-'Urban Pass Adoption'!N102-'Urban Pass Adoption'!Q102-$AA$60)</f>
        <v>34324.945941054393</v>
      </c>
      <c r="F106" s="19">
        <f>C106*(1-'Nonurban Pass Adoption'!H102-'Nonurban Pass Adoption'!K102-$AA$61-$AA$62-MAX($AA$63,'Nonurban Pass Adoption'!$N102))</f>
        <v>16721.048419057377</v>
      </c>
      <c r="G106" s="20"/>
      <c r="H106" s="19">
        <f t="shared" si="60"/>
        <v>16898.690967264884</v>
      </c>
      <c r="I106" s="21">
        <f t="shared" si="61"/>
        <v>0.4923151516767047</v>
      </c>
      <c r="J106" s="22"/>
      <c r="K106" s="19">
        <f t="shared" si="62"/>
        <v>8401.4922633863007</v>
      </c>
      <c r="L106" s="21">
        <f t="shared" si="63"/>
        <v>0.50245008882403086</v>
      </c>
      <c r="M106" s="257"/>
      <c r="N106" s="14">
        <v>2051</v>
      </c>
      <c r="O106" s="257"/>
      <c r="P106" s="35">
        <v>17393.093701068628</v>
      </c>
      <c r="Q106" s="24"/>
      <c r="R106" s="35">
        <v>17701.183309938446</v>
      </c>
      <c r="S106" s="123">
        <f>S105+1.5%</f>
        <v>0.52999999999999958</v>
      </c>
      <c r="T106" s="24"/>
      <c r="U106" s="35">
        <v>8044.6278195221403</v>
      </c>
      <c r="V106" s="606">
        <v>1</v>
      </c>
      <c r="W106" s="24"/>
      <c r="X106" s="252">
        <f t="shared" si="90"/>
        <v>9381.6271542673694</v>
      </c>
      <c r="Y106" s="253">
        <f t="shared" si="57"/>
        <v>0.12811911130719186</v>
      </c>
      <c r="Z106" s="24"/>
      <c r="AA106" s="252">
        <f t="shared" si="91"/>
        <v>8044.6278195221403</v>
      </c>
      <c r="AB106" s="253">
        <f t="shared" si="59"/>
        <v>0.10986053379508626</v>
      </c>
      <c r="AC106" s="24"/>
      <c r="AD106" s="757">
        <f t="shared" si="65"/>
        <v>34324945941054.395</v>
      </c>
      <c r="AE106" s="273"/>
      <c r="AF106" s="99"/>
    </row>
    <row r="107" spans="1:33" ht="14.4" x14ac:dyDescent="0.3">
      <c r="A107" s="2"/>
      <c r="B107" s="19">
        <f>'Urban Pass Adoption'!B103</f>
        <v>74908.974819260009</v>
      </c>
      <c r="C107" s="19">
        <f>'Nonurban Pass Adoption'!B103</f>
        <v>68244.917949708921</v>
      </c>
      <c r="D107" s="2"/>
      <c r="E107" s="19">
        <f>B107*(1-'Urban Pass Adoption'!H103-'Urban Pass Adoption'!K103-'Urban Pass Adoption'!N103-'Urban Pass Adoption'!Q103-$AA$60)</f>
        <v>35339.73619399788</v>
      </c>
      <c r="F107" s="19">
        <f>C107*(1-'Nonurban Pass Adoption'!H103-'Nonurban Pass Adoption'!K103-$AA$61-$AA$62-MAX($AA$63,'Nonurban Pass Adoption'!$N103))</f>
        <v>17216.073078631271</v>
      </c>
      <c r="G107" s="20"/>
      <c r="H107" s="19">
        <f t="shared" si="60"/>
        <v>16918.85617935803</v>
      </c>
      <c r="I107" s="21">
        <f t="shared" si="61"/>
        <v>0.4787487967222443</v>
      </c>
      <c r="J107" s="22"/>
      <c r="K107" s="19">
        <f t="shared" si="62"/>
        <v>8273.7702460980217</v>
      </c>
      <c r="L107" s="21">
        <f t="shared" si="63"/>
        <v>0.48058405702096446</v>
      </c>
      <c r="M107" s="257"/>
      <c r="N107" s="14">
        <v>2052</v>
      </c>
      <c r="O107" s="257"/>
      <c r="P107" s="35">
        <v>18144.745802105797</v>
      </c>
      <c r="Q107" s="24"/>
      <c r="R107" s="35">
        <v>18865.130159911125</v>
      </c>
      <c r="S107" s="123">
        <f t="shared" ref="S107:S113" si="97">S106+1.5%</f>
        <v>0.5449999999999996</v>
      </c>
      <c r="T107" s="24"/>
      <c r="U107" s="35">
        <v>8498.0526872619721</v>
      </c>
      <c r="V107" s="606">
        <v>0.95779402376366751</v>
      </c>
      <c r="W107" s="24"/>
      <c r="X107" s="252">
        <f t="shared" si="90"/>
        <v>10281.495937151556</v>
      </c>
      <c r="Y107" s="253">
        <f t="shared" si="57"/>
        <v>0.13725319245068693</v>
      </c>
      <c r="Z107" s="24"/>
      <c r="AA107" s="252">
        <f t="shared" si="91"/>
        <v>8139.384077488292</v>
      </c>
      <c r="AB107" s="253">
        <f t="shared" si="59"/>
        <v>0.10865699466755427</v>
      </c>
      <c r="AC107" s="24"/>
      <c r="AD107" s="757">
        <f t="shared" si="65"/>
        <v>35339736193997.883</v>
      </c>
      <c r="AE107" s="273"/>
      <c r="AF107" s="99"/>
    </row>
    <row r="108" spans="1:33" ht="14.4" x14ac:dyDescent="0.3">
      <c r="A108" s="2"/>
      <c r="B108" s="19">
        <f>'Urban Pass Adoption'!B104</f>
        <v>76631.7011544056</v>
      </c>
      <c r="C108" s="19">
        <f>'Nonurban Pass Adoption'!B104</f>
        <v>69690.862296588006</v>
      </c>
      <c r="D108" s="2"/>
      <c r="E108" s="19">
        <f>B108*(1-'Urban Pass Adoption'!H104-'Urban Pass Adoption'!K104-'Urban Pass Adoption'!N104-'Urban Pass Adoption'!Q104-$AA$60)</f>
        <v>36394.912851733105</v>
      </c>
      <c r="F108" s="19">
        <f>C108*(1-'Nonurban Pass Adoption'!H104-'Nonurban Pass Adoption'!K104-$AA$61-$AA$62-MAX($AA$63,'Nonurban Pass Adoption'!$N104))</f>
        <v>17723.911589074232</v>
      </c>
      <c r="G108" s="20"/>
      <c r="H108" s="19">
        <f t="shared" si="60"/>
        <v>16824.996201000788</v>
      </c>
      <c r="I108" s="21">
        <f t="shared" si="61"/>
        <v>0.46228977850676706</v>
      </c>
      <c r="J108" s="22"/>
      <c r="K108" s="19">
        <f t="shared" si="62"/>
        <v>8252.4146618595823</v>
      </c>
      <c r="L108" s="21">
        <f t="shared" si="63"/>
        <v>0.46560910780816123</v>
      </c>
      <c r="M108" s="257"/>
      <c r="N108" s="14">
        <v>2053</v>
      </c>
      <c r="O108" s="257"/>
      <c r="P108" s="35">
        <v>18931.041388034278</v>
      </c>
      <c r="Q108" s="24"/>
      <c r="R108" s="35">
        <v>20073.806421032823</v>
      </c>
      <c r="S108" s="123">
        <f t="shared" si="97"/>
        <v>0.55999999999999961</v>
      </c>
      <c r="T108" s="24"/>
      <c r="U108" s="35">
        <v>8967.6071569141459</v>
      </c>
      <c r="V108" s="606">
        <v>0.92874106874011486</v>
      </c>
      <c r="W108" s="24"/>
      <c r="X108" s="252">
        <f t="shared" si="90"/>
        <v>11241.331595778373</v>
      </c>
      <c r="Y108" s="253">
        <f t="shared" si="57"/>
        <v>0.14669296683272315</v>
      </c>
      <c r="Z108" s="24"/>
      <c r="AA108" s="252">
        <f t="shared" si="91"/>
        <v>8328.5850549539464</v>
      </c>
      <c r="AB108" s="253">
        <f t="shared" si="59"/>
        <v>0.10868328550050897</v>
      </c>
      <c r="AC108" s="24"/>
      <c r="AD108" s="757">
        <f t="shared" si="65"/>
        <v>36394912851733.102</v>
      </c>
      <c r="AE108" s="273"/>
      <c r="AF108" s="99"/>
    </row>
    <row r="109" spans="1:33" ht="14.4" x14ac:dyDescent="0.3">
      <c r="A109" s="2"/>
      <c r="B109" s="19">
        <f>'Urban Pass Adoption'!B105</f>
        <v>78394.871508776298</v>
      </c>
      <c r="C109" s="19">
        <f>'Nonurban Pass Adoption'!B105</f>
        <v>71155.549574570934</v>
      </c>
      <c r="D109" s="2"/>
      <c r="E109" s="19">
        <f>B109*(1-'Urban Pass Adoption'!H105-'Urban Pass Adoption'!K105-'Urban Pass Adoption'!N105-'Urban Pass Adoption'!Q105-$AA$60)</f>
        <v>37491.267435851209</v>
      </c>
      <c r="F109" s="19">
        <f>C109*(1-'Nonurban Pass Adoption'!H105-'Nonurban Pass Adoption'!K105-$AA$61-$AA$62-MAX($AA$63,'Nonurban Pass Adoption'!$N105))</f>
        <v>18244.335825665625</v>
      </c>
      <c r="G109" s="20"/>
      <c r="H109" s="19">
        <f t="shared" si="60"/>
        <v>16906.948151964003</v>
      </c>
      <c r="I109" s="21">
        <f t="shared" si="61"/>
        <v>0.45095696433555754</v>
      </c>
      <c r="J109" s="22"/>
      <c r="K109" s="19">
        <f t="shared" si="62"/>
        <v>8047.2244956119721</v>
      </c>
      <c r="L109" s="21">
        <f t="shared" si="63"/>
        <v>0.44108070430776442</v>
      </c>
      <c r="M109" s="257"/>
      <c r="N109" s="14">
        <v>2054</v>
      </c>
      <c r="O109" s="257"/>
      <c r="P109" s="35">
        <v>19753.211530264121</v>
      </c>
      <c r="Q109" s="24"/>
      <c r="R109" s="35">
        <v>21327.875705785755</v>
      </c>
      <c r="S109" s="123">
        <f t="shared" si="97"/>
        <v>0.57499999999999962</v>
      </c>
      <c r="T109" s="24"/>
      <c r="U109" s="35">
        <v>9453.5549081551017</v>
      </c>
      <c r="V109" s="606">
        <v>0.88017585277708377</v>
      </c>
      <c r="W109" s="24"/>
      <c r="X109" s="252">
        <f t="shared" si="90"/>
        <v>12263.528530826801</v>
      </c>
      <c r="Y109" s="253">
        <f t="shared" si="57"/>
        <v>0.1564327907528224</v>
      </c>
      <c r="Z109" s="24"/>
      <c r="AA109" s="252">
        <f t="shared" si="91"/>
        <v>8320.7907530604025</v>
      </c>
      <c r="AB109" s="253">
        <f t="shared" si="59"/>
        <v>0.10613947816891174</v>
      </c>
      <c r="AC109" s="24"/>
      <c r="AD109" s="757">
        <f t="shared" si="65"/>
        <v>37491267435851.211</v>
      </c>
      <c r="AE109" s="273"/>
      <c r="AF109" s="99"/>
    </row>
    <row r="110" spans="1:33" ht="14.4" x14ac:dyDescent="0.3">
      <c r="A110" s="2"/>
      <c r="B110" s="19">
        <f>'Urban Pass Adoption'!B106</f>
        <v>80199.363048847197</v>
      </c>
      <c r="C110" s="19">
        <f>'Nonurban Pass Adoption'!B106</f>
        <v>72638.996466202268</v>
      </c>
      <c r="D110" s="2"/>
      <c r="E110" s="19">
        <f>B110*(1-'Urban Pass Adoption'!H106-'Urban Pass Adoption'!K106-'Urban Pass Adoption'!N106-'Urban Pass Adoption'!Q106-$AA$60)</f>
        <v>38629.591604887501</v>
      </c>
      <c r="F110" s="19">
        <f>C110*(1-'Nonurban Pass Adoption'!H106-'Nonurban Pass Adoption'!K106-$AA$61-$AA$62-MAX($AA$63,'Nonurban Pass Adoption'!$N106))</f>
        <v>18777.125256338204</v>
      </c>
      <c r="G110" s="20"/>
      <c r="H110" s="19">
        <f t="shared" si="60"/>
        <v>17298.879281866699</v>
      </c>
      <c r="I110" s="21">
        <f t="shared" si="61"/>
        <v>0.44781419018879837</v>
      </c>
      <c r="J110" s="22"/>
      <c r="K110" s="19">
        <f t="shared" si="62"/>
        <v>7523.6763320456012</v>
      </c>
      <c r="L110" s="21">
        <f t="shared" si="63"/>
        <v>0.40068307737926978</v>
      </c>
      <c r="M110" s="257"/>
      <c r="N110" s="14">
        <v>2055</v>
      </c>
      <c r="O110" s="257"/>
      <c r="P110" s="35">
        <v>20612.508645420425</v>
      </c>
      <c r="Q110" s="24"/>
      <c r="R110" s="35">
        <v>22628.001626652134</v>
      </c>
      <c r="S110" s="123">
        <f t="shared" si="97"/>
        <v>0.58999999999999964</v>
      </c>
      <c r="T110" s="24"/>
      <c r="U110" s="35">
        <v>9956.1596206612703</v>
      </c>
      <c r="V110" s="606">
        <v>0.80153308779173837</v>
      </c>
      <c r="W110" s="24"/>
      <c r="X110" s="252">
        <f t="shared" si="90"/>
        <v>13350.52095972475</v>
      </c>
      <c r="Y110" s="253">
        <f t="shared" si="57"/>
        <v>0.1664666707090095</v>
      </c>
      <c r="Z110" s="24"/>
      <c r="AA110" s="252">
        <f t="shared" si="91"/>
        <v>7980.1913632960504</v>
      </c>
      <c r="AB110" s="253">
        <f t="shared" si="59"/>
        <v>9.9504423226348296E-2</v>
      </c>
      <c r="AC110" s="24"/>
      <c r="AD110" s="757">
        <f t="shared" si="65"/>
        <v>38629591604887.5</v>
      </c>
      <c r="AE110" s="273"/>
      <c r="AF110" s="99"/>
    </row>
    <row r="111" spans="1:33" ht="14.4" x14ac:dyDescent="0.3">
      <c r="A111" s="2"/>
      <c r="B111" s="19">
        <f>'Urban Pass Adoption'!B107</f>
        <v>82046.057137846408</v>
      </c>
      <c r="C111" s="19">
        <f>'Nonurban Pass Adoption'!B107</f>
        <v>74141.223042769358</v>
      </c>
      <c r="D111" s="2"/>
      <c r="E111" s="19">
        <f>B111*(1-'Urban Pass Adoption'!H107-'Urban Pass Adoption'!K107-'Urban Pass Adoption'!N107-'Urban Pass Adoption'!Q107-$AA$60)</f>
        <v>39810.678112710935</v>
      </c>
      <c r="F111" s="19">
        <f>C111*(1-'Nonurban Pass Adoption'!H107-'Nonurban Pass Adoption'!K107-$AA$61-$AA$62-MAX($AA$63,'Nonurban Pass Adoption'!$N107))</f>
        <v>19322.061354244845</v>
      </c>
      <c r="G111" s="20"/>
      <c r="H111" s="19">
        <f t="shared" si="60"/>
        <v>18245.229232522634</v>
      </c>
      <c r="I111" s="21">
        <f t="shared" si="61"/>
        <v>0.45829988579614805</v>
      </c>
      <c r="J111" s="22"/>
      <c r="K111" s="19">
        <f t="shared" si="62"/>
        <v>6436.9774642098873</v>
      </c>
      <c r="L111" s="21">
        <f t="shared" si="63"/>
        <v>0.33314134274787166</v>
      </c>
      <c r="M111" s="257"/>
      <c r="N111" s="14">
        <v>2056</v>
      </c>
      <c r="O111" s="257"/>
      <c r="P111" s="35">
        <v>21510.207017774152</v>
      </c>
      <c r="Q111" s="24"/>
      <c r="R111" s="35">
        <v>23974.847796114173</v>
      </c>
      <c r="S111" s="123">
        <f t="shared" si="97"/>
        <v>0.60499999999999965</v>
      </c>
      <c r="T111" s="24"/>
      <c r="U111" s="35">
        <v>10475.684974109086</v>
      </c>
      <c r="V111" s="606">
        <v>0.67400518257181707</v>
      </c>
      <c r="W111" s="24"/>
      <c r="X111" s="252">
        <f t="shared" si="90"/>
        <v>14504.782916649066</v>
      </c>
      <c r="Y111" s="253">
        <f t="shared" si="57"/>
        <v>0.17678829943380989</v>
      </c>
      <c r="Z111" s="24"/>
      <c r="AA111" s="252">
        <f t="shared" si="91"/>
        <v>7060.6659635392352</v>
      </c>
      <c r="AB111" s="253">
        <f t="shared" si="59"/>
        <v>8.6057346444772351E-2</v>
      </c>
      <c r="AC111" s="24"/>
      <c r="AD111" s="757">
        <f t="shared" si="65"/>
        <v>39810678112710.938</v>
      </c>
      <c r="AE111" s="273"/>
      <c r="AF111" s="99"/>
    </row>
    <row r="112" spans="1:33" ht="14.4" x14ac:dyDescent="0.3">
      <c r="A112" s="2"/>
      <c r="B112" s="19">
        <f>'Urban Pass Adoption'!B108</f>
        <v>83935.880917157803</v>
      </c>
      <c r="C112" s="19">
        <f>'Nonurban Pass Adoption'!B108</f>
        <v>75662.292132942268</v>
      </c>
      <c r="D112" s="2"/>
      <c r="E112" s="19">
        <f>B112*(1-'Urban Pass Adoption'!H108-'Urban Pass Adoption'!K108-'Urban Pass Adoption'!N108-'Urban Pass Adoption'!Q108-$AA$60)</f>
        <v>41035.347118299942</v>
      </c>
      <c r="F112" s="19">
        <f>C112*(1-'Nonurban Pass Adoption'!H108-'Nonurban Pass Adoption'!K108-$AA$61-$AA$62-MAX($AA$63,'Nonurban Pass Adoption'!$N108))</f>
        <v>19878.951743560589</v>
      </c>
      <c r="G112" s="20"/>
      <c r="H112" s="19">
        <f t="shared" si="60"/>
        <v>18587.729889992432</v>
      </c>
      <c r="I112" s="21">
        <f t="shared" si="61"/>
        <v>0.45296875000000014</v>
      </c>
      <c r="J112" s="22"/>
      <c r="K112" s="19">
        <f t="shared" si="62"/>
        <v>4300.5110517442081</v>
      </c>
      <c r="L112" s="21">
        <f t="shared" si="63"/>
        <v>0.21633490071413236</v>
      </c>
      <c r="M112" s="257"/>
      <c r="N112" s="14">
        <v>2057</v>
      </c>
      <c r="O112" s="257"/>
      <c r="P112" s="35">
        <v>22447.61722830751</v>
      </c>
      <c r="Q112" s="24"/>
      <c r="R112" s="35">
        <v>25369.077826654087</v>
      </c>
      <c r="S112" s="123">
        <f t="shared" si="97"/>
        <v>0.61999999999999966</v>
      </c>
      <c r="T112" s="24"/>
      <c r="U112" s="35">
        <v>11012.394648174984</v>
      </c>
      <c r="V112" s="606">
        <v>0.46077203847104059</v>
      </c>
      <c r="W112" s="24"/>
      <c r="X112" s="252">
        <f t="shared" si="90"/>
        <v>15728.828252525525</v>
      </c>
      <c r="Y112" s="253">
        <f t="shared" si="57"/>
        <v>0.18739099513412394</v>
      </c>
      <c r="Z112" s="24"/>
      <c r="AA112" s="252">
        <f t="shared" si="91"/>
        <v>5074.2035304871652</v>
      </c>
      <c r="AB112" s="253">
        <f t="shared" si="59"/>
        <v>6.0453330268794722E-2</v>
      </c>
      <c r="AC112" s="24"/>
      <c r="AD112" s="757">
        <f t="shared" si="65"/>
        <v>41035347118299.945</v>
      </c>
      <c r="AE112" s="273"/>
      <c r="AF112" s="99"/>
    </row>
    <row r="113" spans="1:32" ht="14.4" x14ac:dyDescent="0.3">
      <c r="A113" s="2"/>
      <c r="B113" s="19">
        <f>'Urban Pass Adoption'!B109</f>
        <v>85869.80992729323</v>
      </c>
      <c r="C113" s="19">
        <f>'Nonurban Pass Adoption'!B109</f>
        <v>77202.320208664125</v>
      </c>
      <c r="D113" s="2"/>
      <c r="E113" s="19">
        <f>B113*(1-'Urban Pass Adoption'!H109-'Urban Pass Adoption'!K109-'Urban Pass Adoption'!N109-'Urban Pass Adoption'!Q109-$AA$60)</f>
        <v>42304.437054280759</v>
      </c>
      <c r="F113" s="19">
        <f>C113*(1-'Nonurban Pass Adoption'!H109-'Nonurban Pass Adoption'!K109-$AA$61-$AA$62-MAX($AA$63,'Nonurban Pass Adoption'!$N109))</f>
        <v>20447.6368766622</v>
      </c>
      <c r="G113" s="20"/>
      <c r="H113" s="19">
        <f t="shared" si="60"/>
        <v>18878.355035472829</v>
      </c>
      <c r="I113" s="21">
        <f t="shared" si="61"/>
        <v>0.44625000000000092</v>
      </c>
      <c r="J113" s="22"/>
      <c r="K113" s="19">
        <f t="shared" si="62"/>
        <v>3721.5607874157104</v>
      </c>
      <c r="L113" s="21">
        <f t="shared" si="63"/>
        <v>0.18200444432105961</v>
      </c>
      <c r="M113" s="257"/>
      <c r="N113" s="14">
        <v>2058</v>
      </c>
      <c r="O113" s="257"/>
      <c r="P113" s="35">
        <v>23426.082018807931</v>
      </c>
      <c r="Q113" s="24"/>
      <c r="R113" s="35">
        <v>26811.35533075409</v>
      </c>
      <c r="S113" s="123">
        <f t="shared" si="97"/>
        <v>0.63499999999999968</v>
      </c>
      <c r="T113" s="24"/>
      <c r="U113" s="35">
        <v>11566.552322535399</v>
      </c>
      <c r="V113" s="606">
        <v>0.4</v>
      </c>
      <c r="W113" s="24"/>
      <c r="X113" s="252">
        <f t="shared" si="90"/>
        <v>17025.210635028838</v>
      </c>
      <c r="Y113" s="253">
        <f t="shared" si="57"/>
        <v>0.19826771072911706</v>
      </c>
      <c r="Z113" s="24"/>
      <c r="AA113" s="252">
        <f t="shared" si="91"/>
        <v>4626.6209290141596</v>
      </c>
      <c r="AB113" s="253">
        <f t="shared" si="59"/>
        <v>5.3879482590348839E-2</v>
      </c>
      <c r="AC113" s="24"/>
      <c r="AD113" s="757">
        <f t="shared" si="65"/>
        <v>42304437054280.758</v>
      </c>
      <c r="AE113" s="273"/>
      <c r="AF113" s="99"/>
    </row>
    <row r="114" spans="1:32" ht="14.4" x14ac:dyDescent="0.3">
      <c r="A114" s="2"/>
      <c r="B114" s="19">
        <f>'Urban Pass Adoption'!B110</f>
        <v>87848.859904726341</v>
      </c>
      <c r="C114" s="19">
        <f>'Nonurban Pass Adoption'!B110</f>
        <v>78761.463919819187</v>
      </c>
      <c r="D114" s="2"/>
      <c r="E114" s="19">
        <f>B114*(1-'Urban Pass Adoption'!H110-'Urban Pass Adoption'!K110-'Urban Pass Adoption'!N110-'Urban Pass Adoption'!Q110-$AA$60)</f>
        <v>43618.808796956757</v>
      </c>
      <c r="F114" s="19">
        <f>C114*(1-'Nonurban Pass Adoption'!H110-'Nonurban Pass Adoption'!K110-$AA$61-$AA$62-MAX($AA$63,'Nonurban Pass Adoption'!$N110))</f>
        <v>21027.981776574503</v>
      </c>
      <c r="G114" s="20"/>
      <c r="H114" s="19">
        <f t="shared" si="60"/>
        <v>19171.829554037398</v>
      </c>
      <c r="I114" s="21">
        <f t="shared" si="61"/>
        <v>0.43953124999999998</v>
      </c>
      <c r="J114" s="22"/>
      <c r="K114" s="19">
        <f t="shared" si="62"/>
        <v>3414.5732393272519</v>
      </c>
      <c r="L114" s="21">
        <f t="shared" si="63"/>
        <v>0.16238235678571586</v>
      </c>
      <c r="M114" s="257"/>
      <c r="N114" s="14">
        <v>2059</v>
      </c>
      <c r="O114" s="257"/>
      <c r="P114" s="35">
        <v>24446.979242919359</v>
      </c>
      <c r="Q114" s="24"/>
      <c r="R114" s="35">
        <v>28302.34392089639</v>
      </c>
      <c r="S114" s="23">
        <f t="shared" ref="S114:S115" si="98">S113</f>
        <v>0.63499999999999968</v>
      </c>
      <c r="T114" s="24"/>
      <c r="U114" s="35">
        <v>12138.421676866765</v>
      </c>
      <c r="V114" s="606">
        <v>0.4</v>
      </c>
      <c r="W114" s="24"/>
      <c r="X114" s="252">
        <f t="shared" si="90"/>
        <v>17971.988389769198</v>
      </c>
      <c r="Y114" s="253">
        <f t="shared" si="57"/>
        <v>0.20457850459596336</v>
      </c>
      <c r="Z114" s="24"/>
      <c r="AA114" s="252">
        <f t="shared" si="91"/>
        <v>4855.3686707467059</v>
      </c>
      <c r="AB114" s="253">
        <f t="shared" si="59"/>
        <v>5.5269569531265855E-2</v>
      </c>
      <c r="AC114" s="24"/>
      <c r="AD114" s="757">
        <f t="shared" si="65"/>
        <v>43618808796956.758</v>
      </c>
      <c r="AE114" s="273"/>
      <c r="AF114" s="99"/>
    </row>
    <row r="115" spans="1:32" ht="14.4" x14ac:dyDescent="0.3">
      <c r="A115" s="2"/>
      <c r="B115" s="19">
        <f>'Urban Pass Adoption'!B111</f>
        <v>89874.026138251153</v>
      </c>
      <c r="C115" s="19">
        <f>'Nonurban Pass Adoption'!B111</f>
        <v>80339.868171686307</v>
      </c>
      <c r="D115" s="2"/>
      <c r="E115" s="19">
        <f>B115*(1-'Urban Pass Adoption'!H111-'Urban Pass Adoption'!K111-'Urban Pass Adoption'!N111-'Urban Pass Adoption'!Q111-$AA$60)</f>
        <v>44979.304662714756</v>
      </c>
      <c r="F115" s="19">
        <f>C115*(1-'Nonurban Pass Adoption'!H111-'Nonurban Pass Adoption'!K111-$AA$61-$AA$62-MAX($AA$63,'Nonurban Pass Adoption'!$N111))</f>
        <v>21629.2758127001</v>
      </c>
      <c r="G115" s="20"/>
      <c r="H115" s="19">
        <f t="shared" si="60"/>
        <v>19467.605299331259</v>
      </c>
      <c r="I115" s="21">
        <f t="shared" si="61"/>
        <v>0.43281250000000066</v>
      </c>
      <c r="J115" s="22"/>
      <c r="K115" s="19">
        <f t="shared" si="62"/>
        <v>3099.7278467022079</v>
      </c>
      <c r="L115" s="21">
        <f t="shared" si="63"/>
        <v>0.14331167966715441</v>
      </c>
      <c r="M115" s="257"/>
      <c r="N115" s="14">
        <v>2060</v>
      </c>
      <c r="O115" s="257"/>
      <c r="P115" s="35">
        <v>25511.699363383497</v>
      </c>
      <c r="Q115" s="24"/>
      <c r="R115" s="35">
        <v>29842.70720956321</v>
      </c>
      <c r="S115" s="23">
        <f t="shared" si="98"/>
        <v>0.63499999999999968</v>
      </c>
      <c r="T115" s="24"/>
      <c r="U115" s="35">
        <v>12728.266390845516</v>
      </c>
      <c r="V115" s="606">
        <v>0.4</v>
      </c>
      <c r="W115" s="24"/>
      <c r="X115" s="252">
        <f t="shared" si="90"/>
        <v>18950.119078072628</v>
      </c>
      <c r="Y115" s="253">
        <f t="shared" si="57"/>
        <v>0.21085201022286568</v>
      </c>
      <c r="Z115" s="24"/>
      <c r="AA115" s="252">
        <f t="shared" si="91"/>
        <v>5091.306556338207</v>
      </c>
      <c r="AB115" s="253">
        <f t="shared" si="59"/>
        <v>5.6649365507520123E-2</v>
      </c>
      <c r="AC115" s="24"/>
      <c r="AD115" s="757">
        <f t="shared" si="65"/>
        <v>44979304662714.758</v>
      </c>
      <c r="AE115" s="273"/>
      <c r="AF115" s="99"/>
    </row>
    <row r="116" spans="1:32" ht="14.4" x14ac:dyDescent="0.3">
      <c r="A116" s="2"/>
      <c r="B116" s="2"/>
      <c r="C116" s="2"/>
      <c r="D116" s="2"/>
      <c r="E116" s="5"/>
      <c r="F116" s="5"/>
      <c r="G116" s="5"/>
      <c r="H116" s="2"/>
      <c r="I116" s="2"/>
      <c r="J116" s="5"/>
      <c r="K116" s="2"/>
      <c r="L116" s="2"/>
      <c r="M116" s="257"/>
      <c r="O116" s="257"/>
      <c r="P116" s="5"/>
      <c r="Q116" s="2"/>
      <c r="R116" s="2"/>
      <c r="T116" s="2"/>
      <c r="U116" s="2"/>
      <c r="W116" s="2"/>
      <c r="X116" s="2"/>
      <c r="AE116" s="273"/>
      <c r="AF116" s="99"/>
    </row>
    <row r="117" spans="1:32" ht="14.4" x14ac:dyDescent="0.3">
      <c r="A117" s="2"/>
      <c r="B117" s="2"/>
      <c r="C117" s="2"/>
      <c r="D117" s="2"/>
      <c r="E117" s="5"/>
      <c r="F117" s="5"/>
      <c r="G117" s="5"/>
      <c r="H117" s="2"/>
      <c r="I117" s="2"/>
      <c r="J117" s="5"/>
      <c r="K117" s="2"/>
      <c r="L117" s="2"/>
      <c r="M117" s="257"/>
      <c r="O117" s="257"/>
      <c r="P117" s="5"/>
      <c r="Q117" s="2"/>
      <c r="R117" s="2"/>
      <c r="T117" s="2"/>
      <c r="U117" s="2"/>
      <c r="W117" s="2"/>
      <c r="X117" s="2"/>
      <c r="Y117" s="245"/>
      <c r="Z117" s="811" t="s">
        <v>731</v>
      </c>
      <c r="AA117" s="811"/>
      <c r="AB117" s="811"/>
      <c r="AE117" s="273"/>
      <c r="AF117" s="99"/>
    </row>
    <row r="118" spans="1:32" ht="29.4" customHeight="1" x14ac:dyDescent="0.3">
      <c r="A118" s="2"/>
      <c r="B118" s="2"/>
      <c r="C118" s="2"/>
      <c r="D118" s="2"/>
      <c r="E118" s="5"/>
      <c r="F118" s="5"/>
      <c r="G118" s="5"/>
      <c r="H118" s="231" t="s">
        <v>246</v>
      </c>
      <c r="I118" s="231"/>
      <c r="J118" s="5"/>
      <c r="K118" s="2"/>
      <c r="L118" s="2"/>
      <c r="M118" s="257"/>
      <c r="O118" s="257"/>
      <c r="P118" s="834" t="s">
        <v>274</v>
      </c>
      <c r="Q118" s="835"/>
      <c r="R118" s="835"/>
      <c r="S118" s="835"/>
      <c r="T118" s="835"/>
      <c r="U118" s="836"/>
      <c r="W118" s="2"/>
      <c r="X118" s="2"/>
      <c r="Y118" s="98" t="s">
        <v>263</v>
      </c>
      <c r="Z118" s="245"/>
      <c r="AA118" s="515">
        <f t="shared" ref="AA118:AA120" si="99">AA60</f>
        <v>0.14513944480504376</v>
      </c>
      <c r="AB118" s="124" t="s">
        <v>497</v>
      </c>
      <c r="AE118" s="273"/>
      <c r="AF118" s="99"/>
    </row>
    <row r="119" spans="1:32" ht="14.4" x14ac:dyDescent="0.3">
      <c r="A119" s="2"/>
      <c r="B119" s="2"/>
      <c r="C119" s="2"/>
      <c r="D119" s="2"/>
      <c r="E119" s="5"/>
      <c r="F119" s="5"/>
      <c r="G119" s="5"/>
      <c r="H119" s="2"/>
      <c r="I119" s="2"/>
      <c r="J119" s="5"/>
      <c r="K119" s="2"/>
      <c r="L119" s="2"/>
      <c r="M119" s="257"/>
      <c r="O119" s="257"/>
      <c r="P119" s="11" t="s">
        <v>267</v>
      </c>
      <c r="Q119" s="249"/>
      <c r="R119" s="11" t="s">
        <v>260</v>
      </c>
      <c r="S119" s="249"/>
      <c r="T119" s="14"/>
      <c r="U119" s="11" t="s">
        <v>261</v>
      </c>
      <c r="W119" s="2"/>
      <c r="X119" s="2"/>
      <c r="Y119" s="98" t="s">
        <v>264</v>
      </c>
      <c r="Z119" s="245"/>
      <c r="AA119" s="515">
        <f t="shared" si="99"/>
        <v>0.10501656604675022</v>
      </c>
      <c r="AB119" s="124" t="s">
        <v>498</v>
      </c>
      <c r="AE119" s="273"/>
      <c r="AF119" s="99"/>
    </row>
    <row r="120" spans="1:32" ht="14.4" x14ac:dyDescent="0.3">
      <c r="A120" s="2"/>
      <c r="B120" s="2"/>
      <c r="C120" s="2"/>
      <c r="D120" s="2"/>
      <c r="E120" s="5"/>
      <c r="F120" s="5"/>
      <c r="G120" s="5"/>
      <c r="H120" s="2"/>
      <c r="I120" s="2"/>
      <c r="J120" s="5"/>
      <c r="K120" s="2"/>
      <c r="L120" s="2"/>
      <c r="M120" s="255"/>
      <c r="O120" s="255" t="s">
        <v>132</v>
      </c>
      <c r="P120" s="92" t="s">
        <v>131</v>
      </c>
      <c r="Q120" s="809"/>
      <c r="R120" s="92" t="s">
        <v>131</v>
      </c>
      <c r="S120" s="809"/>
      <c r="T120" s="5"/>
      <c r="U120" s="92" t="s">
        <v>131</v>
      </c>
      <c r="W120" s="2"/>
      <c r="X120" s="2"/>
      <c r="Y120" s="98" t="s">
        <v>262</v>
      </c>
      <c r="Z120" s="245"/>
      <c r="AA120" s="515">
        <f t="shared" si="99"/>
        <v>0.28167749278597232</v>
      </c>
      <c r="AB120" s="124" t="s">
        <v>498</v>
      </c>
      <c r="AE120" s="273"/>
      <c r="AF120" s="99"/>
    </row>
    <row r="121" spans="1:32" ht="15.75" customHeight="1" x14ac:dyDescent="0.3">
      <c r="A121" s="4" t="s">
        <v>19</v>
      </c>
      <c r="B121" s="2"/>
      <c r="C121" s="2"/>
      <c r="D121" s="2"/>
      <c r="E121" s="5"/>
      <c r="F121" s="5"/>
      <c r="G121" s="5"/>
      <c r="H121" s="2"/>
      <c r="I121" s="2"/>
      <c r="J121" s="5"/>
      <c r="K121" s="2"/>
      <c r="L121" s="2"/>
      <c r="M121" s="255"/>
      <c r="O121" s="255" t="s">
        <v>133</v>
      </c>
      <c r="P121" s="5"/>
      <c r="Q121" s="809"/>
      <c r="R121" s="92" t="s">
        <v>131</v>
      </c>
      <c r="S121" s="809"/>
      <c r="T121" s="5"/>
      <c r="U121" s="92" t="s">
        <v>131</v>
      </c>
      <c r="W121" s="2"/>
      <c r="X121" s="2"/>
      <c r="Y121" s="98" t="s">
        <v>265</v>
      </c>
      <c r="Z121" s="245"/>
      <c r="AA121" s="515">
        <f>AA63</f>
        <v>0.21376679686241851</v>
      </c>
      <c r="AB121" s="124" t="s">
        <v>498</v>
      </c>
      <c r="AE121" s="273"/>
      <c r="AF121" s="99"/>
    </row>
    <row r="122" spans="1:32" ht="18.75" customHeight="1" x14ac:dyDescent="0.35">
      <c r="A122" s="4"/>
      <c r="B122" s="70" t="s">
        <v>130</v>
      </c>
      <c r="C122" s="2"/>
      <c r="D122" s="2"/>
      <c r="E122" s="5"/>
      <c r="F122" s="5"/>
      <c r="G122" s="5"/>
      <c r="H122" s="2"/>
      <c r="I122" s="2"/>
      <c r="J122" s="5"/>
      <c r="K122" s="2"/>
      <c r="L122" s="2"/>
      <c r="M122" s="257"/>
      <c r="O122" s="257"/>
      <c r="P122" s="5"/>
      <c r="Q122" s="99"/>
      <c r="R122" s="99"/>
      <c r="T122" s="99"/>
      <c r="U122" s="99"/>
      <c r="W122" s="2"/>
      <c r="X122" s="7" t="s">
        <v>20</v>
      </c>
      <c r="Y122" s="2"/>
      <c r="Z122" s="2"/>
      <c r="AA122" s="7" t="s">
        <v>20</v>
      </c>
      <c r="AB122" s="2"/>
      <c r="AC122" s="5"/>
      <c r="AE122" s="273"/>
      <c r="AF122" s="99"/>
    </row>
    <row r="123" spans="1:32" ht="60" customHeight="1" x14ac:dyDescent="0.3">
      <c r="A123" s="8"/>
      <c r="B123" s="12" t="s">
        <v>21</v>
      </c>
      <c r="C123" s="10" t="s">
        <v>22</v>
      </c>
      <c r="D123" s="5"/>
      <c r="E123" s="12" t="s">
        <v>272</v>
      </c>
      <c r="F123" s="10" t="s">
        <v>273</v>
      </c>
      <c r="G123" s="11"/>
      <c r="H123" s="12" t="s">
        <v>744</v>
      </c>
      <c r="I123" s="10" t="s">
        <v>270</v>
      </c>
      <c r="J123" s="11"/>
      <c r="K123" s="12" t="s">
        <v>745</v>
      </c>
      <c r="L123" s="10" t="s">
        <v>271</v>
      </c>
      <c r="M123" s="256"/>
      <c r="O123" s="256" t="s">
        <v>54</v>
      </c>
      <c r="P123" s="754" t="str">
        <f>P65</f>
        <v>Urban Ridesharing/ Carpooling</v>
      </c>
      <c r="Q123" s="14" t="s">
        <v>25</v>
      </c>
      <c r="R123" s="754" t="str">
        <f>R65</f>
        <v>Electric Cars</v>
      </c>
      <c r="S123" s="9" t="s">
        <v>23</v>
      </c>
      <c r="T123" s="14" t="s">
        <v>26</v>
      </c>
      <c r="U123" s="754" t="str">
        <f>U65</f>
        <v>Hybrids</v>
      </c>
      <c r="V123" s="9" t="s">
        <v>24</v>
      </c>
      <c r="W123" s="14"/>
      <c r="X123" s="15" t="str">
        <f>R123</f>
        <v>Electric Cars</v>
      </c>
      <c r="Y123" s="11" t="s">
        <v>27</v>
      </c>
      <c r="Z123" s="14"/>
      <c r="AA123" s="15" t="str">
        <f>U123</f>
        <v>Hybrids</v>
      </c>
      <c r="AB123" s="11" t="s">
        <v>27</v>
      </c>
      <c r="AC123" s="14"/>
      <c r="AE123" s="273"/>
      <c r="AF123" s="99"/>
    </row>
    <row r="124" spans="1:32" s="249" customFormat="1" ht="52.8" customHeight="1" x14ac:dyDescent="0.3">
      <c r="A124" s="16"/>
      <c r="B124" s="68" t="s">
        <v>28</v>
      </c>
      <c r="C124" s="17"/>
      <c r="D124" s="5"/>
      <c r="E124" s="749" t="s">
        <v>734</v>
      </c>
      <c r="F124" s="749" t="s">
        <v>735</v>
      </c>
      <c r="G124" s="17"/>
      <c r="H124" s="749" t="s">
        <v>736</v>
      </c>
      <c r="I124" s="750"/>
      <c r="J124" s="17"/>
      <c r="K124" s="749" t="s">
        <v>736</v>
      </c>
      <c r="L124" s="17"/>
      <c r="M124" s="257"/>
      <c r="N124" s="122" t="s">
        <v>276</v>
      </c>
      <c r="O124" s="257"/>
      <c r="P124" s="263" t="s">
        <v>760</v>
      </c>
      <c r="Q124" s="17"/>
      <c r="R124" s="263" t="s">
        <v>789</v>
      </c>
      <c r="S124" s="18">
        <v>1</v>
      </c>
      <c r="T124" s="17"/>
      <c r="U124" s="263" t="s">
        <v>792</v>
      </c>
      <c r="V124" s="18">
        <v>0.5</v>
      </c>
      <c r="W124" s="17"/>
      <c r="X124" s="264" t="str">
        <f>R124</f>
        <v>PDS3-100p2050-LRate at 11%</v>
      </c>
      <c r="Y124" s="17" t="s">
        <v>30</v>
      </c>
      <c r="Z124" s="17"/>
      <c r="AA124" s="264" t="str">
        <f>U124</f>
        <v>PDS3-0p2050-Oct21ComDat-PeakandDecline</v>
      </c>
      <c r="AB124" s="17" t="s">
        <v>30</v>
      </c>
      <c r="AC124" s="17"/>
      <c r="AD124" s="5"/>
      <c r="AE124" s="273"/>
      <c r="AF124" s="5"/>
    </row>
    <row r="125" spans="1:32" ht="14.4" x14ac:dyDescent="0.3">
      <c r="A125" s="831"/>
      <c r="B125" s="19">
        <f>'Urban Pass Adoption'!B118</f>
        <v>26173.156853942612</v>
      </c>
      <c r="C125" s="19">
        <f>'Nonurban Pass Adoption'!B119</f>
        <v>23943.64423576602</v>
      </c>
      <c r="D125" s="2"/>
      <c r="E125" s="19">
        <f>B125*(1-'Urban Pass Adoption'!H118-'Urban Pass Adoption'!K118-'Urban Pass Adoption'!N118-'Urban Pass Adoption'!Q118-$AA$118)</f>
        <v>22374.399399366055</v>
      </c>
      <c r="F125" s="19">
        <f>C125*(1-'Nonurban Pass Adoption'!H119-'Nonurban Pass Adoption'!K119-$AA$119-$AA$120-MAX($AA$121,'Nonurban Pass Adoption'!$N119))</f>
        <v>9566.4231294979236</v>
      </c>
      <c r="G125" s="20"/>
      <c r="H125" s="19">
        <f>E125-MAX(IF($P$120="Include",P125,0),SUM(IF($R$120="Include",R125*S125,0)+IF($U$120="Include",U125*V125,0)))</f>
        <v>22374.399399366055</v>
      </c>
      <c r="I125" s="21">
        <f>H125/E125</f>
        <v>1</v>
      </c>
      <c r="J125" s="22"/>
      <c r="K125" s="19">
        <f>F125-SUM(IF($R$121="Include",R125*(1-S125),0),IF($U$121="Include",U125*(1-V125),0))</f>
        <v>9566.4231294979236</v>
      </c>
      <c r="L125" s="21">
        <f>K125/F125</f>
        <v>1</v>
      </c>
      <c r="M125" s="257"/>
      <c r="N125" s="14">
        <v>2012</v>
      </c>
      <c r="O125" s="257"/>
      <c r="P125" s="25"/>
      <c r="Q125" s="24"/>
      <c r="R125" s="25"/>
      <c r="S125" s="23">
        <f t="shared" ref="S125" si="100">S124</f>
        <v>1</v>
      </c>
      <c r="T125" s="24"/>
      <c r="U125" s="25"/>
      <c r="V125" s="23">
        <f t="shared" ref="V125:V133" si="101">V124</f>
        <v>0.5</v>
      </c>
      <c r="W125" s="24"/>
      <c r="X125" s="252">
        <f t="shared" ref="X125:X156" si="102">R125*S125</f>
        <v>0</v>
      </c>
      <c r="Y125" s="253">
        <f t="shared" ref="Y125:Y173" si="103">X125/$B125</f>
        <v>0</v>
      </c>
      <c r="Z125" s="24"/>
      <c r="AA125" s="252">
        <f t="shared" ref="AA125:AA156" si="104">U125*V125</f>
        <v>0</v>
      </c>
      <c r="AB125" s="253">
        <f t="shared" ref="AB125:AB173" si="105">AA125/$B125</f>
        <v>0</v>
      </c>
      <c r="AC125" s="24"/>
      <c r="AD125" s="757">
        <f>10^9*E125</f>
        <v>22374399399366.055</v>
      </c>
      <c r="AE125" s="273"/>
      <c r="AF125" s="99"/>
    </row>
    <row r="126" spans="1:32" ht="14.4" x14ac:dyDescent="0.3">
      <c r="A126" s="832"/>
      <c r="B126" s="19">
        <f>'Urban Pass Adoption'!B119</f>
        <v>27210.974694761313</v>
      </c>
      <c r="C126" s="19">
        <f>'Nonurban Pass Adoption'!B120</f>
        <v>24762.810564240011</v>
      </c>
      <c r="D126" s="2"/>
      <c r="E126" s="19">
        <f>B126*(1-'Urban Pass Adoption'!H119-'Urban Pass Adoption'!K119-'Urban Pass Adoption'!N119-'Urban Pass Adoption'!Q119-$AA$118)</f>
        <v>23261.58893495956</v>
      </c>
      <c r="F126" s="19">
        <f>C126*(1-'Nonurban Pass Adoption'!H120-'Nonurban Pass Adoption'!K120-$AA$119-$AA$120-MAX($AA$121,'Nonurban Pass Adoption'!$N120))</f>
        <v>9893.7121434197743</v>
      </c>
      <c r="G126" s="20"/>
      <c r="H126" s="19">
        <f t="shared" ref="H126:H173" si="106">E126-MAX(IF($P$120="Include",P126,0),SUM(IF($R$120="Include",R126*S126,0)+IF($U$120="Include",U126*V126,0)))</f>
        <v>23261.58893495956</v>
      </c>
      <c r="I126" s="21">
        <f t="shared" ref="I126:I173" si="107">H126/E126</f>
        <v>1</v>
      </c>
      <c r="J126" s="22"/>
      <c r="K126" s="19">
        <f t="shared" ref="K126:K173" si="108">F126-SUM(IF($R$121="Include",R126*(1-S126),0),IF($U$121="Include",U126*(1-V126),0))</f>
        <v>9893.7121434197743</v>
      </c>
      <c r="L126" s="21">
        <f t="shared" ref="L126:L173" si="109">K126/F126</f>
        <v>1</v>
      </c>
      <c r="M126" s="257"/>
      <c r="N126" s="14">
        <v>2013</v>
      </c>
      <c r="O126" s="257"/>
      <c r="P126" s="25"/>
      <c r="Q126" s="24"/>
      <c r="R126" s="25"/>
      <c r="S126" s="23">
        <f t="shared" ref="S126" si="110">S125</f>
        <v>1</v>
      </c>
      <c r="T126" s="24"/>
      <c r="U126" s="25"/>
      <c r="V126" s="23">
        <f t="shared" si="101"/>
        <v>0.5</v>
      </c>
      <c r="W126" s="24"/>
      <c r="X126" s="252">
        <f t="shared" si="102"/>
        <v>0</v>
      </c>
      <c r="Y126" s="253">
        <f t="shared" si="103"/>
        <v>0</v>
      </c>
      <c r="Z126" s="24"/>
      <c r="AA126" s="252">
        <f t="shared" si="104"/>
        <v>0</v>
      </c>
      <c r="AB126" s="253">
        <f t="shared" si="105"/>
        <v>0</v>
      </c>
      <c r="AC126" s="24"/>
      <c r="AD126" s="757">
        <f t="shared" ref="AD126:AD173" si="111">10^9*E126</f>
        <v>23261588934959.559</v>
      </c>
      <c r="AE126" s="273"/>
      <c r="AF126" s="99"/>
    </row>
    <row r="127" spans="1:32" ht="14.4" x14ac:dyDescent="0.3">
      <c r="A127" s="30"/>
      <c r="B127" s="19">
        <f>'Urban Pass Adoption'!B120</f>
        <v>28440.833819984502</v>
      </c>
      <c r="C127" s="19">
        <f>'Nonurban Pass Adoption'!B121</f>
        <v>25792.286681443104</v>
      </c>
      <c r="D127" s="30"/>
      <c r="E127" s="19">
        <f>B127*(1-'Urban Pass Adoption'!H120-'Urban Pass Adoption'!K120-'Urban Pass Adoption'!N120-'Urban Pass Adoption'!Q120-$AA$118)</f>
        <v>12627.813321591922</v>
      </c>
      <c r="F127" s="19">
        <f>C127*(1-'Nonurban Pass Adoption'!H121-'Nonurban Pass Adoption'!K121-$AA$119-$AA$120-MAX($AA$121,'Nonurban Pass Adoption'!$N121))</f>
        <v>9594.122833800353</v>
      </c>
      <c r="G127" s="31"/>
      <c r="H127" s="19">
        <f t="shared" si="106"/>
        <v>9486.3958589572358</v>
      </c>
      <c r="I127" s="21">
        <f t="shared" si="107"/>
        <v>0.75123028962874594</v>
      </c>
      <c r="J127" s="32"/>
      <c r="K127" s="19">
        <f t="shared" si="108"/>
        <v>9467.6248565792775</v>
      </c>
      <c r="L127" s="21">
        <f t="shared" si="109"/>
        <v>0.98681505548632131</v>
      </c>
      <c r="M127" s="258"/>
      <c r="N127" s="259">
        <v>2014</v>
      </c>
      <c r="O127" s="258"/>
      <c r="P127" s="35">
        <v>3141.4174626346876</v>
      </c>
      <c r="Q127" s="34"/>
      <c r="R127" s="35">
        <v>116.38899289627807</v>
      </c>
      <c r="S127" s="23">
        <f t="shared" ref="S127" si="112">S126</f>
        <v>1</v>
      </c>
      <c r="T127" s="34"/>
      <c r="U127" s="35">
        <v>252.99595444214927</v>
      </c>
      <c r="V127" s="23">
        <f t="shared" si="101"/>
        <v>0.5</v>
      </c>
      <c r="W127" s="34"/>
      <c r="X127" s="252">
        <f t="shared" si="102"/>
        <v>116.38899289627807</v>
      </c>
      <c r="Y127" s="253">
        <f t="shared" si="103"/>
        <v>4.0923199943067451E-3</v>
      </c>
      <c r="Z127" s="34"/>
      <c r="AA127" s="252">
        <f t="shared" si="104"/>
        <v>126.49797722107463</v>
      </c>
      <c r="AB127" s="253">
        <f t="shared" si="105"/>
        <v>4.4477590924984897E-3</v>
      </c>
      <c r="AC127" s="34"/>
      <c r="AD127" s="757">
        <f t="shared" si="111"/>
        <v>12627813321591.922</v>
      </c>
      <c r="AE127" s="273"/>
      <c r="AF127" s="99"/>
    </row>
    <row r="128" spans="1:32" ht="14.4" x14ac:dyDescent="0.3">
      <c r="A128" s="2"/>
      <c r="B128" s="19">
        <f>'Urban Pass Adoption'!B121</f>
        <v>29511.157218679546</v>
      </c>
      <c r="C128" s="19">
        <f>'Nonurban Pass Adoption'!B122</f>
        <v>26650.135894561492</v>
      </c>
      <c r="D128" s="2"/>
      <c r="E128" s="19">
        <f>B128*(1-'Urban Pass Adoption'!H121-'Urban Pass Adoption'!K121-'Urban Pass Adoption'!N121-'Urban Pass Adoption'!Q121-$AA$118)</f>
        <v>13436.84044747937</v>
      </c>
      <c r="F128" s="19">
        <f>C128*(1-'Nonurban Pass Adoption'!H122-'Nonurban Pass Adoption'!K122-$AA$119-$AA$120-MAX($AA$121,'Nonurban Pass Adoption'!$N122))</f>
        <v>9762.0393324387205</v>
      </c>
      <c r="G128" s="20"/>
      <c r="H128" s="19">
        <f t="shared" si="106"/>
        <v>10199.732342670792</v>
      </c>
      <c r="I128" s="21">
        <f t="shared" si="107"/>
        <v>0.75908710701288185</v>
      </c>
      <c r="J128" s="22"/>
      <c r="K128" s="19">
        <f t="shared" si="108"/>
        <v>9616.3132192981066</v>
      </c>
      <c r="L128" s="21">
        <f t="shared" si="109"/>
        <v>0.98507216492599303</v>
      </c>
      <c r="M128" s="257"/>
      <c r="N128" s="14">
        <v>2015</v>
      </c>
      <c r="O128" s="257"/>
      <c r="P128" s="35">
        <v>3237.1081048085771</v>
      </c>
      <c r="Q128" s="24"/>
      <c r="R128" s="35">
        <v>121.57668884867235</v>
      </c>
      <c r="S128" s="23">
        <f t="shared" ref="S128" si="113">S127</f>
        <v>1</v>
      </c>
      <c r="T128" s="24"/>
      <c r="U128" s="35">
        <v>291.45222628122792</v>
      </c>
      <c r="V128" s="23">
        <f t="shared" si="101"/>
        <v>0.5</v>
      </c>
      <c r="W128" s="24"/>
      <c r="X128" s="252">
        <f t="shared" si="102"/>
        <v>121.57668884867235</v>
      </c>
      <c r="Y128" s="253">
        <f t="shared" si="103"/>
        <v>4.1196855801953602E-3</v>
      </c>
      <c r="Z128" s="24"/>
      <c r="AA128" s="252">
        <f t="shared" si="104"/>
        <v>145.72611314061396</v>
      </c>
      <c r="AB128" s="253">
        <f t="shared" si="105"/>
        <v>4.938000636870124E-3</v>
      </c>
      <c r="AC128" s="24"/>
      <c r="AD128" s="757">
        <f t="shared" si="111"/>
        <v>13436840447479.369</v>
      </c>
      <c r="AE128" s="273"/>
      <c r="AF128" s="99"/>
    </row>
    <row r="129" spans="1:32" ht="14.4" x14ac:dyDescent="0.3">
      <c r="A129" s="2"/>
      <c r="B129" s="19">
        <f>'Urban Pass Adoption'!B122</f>
        <v>30522.249674036706</v>
      </c>
      <c r="C129" s="19">
        <f>'Nonurban Pass Adoption'!B123</f>
        <v>27523.033303576412</v>
      </c>
      <c r="D129" s="2"/>
      <c r="E129" s="19">
        <f>B129*(1-'Urban Pass Adoption'!H122-'Urban Pass Adoption'!K122-'Urban Pass Adoption'!N122-'Urban Pass Adoption'!Q122-$AA$118)</f>
        <v>14195.233376260261</v>
      </c>
      <c r="F129" s="19">
        <f>C129*(1-'Nonurban Pass Adoption'!H123-'Nonurban Pass Adoption'!K123-$AA$119-$AA$120-MAX($AA$121,'Nonurban Pass Adoption'!$N123))</f>
        <v>9974.9956300837512</v>
      </c>
      <c r="G129" s="20"/>
      <c r="H129" s="19">
        <f t="shared" si="106"/>
        <v>10865.187226054102</v>
      </c>
      <c r="I129" s="21">
        <f t="shared" si="107"/>
        <v>0.76541096141643983</v>
      </c>
      <c r="J129" s="22"/>
      <c r="K129" s="19">
        <f t="shared" si="108"/>
        <v>9807.9301639197038</v>
      </c>
      <c r="L129" s="21">
        <f t="shared" si="109"/>
        <v>0.9832515750021793</v>
      </c>
      <c r="M129" s="257"/>
      <c r="N129" s="14">
        <v>2016</v>
      </c>
      <c r="O129" s="257"/>
      <c r="P129" s="35">
        <v>3330.0461502061598</v>
      </c>
      <c r="Q129" s="24"/>
      <c r="R129" s="35">
        <v>126.76438480106481</v>
      </c>
      <c r="S129" s="23">
        <f t="shared" ref="S129" si="114">S128</f>
        <v>1</v>
      </c>
      <c r="T129" s="24"/>
      <c r="U129" s="35">
        <v>334.13093232809371</v>
      </c>
      <c r="V129" s="23">
        <f t="shared" si="101"/>
        <v>0.5</v>
      </c>
      <c r="W129" s="24"/>
      <c r="X129" s="252">
        <f t="shared" si="102"/>
        <v>126.76438480106481</v>
      </c>
      <c r="Y129" s="253">
        <f t="shared" si="103"/>
        <v>4.1531796035629391E-3</v>
      </c>
      <c r="Z129" s="24"/>
      <c r="AA129" s="252">
        <f t="shared" si="104"/>
        <v>167.06546616404685</v>
      </c>
      <c r="AB129" s="253">
        <f t="shared" si="105"/>
        <v>5.4735633168664687E-3</v>
      </c>
      <c r="AC129" s="24"/>
      <c r="AD129" s="757">
        <f t="shared" si="111"/>
        <v>14195233376260.262</v>
      </c>
      <c r="AE129" s="273"/>
      <c r="AF129" s="99"/>
    </row>
    <row r="130" spans="1:32" ht="14.4" x14ac:dyDescent="0.3">
      <c r="A130" s="2"/>
      <c r="B130" s="19">
        <f>'Urban Pass Adoption'!B123</f>
        <v>31561.895718661261</v>
      </c>
      <c r="C130" s="19">
        <f>'Nonurban Pass Adoption'!B124</f>
        <v>28411.259149408132</v>
      </c>
      <c r="D130" s="2"/>
      <c r="E130" s="19">
        <f>B130*(1-'Urban Pass Adoption'!H123-'Urban Pass Adoption'!K123-'Urban Pass Adoption'!N123-'Urban Pass Adoption'!Q123-$AA$118)</f>
        <v>14978.035642215102</v>
      </c>
      <c r="F130" s="19">
        <f>C130*(1-'Nonurban Pass Adoption'!H124-'Nonurban Pass Adoption'!K124-$AA$119-$AA$120-MAX($AA$121,'Nonurban Pass Adoption'!$N124))</f>
        <v>10198.663576070016</v>
      </c>
      <c r="G130" s="20"/>
      <c r="H130" s="19">
        <f t="shared" si="106"/>
        <v>11555.301818836524</v>
      </c>
      <c r="I130" s="21">
        <f t="shared" si="107"/>
        <v>0.77148313002195601</v>
      </c>
      <c r="J130" s="22"/>
      <c r="K130" s="19">
        <f t="shared" si="108"/>
        <v>10008.226247279983</v>
      </c>
      <c r="L130" s="21">
        <f t="shared" si="109"/>
        <v>0.98132722710484621</v>
      </c>
      <c r="M130" s="257"/>
      <c r="N130" s="14">
        <v>2017</v>
      </c>
      <c r="O130" s="257"/>
      <c r="P130" s="35">
        <v>3422.7338233785767</v>
      </c>
      <c r="Q130" s="24"/>
      <c r="R130" s="35">
        <v>131.95208075345909</v>
      </c>
      <c r="S130" s="23">
        <f t="shared" ref="S130" si="115">S129</f>
        <v>1</v>
      </c>
      <c r="T130" s="24"/>
      <c r="U130" s="35">
        <v>380.8746575800638</v>
      </c>
      <c r="V130" s="23">
        <f t="shared" si="101"/>
        <v>0.5</v>
      </c>
      <c r="W130" s="24"/>
      <c r="X130" s="252">
        <f t="shared" si="102"/>
        <v>131.95208075345909</v>
      </c>
      <c r="Y130" s="253">
        <f t="shared" si="103"/>
        <v>4.1807400268242196E-3</v>
      </c>
      <c r="Z130" s="24"/>
      <c r="AA130" s="252">
        <f t="shared" si="104"/>
        <v>190.4373287900319</v>
      </c>
      <c r="AB130" s="253">
        <f t="shared" si="105"/>
        <v>6.0337734617580043E-3</v>
      </c>
      <c r="AC130" s="24"/>
      <c r="AD130" s="757">
        <f t="shared" si="111"/>
        <v>14978035642215.102</v>
      </c>
      <c r="AE130" s="273"/>
      <c r="AF130" s="99"/>
    </row>
    <row r="131" spans="1:32" ht="14.4" x14ac:dyDescent="0.3">
      <c r="A131" s="2"/>
      <c r="B131" s="19">
        <f>'Urban Pass Adoption'!B124</f>
        <v>32602.325167364055</v>
      </c>
      <c r="C131" s="19">
        <f>'Nonurban Pass Adoption'!B125</f>
        <v>29314.817849269726</v>
      </c>
      <c r="D131" s="2"/>
      <c r="E131" s="19">
        <f>B131*(1-'Urban Pass Adoption'!H124-'Urban Pass Adoption'!K124-'Urban Pass Adoption'!N124-'Urban Pass Adoption'!Q124-$AA$118)</f>
        <v>15795.931666635273</v>
      </c>
      <c r="F131" s="19">
        <f>C131*(1-'Nonurban Pass Adoption'!H125-'Nonurban Pass Adoption'!K125-$AA$119-$AA$120-MAX($AA$121,'Nonurban Pass Adoption'!$N125))</f>
        <v>10432.475175765072</v>
      </c>
      <c r="G131" s="20"/>
      <c r="H131" s="19">
        <f t="shared" si="106"/>
        <v>12280.709949182476</v>
      </c>
      <c r="I131" s="21">
        <f t="shared" si="107"/>
        <v>0.7774603111965992</v>
      </c>
      <c r="J131" s="22"/>
      <c r="K131" s="19">
        <f t="shared" si="108"/>
        <v>10240.898383905433</v>
      </c>
      <c r="L131" s="21">
        <f t="shared" si="109"/>
        <v>0.98163649674387177</v>
      </c>
      <c r="M131" s="257"/>
      <c r="N131" s="14">
        <v>2018</v>
      </c>
      <c r="O131" s="257"/>
      <c r="P131" s="35">
        <v>3515.2217174527982</v>
      </c>
      <c r="Q131" s="24"/>
      <c r="R131" s="35">
        <v>137.13977670585155</v>
      </c>
      <c r="S131" s="23">
        <f t="shared" ref="S131" si="116">S130</f>
        <v>1</v>
      </c>
      <c r="T131" s="24"/>
      <c r="U131" s="35">
        <v>383.15358371927999</v>
      </c>
      <c r="V131" s="23">
        <f t="shared" si="101"/>
        <v>0.5</v>
      </c>
      <c r="W131" s="24"/>
      <c r="X131" s="252">
        <f t="shared" si="102"/>
        <v>137.13977670585155</v>
      </c>
      <c r="Y131" s="253">
        <f t="shared" si="103"/>
        <v>4.2064415958630074E-3</v>
      </c>
      <c r="Z131" s="24"/>
      <c r="AA131" s="252">
        <f t="shared" si="104"/>
        <v>191.57679185964</v>
      </c>
      <c r="AB131" s="253">
        <f t="shared" si="105"/>
        <v>5.8761695945359852E-3</v>
      </c>
      <c r="AC131" s="24"/>
      <c r="AD131" s="757">
        <f t="shared" si="111"/>
        <v>15795931666635.273</v>
      </c>
      <c r="AE131" s="273"/>
      <c r="AF131" s="99"/>
    </row>
    <row r="132" spans="1:32" ht="14.4" x14ac:dyDescent="0.3">
      <c r="A132" s="2"/>
      <c r="B132" s="19">
        <f>'Urban Pass Adoption'!B125</f>
        <v>33644.353306078112</v>
      </c>
      <c r="C132" s="19">
        <f>'Nonurban Pass Adoption'!B126</f>
        <v>30233.500371254417</v>
      </c>
      <c r="D132" s="2"/>
      <c r="E132" s="19">
        <f>B132*(1-'Urban Pass Adoption'!H125-'Urban Pass Adoption'!K125-'Urban Pass Adoption'!N125-'Urban Pass Adoption'!Q125-$AA$118)</f>
        <v>15934.264998710552</v>
      </c>
      <c r="F132" s="19">
        <f>C132*(1-'Nonurban Pass Adoption'!H126-'Nonurban Pass Adoption'!K126-$AA$119-$AA$120-MAX($AA$121,'Nonurban Pass Adoption'!$N126))</f>
        <v>10532.186793118597</v>
      </c>
      <c r="G132" s="20"/>
      <c r="H132" s="19">
        <f t="shared" si="106"/>
        <v>11036.968240513088</v>
      </c>
      <c r="I132" s="21">
        <f t="shared" si="107"/>
        <v>0.69265624999999886</v>
      </c>
      <c r="J132" s="22"/>
      <c r="K132" s="19">
        <f t="shared" si="108"/>
        <v>10288.269551538122</v>
      </c>
      <c r="L132" s="21">
        <f t="shared" si="109"/>
        <v>0.97684077899759214</v>
      </c>
      <c r="M132" s="257"/>
      <c r="N132" s="14">
        <v>2019</v>
      </c>
      <c r="O132" s="257"/>
      <c r="P132" s="35">
        <v>4897.2967581974644</v>
      </c>
      <c r="Q132" s="24"/>
      <c r="R132" s="35">
        <v>296.83399761980957</v>
      </c>
      <c r="S132" s="23">
        <f t="shared" ref="S132" si="117">S131</f>
        <v>1</v>
      </c>
      <c r="T132" s="24"/>
      <c r="U132" s="35">
        <v>487.83448316095041</v>
      </c>
      <c r="V132" s="23">
        <f t="shared" si="101"/>
        <v>0.5</v>
      </c>
      <c r="W132" s="24"/>
      <c r="X132" s="252">
        <f t="shared" si="102"/>
        <v>296.83399761980957</v>
      </c>
      <c r="Y132" s="253">
        <f t="shared" si="103"/>
        <v>8.822698861808238E-3</v>
      </c>
      <c r="Z132" s="24"/>
      <c r="AA132" s="252">
        <f t="shared" si="104"/>
        <v>243.91724158047521</v>
      </c>
      <c r="AB132" s="253">
        <f t="shared" si="105"/>
        <v>7.249871601378341E-3</v>
      </c>
      <c r="AC132" s="24"/>
      <c r="AD132" s="757">
        <f t="shared" si="111"/>
        <v>15934264998710.553</v>
      </c>
      <c r="AE132" s="273"/>
      <c r="AF132" s="99"/>
    </row>
    <row r="133" spans="1:32" s="90" customFormat="1" ht="14.4" x14ac:dyDescent="0.3">
      <c r="A133" s="30"/>
      <c r="B133" s="19">
        <f>'Urban Pass Adoption'!B126</f>
        <v>34697.510647161849</v>
      </c>
      <c r="C133" s="19">
        <f>'Nonurban Pass Adoption'!B127</f>
        <v>31169.676322327818</v>
      </c>
      <c r="D133" s="30"/>
      <c r="E133" s="19">
        <f>B133*(1-'Urban Pass Adoption'!H126-'Urban Pass Adoption'!K126-'Urban Pass Adoption'!N126-'Urban Pass Adoption'!Q126-$AA$118)</f>
        <v>16398.659197456029</v>
      </c>
      <c r="F133" s="19">
        <f>C133*(1-'Nonurban Pass Adoption'!H127-'Nonurban Pass Adoption'!K127-$AA$119-$AA$120-MAX($AA$121,'Nonurban Pass Adoption'!$N127))</f>
        <v>10597.146138756123</v>
      </c>
      <c r="G133" s="31"/>
      <c r="H133" s="19">
        <f t="shared" si="106"/>
        <v>10992.226243294768</v>
      </c>
      <c r="I133" s="21">
        <f t="shared" si="107"/>
        <v>0.67031250000000142</v>
      </c>
      <c r="J133" s="32"/>
      <c r="K133" s="19">
        <f t="shared" si="108"/>
        <v>10296.221892840285</v>
      </c>
      <c r="L133" s="21">
        <f t="shared" si="109"/>
        <v>0.9716032748840473</v>
      </c>
      <c r="M133" s="258"/>
      <c r="N133" s="259">
        <v>2020</v>
      </c>
      <c r="O133" s="258"/>
      <c r="P133" s="35">
        <v>5406.4329541612615</v>
      </c>
      <c r="Q133" s="34"/>
      <c r="R133" s="35">
        <v>450.81365153839374</v>
      </c>
      <c r="S133" s="23">
        <f t="shared" ref="S133" si="118">S132</f>
        <v>1</v>
      </c>
      <c r="T133" s="34"/>
      <c r="U133" s="35">
        <v>601.84849183167535</v>
      </c>
      <c r="V133" s="23">
        <f t="shared" si="101"/>
        <v>0.5</v>
      </c>
      <c r="W133" s="34"/>
      <c r="X133" s="252">
        <f t="shared" si="102"/>
        <v>450.81365153839374</v>
      </c>
      <c r="Y133" s="253">
        <f t="shared" si="103"/>
        <v>1.2992679968390439E-2</v>
      </c>
      <c r="Z133" s="34"/>
      <c r="AA133" s="252">
        <f t="shared" si="104"/>
        <v>300.92424591583767</v>
      </c>
      <c r="AB133" s="253">
        <f t="shared" si="105"/>
        <v>8.6727906499094159E-3</v>
      </c>
      <c r="AC133" s="34"/>
      <c r="AD133" s="757">
        <f t="shared" si="111"/>
        <v>16398659197456.029</v>
      </c>
      <c r="AE133" s="273"/>
      <c r="AF133" s="99"/>
    </row>
    <row r="134" spans="1:32" ht="14.4" x14ac:dyDescent="0.3">
      <c r="A134" s="2"/>
      <c r="B134" s="19">
        <f>'Urban Pass Adoption'!B127</f>
        <v>35718.895175557307</v>
      </c>
      <c r="C134" s="19">
        <f>'Nonurban Pass Adoption'!B128</f>
        <v>32098.234853161026</v>
      </c>
      <c r="D134" s="2"/>
      <c r="E134" s="19">
        <f>B134*(1-'Urban Pass Adoption'!H127-'Urban Pass Adoption'!K127-'Urban Pass Adoption'!N127-'Urban Pass Adoption'!Q127-$AA$118)</f>
        <v>16948.480753665113</v>
      </c>
      <c r="F134" s="19">
        <f>C134*(1-'Nonurban Pass Adoption'!H128-'Nonurban Pass Adoption'!K128-$AA$119-$AA$120-MAX($AA$121,'Nonurban Pass Adoption'!$N128))</f>
        <v>10658.003908119546</v>
      </c>
      <c r="G134" s="20"/>
      <c r="H134" s="19">
        <f t="shared" si="106"/>
        <v>10982.085888351508</v>
      </c>
      <c r="I134" s="21">
        <f t="shared" si="107"/>
        <v>0.64796875000000398</v>
      </c>
      <c r="J134" s="22"/>
      <c r="K134" s="19">
        <f t="shared" si="108"/>
        <v>10259.22152683439</v>
      </c>
      <c r="L134" s="21">
        <f t="shared" si="109"/>
        <v>0.96258376477218655</v>
      </c>
      <c r="M134" s="257"/>
      <c r="N134" s="14">
        <v>2021</v>
      </c>
      <c r="O134" s="257"/>
      <c r="P134" s="35">
        <v>5966.3948653136049</v>
      </c>
      <c r="Q134" s="24"/>
      <c r="R134" s="35">
        <v>643.95809479607919</v>
      </c>
      <c r="S134" s="51">
        <f t="shared" ref="S134:S143" si="119">S133-5%</f>
        <v>0.95</v>
      </c>
      <c r="T134" s="24"/>
      <c r="U134" s="35">
        <v>733.16895309070435</v>
      </c>
      <c r="V134" s="23">
        <f t="shared" ref="V134:V142" si="120">V133</f>
        <v>0.5</v>
      </c>
      <c r="W134" s="24"/>
      <c r="X134" s="252">
        <f t="shared" si="102"/>
        <v>611.76019005627518</v>
      </c>
      <c r="Y134" s="253">
        <f t="shared" si="103"/>
        <v>1.7127074817109882E-2</v>
      </c>
      <c r="Z134" s="24"/>
      <c r="AA134" s="252">
        <f t="shared" si="104"/>
        <v>366.58447654535217</v>
      </c>
      <c r="AB134" s="253">
        <f t="shared" si="105"/>
        <v>1.0263040744782289E-2</v>
      </c>
      <c r="AC134" s="24"/>
      <c r="AD134" s="757">
        <f t="shared" si="111"/>
        <v>16948480753665.113</v>
      </c>
      <c r="AE134" s="273"/>
      <c r="AF134" s="99"/>
    </row>
    <row r="135" spans="1:32" ht="14.4" x14ac:dyDescent="0.3">
      <c r="A135" s="2"/>
      <c r="B135" s="19">
        <f>'Urban Pass Adoption'!B128</f>
        <v>36748.653520328357</v>
      </c>
      <c r="C135" s="19">
        <f>'Nonurban Pass Adoption'!B129</f>
        <v>33039.605298664756</v>
      </c>
      <c r="D135" s="2"/>
      <c r="E135" s="19">
        <f>B135*(1-'Urban Pass Adoption'!H128-'Urban Pass Adoption'!K128-'Urban Pass Adoption'!N128-'Urban Pass Adoption'!Q128-$AA$118)</f>
        <v>15723.073784718817</v>
      </c>
      <c r="F135" s="19">
        <f>C135*(1-'Nonurban Pass Adoption'!H129-'Nonurban Pass Adoption'!K129-$AA$119-$AA$120-MAX($AA$121,'Nonurban Pass Adoption'!$N129))</f>
        <v>10722.694219284725</v>
      </c>
      <c r="G135" s="20"/>
      <c r="H135" s="19">
        <f t="shared" si="106"/>
        <v>9836.7480365647025</v>
      </c>
      <c r="I135" s="21">
        <f t="shared" si="107"/>
        <v>0.62562499999999954</v>
      </c>
      <c r="J135" s="22"/>
      <c r="K135" s="19">
        <f t="shared" si="108"/>
        <v>10194.033117392361</v>
      </c>
      <c r="L135" s="21">
        <f t="shared" si="109"/>
        <v>0.95069698985339246</v>
      </c>
      <c r="M135" s="257"/>
      <c r="N135" s="14">
        <v>2022</v>
      </c>
      <c r="O135" s="257"/>
      <c r="P135" s="35">
        <v>5886.3257481541159</v>
      </c>
      <c r="Q135" s="24"/>
      <c r="R135" s="35">
        <v>878.81358812276108</v>
      </c>
      <c r="S135" s="51">
        <f t="shared" si="119"/>
        <v>0.89999999999999991</v>
      </c>
      <c r="T135" s="24"/>
      <c r="U135" s="35">
        <v>881.55948616017656</v>
      </c>
      <c r="V135" s="23">
        <f t="shared" si="120"/>
        <v>0.5</v>
      </c>
      <c r="W135" s="24"/>
      <c r="X135" s="252">
        <f t="shared" si="102"/>
        <v>790.9322293104849</v>
      </c>
      <c r="Y135" s="253">
        <f t="shared" si="103"/>
        <v>2.1522753993502446E-2</v>
      </c>
      <c r="Z135" s="24"/>
      <c r="AA135" s="252">
        <f t="shared" si="104"/>
        <v>440.77974308008828</v>
      </c>
      <c r="AB135" s="253">
        <f t="shared" si="105"/>
        <v>1.1994446077766112E-2</v>
      </c>
      <c r="AC135" s="24"/>
      <c r="AD135" s="757">
        <f t="shared" si="111"/>
        <v>15723073784718.818</v>
      </c>
      <c r="AE135" s="273"/>
      <c r="AF135" s="99"/>
    </row>
    <row r="136" spans="1:32" ht="14.4" x14ac:dyDescent="0.3">
      <c r="A136" s="2"/>
      <c r="B136" s="19">
        <f>'Urban Pass Adoption'!B129</f>
        <v>37781.871467732562</v>
      </c>
      <c r="C136" s="19">
        <f>'Nonurban Pass Adoption'!B130</f>
        <v>33993.911424286372</v>
      </c>
      <c r="D136" s="2"/>
      <c r="E136" s="19">
        <f>B136*(1-'Urban Pass Adoption'!H129-'Urban Pass Adoption'!K129-'Urban Pass Adoption'!N129-'Urban Pass Adoption'!Q129-$AA$118)</f>
        <v>15947.378738111931</v>
      </c>
      <c r="F136" s="19">
        <f>C136*(1-'Nonurban Pass Adoption'!H130-'Nonurban Pass Adoption'!K130-$AA$119-$AA$120-MAX($AA$121,'Nonurban Pass Adoption'!$N130))</f>
        <v>10791.061667079726</v>
      </c>
      <c r="G136" s="20"/>
      <c r="H136" s="19">
        <f t="shared" si="106"/>
        <v>9620.7545793516183</v>
      </c>
      <c r="I136" s="21">
        <f t="shared" si="107"/>
        <v>0.60328125000000188</v>
      </c>
      <c r="J136" s="22"/>
      <c r="K136" s="19">
        <f t="shared" si="108"/>
        <v>10093.980853111361</v>
      </c>
      <c r="L136" s="21">
        <f t="shared" si="109"/>
        <v>0.93540201738491147</v>
      </c>
      <c r="M136" s="257"/>
      <c r="N136" s="14">
        <v>2023</v>
      </c>
      <c r="O136" s="257"/>
      <c r="P136" s="35">
        <v>6326.6241587603117</v>
      </c>
      <c r="Q136" s="24"/>
      <c r="R136" s="35">
        <v>1157.9263922483353</v>
      </c>
      <c r="S136" s="51">
        <f t="shared" si="119"/>
        <v>0.84999999999999987</v>
      </c>
      <c r="T136" s="24"/>
      <c r="U136" s="35">
        <v>1046.7837102622302</v>
      </c>
      <c r="V136" s="23">
        <f t="shared" si="120"/>
        <v>0.5</v>
      </c>
      <c r="W136" s="24"/>
      <c r="X136" s="252">
        <f t="shared" si="102"/>
        <v>984.23743341108491</v>
      </c>
      <c r="Y136" s="253">
        <f t="shared" si="103"/>
        <v>2.6050520929109307E-2</v>
      </c>
      <c r="Z136" s="24"/>
      <c r="AA136" s="252">
        <f t="shared" si="104"/>
        <v>523.39185513111511</v>
      </c>
      <c r="AB136" s="253">
        <f t="shared" si="105"/>
        <v>1.3852989139993119E-2</v>
      </c>
      <c r="AC136" s="24"/>
      <c r="AD136" s="757">
        <f t="shared" si="111"/>
        <v>15947378738111.932</v>
      </c>
      <c r="AE136" s="273"/>
      <c r="AF136" s="99"/>
    </row>
    <row r="137" spans="1:32" ht="14.4" x14ac:dyDescent="0.3">
      <c r="A137" s="2"/>
      <c r="B137" s="19">
        <f>'Urban Pass Adoption'!B130</f>
        <v>38819.140722197262</v>
      </c>
      <c r="C137" s="19">
        <f>'Nonurban Pass Adoption'!B131</f>
        <v>34960.700316671842</v>
      </c>
      <c r="D137" s="2"/>
      <c r="E137" s="19">
        <f>B137*(1-'Urban Pass Adoption'!H130-'Urban Pass Adoption'!K130-'Urban Pass Adoption'!N130-'Urban Pass Adoption'!Q130-$AA$118)</f>
        <v>16155.113237498434</v>
      </c>
      <c r="F137" s="19">
        <f>C137*(1-'Nonurban Pass Adoption'!H131-'Nonurban Pass Adoption'!K131-$AA$119-$AA$120-MAX($AA$121,'Nonurban Pass Adoption'!$N131))</f>
        <v>10506.520924651606</v>
      </c>
      <c r="G137" s="20"/>
      <c r="H137" s="19">
        <f t="shared" si="106"/>
        <v>9385.1110964093205</v>
      </c>
      <c r="I137" s="21">
        <f t="shared" si="107"/>
        <v>0.58093750000000455</v>
      </c>
      <c r="J137" s="22"/>
      <c r="K137" s="19">
        <f t="shared" si="108"/>
        <v>9595.4497487615645</v>
      </c>
      <c r="L137" s="21">
        <f t="shared" si="109"/>
        <v>0.91328516999834053</v>
      </c>
      <c r="M137" s="257"/>
      <c r="N137" s="14">
        <v>2024</v>
      </c>
      <c r="O137" s="257"/>
      <c r="P137" s="35">
        <v>6770.002141089114</v>
      </c>
      <c r="Q137" s="24"/>
      <c r="R137" s="35">
        <v>1483.8427679026972</v>
      </c>
      <c r="S137" s="51">
        <f t="shared" si="119"/>
        <v>0.79999999999999982</v>
      </c>
      <c r="T137" s="24"/>
      <c r="U137" s="35">
        <v>1228.6052446190042</v>
      </c>
      <c r="V137" s="23">
        <f t="shared" si="120"/>
        <v>0.5</v>
      </c>
      <c r="W137" s="24"/>
      <c r="X137" s="252">
        <f t="shared" si="102"/>
        <v>1187.0742143221576</v>
      </c>
      <c r="Y137" s="253">
        <f t="shared" si="103"/>
        <v>3.0579610785752758E-2</v>
      </c>
      <c r="Z137" s="24"/>
      <c r="AA137" s="252">
        <f t="shared" si="104"/>
        <v>614.30262230950211</v>
      </c>
      <c r="AB137" s="253">
        <f t="shared" si="105"/>
        <v>1.5824735191993476E-2</v>
      </c>
      <c r="AC137" s="24"/>
      <c r="AD137" s="757">
        <f t="shared" si="111"/>
        <v>16155113237498.434</v>
      </c>
      <c r="AE137" s="273"/>
      <c r="AF137" s="99"/>
    </row>
    <row r="138" spans="1:32" ht="14.4" x14ac:dyDescent="0.3">
      <c r="A138" s="2"/>
      <c r="B138" s="19">
        <f>'Urban Pass Adoption'!B131</f>
        <v>39854.069973673031</v>
      </c>
      <c r="C138" s="19">
        <f>'Nonurban Pass Adoption'!B132</f>
        <v>35939.65896838472</v>
      </c>
      <c r="D138" s="2"/>
      <c r="E138" s="19">
        <f>B138*(1-'Urban Pass Adoption'!H131-'Urban Pass Adoption'!K131-'Urban Pass Adoption'!N131-'Urban Pass Adoption'!Q131-$AA$118)</f>
        <v>16342.169350776423</v>
      </c>
      <c r="F138" s="19">
        <f>C138*(1-'Nonurban Pass Adoption'!H132-'Nonurban Pass Adoption'!K132-$AA$119-$AA$120-MAX($AA$121,'Nonurban Pass Adoption'!$N132))</f>
        <v>10118.083026624121</v>
      </c>
      <c r="G138" s="20"/>
      <c r="H138" s="19">
        <f t="shared" si="106"/>
        <v>9128.6336607852663</v>
      </c>
      <c r="I138" s="21">
        <f t="shared" si="107"/>
        <v>0.55859374999999989</v>
      </c>
      <c r="J138" s="22"/>
      <c r="K138" s="19">
        <f t="shared" si="108"/>
        <v>8939.9119284438675</v>
      </c>
      <c r="L138" s="21">
        <f t="shared" si="109"/>
        <v>0.88355787404787212</v>
      </c>
      <c r="M138" s="257"/>
      <c r="N138" s="14">
        <v>2025</v>
      </c>
      <c r="O138" s="257"/>
      <c r="P138" s="35">
        <v>7213.5356899911567</v>
      </c>
      <c r="Q138" s="24"/>
      <c r="R138" s="35">
        <v>1859.1089758157423</v>
      </c>
      <c r="S138" s="51">
        <f t="shared" si="119"/>
        <v>0.74999999999999978</v>
      </c>
      <c r="T138" s="24"/>
      <c r="U138" s="35">
        <v>1426.7877084526367</v>
      </c>
      <c r="V138" s="23">
        <f t="shared" si="120"/>
        <v>0.5</v>
      </c>
      <c r="W138" s="24"/>
      <c r="X138" s="252">
        <f t="shared" si="102"/>
        <v>1394.3317318618062</v>
      </c>
      <c r="Y138" s="253">
        <f t="shared" si="103"/>
        <v>3.4985930741399301E-2</v>
      </c>
      <c r="Z138" s="24"/>
      <c r="AA138" s="252">
        <f t="shared" si="104"/>
        <v>713.39385422631835</v>
      </c>
      <c r="AB138" s="253">
        <f t="shared" si="105"/>
        <v>1.7900150591836042E-2</v>
      </c>
      <c r="AC138" s="24"/>
      <c r="AD138" s="757">
        <f t="shared" si="111"/>
        <v>16342169350776.424</v>
      </c>
      <c r="AE138" s="273"/>
      <c r="AF138" s="99"/>
    </row>
    <row r="139" spans="1:32" ht="14.4" x14ac:dyDescent="0.3">
      <c r="A139" s="2"/>
      <c r="B139" s="19">
        <f>'Urban Pass Adoption'!B132</f>
        <v>40909.376553962953</v>
      </c>
      <c r="C139" s="19">
        <f>'Nonurban Pass Adoption'!B133</f>
        <v>36931.057136525327</v>
      </c>
      <c r="D139" s="2"/>
      <c r="E139" s="19">
        <f>B139*(1-'Urban Pass Adoption'!H132-'Urban Pass Adoption'!K132-'Urban Pass Adoption'!N132-'Urban Pass Adoption'!Q132-$AA$118)</f>
        <v>16529.363608253985</v>
      </c>
      <c r="F139" s="19">
        <f>C139*(1-'Nonurban Pass Adoption'!H133-'Nonurban Pass Adoption'!K133-$AA$119-$AA$120-MAX($AA$121,'Nonurban Pass Adoption'!$N133))</f>
        <v>10192.22165739784</v>
      </c>
      <c r="G139" s="20"/>
      <c r="H139" s="19">
        <f t="shared" si="106"/>
        <v>8863.8712349262423</v>
      </c>
      <c r="I139" s="21">
        <f t="shared" si="107"/>
        <v>0.53625000000000256</v>
      </c>
      <c r="J139" s="22"/>
      <c r="K139" s="19">
        <f t="shared" si="108"/>
        <v>8685.7929138899963</v>
      </c>
      <c r="L139" s="21">
        <f t="shared" si="109"/>
        <v>0.85219819641437744</v>
      </c>
      <c r="M139" s="257"/>
      <c r="N139" s="14">
        <v>2026</v>
      </c>
      <c r="O139" s="257"/>
      <c r="P139" s="35">
        <v>7665.4923733277428</v>
      </c>
      <c r="Q139" s="24"/>
      <c r="R139" s="35">
        <v>2286.2712767173666</v>
      </c>
      <c r="S139" s="51">
        <f t="shared" si="119"/>
        <v>0.69999999999999973</v>
      </c>
      <c r="T139" s="24"/>
      <c r="U139" s="35">
        <v>1641.094720985267</v>
      </c>
      <c r="V139" s="23">
        <f t="shared" si="120"/>
        <v>0.5</v>
      </c>
      <c r="W139" s="24"/>
      <c r="X139" s="252">
        <f t="shared" si="102"/>
        <v>1600.3898937021561</v>
      </c>
      <c r="Y139" s="253">
        <f t="shared" si="103"/>
        <v>3.9120368690808704E-2</v>
      </c>
      <c r="Z139" s="24"/>
      <c r="AA139" s="252">
        <f t="shared" si="104"/>
        <v>820.54736049263352</v>
      </c>
      <c r="AB139" s="253">
        <f t="shared" si="105"/>
        <v>2.0057684316216885E-2</v>
      </c>
      <c r="AC139" s="24"/>
      <c r="AD139" s="757">
        <f t="shared" si="111"/>
        <v>16529363608253.984</v>
      </c>
      <c r="AE139" s="273"/>
      <c r="AF139" s="99"/>
    </row>
    <row r="140" spans="1:32" ht="14.4" x14ac:dyDescent="0.3">
      <c r="A140" s="2"/>
      <c r="B140" s="19">
        <f>'Urban Pass Adoption'!B133</f>
        <v>41965.332801393772</v>
      </c>
      <c r="C140" s="19">
        <f>'Nonurban Pass Adoption'!B134</f>
        <v>37935.484772566633</v>
      </c>
      <c r="D140" s="2"/>
      <c r="E140" s="19">
        <f>B140*(1-'Urban Pass Adoption'!H133-'Urban Pass Adoption'!K133-'Urban Pass Adoption'!N133-'Urban Pass Adoption'!Q133-$AA$118)</f>
        <v>16701.244203281851</v>
      </c>
      <c r="F140" s="19">
        <f>C140*(1-'Nonurban Pass Adoption'!H134-'Nonurban Pass Adoption'!K134-$AA$119-$AA$120-MAX($AA$121,'Nonurban Pass Adoption'!$N134))</f>
        <v>10274.216562698357</v>
      </c>
      <c r="G140" s="20"/>
      <c r="H140" s="19">
        <f t="shared" si="106"/>
        <v>8582.8737788428989</v>
      </c>
      <c r="I140" s="21">
        <f t="shared" si="107"/>
        <v>0.51390625000000512</v>
      </c>
      <c r="J140" s="22"/>
      <c r="K140" s="19">
        <f t="shared" si="108"/>
        <v>8369.8150360107265</v>
      </c>
      <c r="L140" s="21">
        <f t="shared" si="109"/>
        <v>0.81464265279342429</v>
      </c>
      <c r="M140" s="257"/>
      <c r="N140" s="14">
        <v>2027</v>
      </c>
      <c r="O140" s="257"/>
      <c r="P140" s="35">
        <v>8118.3704244389519</v>
      </c>
      <c r="Q140" s="24"/>
      <c r="R140" s="35">
        <v>2767.8759313374649</v>
      </c>
      <c r="S140" s="51">
        <f t="shared" si="119"/>
        <v>0.64999999999999969</v>
      </c>
      <c r="T140" s="24"/>
      <c r="U140" s="35">
        <v>1871.289901439033</v>
      </c>
      <c r="V140" s="23">
        <f t="shared" si="120"/>
        <v>0.5</v>
      </c>
      <c r="W140" s="24"/>
      <c r="X140" s="252">
        <f t="shared" si="102"/>
        <v>1799.1193553693513</v>
      </c>
      <c r="Y140" s="253">
        <f t="shared" si="103"/>
        <v>4.2871561721764734E-2</v>
      </c>
      <c r="Z140" s="24"/>
      <c r="AA140" s="252">
        <f t="shared" si="104"/>
        <v>935.64495071951649</v>
      </c>
      <c r="AB140" s="253">
        <f t="shared" si="105"/>
        <v>2.2295663783904067E-2</v>
      </c>
      <c r="AC140" s="24"/>
      <c r="AD140" s="757">
        <f t="shared" si="111"/>
        <v>16701244203281.852</v>
      </c>
      <c r="AE140" s="273"/>
      <c r="AF140" s="99"/>
    </row>
    <row r="141" spans="1:32" ht="14.4" x14ac:dyDescent="0.3">
      <c r="A141" s="2"/>
      <c r="B141" s="19">
        <f>'Urban Pass Adoption'!B134</f>
        <v>43030.378640550611</v>
      </c>
      <c r="C141" s="19">
        <f>'Nonurban Pass Adoption'!B135</f>
        <v>38953.191004810251</v>
      </c>
      <c r="D141" s="2"/>
      <c r="E141" s="19">
        <f>B141*(1-'Urban Pass Adoption'!H134-'Urban Pass Adoption'!K134-'Urban Pass Adoption'!N134-'Urban Pass Adoption'!Q134-$AA$118)</f>
        <v>16866.410746914255</v>
      </c>
      <c r="F141" s="19">
        <f>C141*(1-'Nonurban Pass Adoption'!H135-'Nonurban Pass Adoption'!K135-$AA$119-$AA$120-MAX($AA$121,'Nonurban Pass Adoption'!$N135))</f>
        <v>10364.009327051755</v>
      </c>
      <c r="G141" s="20"/>
      <c r="H141" s="19">
        <f t="shared" si="106"/>
        <v>8290.8950327800485</v>
      </c>
      <c r="I141" s="21">
        <f t="shared" si="107"/>
        <v>0.49156250000000062</v>
      </c>
      <c r="J141" s="22"/>
      <c r="K141" s="19">
        <f t="shared" si="108"/>
        <v>7982.8532123713449</v>
      </c>
      <c r="L141" s="21">
        <f t="shared" si="109"/>
        <v>0.77024759052800107</v>
      </c>
      <c r="M141" s="257"/>
      <c r="N141" s="14">
        <v>2028</v>
      </c>
      <c r="O141" s="257"/>
      <c r="P141" s="35">
        <v>8575.5157141342061</v>
      </c>
      <c r="Q141" s="24"/>
      <c r="R141" s="35">
        <v>3306.469200405933</v>
      </c>
      <c r="S141" s="51">
        <f t="shared" si="119"/>
        <v>0.59999999999999964</v>
      </c>
      <c r="T141" s="24"/>
      <c r="U141" s="35">
        <v>2117.1368690360732</v>
      </c>
      <c r="V141" s="23">
        <f t="shared" si="120"/>
        <v>0.5</v>
      </c>
      <c r="W141" s="24"/>
      <c r="X141" s="252">
        <f t="shared" si="102"/>
        <v>1983.8815202435585</v>
      </c>
      <c r="Y141" s="253">
        <f t="shared" si="103"/>
        <v>4.6104207839203271E-2</v>
      </c>
      <c r="Z141" s="24"/>
      <c r="AA141" s="252">
        <f t="shared" si="104"/>
        <v>1058.5684345180366</v>
      </c>
      <c r="AB141" s="253">
        <f t="shared" si="105"/>
        <v>2.4600490815120824E-2</v>
      </c>
      <c r="AC141" s="24"/>
      <c r="AD141" s="757">
        <f t="shared" si="111"/>
        <v>16866410746914.254</v>
      </c>
      <c r="AE141" s="273"/>
      <c r="AF141" s="99"/>
    </row>
    <row r="142" spans="1:32" ht="14.4" x14ac:dyDescent="0.3">
      <c r="A142" s="2"/>
      <c r="B142" s="19">
        <f>'Urban Pass Adoption'!B135</f>
        <v>44105.840131241697</v>
      </c>
      <c r="C142" s="19">
        <f>'Nonurban Pass Adoption'!B136</f>
        <v>39984.440125321955</v>
      </c>
      <c r="D142" s="2"/>
      <c r="E142" s="19">
        <f>B142*(1-'Urban Pass Adoption'!H135-'Urban Pass Adoption'!K135-'Urban Pass Adoption'!N135-'Urban Pass Adoption'!Q135-$AA$118)</f>
        <v>17027.377761169791</v>
      </c>
      <c r="F142" s="19">
        <f>C142*(1-'Nonurban Pass Adoption'!H136-'Nonurban Pass Adoption'!K136-$AA$119-$AA$120-MAX($AA$121,'Nonurban Pass Adoption'!$N136))</f>
        <v>10461.556818432919</v>
      </c>
      <c r="G142" s="20"/>
      <c r="H142" s="19">
        <f t="shared" si="106"/>
        <v>7989.564908873941</v>
      </c>
      <c r="I142" s="21">
        <f t="shared" si="107"/>
        <v>0.46921875000000313</v>
      </c>
      <c r="J142" s="22"/>
      <c r="K142" s="19">
        <f t="shared" si="108"/>
        <v>7515.288391839953</v>
      </c>
      <c r="L142" s="21">
        <f t="shared" si="109"/>
        <v>0.71837189457292461</v>
      </c>
      <c r="M142" s="257"/>
      <c r="N142" s="14">
        <v>2029</v>
      </c>
      <c r="O142" s="257"/>
      <c r="P142" s="35">
        <v>9037.8128522958505</v>
      </c>
      <c r="Q142" s="24"/>
      <c r="R142" s="35">
        <v>3904.5973446526673</v>
      </c>
      <c r="S142" s="51">
        <f t="shared" si="119"/>
        <v>0.5499999999999996</v>
      </c>
      <c r="T142" s="24"/>
      <c r="U142" s="35">
        <v>2378.3992429985274</v>
      </c>
      <c r="V142" s="23">
        <f t="shared" si="120"/>
        <v>0.5</v>
      </c>
      <c r="W142" s="24"/>
      <c r="X142" s="252">
        <f t="shared" si="102"/>
        <v>2147.5285395589653</v>
      </c>
      <c r="Y142" s="253">
        <f t="shared" si="103"/>
        <v>4.8690344253023224E-2</v>
      </c>
      <c r="Z142" s="24"/>
      <c r="AA142" s="252">
        <f t="shared" si="104"/>
        <v>1189.1996214992637</v>
      </c>
      <c r="AB142" s="253">
        <f t="shared" si="105"/>
        <v>2.696240719960603E-2</v>
      </c>
      <c r="AC142" s="24"/>
      <c r="AD142" s="757">
        <f t="shared" si="111"/>
        <v>17027377761169.791</v>
      </c>
      <c r="AE142" s="273"/>
      <c r="AF142" s="99"/>
    </row>
    <row r="143" spans="1:32" ht="14.4" x14ac:dyDescent="0.3">
      <c r="A143" s="2"/>
      <c r="B143" s="19">
        <f>'Urban Pass Adoption'!B136</f>
        <v>45179.177847550411</v>
      </c>
      <c r="C143" s="19">
        <f>'Nonurban Pass Adoption'!B137</f>
        <v>41029.474351604615</v>
      </c>
      <c r="D143" s="2"/>
      <c r="E143" s="19">
        <f>B143*(1-'Urban Pass Adoption'!H136-'Urban Pass Adoption'!K136-'Urban Pass Adoption'!N136-'Urban Pass Adoption'!Q136-$AA$118)</f>
        <v>17174.80779284448</v>
      </c>
      <c r="F143" s="19">
        <f>C143*(1-'Nonurban Pass Adoption'!H137-'Nonurban Pass Adoption'!K137-$AA$119-$AA$120-MAX($AA$121,'Nonurban Pass Adoption'!$N137))</f>
        <v>10574.993431334835</v>
      </c>
      <c r="G143" s="20"/>
      <c r="H143" s="19">
        <f t="shared" si="106"/>
        <v>7674.9922324273539</v>
      </c>
      <c r="I143" s="21">
        <f t="shared" si="107"/>
        <v>0.44687499999999863</v>
      </c>
      <c r="J143" s="22"/>
      <c r="K143" s="19">
        <f t="shared" si="108"/>
        <v>6832.427765529359</v>
      </c>
      <c r="L143" s="21">
        <f t="shared" si="109"/>
        <v>0.64609286141815903</v>
      </c>
      <c r="M143" s="257"/>
      <c r="N143" s="14">
        <v>2030</v>
      </c>
      <c r="O143" s="257"/>
      <c r="P143" s="35">
        <v>9499.8155604171261</v>
      </c>
      <c r="Q143" s="24"/>
      <c r="R143" s="35">
        <v>4564.806624807562</v>
      </c>
      <c r="S143" s="51">
        <f t="shared" si="119"/>
        <v>0.49999999999999961</v>
      </c>
      <c r="T143" s="24"/>
      <c r="U143" s="35">
        <v>2654.8406425485332</v>
      </c>
      <c r="V143" s="51">
        <f>V142-5%</f>
        <v>0.45</v>
      </c>
      <c r="W143" s="24"/>
      <c r="X143" s="252">
        <f t="shared" si="102"/>
        <v>2282.4033124037792</v>
      </c>
      <c r="Y143" s="253">
        <f t="shared" si="103"/>
        <v>5.0518920908772795E-2</v>
      </c>
      <c r="Z143" s="24"/>
      <c r="AA143" s="252">
        <f t="shared" si="104"/>
        <v>1194.6782891468399</v>
      </c>
      <c r="AB143" s="253">
        <f t="shared" si="105"/>
        <v>2.6443117074376216E-2</v>
      </c>
      <c r="AC143" s="24"/>
      <c r="AD143" s="757">
        <f t="shared" si="111"/>
        <v>17174807792844.48</v>
      </c>
      <c r="AE143" s="273"/>
      <c r="AF143" s="99"/>
    </row>
    <row r="144" spans="1:32" ht="14.4" x14ac:dyDescent="0.3">
      <c r="A144" s="2"/>
      <c r="B144" s="19">
        <f>'Urban Pass Adoption'!B137</f>
        <v>46293.203311531608</v>
      </c>
      <c r="C144" s="19">
        <f>'Nonurban Pass Adoption'!B138</f>
        <v>42088.527573781801</v>
      </c>
      <c r="D144" s="2"/>
      <c r="E144" s="19">
        <f>B144*(1-'Urban Pass Adoption'!H137-'Urban Pass Adoption'!K137-'Urban Pass Adoption'!N137-'Urban Pass Adoption'!Q137-$AA$118)</f>
        <v>17346.690821972414</v>
      </c>
      <c r="F144" s="19">
        <f>C144*(1-'Nonurban Pass Adoption'!H138-'Nonurban Pass Adoption'!K138-$AA$119-$AA$120-MAX($AA$121,'Nonurban Pass Adoption'!$N138))</f>
        <v>10698.454433023107</v>
      </c>
      <c r="G144" s="20"/>
      <c r="H144" s="19">
        <f t="shared" si="106"/>
        <v>7364.2123380154953</v>
      </c>
      <c r="I144" s="21">
        <f t="shared" si="107"/>
        <v>0.42453125000000108</v>
      </c>
      <c r="J144" s="22"/>
      <c r="K144" s="19">
        <f t="shared" si="108"/>
        <v>6433.2092044233223</v>
      </c>
      <c r="L144" s="21">
        <f t="shared" si="109"/>
        <v>0.60132136325839947</v>
      </c>
      <c r="M144" s="257"/>
      <c r="N144" s="14">
        <v>2031</v>
      </c>
      <c r="O144" s="257"/>
      <c r="P144" s="35">
        <v>9982.4784839569184</v>
      </c>
      <c r="Q144" s="24"/>
      <c r="R144" s="35">
        <v>5289.643301600514</v>
      </c>
      <c r="S144" s="23">
        <f t="shared" ref="S144:S152" si="121">S143</f>
        <v>0.49999999999999961</v>
      </c>
      <c r="T144" s="24"/>
      <c r="U144" s="35">
        <v>2946.2246869082287</v>
      </c>
      <c r="V144" s="23">
        <f t="shared" ref="V144:V145" si="122">V143</f>
        <v>0.45</v>
      </c>
      <c r="W144" s="24"/>
      <c r="X144" s="252">
        <f t="shared" si="102"/>
        <v>2644.8216508002547</v>
      </c>
      <c r="Y144" s="253">
        <f t="shared" si="103"/>
        <v>5.7131964556478017E-2</v>
      </c>
      <c r="Z144" s="24"/>
      <c r="AA144" s="252">
        <f t="shared" si="104"/>
        <v>1325.801109108703</v>
      </c>
      <c r="AB144" s="253">
        <f t="shared" si="105"/>
        <v>2.8639217299064004E-2</v>
      </c>
      <c r="AC144" s="24"/>
      <c r="AD144" s="757">
        <f t="shared" si="111"/>
        <v>17346690821972.414</v>
      </c>
      <c r="AE144" s="273"/>
      <c r="AF144" s="99"/>
    </row>
    <row r="145" spans="1:32" ht="14.4" x14ac:dyDescent="0.3">
      <c r="A145" s="2"/>
      <c r="B145" s="19">
        <f>'Urban Pass Adoption'!B138</f>
        <v>47407.816241047607</v>
      </c>
      <c r="C145" s="19">
        <f>'Nonurban Pass Adoption'!B139</f>
        <v>43161.96726403365</v>
      </c>
      <c r="D145" s="2"/>
      <c r="E145" s="19">
        <f>B145*(1-'Urban Pass Adoption'!H138-'Urban Pass Adoption'!K138-'Urban Pass Adoption'!N138-'Urban Pass Adoption'!Q138-$AA$118)</f>
        <v>17510.136844009063</v>
      </c>
      <c r="F145" s="19">
        <f>C145*(1-'Nonurban Pass Adoption'!H139-'Nonurban Pass Adoption'!K139-$AA$119-$AA$120-MAX($AA$121,'Nonurban Pass Adoption'!$N139))</f>
        <v>10830.485287875736</v>
      </c>
      <c r="G145" s="20"/>
      <c r="H145" s="19">
        <f t="shared" si="106"/>
        <v>7042.35816194996</v>
      </c>
      <c r="I145" s="21">
        <f t="shared" si="107"/>
        <v>0.40218750000000369</v>
      </c>
      <c r="J145" s="22"/>
      <c r="K145" s="19">
        <f t="shared" si="108"/>
        <v>6000.8852225801593</v>
      </c>
      <c r="L145" s="21">
        <f t="shared" si="109"/>
        <v>0.55407353069376253</v>
      </c>
      <c r="M145" s="257"/>
      <c r="N145" s="14">
        <v>2032</v>
      </c>
      <c r="O145" s="257"/>
      <c r="P145" s="35">
        <v>10467.778682059103</v>
      </c>
      <c r="Q145" s="24"/>
      <c r="R145" s="35">
        <v>6081.6536357614177</v>
      </c>
      <c r="S145" s="23">
        <f t="shared" si="121"/>
        <v>0.49999999999999961</v>
      </c>
      <c r="T145" s="24"/>
      <c r="U145" s="35">
        <v>3252.3149952997537</v>
      </c>
      <c r="V145" s="23">
        <f t="shared" si="122"/>
        <v>0.45</v>
      </c>
      <c r="W145" s="24"/>
      <c r="X145" s="252">
        <f t="shared" si="102"/>
        <v>3040.8268178807066</v>
      </c>
      <c r="Y145" s="253">
        <f t="shared" si="103"/>
        <v>6.4141887540642206E-2</v>
      </c>
      <c r="Z145" s="24"/>
      <c r="AA145" s="252">
        <f t="shared" si="104"/>
        <v>1463.5417478848892</v>
      </c>
      <c r="AB145" s="253">
        <f t="shared" si="105"/>
        <v>3.087131751531081E-2</v>
      </c>
      <c r="AC145" s="24"/>
      <c r="AD145" s="757">
        <f t="shared" si="111"/>
        <v>17510136844009.063</v>
      </c>
      <c r="AE145" s="273"/>
      <c r="AF145" s="99"/>
    </row>
    <row r="146" spans="1:32" ht="14.4" x14ac:dyDescent="0.3">
      <c r="A146" s="2"/>
      <c r="B146" s="19">
        <f>'Urban Pass Adoption'!B139</f>
        <v>48538.588788213543</v>
      </c>
      <c r="C146" s="19">
        <f>'Nonurban Pass Adoption'!B140</f>
        <v>44250.466123173443</v>
      </c>
      <c r="D146" s="2"/>
      <c r="E146" s="19">
        <f>B146*(1-'Urban Pass Adoption'!H139-'Urban Pass Adoption'!K139-'Urban Pass Adoption'!N139-'Urban Pass Adoption'!Q139-$AA$118)</f>
        <v>17679.834544685211</v>
      </c>
      <c r="F146" s="19">
        <f>C146*(1-'Nonurban Pass Adoption'!H140-'Nonurban Pass Adoption'!K140-$AA$119-$AA$120-MAX($AA$121,'Nonurban Pass Adoption'!$N140))</f>
        <v>10971.26763903903</v>
      </c>
      <c r="G146" s="20"/>
      <c r="H146" s="19">
        <f t="shared" si="106"/>
        <v>6715.5746528327581</v>
      </c>
      <c r="I146" s="21">
        <f t="shared" si="107"/>
        <v>0.37984374999999915</v>
      </c>
      <c r="J146" s="22"/>
      <c r="K146" s="19">
        <f t="shared" si="108"/>
        <v>5534.4943422090564</v>
      </c>
      <c r="L146" s="21">
        <f t="shared" si="109"/>
        <v>0.50445349838296549</v>
      </c>
      <c r="M146" s="257"/>
      <c r="N146" s="14">
        <v>2033</v>
      </c>
      <c r="O146" s="257"/>
      <c r="P146" s="35">
        <v>10964.259891852453</v>
      </c>
      <c r="Q146" s="24"/>
      <c r="R146" s="35">
        <v>6943.3838880201693</v>
      </c>
      <c r="S146" s="23">
        <f t="shared" si="121"/>
        <v>0.49999999999999961</v>
      </c>
      <c r="T146" s="24"/>
      <c r="U146" s="35">
        <v>3572.8751869452472</v>
      </c>
      <c r="V146" s="23">
        <f t="shared" ref="V146" si="123">V145</f>
        <v>0.45</v>
      </c>
      <c r="W146" s="24"/>
      <c r="X146" s="252">
        <f t="shared" si="102"/>
        <v>3471.6919440100819</v>
      </c>
      <c r="Y146" s="253">
        <f t="shared" si="103"/>
        <v>7.1524369180941266E-2</v>
      </c>
      <c r="Z146" s="24"/>
      <c r="AA146" s="252">
        <f t="shared" si="104"/>
        <v>1607.7938341253612</v>
      </c>
      <c r="AB146" s="253">
        <f t="shared" si="105"/>
        <v>3.3124033357059122E-2</v>
      </c>
      <c r="AC146" s="24"/>
      <c r="AD146" s="757">
        <f t="shared" si="111"/>
        <v>17679834544685.211</v>
      </c>
      <c r="AE146" s="273"/>
      <c r="AF146" s="99"/>
    </row>
    <row r="147" spans="1:32" ht="14.4" x14ac:dyDescent="0.3">
      <c r="A147" s="2"/>
      <c r="B147" s="19">
        <f>'Urban Pass Adoption'!B140</f>
        <v>49687.414462031556</v>
      </c>
      <c r="C147" s="19">
        <f>'Nonurban Pass Adoption'!B141</f>
        <v>45354.859388420766</v>
      </c>
      <c r="D147" s="2"/>
      <c r="E147" s="19">
        <f>B147*(1-'Urban Pass Adoption'!H140-'Urban Pass Adoption'!K140-'Urban Pass Adoption'!N140-'Urban Pass Adoption'!Q140-$AA$118)</f>
        <v>17858.774057926334</v>
      </c>
      <c r="F147" s="19">
        <f>C147*(1-'Nonurban Pass Adoption'!H141-'Nonurban Pass Adoption'!K141-$AA$119-$AA$120-MAX($AA$121,'Nonurban Pass Adoption'!$N141))</f>
        <v>11121.070791641187</v>
      </c>
      <c r="G147" s="20"/>
      <c r="H147" s="19">
        <f t="shared" si="106"/>
        <v>6384.5117257086949</v>
      </c>
      <c r="I147" s="21">
        <f t="shared" si="107"/>
        <v>0.35750000000000171</v>
      </c>
      <c r="J147" s="22"/>
      <c r="K147" s="19">
        <f t="shared" si="108"/>
        <v>5033.1627475010864</v>
      </c>
      <c r="L147" s="21">
        <f t="shared" si="109"/>
        <v>0.45257896850041718</v>
      </c>
      <c r="M147" s="257"/>
      <c r="N147" s="14">
        <v>2034</v>
      </c>
      <c r="O147" s="257"/>
      <c r="P147" s="35">
        <v>11474.262332217639</v>
      </c>
      <c r="Q147" s="24"/>
      <c r="R147" s="35">
        <v>7877.3803191066627</v>
      </c>
      <c r="S147" s="23">
        <f t="shared" si="121"/>
        <v>0.49999999999999961</v>
      </c>
      <c r="T147" s="24"/>
      <c r="U147" s="35">
        <v>3907.6688810668456</v>
      </c>
      <c r="V147" s="23">
        <f>V146</f>
        <v>0.45</v>
      </c>
      <c r="W147" s="24"/>
      <c r="X147" s="252">
        <f t="shared" si="102"/>
        <v>3938.6901595533282</v>
      </c>
      <c r="Y147" s="253">
        <f t="shared" si="103"/>
        <v>7.9269372379258393E-2</v>
      </c>
      <c r="Z147" s="24"/>
      <c r="AA147" s="252">
        <f t="shared" si="104"/>
        <v>1758.4509964800807</v>
      </c>
      <c r="AB147" s="253">
        <f t="shared" si="105"/>
        <v>3.5390269659207045E-2</v>
      </c>
      <c r="AC147" s="24"/>
      <c r="AD147" s="757">
        <f t="shared" si="111"/>
        <v>17858774057926.332</v>
      </c>
      <c r="AE147" s="273"/>
      <c r="AF147" s="99"/>
    </row>
    <row r="148" spans="1:32" ht="14.4" x14ac:dyDescent="0.3">
      <c r="A148" s="2"/>
      <c r="B148" s="19">
        <f>'Urban Pass Adoption'!B141</f>
        <v>50841.012954346224</v>
      </c>
      <c r="C148" s="19">
        <f>'Nonurban Pass Adoption'!B142</f>
        <v>46475.857809981047</v>
      </c>
      <c r="D148" s="2"/>
      <c r="E148" s="19">
        <f>B148*(1-'Urban Pass Adoption'!H141-'Urban Pass Adoption'!K141-'Urban Pass Adoption'!N141-'Urban Pass Adoption'!Q141-$AA$118)</f>
        <v>18036.979965603066</v>
      </c>
      <c r="F148" s="19">
        <f>C148*(1-'Nonurban Pass Adoption'!H142-'Nonurban Pass Adoption'!K142-$AA$119-$AA$120-MAX($AA$121,'Nonurban Pass Adoption'!$N142))</f>
        <v>11280.072399871475</v>
      </c>
      <c r="G148" s="20"/>
      <c r="H148" s="19">
        <f t="shared" si="106"/>
        <v>6045.2065665967311</v>
      </c>
      <c r="I148" s="21">
        <f t="shared" si="107"/>
        <v>0.33515625000000437</v>
      </c>
      <c r="J148" s="22"/>
      <c r="K148" s="19">
        <f t="shared" si="108"/>
        <v>4495.9249717083931</v>
      </c>
      <c r="L148" s="21">
        <f t="shared" si="109"/>
        <v>0.39857235063133278</v>
      </c>
      <c r="M148" s="257"/>
      <c r="N148" s="14">
        <v>2035</v>
      </c>
      <c r="O148" s="257"/>
      <c r="P148" s="35">
        <v>11991.773399006335</v>
      </c>
      <c r="Q148" s="24"/>
      <c r="R148" s="35">
        <v>8886.1891897507976</v>
      </c>
      <c r="S148" s="23">
        <f t="shared" si="121"/>
        <v>0.49999999999999961</v>
      </c>
      <c r="T148" s="24"/>
      <c r="U148" s="35">
        <v>4256.459696886689</v>
      </c>
      <c r="V148" s="23">
        <f t="shared" ref="V148" si="124">V147</f>
        <v>0.45</v>
      </c>
      <c r="W148" s="24"/>
      <c r="X148" s="252">
        <f t="shared" si="102"/>
        <v>4443.0945948753952</v>
      </c>
      <c r="Y148" s="253">
        <f t="shared" si="103"/>
        <v>8.7391936877126486E-2</v>
      </c>
      <c r="Z148" s="24"/>
      <c r="AA148" s="252">
        <f t="shared" si="104"/>
        <v>1915.4068635990102</v>
      </c>
      <c r="AB148" s="253">
        <f t="shared" si="105"/>
        <v>3.7674443373482559E-2</v>
      </c>
      <c r="AC148" s="24"/>
      <c r="AD148" s="757">
        <f t="shared" si="111"/>
        <v>18036979965603.066</v>
      </c>
      <c r="AE148" s="273"/>
      <c r="AF148" s="99"/>
    </row>
    <row r="149" spans="1:32" ht="14.4" x14ac:dyDescent="0.3">
      <c r="A149" s="2"/>
      <c r="B149" s="19">
        <f>'Urban Pass Adoption'!B142</f>
        <v>52046.039805783817</v>
      </c>
      <c r="C149" s="19">
        <f>'Nonurban Pass Adoption'!B143</f>
        <v>47613.950601827237</v>
      </c>
      <c r="D149" s="2"/>
      <c r="E149" s="19">
        <f>B149*(1-'Urban Pass Adoption'!H142-'Urban Pass Adoption'!K142-'Urban Pass Adoption'!N142-'Urban Pass Adoption'!Q142-$AA$118)</f>
        <v>18255.735155274731</v>
      </c>
      <c r="F149" s="19">
        <f>C149*(1-'Nonurban Pass Adoption'!H143-'Nonurban Pass Adoption'!K143-$AA$119-$AA$120-MAX($AA$121,'Nonurban Pass Adoption'!$N143))</f>
        <v>11448.295907279164</v>
      </c>
      <c r="G149" s="20"/>
      <c r="H149" s="19">
        <f t="shared" si="106"/>
        <v>5710.6221532593718</v>
      </c>
      <c r="I149" s="21">
        <f t="shared" si="107"/>
        <v>0.31281249999999972</v>
      </c>
      <c r="J149" s="22"/>
      <c r="K149" s="19">
        <f t="shared" si="108"/>
        <v>3690.7107747617756</v>
      </c>
      <c r="L149" s="21">
        <f t="shared" si="109"/>
        <v>0.32238079838721789</v>
      </c>
      <c r="M149" s="257"/>
      <c r="N149" s="14">
        <v>2036</v>
      </c>
      <c r="O149" s="257"/>
      <c r="P149" s="35">
        <v>12545.11300201536</v>
      </c>
      <c r="Q149" s="24"/>
      <c r="R149" s="35">
        <v>9972.3567606824654</v>
      </c>
      <c r="S149" s="23">
        <f t="shared" si="121"/>
        <v>0.49999999999999961</v>
      </c>
      <c r="T149" s="24"/>
      <c r="U149" s="35">
        <v>4619.0112536269171</v>
      </c>
      <c r="V149" s="608">
        <f>V148-5%</f>
        <v>0.4</v>
      </c>
      <c r="W149" s="24"/>
      <c r="X149" s="252">
        <f t="shared" si="102"/>
        <v>4986.1783803412291</v>
      </c>
      <c r="Y149" s="253">
        <f t="shared" si="103"/>
        <v>9.5803223433478621E-2</v>
      </c>
      <c r="Z149" s="24"/>
      <c r="AA149" s="252">
        <f t="shared" si="104"/>
        <v>1847.604501450767</v>
      </c>
      <c r="AB149" s="253">
        <f t="shared" si="105"/>
        <v>3.5499425284715801E-2</v>
      </c>
      <c r="AC149" s="24"/>
      <c r="AD149" s="757">
        <f t="shared" si="111"/>
        <v>18255735155274.73</v>
      </c>
      <c r="AE149" s="273"/>
      <c r="AF149" s="99"/>
    </row>
    <row r="150" spans="1:32" ht="14.4" x14ac:dyDescent="0.3">
      <c r="A150" s="2"/>
      <c r="B150" s="19">
        <f>'Urban Pass Adoption'!B143</f>
        <v>53258.618900917121</v>
      </c>
      <c r="C150" s="19">
        <f>'Nonurban Pass Adoption'!B144</f>
        <v>48769.357016203649</v>
      </c>
      <c r="D150" s="2"/>
      <c r="E150" s="19">
        <f>B150*(1-'Urban Pass Adoption'!H143-'Urban Pass Adoption'!K143-'Urban Pass Adoption'!N143-'Urban Pass Adoption'!Q143-$AA$118)</f>
        <v>18478.934714859603</v>
      </c>
      <c r="F150" s="19">
        <f>C150*(1-'Nonurban Pass Adoption'!H144-'Nonurban Pass Adoption'!K144-$AA$119-$AA$120-MAX($AA$121,'Nonurban Pass Adoption'!$N144))</f>
        <v>11625.578095953177</v>
      </c>
      <c r="G150" s="20"/>
      <c r="H150" s="19">
        <f t="shared" si="106"/>
        <v>5367.5530679569165</v>
      </c>
      <c r="I150" s="21">
        <f t="shared" si="107"/>
        <v>0.29046875000000222</v>
      </c>
      <c r="J150" s="22"/>
      <c r="K150" s="19">
        <f t="shared" si="108"/>
        <v>2609.7533019857219</v>
      </c>
      <c r="L150" s="21">
        <f t="shared" si="109"/>
        <v>0.2244837444164749</v>
      </c>
      <c r="M150" s="257"/>
      <c r="N150" s="14">
        <v>2037</v>
      </c>
      <c r="O150" s="257"/>
      <c r="P150" s="35">
        <v>13111.381646902686</v>
      </c>
      <c r="Q150" s="24"/>
      <c r="R150" s="35">
        <v>11138.429292631563</v>
      </c>
      <c r="S150" s="23">
        <f t="shared" si="121"/>
        <v>0.49999999999999961</v>
      </c>
      <c r="T150" s="24"/>
      <c r="U150" s="35">
        <v>4995.0871705096661</v>
      </c>
      <c r="V150" s="608">
        <v>0.31</v>
      </c>
      <c r="W150" s="24"/>
      <c r="X150" s="252">
        <f t="shared" si="102"/>
        <v>5569.2146463157769</v>
      </c>
      <c r="Y150" s="253">
        <f t="shared" si="103"/>
        <v>0.10456926524281077</v>
      </c>
      <c r="Z150" s="24"/>
      <c r="AA150" s="252">
        <f t="shared" si="104"/>
        <v>1548.4770228579964</v>
      </c>
      <c r="AB150" s="253">
        <f t="shared" si="105"/>
        <v>2.9074674762760915E-2</v>
      </c>
      <c r="AC150" s="24"/>
      <c r="AD150" s="757">
        <f t="shared" si="111"/>
        <v>18478934714859.602</v>
      </c>
      <c r="AE150" s="273"/>
      <c r="AF150" s="99"/>
    </row>
    <row r="151" spans="1:32" ht="14.4" x14ac:dyDescent="0.3">
      <c r="A151" s="2"/>
      <c r="B151" s="19">
        <f>'Urban Pass Adoption'!B144</f>
        <v>54494.926096628529</v>
      </c>
      <c r="C151" s="19">
        <f>'Nonurban Pass Adoption'!B145</f>
        <v>49942.183216548918</v>
      </c>
      <c r="D151" s="2"/>
      <c r="E151" s="19">
        <f>B151*(1-'Urban Pass Adoption'!H144-'Urban Pass Adoption'!K144-'Urban Pass Adoption'!N144-'Urban Pass Adoption'!Q144-$AA$118)</f>
        <v>18721.794414610678</v>
      </c>
      <c r="F151" s="19">
        <f>C151*(1-'Nonurban Pass Adoption'!H145-'Nonurban Pass Adoption'!K145-$AA$119-$AA$120-MAX($AA$121,'Nonurban Pass Adoption'!$N145))</f>
        <v>11811.66287311562</v>
      </c>
      <c r="G151" s="20"/>
      <c r="H151" s="19">
        <f t="shared" si="106"/>
        <v>5019.7811274175765</v>
      </c>
      <c r="I151" s="21">
        <f t="shared" si="107"/>
        <v>0.26812500000000472</v>
      </c>
      <c r="J151" s="22"/>
      <c r="K151" s="19">
        <f t="shared" si="108"/>
        <v>1364.4700072135311</v>
      </c>
      <c r="L151" s="21">
        <f t="shared" si="109"/>
        <v>0.1155188750196371</v>
      </c>
      <c r="M151" s="257"/>
      <c r="N151" s="14">
        <v>2038</v>
      </c>
      <c r="O151" s="257"/>
      <c r="P151" s="35">
        <v>13702.013287193102</v>
      </c>
      <c r="Q151" s="24"/>
      <c r="R151" s="35">
        <v>12386.953046327988</v>
      </c>
      <c r="S151" s="23">
        <f t="shared" si="121"/>
        <v>0.49999999999999961</v>
      </c>
      <c r="T151" s="24"/>
      <c r="U151" s="35">
        <v>5384.4510667570758</v>
      </c>
      <c r="V151" s="608">
        <v>0.21</v>
      </c>
      <c r="W151" s="24"/>
      <c r="X151" s="252">
        <f t="shared" si="102"/>
        <v>6193.4765231639894</v>
      </c>
      <c r="Y151" s="253">
        <f t="shared" si="103"/>
        <v>0.11365235200396326</v>
      </c>
      <c r="Z151" s="24"/>
      <c r="AA151" s="252">
        <f t="shared" si="104"/>
        <v>1130.7347240189858</v>
      </c>
      <c r="AB151" s="253">
        <f t="shared" si="105"/>
        <v>2.0749357876254496E-2</v>
      </c>
      <c r="AC151" s="24"/>
      <c r="AD151" s="757">
        <f t="shared" si="111"/>
        <v>18721794414610.68</v>
      </c>
      <c r="AE151" s="273"/>
      <c r="AF151" s="99"/>
    </row>
    <row r="152" spans="1:32" ht="14.4" x14ac:dyDescent="0.3">
      <c r="A152" s="2"/>
      <c r="B152" s="19">
        <f>'Urban Pass Adoption'!B145</f>
        <v>55755.934649449395</v>
      </c>
      <c r="C152" s="19">
        <f>'Nonurban Pass Adoption'!B146</f>
        <v>51132.381094602591</v>
      </c>
      <c r="D152" s="2"/>
      <c r="E152" s="19">
        <f>B152*(1-'Urban Pass Adoption'!H145-'Urban Pass Adoption'!K145-'Urban Pass Adoption'!N145-'Urban Pass Adoption'!Q145-$AA$118)</f>
        <v>18986.533066575288</v>
      </c>
      <c r="F152" s="19">
        <f>C152*(1-'Nonurban Pass Adoption'!H146-'Nonurban Pass Adoption'!K146-$AA$119-$AA$120-MAX($AA$121,'Nonurban Pass Adoption'!$N146))</f>
        <v>12006.173945969866</v>
      </c>
      <c r="G152" s="20"/>
      <c r="H152" s="19">
        <f t="shared" si="106"/>
        <v>4666.5338302692126</v>
      </c>
      <c r="I152" s="21">
        <f t="shared" si="107"/>
        <v>0.24578125000000026</v>
      </c>
      <c r="J152" s="22"/>
      <c r="K152" s="19">
        <f t="shared" si="108"/>
        <v>227.1002273664526</v>
      </c>
      <c r="L152" s="21">
        <f t="shared" si="109"/>
        <v>1.8915287117148901E-2</v>
      </c>
      <c r="M152" s="257"/>
      <c r="N152" s="14">
        <v>2039</v>
      </c>
      <c r="O152" s="257"/>
      <c r="P152" s="35">
        <v>14319.999236306076</v>
      </c>
      <c r="Q152" s="24"/>
      <c r="R152" s="35">
        <v>13720.474282501631</v>
      </c>
      <c r="S152" s="23">
        <f t="shared" si="121"/>
        <v>0.49999999999999961</v>
      </c>
      <c r="T152" s="24"/>
      <c r="U152" s="35">
        <v>5786.8665615912851</v>
      </c>
      <c r="V152" s="608">
        <v>0.15</v>
      </c>
      <c r="W152" s="24"/>
      <c r="X152" s="252">
        <f t="shared" si="102"/>
        <v>6860.2371412508101</v>
      </c>
      <c r="Y152" s="253">
        <f t="shared" si="103"/>
        <v>0.12304048321282256</v>
      </c>
      <c r="Z152" s="24"/>
      <c r="AA152" s="252">
        <f t="shared" si="104"/>
        <v>868.02998423869269</v>
      </c>
      <c r="AB152" s="253">
        <f t="shared" si="105"/>
        <v>1.5568387288208875E-2</v>
      </c>
      <c r="AC152" s="24"/>
      <c r="AD152" s="757">
        <f t="shared" si="111"/>
        <v>18986533066575.289</v>
      </c>
      <c r="AE152" s="273"/>
      <c r="AF152" s="99"/>
    </row>
    <row r="153" spans="1:32" ht="14.4" x14ac:dyDescent="0.3">
      <c r="A153" s="2"/>
      <c r="B153" s="19">
        <f>'Urban Pass Adoption'!B146</f>
        <v>57039.963217901495</v>
      </c>
      <c r="C153" s="19">
        <f>'Nonurban Pass Adoption'!B147</f>
        <v>52339.948153113881</v>
      </c>
      <c r="D153" s="2"/>
      <c r="E153" s="19">
        <f>B153*(1-'Urban Pass Adoption'!H146-'Urban Pass Adoption'!K146-'Urban Pass Adoption'!N146-'Urban Pass Adoption'!Q146-$AA$118)</f>
        <v>19273.114499669162</v>
      </c>
      <c r="F153" s="19">
        <f>C153*(1-'Nonurban Pass Adoption'!H147-'Nonurban Pass Adoption'!K147-$AA$119-$AA$120-MAX($AA$121,'Nonurban Pass Adoption'!$N147))</f>
        <v>12208.735721809306</v>
      </c>
      <c r="G153" s="20"/>
      <c r="H153" s="19">
        <f t="shared" si="106"/>
        <v>4306.3365210198845</v>
      </c>
      <c r="I153" s="21">
        <f t="shared" si="107"/>
        <v>0.2234375000000029</v>
      </c>
      <c r="J153" s="22"/>
      <c r="K153" s="19">
        <f t="shared" si="108"/>
        <v>228.06438106866335</v>
      </c>
      <c r="L153" s="21">
        <f t="shared" si="109"/>
        <v>1.86804257431223E-2</v>
      </c>
      <c r="M153" s="257"/>
      <c r="N153" s="14">
        <v>2040</v>
      </c>
      <c r="O153" s="257"/>
      <c r="P153" s="35">
        <v>14966.777978649277</v>
      </c>
      <c r="Q153" s="24"/>
      <c r="R153" s="35">
        <v>15141.53926188239</v>
      </c>
      <c r="S153" s="608">
        <f>S152-2.5%</f>
        <v>0.47499999999999959</v>
      </c>
      <c r="T153" s="24"/>
      <c r="U153" s="35">
        <v>6202.0972742344329</v>
      </c>
      <c r="V153" s="608">
        <v>0.35</v>
      </c>
      <c r="W153" s="24"/>
      <c r="X153" s="252">
        <f t="shared" si="102"/>
        <v>7192.2311493941288</v>
      </c>
      <c r="Y153" s="253">
        <f t="shared" si="103"/>
        <v>0.12609109023999002</v>
      </c>
      <c r="Z153" s="24"/>
      <c r="AA153" s="252">
        <f t="shared" si="104"/>
        <v>2170.7340459820512</v>
      </c>
      <c r="AB153" s="253">
        <f t="shared" si="105"/>
        <v>3.8056371770253616E-2</v>
      </c>
      <c r="AC153" s="24"/>
      <c r="AD153" s="757">
        <f t="shared" si="111"/>
        <v>19273114499669.16</v>
      </c>
      <c r="AE153" s="273"/>
      <c r="AF153" s="99"/>
    </row>
    <row r="154" spans="1:32" ht="14.4" x14ac:dyDescent="0.3">
      <c r="A154" s="2"/>
      <c r="B154" s="19">
        <f>'Urban Pass Adoption'!B147</f>
        <v>58356.304790103561</v>
      </c>
      <c r="C154" s="19">
        <f>'Nonurban Pass Adoption'!B148</f>
        <v>53565.078261454386</v>
      </c>
      <c r="D154" s="2"/>
      <c r="E154" s="19">
        <f>B154*(1-'Urban Pass Adoption'!H147-'Urban Pass Adoption'!K147-'Urban Pass Adoption'!N147-'Urban Pass Adoption'!Q147-$AA$118)</f>
        <v>19590.898413832085</v>
      </c>
      <c r="F154" s="19">
        <f>C154*(1-'Nonurban Pass Adoption'!H148-'Nonurban Pass Adoption'!K148-$AA$119-$AA$120-MAX($AA$121,'Nonurban Pass Adoption'!$N148))</f>
        <v>12419.064468367958</v>
      </c>
      <c r="G154" s="20"/>
      <c r="H154" s="19">
        <f t="shared" si="106"/>
        <v>3939.607227906652</v>
      </c>
      <c r="I154" s="21">
        <f t="shared" si="107"/>
        <v>0.20109375000000543</v>
      </c>
      <c r="J154" s="22"/>
      <c r="K154" s="19">
        <f t="shared" si="108"/>
        <v>29.951236488106588</v>
      </c>
      <c r="L154" s="21">
        <f t="shared" si="109"/>
        <v>2.411714389952161E-3</v>
      </c>
      <c r="M154" s="257"/>
      <c r="N154" s="14">
        <v>2041</v>
      </c>
      <c r="O154" s="257"/>
      <c r="P154" s="35">
        <v>15651.291185925433</v>
      </c>
      <c r="Q154" s="24"/>
      <c r="R154" s="35">
        <v>16652.694245200164</v>
      </c>
      <c r="S154" s="608">
        <f>S153</f>
        <v>0.47499999999999959</v>
      </c>
      <c r="T154" s="24"/>
      <c r="U154" s="35">
        <v>6629.9068239086555</v>
      </c>
      <c r="V154" s="608">
        <v>0.45</v>
      </c>
      <c r="W154" s="24"/>
      <c r="X154" s="252">
        <f t="shared" si="102"/>
        <v>7910.0297664700711</v>
      </c>
      <c r="Y154" s="253">
        <f t="shared" si="103"/>
        <v>0.13554713230936968</v>
      </c>
      <c r="Z154" s="24"/>
      <c r="AA154" s="252">
        <f t="shared" si="104"/>
        <v>2983.4580707588952</v>
      </c>
      <c r="AB154" s="253">
        <f t="shared" si="105"/>
        <v>5.1124862711746773E-2</v>
      </c>
      <c r="AC154" s="24"/>
      <c r="AD154" s="757">
        <f t="shared" si="111"/>
        <v>19590898413832.086</v>
      </c>
      <c r="AE154" s="273"/>
      <c r="AF154" s="99"/>
    </row>
    <row r="155" spans="1:32" ht="14.4" x14ac:dyDescent="0.3">
      <c r="A155" s="2"/>
      <c r="B155" s="19">
        <f>'Urban Pass Adoption'!B148</f>
        <v>59698.163966034866</v>
      </c>
      <c r="C155" s="19">
        <f>'Nonurban Pass Adoption'!B149</f>
        <v>54808.054221713071</v>
      </c>
      <c r="D155" s="2"/>
      <c r="E155" s="19">
        <f>B155*(1-'Urban Pass Adoption'!H148-'Urban Pass Adoption'!K148-'Urban Pass Adoption'!N148-'Urban Pass Adoption'!Q148-$AA$118)</f>
        <v>19935.518970580135</v>
      </c>
      <c r="F155" s="19">
        <f>C155*(1-'Nonurban Pass Adoption'!H149-'Nonurban Pass Adoption'!K149-$AA$119-$AA$120-MAX($AA$121,'Nonurban Pass Adoption'!$N149))</f>
        <v>12636.90151788571</v>
      </c>
      <c r="G155" s="20"/>
      <c r="H155" s="19">
        <f t="shared" si="106"/>
        <v>3563.4740159912144</v>
      </c>
      <c r="I155" s="21">
        <f t="shared" si="107"/>
        <v>0.17875000000000077</v>
      </c>
      <c r="J155" s="22"/>
      <c r="K155" s="19">
        <f t="shared" si="108"/>
        <v>128.34321508535686</v>
      </c>
      <c r="L155" s="21">
        <f t="shared" si="109"/>
        <v>1.0156224997378159E-2</v>
      </c>
      <c r="M155" s="257"/>
      <c r="N155" s="14">
        <v>2042</v>
      </c>
      <c r="O155" s="257"/>
      <c r="P155" s="35">
        <v>16372.044954588921</v>
      </c>
      <c r="Q155" s="24"/>
      <c r="R155" s="35">
        <v>18256.485493184846</v>
      </c>
      <c r="S155" s="608">
        <f t="shared" ref="S155:S157" si="125">S154</f>
        <v>0.47499999999999959</v>
      </c>
      <c r="T155" s="24"/>
      <c r="U155" s="35">
        <v>5847.806837756606</v>
      </c>
      <c r="V155" s="608">
        <v>0.5</v>
      </c>
      <c r="W155" s="24"/>
      <c r="X155" s="252">
        <f t="shared" si="102"/>
        <v>8671.8306092627936</v>
      </c>
      <c r="Y155" s="253">
        <f t="shared" si="103"/>
        <v>0.14526126153890784</v>
      </c>
      <c r="Z155" s="24"/>
      <c r="AA155" s="252">
        <f t="shared" si="104"/>
        <v>2923.903418878303</v>
      </c>
      <c r="AB155" s="253">
        <f t="shared" si="105"/>
        <v>4.8978112970808466E-2</v>
      </c>
      <c r="AC155" s="24"/>
      <c r="AD155" s="757">
        <f t="shared" si="111"/>
        <v>19935518970580.137</v>
      </c>
      <c r="AE155" s="273"/>
      <c r="AF155" s="99"/>
    </row>
    <row r="156" spans="1:32" ht="14.4" x14ac:dyDescent="0.3">
      <c r="A156" s="2"/>
      <c r="B156" s="19">
        <f>'Urban Pass Adoption'!B149</f>
        <v>61069.375601501466</v>
      </c>
      <c r="C156" s="19">
        <f>'Nonurban Pass Adoption'!B150</f>
        <v>56069.020982361581</v>
      </c>
      <c r="D156" s="2"/>
      <c r="E156" s="19">
        <f>B156*(1-'Urban Pass Adoption'!H149-'Urban Pass Adoption'!K149-'Urban Pass Adoption'!N149-'Urban Pass Adoption'!Q149-$AA$118)</f>
        <v>20311.724810776803</v>
      </c>
      <c r="F156" s="19">
        <f>C156*(1-'Nonurban Pass Adoption'!H150-'Nonurban Pass Adoption'!K150-$AA$119-$AA$120-MAX($AA$121,'Nonurban Pass Adoption'!$N150))</f>
        <v>12807.913849295526</v>
      </c>
      <c r="G156" s="20"/>
      <c r="H156" s="19">
        <f t="shared" si="106"/>
        <v>3176.8807086856286</v>
      </c>
      <c r="I156" s="21">
        <f t="shared" si="107"/>
        <v>0.15640625000000341</v>
      </c>
      <c r="J156" s="22"/>
      <c r="K156" s="19">
        <f t="shared" si="108"/>
        <v>28.12614852562001</v>
      </c>
      <c r="L156" s="21">
        <f t="shared" si="109"/>
        <v>2.1959976352563483E-3</v>
      </c>
      <c r="M156" s="257"/>
      <c r="N156" s="14">
        <v>2043</v>
      </c>
      <c r="O156" s="257"/>
      <c r="P156" s="35">
        <v>17134.844102091174</v>
      </c>
      <c r="Q156" s="24"/>
      <c r="R156" s="35">
        <v>19955.459266566326</v>
      </c>
      <c r="S156" s="608">
        <f t="shared" si="125"/>
        <v>0.47499999999999959</v>
      </c>
      <c r="T156" s="24"/>
      <c r="U156" s="35">
        <v>4798.2741371303709</v>
      </c>
      <c r="V156" s="608">
        <v>0.52</v>
      </c>
      <c r="W156" s="24"/>
      <c r="X156" s="252">
        <f t="shared" si="102"/>
        <v>9478.8431516189958</v>
      </c>
      <c r="Y156" s="253">
        <f t="shared" si="103"/>
        <v>0.15521434529594152</v>
      </c>
      <c r="Z156" s="24"/>
      <c r="AA156" s="252">
        <f t="shared" si="104"/>
        <v>2495.102551307793</v>
      </c>
      <c r="AB156" s="253">
        <f t="shared" si="105"/>
        <v>4.085685381146173E-2</v>
      </c>
      <c r="AC156" s="24"/>
      <c r="AD156" s="757">
        <f t="shared" si="111"/>
        <v>20311724810776.805</v>
      </c>
      <c r="AE156" s="273"/>
      <c r="AF156" s="99"/>
    </row>
    <row r="157" spans="1:32" ht="14.4" x14ac:dyDescent="0.3">
      <c r="A157" s="2"/>
      <c r="B157" s="19">
        <f>'Urban Pass Adoption'!B150</f>
        <v>62471.060353448425</v>
      </c>
      <c r="C157" s="19">
        <f>'Nonurban Pass Adoption'!B151</f>
        <v>57348.114144943684</v>
      </c>
      <c r="D157" s="2"/>
      <c r="E157" s="19">
        <f>B157*(1-'Urban Pass Adoption'!H150-'Urban Pass Adoption'!K150-'Urban Pass Adoption'!N150-'Urban Pass Adoption'!Q150-$AA$118)</f>
        <v>20721.967412636313</v>
      </c>
      <c r="F157" s="19">
        <f>C157*(1-'Nonurban Pass Adoption'!H151-'Nonurban Pass Adoption'!K151-$AA$119-$AA$120-MAX($AA$121,'Nonurban Pass Adoption'!$N151))</f>
        <v>12937.315499517432</v>
      </c>
      <c r="G157" s="20"/>
      <c r="H157" s="19">
        <f t="shared" si="106"/>
        <v>2778.0387562565338</v>
      </c>
      <c r="I157" s="21">
        <f t="shared" si="107"/>
        <v>0.13406249999999895</v>
      </c>
      <c r="J157" s="22"/>
      <c r="K157" s="19">
        <f t="shared" si="108"/>
        <v>56.121707255742876</v>
      </c>
      <c r="L157" s="21">
        <f t="shared" si="109"/>
        <v>4.3379716029833424E-3</v>
      </c>
      <c r="M157" s="257"/>
      <c r="N157" s="14">
        <v>2044</v>
      </c>
      <c r="O157" s="257"/>
      <c r="P157" s="35">
        <v>17943.92865637978</v>
      </c>
      <c r="Q157" s="24"/>
      <c r="R157" s="35">
        <v>21752.161826074513</v>
      </c>
      <c r="S157" s="608">
        <f t="shared" si="125"/>
        <v>0.47499999999999959</v>
      </c>
      <c r="T157" s="24"/>
      <c r="U157" s="35">
        <v>3653.2720839314061</v>
      </c>
      <c r="V157" s="608">
        <v>0.6</v>
      </c>
      <c r="W157" s="24"/>
      <c r="X157" s="252">
        <f t="shared" ref="X157:X173" si="126">R157*S157</f>
        <v>10332.276867385384</v>
      </c>
      <c r="Y157" s="253">
        <f t="shared" si="103"/>
        <v>0.16539301252335856</v>
      </c>
      <c r="Z157" s="24"/>
      <c r="AA157" s="252">
        <f t="shared" ref="AA157:AA173" si="127">U157*V157</f>
        <v>2191.9632503588437</v>
      </c>
      <c r="AB157" s="253">
        <f t="shared" si="105"/>
        <v>3.5087658796843946E-2</v>
      </c>
      <c r="AC157" s="24"/>
      <c r="AD157" s="757">
        <f t="shared" si="111"/>
        <v>20721967412636.313</v>
      </c>
      <c r="AE157" s="273"/>
      <c r="AF157" s="99"/>
    </row>
    <row r="158" spans="1:32" ht="14.4" x14ac:dyDescent="0.3">
      <c r="A158" s="2"/>
      <c r="B158" s="19">
        <f>'Urban Pass Adoption'!B151</f>
        <v>63948.823995163955</v>
      </c>
      <c r="C158" s="19">
        <f>'Nonurban Pass Adoption'!B152</f>
        <v>58645.452699874208</v>
      </c>
      <c r="D158" s="2"/>
      <c r="E158" s="19">
        <f>B158*(1-'Urban Pass Adoption'!H151-'Urban Pass Adoption'!K151-'Urban Pass Adoption'!N151-'Urban Pass Adoption'!Q151-$AA$118)</f>
        <v>21206.728971351</v>
      </c>
      <c r="F158" s="19">
        <f>C158*(1-'Nonurban Pass Adoption'!H152-'Nonurban Pass Adoption'!K152-$AA$119-$AA$120-MAX($AA$121,'Nonurban Pass Adoption'!$N152))</f>
        <v>13067.88014418754</v>
      </c>
      <c r="G158" s="20"/>
      <c r="H158" s="19">
        <f t="shared" si="106"/>
        <v>2369.1892522681483</v>
      </c>
      <c r="I158" s="21">
        <f t="shared" si="107"/>
        <v>0.11171875000000135</v>
      </c>
      <c r="J158" s="22"/>
      <c r="K158" s="19">
        <f t="shared" si="108"/>
        <v>24.077227072570167</v>
      </c>
      <c r="L158" s="21">
        <f t="shared" si="109"/>
        <v>1.8424738218370844E-3</v>
      </c>
      <c r="M158" s="257"/>
      <c r="N158" s="14">
        <v>2045</v>
      </c>
      <c r="O158" s="257"/>
      <c r="P158" s="35">
        <v>18837.539719082852</v>
      </c>
      <c r="Q158" s="24"/>
      <c r="R158" s="35">
        <v>23649.13943243929</v>
      </c>
      <c r="S158" s="608">
        <v>0.5</v>
      </c>
      <c r="T158" s="24"/>
      <c r="U158" s="35">
        <v>3048.0830022383143</v>
      </c>
      <c r="V158" s="608">
        <v>0.6</v>
      </c>
      <c r="W158" s="24"/>
      <c r="X158" s="252">
        <f t="shared" si="126"/>
        <v>11824.569716219645</v>
      </c>
      <c r="Y158" s="253">
        <f t="shared" si="103"/>
        <v>0.18490675789618682</v>
      </c>
      <c r="Z158" s="24"/>
      <c r="AA158" s="252">
        <f t="shared" si="127"/>
        <v>1828.8498013429885</v>
      </c>
      <c r="AB158" s="253">
        <f t="shared" si="105"/>
        <v>2.8598646340725401E-2</v>
      </c>
      <c r="AC158" s="24"/>
      <c r="AD158" s="757">
        <f t="shared" si="111"/>
        <v>21206728971351</v>
      </c>
      <c r="AE158" s="273"/>
      <c r="AF158" s="99"/>
    </row>
    <row r="159" spans="1:32" ht="14.4" x14ac:dyDescent="0.3">
      <c r="A159" s="2"/>
      <c r="B159" s="19">
        <f>'Urban Pass Adoption'!B152</f>
        <v>65370.246987819992</v>
      </c>
      <c r="C159" s="19">
        <f>'Nonurban Pass Adoption'!B153</f>
        <v>59961.168661590003</v>
      </c>
      <c r="D159" s="2"/>
      <c r="E159" s="19">
        <f>B159*(1-'Urban Pass Adoption'!H152-'Urban Pass Adoption'!K152-'Urban Pass Adoption'!N152-'Urban Pass Adoption'!Q152-$AA$118)</f>
        <v>21654.291474159774</v>
      </c>
      <c r="F159" s="19">
        <f>C159*(1-'Nonurban Pass Adoption'!H153-'Nonurban Pass Adoption'!K153-$AA$119-$AA$120-MAX($AA$121,'Nonurban Pass Adoption'!$N153))</f>
        <v>13199.206548256705</v>
      </c>
      <c r="G159" s="20"/>
      <c r="H159" s="19">
        <f t="shared" si="106"/>
        <v>1935.3523005031166</v>
      </c>
      <c r="I159" s="21">
        <f t="shared" si="107"/>
        <v>8.9375000000004007E-2</v>
      </c>
      <c r="J159" s="22"/>
      <c r="K159" s="19">
        <f t="shared" si="108"/>
        <v>7.9172554626784404</v>
      </c>
      <c r="L159" s="21">
        <f t="shared" si="109"/>
        <v>5.998281361635422E-4</v>
      </c>
      <c r="M159" s="257"/>
      <c r="N159" s="14">
        <v>2046</v>
      </c>
      <c r="O159" s="257"/>
      <c r="P159" s="35">
        <v>19718.939173656658</v>
      </c>
      <c r="Q159" s="24"/>
      <c r="R159" s="35">
        <v>25648.938346390558</v>
      </c>
      <c r="S159" s="608">
        <f>S158</f>
        <v>0.5</v>
      </c>
      <c r="T159" s="24"/>
      <c r="U159" s="35">
        <v>1834.1005979937399</v>
      </c>
      <c r="V159" s="608">
        <v>0.8</v>
      </c>
      <c r="W159" s="24"/>
      <c r="X159" s="252">
        <f t="shared" si="126"/>
        <v>12824.469173195279</v>
      </c>
      <c r="Y159" s="253">
        <f t="shared" si="103"/>
        <v>0.19618205168453437</v>
      </c>
      <c r="Z159" s="24"/>
      <c r="AA159" s="252">
        <f t="shared" si="127"/>
        <v>1467.2804783949921</v>
      </c>
      <c r="AB159" s="253">
        <f t="shared" si="105"/>
        <v>2.2445692742577229E-2</v>
      </c>
      <c r="AC159" s="24"/>
      <c r="AD159" s="757">
        <f t="shared" si="111"/>
        <v>21654291474159.773</v>
      </c>
      <c r="AE159" s="273"/>
      <c r="AF159" s="99"/>
    </row>
    <row r="160" spans="1:32" ht="14.4" x14ac:dyDescent="0.3">
      <c r="A160" s="2"/>
      <c r="B160" s="19">
        <f>'Urban Pass Adoption'!B153</f>
        <v>66869.928517970024</v>
      </c>
      <c r="C160" s="19">
        <f>'Nonurban Pass Adoption'!B154</f>
        <v>61295.367493461941</v>
      </c>
      <c r="D160" s="2"/>
      <c r="E160" s="19">
        <f>B160*(1-'Urban Pass Adoption'!H153-'Urban Pass Adoption'!K153-'Urban Pass Adoption'!N153-'Urban Pass Adoption'!Q153-$AA$118)</f>
        <v>22181.198373484636</v>
      </c>
      <c r="F160" s="19">
        <f>C160*(1-'Nonurban Pass Adoption'!H154-'Nonurban Pass Adoption'!K154-$AA$119-$AA$120-MAX($AA$121,'Nonurban Pass Adoption'!$N154))</f>
        <v>13330.854283896</v>
      </c>
      <c r="G160" s="20"/>
      <c r="H160" s="19">
        <f t="shared" si="106"/>
        <v>1486.8334534726273</v>
      </c>
      <c r="I160" s="21">
        <f t="shared" si="107"/>
        <v>6.7031249999999334E-2</v>
      </c>
      <c r="J160" s="22"/>
      <c r="K160" s="19">
        <f t="shared" si="108"/>
        <v>-41.082165283251015</v>
      </c>
      <c r="L160" s="21">
        <f t="shared" si="109"/>
        <v>-3.0817353793206846E-3</v>
      </c>
      <c r="M160" s="257"/>
      <c r="N160" s="14">
        <v>2047</v>
      </c>
      <c r="O160" s="257"/>
      <c r="P160" s="35">
        <v>20694.364920012009</v>
      </c>
      <c r="Q160" s="24"/>
      <c r="R160" s="35">
        <v>27754.104828658208</v>
      </c>
      <c r="S160" s="606">
        <f>S159+2.5%</f>
        <v>0.52500000000000002</v>
      </c>
      <c r="T160" s="24"/>
      <c r="U160" s="35">
        <v>1258.2443704440248</v>
      </c>
      <c r="V160" s="608">
        <v>0.85</v>
      </c>
      <c r="W160" s="24"/>
      <c r="X160" s="252">
        <f t="shared" si="126"/>
        <v>14570.90503504556</v>
      </c>
      <c r="Y160" s="253">
        <f t="shared" si="103"/>
        <v>0.21789921655337055</v>
      </c>
      <c r="Z160" s="24"/>
      <c r="AA160" s="252">
        <f t="shared" si="127"/>
        <v>1069.507714877421</v>
      </c>
      <c r="AB160" s="253">
        <f t="shared" si="105"/>
        <v>1.5993851624800392E-2</v>
      </c>
      <c r="AC160" s="24"/>
      <c r="AD160" s="757">
        <f t="shared" si="111"/>
        <v>22181198373484.637</v>
      </c>
      <c r="AE160" s="273"/>
      <c r="AF160" s="99"/>
    </row>
    <row r="161" spans="1:32" ht="14.4" x14ac:dyDescent="0.3">
      <c r="A161" s="2"/>
      <c r="B161" s="19">
        <f>'Urban Pass Adoption'!B154</f>
        <v>68404.362797849724</v>
      </c>
      <c r="C161" s="19">
        <f>'Nonurban Pass Adoption'!B155</f>
        <v>62648.097089823532</v>
      </c>
      <c r="D161" s="2"/>
      <c r="E161" s="19">
        <f>B161*(1-'Urban Pass Adoption'!H154-'Urban Pass Adoption'!K154-'Urban Pass Adoption'!N154-'Urban Pass Adoption'!Q154-$AA$118)</f>
        <v>22751.757948158196</v>
      </c>
      <c r="F161" s="19">
        <f>C161*(1-'Nonurban Pass Adoption'!H155-'Nonurban Pass Adoption'!K155-$AA$119-$AA$120-MAX($AA$121,'Nonurban Pass Adoption'!$N155))</f>
        <v>13462.332419498631</v>
      </c>
      <c r="G161" s="20"/>
      <c r="H161" s="19">
        <f t="shared" si="106"/>
        <v>1016.7191833083634</v>
      </c>
      <c r="I161" s="21">
        <f t="shared" si="107"/>
        <v>4.4687500000001934E-2</v>
      </c>
      <c r="J161" s="22"/>
      <c r="K161" s="19">
        <f t="shared" si="108"/>
        <v>29.848816733940112</v>
      </c>
      <c r="L161" s="21">
        <f t="shared" si="109"/>
        <v>2.2172099012135187E-3</v>
      </c>
      <c r="M161" s="257"/>
      <c r="N161" s="14">
        <v>2048</v>
      </c>
      <c r="O161" s="257"/>
      <c r="P161" s="35">
        <v>21735.038764849833</v>
      </c>
      <c r="Q161" s="24"/>
      <c r="R161" s="35">
        <v>29967.185139972142</v>
      </c>
      <c r="S161" s="606">
        <v>0.55508051113815104</v>
      </c>
      <c r="T161" s="24"/>
      <c r="U161" s="35">
        <v>331.66302553296737</v>
      </c>
      <c r="V161" s="608">
        <v>0.7</v>
      </c>
      <c r="W161" s="24"/>
      <c r="X161" s="252">
        <f t="shared" si="126"/>
        <v>16634.20044486734</v>
      </c>
      <c r="Y161" s="253">
        <f t="shared" si="103"/>
        <v>0.2431745544363178</v>
      </c>
      <c r="Z161" s="24"/>
      <c r="AA161" s="252">
        <f t="shared" si="127"/>
        <v>232.16411787307715</v>
      </c>
      <c r="AB161" s="253">
        <f t="shared" si="105"/>
        <v>3.3939957683572657E-3</v>
      </c>
      <c r="AC161" s="24"/>
      <c r="AD161" s="757">
        <f t="shared" si="111"/>
        <v>22751757948158.195</v>
      </c>
      <c r="AE161" s="273"/>
      <c r="AF161" s="99"/>
    </row>
    <row r="162" spans="1:32" ht="14.4" x14ac:dyDescent="0.3">
      <c r="A162" s="2"/>
      <c r="B162" s="19">
        <f>'Urban Pass Adoption'!B155</f>
        <v>69974.512495007628</v>
      </c>
      <c r="C162" s="19">
        <f>'Nonurban Pass Adoption'!B156</f>
        <v>64019.375866680086</v>
      </c>
      <c r="D162" s="2"/>
      <c r="E162" s="19">
        <f>B162*(1-'Urban Pass Adoption'!H155-'Urban Pass Adoption'!K155-'Urban Pass Adoption'!N155-'Urban Pass Adoption'!Q155-$AA$118)</f>
        <v>23368.300415537131</v>
      </c>
      <c r="F162" s="19">
        <f>C162*(1-'Nonurban Pass Adoption'!H156-'Nonurban Pass Adoption'!K156-$AA$119-$AA$120-MAX($AA$121,'Nonurban Pass Adoption'!$N156))</f>
        <v>13593.112045942065</v>
      </c>
      <c r="G162" s="20"/>
      <c r="H162" s="19">
        <f t="shared" si="106"/>
        <v>522.13546240976211</v>
      </c>
      <c r="I162" s="21">
        <f t="shared" si="107"/>
        <v>2.2343750000004464E-2</v>
      </c>
      <c r="J162" s="22"/>
      <c r="K162" s="19">
        <f t="shared" si="108"/>
        <v>2.1130682398506906E-4</v>
      </c>
      <c r="L162" s="21">
        <f t="shared" si="109"/>
        <v>1.5545139572961163E-8</v>
      </c>
      <c r="M162" s="257"/>
      <c r="N162" s="14">
        <v>2049</v>
      </c>
      <c r="O162" s="257"/>
      <c r="P162" s="35">
        <v>22846.164953127369</v>
      </c>
      <c r="Q162" s="24"/>
      <c r="R162" s="35">
        <v>30727.296111117605</v>
      </c>
      <c r="S162" s="606">
        <v>0.55762095742237983</v>
      </c>
      <c r="T162" s="24"/>
      <c r="U162" s="35">
        <v>3.0922819860279499E-12</v>
      </c>
      <c r="V162" s="608">
        <v>9.7147051691684722E-2</v>
      </c>
      <c r="W162" s="24"/>
      <c r="X162" s="252">
        <f t="shared" si="126"/>
        <v>17134.184276482367</v>
      </c>
      <c r="Y162" s="253">
        <f t="shared" si="103"/>
        <v>0.24486321755660412</v>
      </c>
      <c r="Z162" s="24"/>
      <c r="AA162" s="252">
        <f t="shared" si="127"/>
        <v>3.0040607794192271E-13</v>
      </c>
      <c r="AB162" s="253">
        <f t="shared" si="105"/>
        <v>4.2930785400377797E-18</v>
      </c>
      <c r="AC162" s="24"/>
      <c r="AD162" s="757">
        <f t="shared" si="111"/>
        <v>23368300415537.133</v>
      </c>
      <c r="AE162" s="273"/>
      <c r="AF162" s="99"/>
    </row>
    <row r="163" spans="1:32" ht="14.4" x14ac:dyDescent="0.3">
      <c r="A163" s="30"/>
      <c r="B163" s="19">
        <f>'Urban Pass Adoption'!B156</f>
        <v>71558.277761309873</v>
      </c>
      <c r="C163" s="19">
        <f>'Nonurban Pass Adoption'!B157</f>
        <v>65409.223775172293</v>
      </c>
      <c r="D163" s="30"/>
      <c r="E163" s="19">
        <f>B163*(1-'Urban Pass Adoption'!H156-'Urban Pass Adoption'!K156-'Urban Pass Adoption'!N156-'Urban Pass Adoption'!Q156-$AA$118)</f>
        <v>24013.448614590354</v>
      </c>
      <c r="F163" s="19">
        <f>C163*(1-'Nonurban Pass Adoption'!H157-'Nonurban Pass Adoption'!K157-$AA$119-$AA$120-MAX($AA$121,'Nonurban Pass Adoption'!$N157))</f>
        <v>13722.640153413164</v>
      </c>
      <c r="G163" s="31"/>
      <c r="H163" s="19">
        <f t="shared" si="106"/>
        <v>0</v>
      </c>
      <c r="I163" s="21">
        <f t="shared" si="107"/>
        <v>0</v>
      </c>
      <c r="J163" s="32"/>
      <c r="K163" s="19">
        <f t="shared" si="108"/>
        <v>3.256288528064033E-4</v>
      </c>
      <c r="L163" s="21">
        <f t="shared" si="109"/>
        <v>2.3729315143880039E-8</v>
      </c>
      <c r="M163" s="258"/>
      <c r="N163" s="259">
        <v>2050</v>
      </c>
      <c r="O163" s="258"/>
      <c r="P163" s="35">
        <v>24013.448614590354</v>
      </c>
      <c r="Q163" s="34"/>
      <c r="R163" s="35">
        <v>31164.689691551263</v>
      </c>
      <c r="S163" s="606">
        <v>0.55967346495015768</v>
      </c>
      <c r="T163" s="34"/>
      <c r="U163" s="35">
        <v>3.0922819860279499E-12</v>
      </c>
      <c r="V163" s="608">
        <v>8.0523394207008478E-2</v>
      </c>
      <c r="W163" s="34"/>
      <c r="X163" s="252">
        <f t="shared" si="126"/>
        <v>17442.049863766955</v>
      </c>
      <c r="Y163" s="253">
        <f t="shared" si="103"/>
        <v>0.24374608234629036</v>
      </c>
      <c r="Z163" s="34"/>
      <c r="AA163" s="252">
        <f t="shared" si="127"/>
        <v>2.4900104136015969E-13</v>
      </c>
      <c r="AB163" s="253">
        <f t="shared" si="105"/>
        <v>3.4796958388340304E-18</v>
      </c>
      <c r="AC163" s="34"/>
      <c r="AD163" s="757">
        <f t="shared" si="111"/>
        <v>24013448614590.355</v>
      </c>
      <c r="AE163" s="273"/>
      <c r="AF163" s="99"/>
    </row>
    <row r="164" spans="1:32" ht="14.4" x14ac:dyDescent="0.3">
      <c r="A164" s="2"/>
      <c r="B164" s="19">
        <f>'Urban Pass Adoption'!B157</f>
        <v>73225.821335686545</v>
      </c>
      <c r="C164" s="19">
        <f>'Nonurban Pass Adoption'!B158</f>
        <v>66817.712351729511</v>
      </c>
      <c r="D164" s="2"/>
      <c r="E164" s="19">
        <f>B164*(1-'Urban Pass Adoption'!H157-'Urban Pass Adoption'!K157-'Urban Pass Adoption'!N157-'Urban Pass Adoption'!Q157-$AA$118)</f>
        <v>24748.673713377029</v>
      </c>
      <c r="F164" s="19">
        <f>C164*(1-'Nonurban Pass Adoption'!H158-'Nonurban Pass Adoption'!K158-$AA$119-$AA$120-MAX($AA$121,'Nonurban Pass Adoption'!$N158))</f>
        <v>13850.361258804103</v>
      </c>
      <c r="G164" s="20"/>
      <c r="H164" s="19">
        <f t="shared" si="106"/>
        <v>0</v>
      </c>
      <c r="I164" s="21">
        <f t="shared" si="107"/>
        <v>0</v>
      </c>
      <c r="J164" s="22"/>
      <c r="K164" s="19">
        <f t="shared" si="108"/>
        <v>4.6559329348383471E-4</v>
      </c>
      <c r="L164" s="21">
        <f t="shared" si="109"/>
        <v>3.3615967467121208E-8</v>
      </c>
      <c r="M164" s="257"/>
      <c r="N164" s="14">
        <v>2051</v>
      </c>
      <c r="O164" s="257"/>
      <c r="P164" s="35">
        <v>24748.673713377033</v>
      </c>
      <c r="Q164" s="24"/>
      <c r="R164" s="35">
        <v>31670.549014300315</v>
      </c>
      <c r="S164" s="606">
        <v>0.56267380186693627</v>
      </c>
      <c r="T164" s="24"/>
      <c r="U164" s="35">
        <v>3.0922819860279499E-12</v>
      </c>
      <c r="V164" s="608">
        <v>2.136221306560291E-2</v>
      </c>
      <c r="W164" s="24"/>
      <c r="X164" s="252">
        <f t="shared" si="126"/>
        <v>17820.188221089509</v>
      </c>
      <c r="Y164" s="253">
        <f t="shared" si="103"/>
        <v>0.24335934914812427</v>
      </c>
      <c r="Z164" s="24"/>
      <c r="AA164" s="252">
        <f t="shared" si="127"/>
        <v>6.6057986644454787E-14</v>
      </c>
      <c r="AB164" s="253">
        <f t="shared" si="105"/>
        <v>9.0211329063319744E-19</v>
      </c>
      <c r="AC164" s="24"/>
      <c r="AD164" s="757">
        <f t="shared" si="111"/>
        <v>24748673713377.031</v>
      </c>
      <c r="AE164" s="273"/>
      <c r="AF164" s="99"/>
    </row>
    <row r="165" spans="1:32" ht="14.4" x14ac:dyDescent="0.3">
      <c r="A165" s="2"/>
      <c r="B165" s="19">
        <f>'Urban Pass Adoption'!B158</f>
        <v>74908.974819260009</v>
      </c>
      <c r="C165" s="19">
        <f>'Nonurban Pass Adoption'!B159</f>
        <v>68244.917949708921</v>
      </c>
      <c r="D165" s="2"/>
      <c r="E165" s="19">
        <f>B165*(1-'Urban Pass Adoption'!H158-'Urban Pass Adoption'!K158-'Urban Pass Adoption'!N158-'Urban Pass Adoption'!Q158-$AA$118)</f>
        <v>25517.223547257185</v>
      </c>
      <c r="F165" s="19">
        <f>C165*(1-'Nonurban Pass Adoption'!H159-'Nonurban Pass Adoption'!K159-$AA$119-$AA$120-MAX($AA$121,'Nonurban Pass Adoption'!$N159))</f>
        <v>13975.70045788083</v>
      </c>
      <c r="G165" s="20"/>
      <c r="H165" s="19">
        <f t="shared" si="106"/>
        <v>0</v>
      </c>
      <c r="I165" s="21">
        <f t="shared" si="107"/>
        <v>0</v>
      </c>
      <c r="J165" s="22"/>
      <c r="K165" s="19">
        <f t="shared" si="108"/>
        <v>5.3013030992588028E-4</v>
      </c>
      <c r="L165" s="21">
        <f t="shared" si="109"/>
        <v>3.7932289084440299E-8</v>
      </c>
      <c r="M165" s="257"/>
      <c r="N165" s="14">
        <v>2052</v>
      </c>
      <c r="O165" s="257"/>
      <c r="P165" s="35">
        <v>25517.223547257185</v>
      </c>
      <c r="Q165" s="24"/>
      <c r="R165" s="35">
        <v>32185.720932466465</v>
      </c>
      <c r="S165" s="606">
        <v>0.56577949715418951</v>
      </c>
      <c r="T165" s="24"/>
      <c r="U165" s="35">
        <v>3.0922819860279499E-12</v>
      </c>
      <c r="V165" s="608">
        <v>5.5087038911811097E-2</v>
      </c>
      <c r="W165" s="24"/>
      <c r="X165" s="252">
        <f t="shared" si="126"/>
        <v>18210.021004715949</v>
      </c>
      <c r="Y165" s="253">
        <f t="shared" si="103"/>
        <v>0.2430953173321754</v>
      </c>
      <c r="Z165" s="24"/>
      <c r="AA165" s="252">
        <f t="shared" si="127"/>
        <v>1.7034465809061418E-13</v>
      </c>
      <c r="AB165" s="253">
        <f t="shared" si="105"/>
        <v>2.2740220180775523E-18</v>
      </c>
      <c r="AC165" s="24"/>
      <c r="AD165" s="757">
        <f t="shared" si="111"/>
        <v>25517223547257.184</v>
      </c>
      <c r="AE165" s="273"/>
      <c r="AF165" s="99"/>
    </row>
    <row r="166" spans="1:32" ht="14.4" x14ac:dyDescent="0.3">
      <c r="A166" s="2"/>
      <c r="B166" s="19">
        <f>'Urban Pass Adoption'!B159</f>
        <v>76631.7011544056</v>
      </c>
      <c r="C166" s="19">
        <f>'Nonurban Pass Adoption'!B160</f>
        <v>69690.862296588006</v>
      </c>
      <c r="D166" s="2"/>
      <c r="E166" s="19">
        <f>B166*(1-'Urban Pass Adoption'!H159-'Urban Pass Adoption'!K159-'Urban Pass Adoption'!N159-'Urban Pass Adoption'!Q159-$AA$118)</f>
        <v>26341.169358070059</v>
      </c>
      <c r="F166" s="19">
        <f>C166*(1-'Nonurban Pass Adoption'!H160-'Nonurban Pass Adoption'!K160-$AA$119-$AA$120-MAX($AA$121,'Nonurban Pass Adoption'!$N160))</f>
        <v>14098.04148579584</v>
      </c>
      <c r="G166" s="20"/>
      <c r="H166" s="19">
        <f t="shared" si="106"/>
        <v>0</v>
      </c>
      <c r="I166" s="21">
        <f t="shared" si="107"/>
        <v>0</v>
      </c>
      <c r="J166" s="22"/>
      <c r="K166" s="19">
        <f t="shared" si="108"/>
        <v>4.6105812361929566E-4</v>
      </c>
      <c r="L166" s="21">
        <f t="shared" si="109"/>
        <v>3.270370030360772E-8</v>
      </c>
      <c r="M166" s="257"/>
      <c r="N166" s="14">
        <v>2053</v>
      </c>
      <c r="O166" s="257"/>
      <c r="P166" s="35">
        <v>26341.169358070059</v>
      </c>
      <c r="Q166" s="24"/>
      <c r="R166" s="35">
        <v>32730.070388071617</v>
      </c>
      <c r="S166" s="606">
        <v>0.56926334537075407</v>
      </c>
      <c r="T166" s="24"/>
      <c r="U166" s="35">
        <v>3.0922819860279499E-12</v>
      </c>
      <c r="V166" s="608">
        <v>6.9566193929507664E-2</v>
      </c>
      <c r="W166" s="24"/>
      <c r="X166" s="252">
        <f t="shared" si="126"/>
        <v>18632.029363333902</v>
      </c>
      <c r="Y166" s="253">
        <f t="shared" si="103"/>
        <v>0.24313735807315739</v>
      </c>
      <c r="Z166" s="24"/>
      <c r="AA166" s="252">
        <f t="shared" si="127"/>
        <v>2.1511828832474347E-13</v>
      </c>
      <c r="AB166" s="253">
        <f t="shared" si="105"/>
        <v>2.8071709890832327E-18</v>
      </c>
      <c r="AC166" s="24"/>
      <c r="AD166" s="757">
        <f t="shared" si="111"/>
        <v>26341169358070.059</v>
      </c>
      <c r="AE166" s="273"/>
      <c r="AF166" s="99"/>
    </row>
    <row r="167" spans="1:32" ht="14.4" x14ac:dyDescent="0.3">
      <c r="A167" s="2"/>
      <c r="B167" s="19">
        <f>'Urban Pass Adoption'!B160</f>
        <v>78394.871508776298</v>
      </c>
      <c r="C167" s="19">
        <f>'Nonurban Pass Adoption'!B161</f>
        <v>71155.549574570934</v>
      </c>
      <c r="D167" s="2"/>
      <c r="E167" s="19">
        <f>B167*(1-'Urban Pass Adoption'!H160-'Urban Pass Adoption'!K160-'Urban Pass Adoption'!N160-'Urban Pass Adoption'!Q160-$AA$118)</f>
        <v>27222.870556218495</v>
      </c>
      <c r="F167" s="19">
        <f>C167*(1-'Nonurban Pass Adoption'!H161-'Nonurban Pass Adoption'!K161-$AA$119-$AA$120-MAX($AA$121,'Nonurban Pass Adoption'!$N161))</f>
        <v>14216.743381963242</v>
      </c>
      <c r="G167" s="20"/>
      <c r="H167" s="19">
        <f t="shared" si="106"/>
        <v>0</v>
      </c>
      <c r="I167" s="21">
        <f t="shared" si="107"/>
        <v>0</v>
      </c>
      <c r="J167" s="22"/>
      <c r="K167" s="19">
        <f t="shared" si="108"/>
        <v>2.0136352577537764E-4</v>
      </c>
      <c r="L167" s="21">
        <f t="shared" si="109"/>
        <v>1.4163829251560325E-8</v>
      </c>
      <c r="M167" s="257"/>
      <c r="N167" s="14">
        <v>2054</v>
      </c>
      <c r="O167" s="257"/>
      <c r="P167" s="35">
        <v>27222.870556218495</v>
      </c>
      <c r="Q167" s="24"/>
      <c r="R167" s="35">
        <v>33303.697380039885</v>
      </c>
      <c r="S167" s="606">
        <v>0.57311817308548074</v>
      </c>
      <c r="T167" s="24"/>
      <c r="U167" s="35">
        <v>3.0922819860279499E-12</v>
      </c>
      <c r="V167" s="608">
        <v>0.20073248727192675</v>
      </c>
      <c r="W167" s="24"/>
      <c r="X167" s="252">
        <f t="shared" si="126"/>
        <v>19086.95419944017</v>
      </c>
      <c r="Y167" s="253">
        <f t="shared" si="103"/>
        <v>0.24347197504244122</v>
      </c>
      <c r="Z167" s="24"/>
      <c r="AA167" s="252">
        <f t="shared" si="127"/>
        <v>6.2072145440156378E-13</v>
      </c>
      <c r="AB167" s="253">
        <f t="shared" si="105"/>
        <v>7.9178834336385643E-18</v>
      </c>
      <c r="AC167" s="24"/>
      <c r="AD167" s="757">
        <f t="shared" si="111"/>
        <v>27222870556218.496</v>
      </c>
      <c r="AE167" s="273"/>
      <c r="AF167" s="99"/>
    </row>
    <row r="168" spans="1:32" ht="14.4" x14ac:dyDescent="0.3">
      <c r="A168" s="2"/>
      <c r="B168" s="19">
        <f>'Urban Pass Adoption'!B161</f>
        <v>80199.363048847197</v>
      </c>
      <c r="C168" s="19">
        <f>'Nonurban Pass Adoption'!B162</f>
        <v>72638.996466202268</v>
      </c>
      <c r="D168" s="2"/>
      <c r="E168" s="19">
        <f>B168*(1-'Urban Pass Adoption'!H161-'Urban Pass Adoption'!K161-'Urban Pass Adoption'!N161-'Urban Pass Adoption'!Q161-$AA$118)</f>
        <v>28164.660270798489</v>
      </c>
      <c r="F168" s="19">
        <f>C168*(1-'Nonurban Pass Adoption'!H162-'Nonurban Pass Adoption'!K162-$AA$119-$AA$120-MAX($AA$121,'Nonurban Pass Adoption'!$N162))</f>
        <v>14331.154353815269</v>
      </c>
      <c r="G168" s="20"/>
      <c r="H168" s="19">
        <f t="shared" si="106"/>
        <v>0</v>
      </c>
      <c r="I168" s="21">
        <f t="shared" si="107"/>
        <v>0</v>
      </c>
      <c r="J168" s="22"/>
      <c r="K168" s="19">
        <f t="shared" si="108"/>
        <v>-2.2984612587606534E-4</v>
      </c>
      <c r="L168" s="21">
        <f t="shared" si="109"/>
        <v>-1.6038214382561253E-8</v>
      </c>
      <c r="M168" s="257"/>
      <c r="N168" s="14">
        <v>2055</v>
      </c>
      <c r="O168" s="257"/>
      <c r="P168" s="35">
        <v>28164.660270798489</v>
      </c>
      <c r="Q168" s="24"/>
      <c r="R168" s="35">
        <v>33906.396203469718</v>
      </c>
      <c r="S168" s="606">
        <v>0.57733182560419516</v>
      </c>
      <c r="T168" s="24"/>
      <c r="U168" s="35">
        <v>3.0000000000000001E-12</v>
      </c>
      <c r="V168" s="608">
        <v>0.25</v>
      </c>
      <c r="W168" s="24"/>
      <c r="X168" s="252">
        <f t="shared" si="126"/>
        <v>19575.241619808323</v>
      </c>
      <c r="Y168" s="253">
        <f t="shared" si="103"/>
        <v>0.24408225795865221</v>
      </c>
      <c r="Z168" s="24"/>
      <c r="AA168" s="252">
        <f t="shared" si="127"/>
        <v>7.5000000000000004E-13</v>
      </c>
      <c r="AB168" s="253">
        <f t="shared" si="105"/>
        <v>9.3516952191153426E-18</v>
      </c>
      <c r="AC168" s="24"/>
      <c r="AD168" s="757">
        <f t="shared" si="111"/>
        <v>28164660270798.488</v>
      </c>
      <c r="AE168" s="273"/>
      <c r="AF168" s="99"/>
    </row>
    <row r="169" spans="1:32" ht="14.4" x14ac:dyDescent="0.3">
      <c r="A169" s="2"/>
      <c r="B169" s="19">
        <f>'Urban Pass Adoption'!B162</f>
        <v>82046.057137846408</v>
      </c>
      <c r="C169" s="19">
        <f>'Nonurban Pass Adoption'!B163</f>
        <v>74141.223042769358</v>
      </c>
      <c r="D169" s="2"/>
      <c r="E169" s="19">
        <f>B169*(1-'Urban Pass Adoption'!H162-'Urban Pass Adoption'!K162-'Urban Pass Adoption'!N162-'Urban Pass Adoption'!Q162-$AA$118)</f>
        <v>29168.815850124032</v>
      </c>
      <c r="F169" s="19">
        <f>C169*(1-'Nonurban Pass Adoption'!H163-'Nonurban Pass Adoption'!K163-$AA$119-$AA$120-MAX($AA$121,'Nonurban Pass Adoption'!$N163))</f>
        <v>14440.609978800177</v>
      </c>
      <c r="G169" s="20"/>
      <c r="H169" s="19">
        <f t="shared" si="106"/>
        <v>0</v>
      </c>
      <c r="I169" s="21">
        <f t="shared" si="107"/>
        <v>0</v>
      </c>
      <c r="J169" s="22"/>
      <c r="K169" s="19">
        <f t="shared" si="108"/>
        <v>-6.599703774554655E-4</v>
      </c>
      <c r="L169" s="21">
        <f t="shared" si="109"/>
        <v>-4.5702389194386388E-8</v>
      </c>
      <c r="M169" s="257"/>
      <c r="N169" s="14">
        <v>2056</v>
      </c>
      <c r="O169" s="257"/>
      <c r="P169" s="35">
        <v>29168.815850124032</v>
      </c>
      <c r="Q169" s="24"/>
      <c r="R169" s="35">
        <v>34538.352111114946</v>
      </c>
      <c r="S169" s="606">
        <v>0.5818963628515631</v>
      </c>
      <c r="T169" s="24"/>
      <c r="U169" s="35">
        <v>3.0000000000000001E-12</v>
      </c>
      <c r="V169" s="608">
        <v>0.52</v>
      </c>
      <c r="W169" s="24"/>
      <c r="X169" s="252">
        <f t="shared" si="126"/>
        <v>20097.741472344394</v>
      </c>
      <c r="Y169" s="253">
        <f t="shared" si="103"/>
        <v>0.24495682270968824</v>
      </c>
      <c r="Z169" s="24"/>
      <c r="AA169" s="252">
        <f t="shared" si="127"/>
        <v>1.5600000000000002E-12</v>
      </c>
      <c r="AB169" s="253">
        <f t="shared" si="105"/>
        <v>1.9013710767100344E-17</v>
      </c>
      <c r="AC169" s="24"/>
      <c r="AD169" s="757">
        <f t="shared" si="111"/>
        <v>29168815850124.031</v>
      </c>
      <c r="AE169" s="273"/>
      <c r="AF169" s="99"/>
    </row>
    <row r="170" spans="1:32" ht="14.4" x14ac:dyDescent="0.3">
      <c r="A170" s="2"/>
      <c r="B170" s="19">
        <f>'Urban Pass Adoption'!B163</f>
        <v>83935.880917157803</v>
      </c>
      <c r="C170" s="19">
        <f>'Nonurban Pass Adoption'!B164</f>
        <v>75662.292132942268</v>
      </c>
      <c r="D170" s="2"/>
      <c r="E170" s="19">
        <f>B170*(1-'Urban Pass Adoption'!H163-'Urban Pass Adoption'!K163-'Urban Pass Adoption'!N163-'Urban Pass Adoption'!Q163-$AA$118)</f>
        <v>30237.602315070719</v>
      </c>
      <c r="F170" s="19">
        <f>C170*(1-'Nonurban Pass Adoption'!H164-'Nonurban Pass Adoption'!K164-$AA$119-$AA$120-MAX($AA$121,'Nonurban Pass Adoption'!$N164))</f>
        <v>14544.450736131021</v>
      </c>
      <c r="G170" s="20"/>
      <c r="H170" s="19">
        <f t="shared" si="106"/>
        <v>0</v>
      </c>
      <c r="I170" s="21">
        <f t="shared" si="107"/>
        <v>0</v>
      </c>
      <c r="J170" s="22"/>
      <c r="K170" s="19">
        <f t="shared" si="108"/>
        <v>-7.21858281394816E-4</v>
      </c>
      <c r="L170" s="21">
        <f t="shared" si="109"/>
        <v>-4.9631181987614752E-8</v>
      </c>
      <c r="M170" s="257"/>
      <c r="N170" s="14">
        <v>2057</v>
      </c>
      <c r="O170" s="257"/>
      <c r="P170" s="35">
        <v>30237.602315070719</v>
      </c>
      <c r="Q170" s="24"/>
      <c r="R170" s="35">
        <v>35199.394391433045</v>
      </c>
      <c r="S170" s="606">
        <v>0.58679824725822038</v>
      </c>
      <c r="T170" s="24"/>
      <c r="U170" s="35">
        <v>3.0000000000000001E-12</v>
      </c>
      <c r="V170" s="608">
        <v>0.25</v>
      </c>
      <c r="W170" s="24"/>
      <c r="X170" s="252">
        <f t="shared" si="126"/>
        <v>20654.942933443745</v>
      </c>
      <c r="Y170" s="253">
        <f t="shared" si="103"/>
        <v>0.24608001617126712</v>
      </c>
      <c r="Z170" s="24"/>
      <c r="AA170" s="252">
        <f t="shared" si="127"/>
        <v>7.5000000000000004E-13</v>
      </c>
      <c r="AB170" s="253">
        <f t="shared" si="105"/>
        <v>8.9353920135803132E-18</v>
      </c>
      <c r="AC170" s="24"/>
      <c r="AD170" s="757">
        <f t="shared" si="111"/>
        <v>30237602315070.719</v>
      </c>
      <c r="AE170" s="273"/>
      <c r="AF170" s="99"/>
    </row>
    <row r="171" spans="1:32" ht="14.4" x14ac:dyDescent="0.3">
      <c r="A171" s="2"/>
      <c r="B171" s="19">
        <f>'Urban Pass Adoption'!B164</f>
        <v>85869.80992729323</v>
      </c>
      <c r="C171" s="19">
        <f>'Nonurban Pass Adoption'!B165</f>
        <v>77202.320208664125</v>
      </c>
      <c r="D171" s="2"/>
      <c r="E171" s="19">
        <f>B171*(1-'Urban Pass Adoption'!H164-'Urban Pass Adoption'!K164-'Urban Pass Adoption'!N164-'Urban Pass Adoption'!Q164-$AA$118)</f>
        <v>31373.317250370572</v>
      </c>
      <c r="F171" s="19">
        <f>C171*(1-'Nonurban Pass Adoption'!H165-'Nonurban Pass Adoption'!K165-$AA$119-$AA$120-MAX($AA$121,'Nonurban Pass Adoption'!$N165))</f>
        <v>14642.028099012419</v>
      </c>
      <c r="G171" s="20"/>
      <c r="H171" s="19">
        <f t="shared" si="106"/>
        <v>0</v>
      </c>
      <c r="I171" s="21">
        <f t="shared" si="107"/>
        <v>0</v>
      </c>
      <c r="J171" s="22"/>
      <c r="K171" s="19">
        <f t="shared" si="108"/>
        <v>-1.4860466762911528E-5</v>
      </c>
      <c r="L171" s="21">
        <f t="shared" si="109"/>
        <v>-1.0149186070687737E-9</v>
      </c>
      <c r="M171" s="257"/>
      <c r="N171" s="14">
        <v>2058</v>
      </c>
      <c r="O171" s="257"/>
      <c r="P171" s="35">
        <v>31373.317250370572</v>
      </c>
      <c r="Q171" s="24"/>
      <c r="R171" s="35">
        <v>35889.804701378795</v>
      </c>
      <c r="S171" s="606">
        <v>0.59202820311500959</v>
      </c>
      <c r="T171" s="24"/>
      <c r="U171" s="35">
        <v>3.0000000000000001E-12</v>
      </c>
      <c r="V171" s="608">
        <v>0.35</v>
      </c>
      <c r="W171" s="24"/>
      <c r="X171" s="252">
        <f t="shared" si="126"/>
        <v>21247.776587505912</v>
      </c>
      <c r="Y171" s="253">
        <f t="shared" si="103"/>
        <v>0.24744175636928278</v>
      </c>
      <c r="Z171" s="24"/>
      <c r="AA171" s="252">
        <f t="shared" si="127"/>
        <v>1.05E-12</v>
      </c>
      <c r="AB171" s="253">
        <f t="shared" si="105"/>
        <v>1.2227813254612358E-17</v>
      </c>
      <c r="AC171" s="24"/>
      <c r="AD171" s="757">
        <f t="shared" si="111"/>
        <v>31373317250370.57</v>
      </c>
      <c r="AE171" s="273"/>
      <c r="AF171" s="99"/>
    </row>
    <row r="172" spans="1:32" ht="14.4" x14ac:dyDescent="0.3">
      <c r="A172" s="2"/>
      <c r="B172" s="19">
        <f>'Urban Pass Adoption'!B165</f>
        <v>87848.859904726341</v>
      </c>
      <c r="C172" s="19">
        <f>'Nonurban Pass Adoption'!B166</f>
        <v>78761.463919819187</v>
      </c>
      <c r="D172" s="2"/>
      <c r="E172" s="19">
        <f>B172*(1-'Urban Pass Adoption'!H165-'Urban Pass Adoption'!K165-'Urban Pass Adoption'!N165-'Urban Pass Adoption'!Q165-$AA$118)</f>
        <v>32578.266823435908</v>
      </c>
      <c r="F172" s="19">
        <f>C172*(1-'Nonurban Pass Adoption'!H166-'Nonurban Pass Adoption'!K166-$AA$119-$AA$120-MAX($AA$121,'Nonurban Pass Adoption'!$N166))</f>
        <v>14732.700821992532</v>
      </c>
      <c r="G172" s="20"/>
      <c r="H172" s="19">
        <f t="shared" si="106"/>
        <v>0</v>
      </c>
      <c r="I172" s="21">
        <f t="shared" si="107"/>
        <v>0</v>
      </c>
      <c r="J172" s="22"/>
      <c r="K172" s="19">
        <f t="shared" si="108"/>
        <v>1.1437339289841475E-3</v>
      </c>
      <c r="L172" s="21">
        <f t="shared" si="109"/>
        <v>7.7632332510059249E-8</v>
      </c>
      <c r="M172" s="257"/>
      <c r="N172" s="14">
        <v>2059</v>
      </c>
      <c r="O172" s="257"/>
      <c r="P172" s="35">
        <v>32578.266823435908</v>
      </c>
      <c r="Q172" s="24"/>
      <c r="R172" s="35">
        <v>36609.506341192427</v>
      </c>
      <c r="S172" s="606">
        <v>0.59757174704971083</v>
      </c>
      <c r="T172" s="24"/>
      <c r="U172" s="35">
        <v>3.0922819860279499E-12</v>
      </c>
      <c r="V172" s="608">
        <v>0.35</v>
      </c>
      <c r="W172" s="24"/>
      <c r="X172" s="252">
        <f t="shared" si="126"/>
        <v>21876.806662933825</v>
      </c>
      <c r="Y172" s="253">
        <f t="shared" si="103"/>
        <v>0.24902778119897756</v>
      </c>
      <c r="Z172" s="24"/>
      <c r="AA172" s="252">
        <f t="shared" si="127"/>
        <v>1.0822986951097823E-12</v>
      </c>
      <c r="AB172" s="253">
        <f t="shared" si="105"/>
        <v>1.2320008435892675E-17</v>
      </c>
      <c r="AC172" s="24"/>
      <c r="AD172" s="757">
        <f t="shared" si="111"/>
        <v>32578266823435.906</v>
      </c>
      <c r="AE172" s="273"/>
      <c r="AF172" s="99"/>
    </row>
    <row r="173" spans="1:32" ht="14.4" x14ac:dyDescent="0.3">
      <c r="A173" s="2"/>
      <c r="B173" s="19">
        <f>'Urban Pass Adoption'!B166</f>
        <v>89874.026138251153</v>
      </c>
      <c r="C173" s="19">
        <f>'Nonurban Pass Adoption'!B167</f>
        <v>80339.868171686307</v>
      </c>
      <c r="D173" s="2"/>
      <c r="E173" s="19">
        <f>B173*(1-'Urban Pass Adoption'!H166-'Urban Pass Adoption'!K166-'Urban Pass Adoption'!N166-'Urban Pass Adoption'!Q166-$AA$118)</f>
        <v>33854.737768973093</v>
      </c>
      <c r="F173" s="19">
        <f>C173*(1-'Nonurban Pass Adoption'!H167-'Nonurban Pass Adoption'!K167-$AA$119-$AA$120-MAX($AA$121,'Nonurban Pass Adoption'!$N167))</f>
        <v>14815.815774834928</v>
      </c>
      <c r="G173" s="20"/>
      <c r="H173" s="19">
        <f t="shared" si="106"/>
        <v>0</v>
      </c>
      <c r="I173" s="21">
        <f t="shared" si="107"/>
        <v>0</v>
      </c>
      <c r="J173" s="22"/>
      <c r="K173" s="19">
        <f t="shared" si="108"/>
        <v>-4.6175657553249039E-4</v>
      </c>
      <c r="L173" s="21">
        <f t="shared" si="109"/>
        <v>-3.1166463092555232E-8</v>
      </c>
      <c r="M173" s="257"/>
      <c r="N173" s="14">
        <v>2060</v>
      </c>
      <c r="O173" s="257"/>
      <c r="P173" s="35">
        <v>33854.737768973093</v>
      </c>
      <c r="Q173" s="24"/>
      <c r="R173" s="35">
        <v>37358.693246415605</v>
      </c>
      <c r="S173" s="606">
        <v>0.60341717150363627</v>
      </c>
      <c r="T173" s="24"/>
      <c r="U173" s="35">
        <v>3.0000000000000001E-12</v>
      </c>
      <c r="V173" s="608">
        <v>0.35</v>
      </c>
      <c r="W173" s="24"/>
      <c r="X173" s="252">
        <f t="shared" si="126"/>
        <v>22542.877009824104</v>
      </c>
      <c r="Y173" s="253">
        <f t="shared" si="103"/>
        <v>0.25082749686930583</v>
      </c>
      <c r="Z173" s="24"/>
      <c r="AA173" s="252">
        <f t="shared" si="127"/>
        <v>1.05E-12</v>
      </c>
      <c r="AB173" s="253">
        <f t="shared" si="105"/>
        <v>1.1683019500926875E-17</v>
      </c>
      <c r="AC173" s="24"/>
      <c r="AD173" s="757">
        <f t="shared" si="111"/>
        <v>33854737768973.094</v>
      </c>
      <c r="AE173" s="273"/>
      <c r="AF173" s="99"/>
    </row>
    <row r="174" spans="1:32" ht="14.4" x14ac:dyDescent="0.3">
      <c r="A174" s="2"/>
      <c r="B174" s="2"/>
      <c r="C174" s="2"/>
      <c r="D174" s="2"/>
      <c r="E174" s="5"/>
      <c r="F174" s="5"/>
      <c r="G174" s="5"/>
      <c r="H174" s="2"/>
      <c r="I174" s="2"/>
      <c r="J174" s="5"/>
      <c r="K174" s="2"/>
      <c r="L174" s="2"/>
      <c r="M174" s="257"/>
      <c r="O174" s="257"/>
      <c r="P174" s="5"/>
      <c r="Q174" s="2"/>
      <c r="R174" s="2"/>
      <c r="T174" s="2"/>
      <c r="U174" s="2"/>
      <c r="W174" s="2"/>
      <c r="X174" s="2"/>
      <c r="Y174" s="2"/>
      <c r="Z174" s="2"/>
      <c r="AA174" s="2"/>
      <c r="AB174" s="2"/>
      <c r="AC174" s="5"/>
      <c r="AE174" s="99"/>
      <c r="AF174" s="99"/>
    </row>
    <row r="175" spans="1:32" ht="14.4" x14ac:dyDescent="0.3">
      <c r="A175" s="2"/>
      <c r="B175" s="2"/>
      <c r="C175" s="2"/>
      <c r="D175" s="2"/>
      <c r="E175" s="5"/>
      <c r="F175" s="5"/>
      <c r="G175" s="5"/>
      <c r="H175" s="2"/>
      <c r="I175" s="2"/>
      <c r="J175" s="5"/>
      <c r="K175" s="609" t="s">
        <v>595</v>
      </c>
      <c r="L175" s="114"/>
      <c r="M175" s="610"/>
      <c r="N175" s="611"/>
      <c r="O175" s="610"/>
      <c r="P175" s="114"/>
      <c r="Q175" s="114"/>
      <c r="R175" s="114"/>
      <c r="S175" s="607"/>
      <c r="T175" s="114"/>
      <c r="U175" s="114"/>
      <c r="V175" s="607"/>
      <c r="W175" s="114"/>
      <c r="X175" s="114"/>
      <c r="Y175" s="114"/>
      <c r="Z175" s="114"/>
      <c r="AA175" s="114"/>
      <c r="AB175" s="114"/>
      <c r="AC175" s="114"/>
    </row>
    <row r="176" spans="1:32" ht="14.4" x14ac:dyDescent="0.3">
      <c r="A176" s="2"/>
      <c r="B176" s="2"/>
      <c r="C176" s="2"/>
      <c r="D176" s="2"/>
      <c r="E176" s="5"/>
      <c r="F176" s="5"/>
      <c r="G176" s="5"/>
      <c r="H176" s="231" t="s">
        <v>246</v>
      </c>
      <c r="I176" s="231"/>
      <c r="J176" s="5"/>
      <c r="K176" s="2"/>
      <c r="L176" s="2"/>
      <c r="M176" s="257"/>
      <c r="O176" s="257"/>
      <c r="P176" s="5"/>
      <c r="Q176" s="2"/>
      <c r="R176" s="2"/>
      <c r="T176" s="2"/>
      <c r="U176" s="2"/>
      <c r="W176" s="2"/>
      <c r="X176" s="2"/>
      <c r="Y176" s="2"/>
      <c r="Z176" s="2"/>
      <c r="AA176" s="2"/>
      <c r="AB176" s="2"/>
      <c r="AC176" s="5"/>
    </row>
  </sheetData>
  <mergeCells count="11">
    <mergeCell ref="A125:A126"/>
    <mergeCell ref="AD1:AF2"/>
    <mergeCell ref="B2:L5"/>
    <mergeCell ref="P2:U2"/>
    <mergeCell ref="P60:U60"/>
    <mergeCell ref="P118:U118"/>
    <mergeCell ref="A9:A10"/>
    <mergeCell ref="A67:A68"/>
    <mergeCell ref="Z117:AB117"/>
    <mergeCell ref="Z59:AB59"/>
    <mergeCell ref="Z1:AB1"/>
  </mergeCells>
  <conditionalFormatting sqref="H9:L57 H125:L173 H67:L115">
    <cfRule type="cellIs" dxfId="192" priority="116" operator="lessThan">
      <formula>0</formula>
    </cfRule>
  </conditionalFormatting>
  <conditionalFormatting sqref="S4">
    <cfRule type="notContainsText" dxfId="191" priority="61" operator="notContains" text="Include">
      <formula>ISERROR(SEARCH("Include",S4))</formula>
    </cfRule>
  </conditionalFormatting>
  <conditionalFormatting sqref="S5">
    <cfRule type="notContainsText" dxfId="190" priority="62" operator="notContains" text="Include">
      <formula>ISERROR(SEARCH("Include",S5))</formula>
    </cfRule>
  </conditionalFormatting>
  <conditionalFormatting sqref="P4">
    <cfRule type="containsText" dxfId="189" priority="36" operator="containsText" text="Exclude">
      <formula>NOT(ISERROR(SEARCH("Exclude",P4)))</formula>
    </cfRule>
  </conditionalFormatting>
  <conditionalFormatting sqref="R4">
    <cfRule type="containsText" dxfId="188" priority="30" operator="containsText" text="Exclude">
      <formula>NOT(ISERROR(SEARCH("Exclude",R4)))</formula>
    </cfRule>
  </conditionalFormatting>
  <conditionalFormatting sqref="R5">
    <cfRule type="containsText" dxfId="187" priority="29" operator="containsText" text="Exclude">
      <formula>NOT(ISERROR(SEARCH("Exclude",R5)))</formula>
    </cfRule>
  </conditionalFormatting>
  <conditionalFormatting sqref="S62">
    <cfRule type="notContainsText" dxfId="186" priority="25" operator="notContains" text="Include">
      <formula>ISERROR(SEARCH("Include",S62))</formula>
    </cfRule>
  </conditionalFormatting>
  <conditionalFormatting sqref="S63">
    <cfRule type="notContainsText" dxfId="185" priority="26" operator="notContains" text="Include">
      <formula>ISERROR(SEARCH("Include",S63))</formula>
    </cfRule>
  </conditionalFormatting>
  <conditionalFormatting sqref="S120">
    <cfRule type="notContainsText" dxfId="184" priority="18" operator="notContains" text="Include">
      <formula>ISERROR(SEARCH("Include",S120))</formula>
    </cfRule>
  </conditionalFormatting>
  <conditionalFormatting sqref="S121">
    <cfRule type="notContainsText" dxfId="183" priority="19" operator="notContains" text="Include">
      <formula>ISERROR(SEARCH("Include",S121))</formula>
    </cfRule>
  </conditionalFormatting>
  <conditionalFormatting sqref="P62">
    <cfRule type="containsText" dxfId="182" priority="12" operator="containsText" text="Exclude">
      <formula>NOT(ISERROR(SEARCH("Exclude",P62)))</formula>
    </cfRule>
  </conditionalFormatting>
  <conditionalFormatting sqref="P120">
    <cfRule type="containsText" dxfId="181" priority="11" operator="containsText" text="Exclude">
      <formula>NOT(ISERROR(SEARCH("Exclude",P120)))</formula>
    </cfRule>
  </conditionalFormatting>
  <conditionalFormatting sqref="R62">
    <cfRule type="containsText" dxfId="180" priority="10" operator="containsText" text="Exclude">
      <formula>NOT(ISERROR(SEARCH("Exclude",R62)))</formula>
    </cfRule>
  </conditionalFormatting>
  <conditionalFormatting sqref="R63">
    <cfRule type="containsText" dxfId="179" priority="9" operator="containsText" text="Exclude">
      <formula>NOT(ISERROR(SEARCH("Exclude",R63)))</formula>
    </cfRule>
  </conditionalFormatting>
  <conditionalFormatting sqref="R120">
    <cfRule type="containsText" dxfId="178" priority="8" operator="containsText" text="Exclude">
      <formula>NOT(ISERROR(SEARCH("Exclude",R120)))</formula>
    </cfRule>
  </conditionalFormatting>
  <conditionalFormatting sqref="R121">
    <cfRule type="containsText" dxfId="177" priority="7" operator="containsText" text="Exclude">
      <formula>NOT(ISERROR(SEARCH("Exclude",R121)))</formula>
    </cfRule>
  </conditionalFormatting>
  <conditionalFormatting sqref="U120">
    <cfRule type="containsText" dxfId="176" priority="6" operator="containsText" text="Exclude">
      <formula>NOT(ISERROR(SEARCH("Exclude",U120)))</formula>
    </cfRule>
  </conditionalFormatting>
  <conditionalFormatting sqref="U121">
    <cfRule type="containsText" dxfId="175" priority="5" operator="containsText" text="Exclude">
      <formula>NOT(ISERROR(SEARCH("Exclude",U121)))</formula>
    </cfRule>
  </conditionalFormatting>
  <conditionalFormatting sqref="U62">
    <cfRule type="containsText" dxfId="174" priority="4" operator="containsText" text="Exclude">
      <formula>NOT(ISERROR(SEARCH("Exclude",U62)))</formula>
    </cfRule>
  </conditionalFormatting>
  <conditionalFormatting sqref="U63">
    <cfRule type="containsText" dxfId="173" priority="3" operator="containsText" text="Exclude">
      <formula>NOT(ISERROR(SEARCH("Exclude",U63)))</formula>
    </cfRule>
  </conditionalFormatting>
  <conditionalFormatting sqref="U4">
    <cfRule type="containsText" dxfId="172" priority="2" operator="containsText" text="Exclude">
      <formula>NOT(ISERROR(SEARCH("Exclude",U4)))</formula>
    </cfRule>
  </conditionalFormatting>
  <conditionalFormatting sqref="U5">
    <cfRule type="containsText" dxfId="171" priority="1" operator="containsText" text="Exclude">
      <formula>NOT(ISERROR(SEARCH("Exclude",U5)))</formula>
    </cfRule>
  </conditionalFormatting>
  <dataValidations count="1">
    <dataValidation type="list" allowBlank="1" showInputMessage="1" showErrorMessage="1" sqref="R4:R5 U62:U63 P120 P4 U120:U121 P62 R62:R63 R120:R121 U4:U5" xr:uid="{0A5A4071-B571-4A37-A6D3-B3AB4742419A}">
      <formula1>"Include,Exclude"</formula1>
    </dataValidation>
  </dataValidations>
  <hyperlinks>
    <hyperlink ref="H118:I118" location="'Private Car Analysis &amp; Split'!A1" display="Back to Top Left" xr:uid="{EF075B82-9E06-4848-89BA-E3A6EDA218CA}"/>
    <hyperlink ref="H176:I176" location="'Private Car Analysis &amp; Split'!A1" display="Back to Top Left" xr:uid="{5998D81F-E692-486A-9C1E-251C7C7F78D6}"/>
    <hyperlink ref="H60:I60" location="'Private Car Analysis &amp; Split'!A1" display="Back to Top Left" xr:uid="{F6BC22D5-5EEC-4BC2-9A3B-8C249AB88C54}"/>
    <hyperlink ref="AD1:AF2" location="'Table of Contents'!A1" display="Back to Table of Contents" xr:uid="{5F223B85-EBE8-40D2-853C-19E51A35765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EC8A-91A6-465A-B471-4BE06F88C7A6}">
  <sheetPr codeName="Sheet19">
    <tabColor theme="6" tint="0.59999389629810485"/>
  </sheetPr>
  <dimension ref="A1:AJ176"/>
  <sheetViews>
    <sheetView topLeftCell="A122" zoomScale="85" zoomScaleNormal="85" workbookViewId="0">
      <selection activeCell="K137" sqref="K137"/>
    </sheetView>
  </sheetViews>
  <sheetFormatPr defaultColWidth="15.21875" defaultRowHeight="15" customHeight="1" x14ac:dyDescent="0.3"/>
  <cols>
    <col min="1" max="1" width="2.21875" style="535" customWidth="1"/>
    <col min="2" max="2" width="10.21875" style="535" customWidth="1"/>
    <col min="3" max="3" width="11.21875" style="535" customWidth="1"/>
    <col min="4" max="4" width="0.33203125" style="535" customWidth="1"/>
    <col min="5" max="6" width="12.5546875" style="535" customWidth="1"/>
    <col min="7" max="7" width="0.44140625" style="535" customWidth="1"/>
    <col min="8" max="8" width="11.21875" style="535" customWidth="1"/>
    <col min="9" max="9" width="10.5546875" style="535" customWidth="1"/>
    <col min="10" max="10" width="0.44140625" style="535" customWidth="1"/>
    <col min="11" max="11" width="12.77734375" style="535" customWidth="1"/>
    <col min="12" max="12" width="11.33203125" style="535" customWidth="1"/>
    <col min="13" max="13" width="0.44140625" style="535" customWidth="1"/>
    <col min="14" max="14" width="12.77734375" style="535" customWidth="1"/>
    <col min="15" max="15" width="11.33203125" style="535" customWidth="1"/>
    <col min="16" max="16" width="2.44140625" style="254" customWidth="1"/>
    <col min="17" max="17" width="10.44140625" style="260" bestFit="1" customWidth="1"/>
    <col min="18" max="18" width="2.44140625" style="254" customWidth="1"/>
    <col min="19" max="19" width="10.88671875" style="535" customWidth="1"/>
    <col min="20" max="20" width="2.44140625" style="535" customWidth="1"/>
    <col min="21" max="21" width="19" style="535" customWidth="1"/>
    <col min="22" max="22" width="10.88671875" style="535" customWidth="1"/>
    <col min="23" max="23" width="13.109375" style="535" customWidth="1"/>
    <col min="24" max="24" width="2.44140625" style="535" customWidth="1"/>
    <col min="25" max="25" width="10.88671875" style="535" customWidth="1"/>
    <col min="26" max="26" width="11" style="535" customWidth="1"/>
    <col min="27" max="27" width="2.44140625" style="535" customWidth="1"/>
    <col min="28" max="28" width="10.88671875" style="535" customWidth="1"/>
    <col min="29" max="29" width="13.109375" style="535" customWidth="1"/>
    <col min="30" max="30" width="2.44140625" style="535" customWidth="1"/>
    <col min="31" max="31" width="15" style="535" customWidth="1"/>
    <col min="32" max="32" width="6.5546875" style="535" customWidth="1"/>
    <col min="33" max="33" width="2.44140625" style="535" customWidth="1"/>
    <col min="34" max="38" width="7.5546875" style="535" customWidth="1"/>
    <col min="39" max="16384" width="15.21875" style="535"/>
  </cols>
  <sheetData>
    <row r="1" spans="1:36" ht="15" customHeight="1" x14ac:dyDescent="0.4">
      <c r="A1" s="115" t="s">
        <v>617</v>
      </c>
      <c r="B1" s="116"/>
      <c r="C1" s="116"/>
      <c r="D1" s="116"/>
      <c r="E1" s="116"/>
      <c r="F1" s="116"/>
      <c r="G1" s="116"/>
      <c r="H1" s="116"/>
      <c r="I1" s="116"/>
      <c r="J1" s="116"/>
      <c r="K1" s="116"/>
      <c r="X1" s="815" t="s">
        <v>467</v>
      </c>
      <c r="Y1" s="816"/>
      <c r="Z1" s="817"/>
      <c r="AF1" s="17" t="s">
        <v>30</v>
      </c>
    </row>
    <row r="2" spans="1:36" ht="27" customHeight="1" thickBot="1" x14ac:dyDescent="0.35">
      <c r="B2" s="838" t="s">
        <v>616</v>
      </c>
      <c r="C2" s="839"/>
      <c r="D2" s="839"/>
      <c r="E2" s="839"/>
      <c r="F2" s="839"/>
      <c r="G2" s="839"/>
      <c r="H2" s="839"/>
      <c r="I2" s="839"/>
      <c r="J2" s="839"/>
      <c r="K2" s="839"/>
      <c r="L2" s="839"/>
      <c r="M2" s="839"/>
      <c r="N2" s="839"/>
      <c r="O2" s="840"/>
      <c r="X2" s="818"/>
      <c r="Y2" s="819"/>
      <c r="Z2" s="820"/>
      <c r="AF2" s="17" t="s">
        <v>30</v>
      </c>
    </row>
    <row r="3" spans="1:36" ht="14.4" x14ac:dyDescent="0.3">
      <c r="B3" s="841"/>
      <c r="C3" s="842"/>
      <c r="D3" s="842"/>
      <c r="E3" s="842"/>
      <c r="F3" s="842"/>
      <c r="G3" s="842"/>
      <c r="H3" s="842"/>
      <c r="I3" s="842"/>
      <c r="J3" s="842"/>
      <c r="K3" s="842"/>
      <c r="L3" s="842"/>
      <c r="M3" s="842"/>
      <c r="N3" s="842"/>
      <c r="O3" s="843"/>
      <c r="AF3" s="17" t="s">
        <v>30</v>
      </c>
    </row>
    <row r="4" spans="1:36" ht="15.75" customHeight="1" x14ac:dyDescent="0.3">
      <c r="B4" s="841"/>
      <c r="C4" s="842"/>
      <c r="D4" s="842"/>
      <c r="E4" s="842"/>
      <c r="F4" s="842"/>
      <c r="G4" s="842"/>
      <c r="H4" s="842"/>
      <c r="I4" s="842"/>
      <c r="J4" s="842"/>
      <c r="K4" s="842"/>
      <c r="L4" s="842"/>
      <c r="M4" s="842"/>
      <c r="N4" s="842"/>
      <c r="O4" s="843"/>
      <c r="P4" s="255"/>
      <c r="R4" s="260"/>
      <c r="S4" s="260"/>
      <c r="T4" s="260"/>
      <c r="U4" s="260"/>
      <c r="V4" s="260"/>
      <c r="W4" s="260"/>
      <c r="X4" s="260"/>
      <c r="Y4" s="260"/>
      <c r="Z4" s="260"/>
      <c r="AA4" s="260"/>
      <c r="AB4" s="260"/>
      <c r="AC4" s="260"/>
      <c r="AF4" s="17" t="s">
        <v>30</v>
      </c>
    </row>
    <row r="5" spans="1:36" ht="15.75" customHeight="1" x14ac:dyDescent="0.3">
      <c r="A5" s="4"/>
      <c r="B5" s="844"/>
      <c r="C5" s="845"/>
      <c r="D5" s="845"/>
      <c r="E5" s="845"/>
      <c r="F5" s="845"/>
      <c r="G5" s="845"/>
      <c r="H5" s="845"/>
      <c r="I5" s="845"/>
      <c r="J5" s="845"/>
      <c r="K5" s="845"/>
      <c r="L5" s="845"/>
      <c r="M5" s="845"/>
      <c r="N5" s="845"/>
      <c r="O5" s="846"/>
      <c r="P5" s="255"/>
      <c r="R5" s="260"/>
      <c r="S5" s="260"/>
      <c r="T5" s="260"/>
      <c r="U5" s="260"/>
      <c r="V5" s="260"/>
      <c r="W5" s="260"/>
      <c r="X5" s="260"/>
      <c r="Y5" s="260"/>
      <c r="Z5" s="260"/>
      <c r="AA5" s="260"/>
      <c r="AB5" s="260"/>
      <c r="AC5" s="260"/>
      <c r="AF5" s="17" t="s">
        <v>30</v>
      </c>
    </row>
    <row r="6" spans="1:36" ht="37.200000000000003" customHeight="1" x14ac:dyDescent="0.35">
      <c r="A6" s="4"/>
      <c r="B6" s="70" t="s">
        <v>128</v>
      </c>
      <c r="C6" s="5"/>
      <c r="D6" s="5"/>
      <c r="E6" s="5"/>
      <c r="G6" s="5"/>
      <c r="H6" s="5"/>
      <c r="I6" s="5"/>
      <c r="J6" s="5"/>
      <c r="K6" s="5"/>
      <c r="L6" s="5"/>
      <c r="M6" s="5"/>
      <c r="N6" s="5"/>
      <c r="O6" s="5"/>
      <c r="R6" s="260"/>
      <c r="S6" s="11" t="s">
        <v>267</v>
      </c>
      <c r="V6" s="11" t="s">
        <v>260</v>
      </c>
      <c r="W6" s="534" t="s">
        <v>761</v>
      </c>
      <c r="X6" s="14"/>
      <c r="Y6" s="11" t="s">
        <v>261</v>
      </c>
      <c r="Z6" s="534" t="s">
        <v>565</v>
      </c>
      <c r="AA6" s="14"/>
      <c r="AB6" s="11" t="s">
        <v>560</v>
      </c>
      <c r="AC6" s="534" t="s">
        <v>567</v>
      </c>
      <c r="AD6" s="5"/>
      <c r="AF6" s="17" t="s">
        <v>30</v>
      </c>
      <c r="AG6" s="5"/>
    </row>
    <row r="7" spans="1:36" ht="60" customHeight="1" x14ac:dyDescent="0.3">
      <c r="A7" s="8"/>
      <c r="B7" s="12" t="s">
        <v>556</v>
      </c>
      <c r="C7" s="10" t="s">
        <v>568</v>
      </c>
      <c r="D7" s="5"/>
      <c r="E7" s="12" t="s">
        <v>558</v>
      </c>
      <c r="F7" s="10" t="s">
        <v>557</v>
      </c>
      <c r="G7" s="10" t="s">
        <v>557</v>
      </c>
      <c r="H7" s="12" t="s">
        <v>377</v>
      </c>
      <c r="I7" s="10" t="s">
        <v>557</v>
      </c>
      <c r="J7" s="11"/>
      <c r="K7" s="12" t="s">
        <v>559</v>
      </c>
      <c r="L7" s="10" t="s">
        <v>557</v>
      </c>
      <c r="M7" s="11"/>
      <c r="N7" s="12" t="s">
        <v>266</v>
      </c>
      <c r="O7" s="10" t="s">
        <v>557</v>
      </c>
      <c r="P7" s="256"/>
      <c r="R7" s="256"/>
      <c r="S7" s="11" t="s">
        <v>307</v>
      </c>
      <c r="T7" s="14"/>
      <c r="U7" s="14"/>
      <c r="V7" s="837" t="s">
        <v>380</v>
      </c>
      <c r="W7" s="837"/>
      <c r="X7" s="14"/>
      <c r="Y7" s="837" t="s">
        <v>261</v>
      </c>
      <c r="Z7" s="837"/>
      <c r="AA7" s="14"/>
      <c r="AB7" s="837" t="s">
        <v>375</v>
      </c>
      <c r="AC7" s="837"/>
      <c r="AD7" s="14"/>
      <c r="AF7" s="17" t="s">
        <v>30</v>
      </c>
      <c r="AG7" s="14"/>
    </row>
    <row r="8" spans="1:36" ht="52.8" customHeight="1" x14ac:dyDescent="0.3">
      <c r="A8" s="16"/>
      <c r="B8" s="68" t="s">
        <v>28</v>
      </c>
      <c r="C8" s="17"/>
      <c r="D8" s="5"/>
      <c r="E8" s="11" t="s">
        <v>732</v>
      </c>
      <c r="F8" s="5"/>
      <c r="G8" s="17"/>
      <c r="H8" s="11" t="s">
        <v>732</v>
      </c>
      <c r="I8" s="17"/>
      <c r="J8" s="17"/>
      <c r="K8" s="11" t="s">
        <v>732</v>
      </c>
      <c r="L8" s="17"/>
      <c r="M8" s="17"/>
      <c r="N8" s="17" t="s">
        <v>733</v>
      </c>
      <c r="O8" s="17"/>
      <c r="P8" s="257"/>
      <c r="Q8" s="122" t="s">
        <v>276</v>
      </c>
      <c r="R8" s="257"/>
      <c r="S8" s="618" t="str">
        <f>'Private Car Analysis &amp; Split'!P8</f>
        <v>PDS1-38p2050-Oct21ComDat1</v>
      </c>
      <c r="T8" s="17"/>
      <c r="U8" s="17" t="s">
        <v>561</v>
      </c>
      <c r="V8" s="591">
        <v>8.45609346046865E-2</v>
      </c>
      <c r="W8" s="592" t="s">
        <v>563</v>
      </c>
      <c r="X8" s="17"/>
      <c r="Y8" s="263">
        <v>0</v>
      </c>
      <c r="Z8" s="592" t="s">
        <v>563</v>
      </c>
      <c r="AA8" s="17"/>
      <c r="AB8" s="263">
        <v>0</v>
      </c>
      <c r="AC8" s="592" t="s">
        <v>563</v>
      </c>
      <c r="AD8" s="17"/>
      <c r="AF8" s="17" t="s">
        <v>30</v>
      </c>
      <c r="AG8" s="17"/>
      <c r="AH8" s="5"/>
      <c r="AI8" s="5"/>
      <c r="AJ8" s="5"/>
    </row>
    <row r="9" spans="1:36" ht="14.4" x14ac:dyDescent="0.3">
      <c r="A9" s="831"/>
      <c r="B9" s="19">
        <f>'Private Car Analysis &amp; Split'!E9+'Private Car Analysis &amp; Split'!F9</f>
        <v>31940.822528863981</v>
      </c>
      <c r="C9" s="19">
        <f>'Private Car Analysis &amp; Split'!E9</f>
        <v>22374.399399366055</v>
      </c>
      <c r="D9" s="5"/>
      <c r="E9" s="19">
        <f>'Private Car Analysis &amp; Split'!R9</f>
        <v>0</v>
      </c>
      <c r="F9" s="21">
        <f>E9/$B9</f>
        <v>0</v>
      </c>
      <c r="G9" s="20"/>
      <c r="H9" s="19">
        <f>'Private Car Analysis &amp; Split'!U9</f>
        <v>0</v>
      </c>
      <c r="I9" s="21">
        <f>H9/$B9</f>
        <v>0</v>
      </c>
      <c r="J9" s="22"/>
      <c r="K9" s="19">
        <f>'Private Car Analysis &amp; Split'!E9+'Private Car Analysis &amp; Split'!F9-'Private Car Analysis &amp; Split'!R9-'Private Car Analysis &amp; Split'!U9</f>
        <v>31940.822528863981</v>
      </c>
      <c r="L9" s="21">
        <f>K9/$B9</f>
        <v>1</v>
      </c>
      <c r="M9" s="22"/>
      <c r="N9" s="19">
        <f>'Private Car Analysis &amp; Split'!P9</f>
        <v>0</v>
      </c>
      <c r="O9" s="21">
        <f>N9/$C9</f>
        <v>0</v>
      </c>
      <c r="P9" s="257"/>
      <c r="Q9" s="14">
        <v>2012</v>
      </c>
      <c r="R9" s="257"/>
      <c r="S9" s="593">
        <f t="shared" ref="S9:S10" si="0">$S$11+($S$47-$S$11)*($Q9-$Q$11)/($Q$47-$Q$11)</f>
        <v>1.56</v>
      </c>
      <c r="T9" s="24"/>
      <c r="U9" s="24"/>
      <c r="V9" s="5"/>
      <c r="X9" s="5"/>
      <c r="Y9" s="5"/>
      <c r="AA9" s="5"/>
      <c r="AB9" s="5"/>
      <c r="AG9" s="17"/>
    </row>
    <row r="10" spans="1:36" ht="28.8" x14ac:dyDescent="0.3">
      <c r="A10" s="832"/>
      <c r="B10" s="19">
        <f>'Private Car Analysis &amp; Split'!E10+'Private Car Analysis &amp; Split'!F10</f>
        <v>33155.301078379336</v>
      </c>
      <c r="C10" s="19">
        <f>'Private Car Analysis &amp; Split'!E10</f>
        <v>23261.58893495956</v>
      </c>
      <c r="D10" s="5"/>
      <c r="E10" s="19">
        <f>'Private Car Analysis &amp; Split'!R10</f>
        <v>0</v>
      </c>
      <c r="F10" s="21">
        <f t="shared" ref="F10:F57" si="1">E10/$B10</f>
        <v>0</v>
      </c>
      <c r="G10" s="20"/>
      <c r="H10" s="19">
        <f>'Private Car Analysis &amp; Split'!U10</f>
        <v>0</v>
      </c>
      <c r="I10" s="21">
        <f t="shared" ref="I10:I57" si="2">H10/$B10</f>
        <v>0</v>
      </c>
      <c r="J10" s="22"/>
      <c r="K10" s="19">
        <f>'Private Car Analysis &amp; Split'!E10+'Private Car Analysis &amp; Split'!F10-'Private Car Analysis &amp; Split'!R10-'Private Car Analysis &amp; Split'!U10</f>
        <v>33155.301078379336</v>
      </c>
      <c r="L10" s="21">
        <f t="shared" ref="L10:L57" si="3">K10/$B10</f>
        <v>1</v>
      </c>
      <c r="M10" s="22"/>
      <c r="N10" s="19">
        <f>'Private Car Analysis &amp; Split'!P10</f>
        <v>0</v>
      </c>
      <c r="O10" s="21">
        <f t="shared" ref="O10:O57" si="4">N10/$C10</f>
        <v>0</v>
      </c>
      <c r="P10" s="257"/>
      <c r="Q10" s="14">
        <v>2013</v>
      </c>
      <c r="R10" s="257"/>
      <c r="S10" s="593">
        <f t="shared" si="0"/>
        <v>1.5650000000000002</v>
      </c>
      <c r="T10" s="24"/>
      <c r="U10" s="17" t="s">
        <v>562</v>
      </c>
      <c r="V10" s="619">
        <v>0.89647683290179381</v>
      </c>
      <c r="W10" s="592" t="s">
        <v>601</v>
      </c>
      <c r="X10" s="17"/>
      <c r="Y10" s="619">
        <v>0.40174623661052872</v>
      </c>
      <c r="Z10" s="592" t="s">
        <v>601</v>
      </c>
      <c r="AA10" s="17"/>
      <c r="AB10" s="590">
        <v>56150410.87990173</v>
      </c>
      <c r="AC10" s="592" t="s">
        <v>564</v>
      </c>
      <c r="AG10" s="17"/>
    </row>
    <row r="11" spans="1:36" ht="14.4" x14ac:dyDescent="0.3">
      <c r="A11" s="30"/>
      <c r="B11" s="19">
        <f>'Private Car Analysis &amp; Split'!E11+'Private Car Analysis &amp; Split'!F11</f>
        <v>22221.936155392275</v>
      </c>
      <c r="C11" s="19">
        <f>'Private Car Analysis &amp; Split'!E11</f>
        <v>12627.813321591922</v>
      </c>
      <c r="D11" s="30"/>
      <c r="E11" s="19">
        <f>'Private Car Analysis &amp; Split'!R11</f>
        <v>116.38899289627807</v>
      </c>
      <c r="F11" s="21">
        <f t="shared" si="1"/>
        <v>5.2375721036366871E-3</v>
      </c>
      <c r="G11" s="31"/>
      <c r="H11" s="19">
        <f>'Private Car Analysis &amp; Split'!U11</f>
        <v>252.99595444214927</v>
      </c>
      <c r="I11" s="21">
        <f t="shared" si="2"/>
        <v>1.1384964508628489E-2</v>
      </c>
      <c r="J11" s="32"/>
      <c r="K11" s="19">
        <f>'Private Car Analysis &amp; Split'!E11+'Private Car Analysis &amp; Split'!F11-'Private Car Analysis &amp; Split'!R11-'Private Car Analysis &amp; Split'!U11</f>
        <v>21852.551208053846</v>
      </c>
      <c r="L11" s="21">
        <f t="shared" si="3"/>
        <v>0.9833774633877348</v>
      </c>
      <c r="M11" s="32"/>
      <c r="N11" s="19">
        <f>'Private Car Analysis &amp; Split'!P11</f>
        <v>3141.4174626346876</v>
      </c>
      <c r="O11" s="21">
        <f t="shared" si="4"/>
        <v>0.24876971037125417</v>
      </c>
      <c r="P11" s="258"/>
      <c r="Q11" s="259">
        <v>2014</v>
      </c>
      <c r="R11" s="258"/>
      <c r="S11" s="594">
        <v>1.57</v>
      </c>
      <c r="T11" s="34"/>
      <c r="U11" s="5"/>
      <c r="V11" s="5"/>
      <c r="X11" s="5"/>
      <c r="Y11" s="5"/>
      <c r="AA11" s="5"/>
      <c r="AB11" s="5"/>
      <c r="AG11" s="17"/>
      <c r="AI11" s="273"/>
    </row>
    <row r="12" spans="1:36" ht="28.8" x14ac:dyDescent="0.3">
      <c r="A12" s="5"/>
      <c r="B12" s="19">
        <f>'Private Car Analysis &amp; Split'!E12+'Private Car Analysis &amp; Split'!F12</f>
        <v>23232.964741504595</v>
      </c>
      <c r="C12" s="19">
        <f>'Private Car Analysis &amp; Split'!E12</f>
        <v>13436.84044747937</v>
      </c>
      <c r="D12" s="5"/>
      <c r="E12" s="19">
        <f>'Private Car Analysis &amp; Split'!R12</f>
        <v>121.57668884867235</v>
      </c>
      <c r="F12" s="21">
        <f t="shared" si="1"/>
        <v>5.2329390674570831E-3</v>
      </c>
      <c r="G12" s="20"/>
      <c r="H12" s="19">
        <f>'Private Car Analysis &amp; Split'!U12</f>
        <v>291.45222628122792</v>
      </c>
      <c r="I12" s="21">
        <f t="shared" si="2"/>
        <v>1.2544771169930038E-2</v>
      </c>
      <c r="J12" s="22"/>
      <c r="K12" s="19">
        <f>'Private Car Analysis &amp; Split'!E12+'Private Car Analysis &amp; Split'!F12-'Private Car Analysis &amp; Split'!R12-'Private Car Analysis &amp; Split'!U12</f>
        <v>22819.935826374694</v>
      </c>
      <c r="L12" s="21">
        <f t="shared" si="3"/>
        <v>0.98222228976261283</v>
      </c>
      <c r="M12" s="22"/>
      <c r="N12" s="19">
        <f>'Private Car Analysis &amp; Split'!P12</f>
        <v>3237.1081048085771</v>
      </c>
      <c r="O12" s="21">
        <f t="shared" si="4"/>
        <v>0.24091289298711807</v>
      </c>
      <c r="P12" s="257"/>
      <c r="Q12" s="14">
        <v>2015</v>
      </c>
      <c r="R12" s="257"/>
      <c r="S12" s="593">
        <f>$S$11+($S$47-$S$11)*($Q12-$Q$11)/($Q$47-$Q$11)</f>
        <v>1.575</v>
      </c>
      <c r="T12" s="24"/>
      <c r="U12" s="584" t="s">
        <v>571</v>
      </c>
      <c r="V12" s="587">
        <v>1.4652916201235937</v>
      </c>
      <c r="W12" s="592" t="s">
        <v>569</v>
      </c>
      <c r="X12" s="17"/>
      <c r="Y12" s="587">
        <v>1.4652916201235937</v>
      </c>
      <c r="Z12" s="592" t="s">
        <v>569</v>
      </c>
      <c r="AA12" s="17"/>
      <c r="AB12" s="587">
        <v>1.4652916201235937</v>
      </c>
      <c r="AC12" s="592" t="s">
        <v>569</v>
      </c>
      <c r="AG12" s="17"/>
      <c r="AI12" s="273"/>
    </row>
    <row r="13" spans="1:36" ht="14.4" x14ac:dyDescent="0.3">
      <c r="A13" s="5"/>
      <c r="B13" s="19">
        <f>'Private Car Analysis &amp; Split'!E13+'Private Car Analysis &amp; Split'!F13</f>
        <v>24258.676823645976</v>
      </c>
      <c r="C13" s="19">
        <f>'Private Car Analysis &amp; Split'!E13</f>
        <v>14195.233376260261</v>
      </c>
      <c r="D13" s="5"/>
      <c r="E13" s="19">
        <f>'Private Car Analysis &amp; Split'!R13</f>
        <v>126.76438480106481</v>
      </c>
      <c r="F13" s="21">
        <f t="shared" si="1"/>
        <v>5.2255275801977013E-3</v>
      </c>
      <c r="G13" s="20"/>
      <c r="H13" s="19">
        <f>'Private Car Analysis &amp; Split'!U13</f>
        <v>334.13093232809371</v>
      </c>
      <c r="I13" s="21">
        <f t="shared" si="2"/>
        <v>1.3773666830929621E-2</v>
      </c>
      <c r="J13" s="22"/>
      <c r="K13" s="19">
        <f>'Private Car Analysis &amp; Split'!E13+'Private Car Analysis &amp; Split'!F13-'Private Car Analysis &amp; Split'!R13-'Private Car Analysis &amp; Split'!U13</f>
        <v>23797.781506516818</v>
      </c>
      <c r="L13" s="21">
        <f t="shared" si="3"/>
        <v>0.9810008055888727</v>
      </c>
      <c r="M13" s="22"/>
      <c r="N13" s="19">
        <f>'Private Car Analysis &amp; Split'!P13</f>
        <v>3330.0461502061598</v>
      </c>
      <c r="O13" s="21">
        <f t="shared" si="4"/>
        <v>0.2345890385835602</v>
      </c>
      <c r="P13" s="257"/>
      <c r="Q13" s="14">
        <v>2016</v>
      </c>
      <c r="R13" s="257"/>
      <c r="S13" s="593">
        <f t="shared" ref="S13:S46" si="5">$S$11+($S$47-$S$11)*($Q13-$Q$11)/($Q$47-$Q$11)</f>
        <v>1.58</v>
      </c>
      <c r="T13" s="24"/>
      <c r="AA13" s="14"/>
      <c r="AG13" s="17"/>
      <c r="AI13" s="273"/>
    </row>
    <row r="14" spans="1:36" ht="14.4" x14ac:dyDescent="0.3">
      <c r="A14" s="5"/>
      <c r="B14" s="19">
        <f>'Private Car Analysis &amp; Split'!E14+'Private Car Analysis &amp; Split'!F14</f>
        <v>25318.700078072743</v>
      </c>
      <c r="C14" s="19">
        <f>'Private Car Analysis &amp; Split'!E14</f>
        <v>14978.035642215102</v>
      </c>
      <c r="D14" s="5"/>
      <c r="E14" s="19">
        <f>'Private Car Analysis &amp; Split'!R14</f>
        <v>131.95208075345909</v>
      </c>
      <c r="F14" s="21">
        <f t="shared" si="1"/>
        <v>5.2116451613460268E-3</v>
      </c>
      <c r="G14" s="20"/>
      <c r="H14" s="19">
        <f>'Private Car Analysis &amp; Split'!U14</f>
        <v>380.8746575800638</v>
      </c>
      <c r="I14" s="21">
        <f t="shared" si="2"/>
        <v>1.5043215346980639E-2</v>
      </c>
      <c r="J14" s="22"/>
      <c r="K14" s="19">
        <f>'Private Car Analysis &amp; Split'!E14+'Private Car Analysis &amp; Split'!F14-'Private Car Analysis &amp; Split'!R14-'Private Car Analysis &amp; Split'!U14</f>
        <v>24805.873339739217</v>
      </c>
      <c r="L14" s="21">
        <f t="shared" si="3"/>
        <v>0.97974513949167319</v>
      </c>
      <c r="M14" s="22"/>
      <c r="N14" s="19">
        <f>'Private Car Analysis &amp; Split'!P14</f>
        <v>3422.7338233785767</v>
      </c>
      <c r="O14" s="21">
        <f t="shared" si="4"/>
        <v>0.22851686997804396</v>
      </c>
      <c r="P14" s="257"/>
      <c r="Q14" s="14">
        <v>2017</v>
      </c>
      <c r="R14" s="257"/>
      <c r="S14" s="593">
        <f t="shared" si="5"/>
        <v>1.585</v>
      </c>
      <c r="T14" s="24"/>
      <c r="AA14" s="5"/>
      <c r="AB14" s="5"/>
      <c r="AG14" s="17"/>
      <c r="AI14" s="273"/>
    </row>
    <row r="15" spans="1:36" ht="14.4" x14ac:dyDescent="0.3">
      <c r="A15" s="5"/>
      <c r="B15" s="19">
        <f>'Private Car Analysis &amp; Split'!E15+'Private Car Analysis &amp; Split'!F15</f>
        <v>26423.543169597408</v>
      </c>
      <c r="C15" s="19">
        <f>'Private Car Analysis &amp; Split'!E15</f>
        <v>15795.931666635273</v>
      </c>
      <c r="D15" s="5"/>
      <c r="E15" s="19">
        <f>'Private Car Analysis &amp; Split'!R15</f>
        <v>137.13977670585155</v>
      </c>
      <c r="F15" s="21">
        <f t="shared" si="1"/>
        <v>5.1900600848883444E-3</v>
      </c>
      <c r="G15" s="20"/>
      <c r="H15" s="19">
        <f>'Private Car Analysis &amp; Split'!U15</f>
        <v>500.09361039355957</v>
      </c>
      <c r="I15" s="21">
        <f t="shared" si="2"/>
        <v>1.8926061776944468E-2</v>
      </c>
      <c r="J15" s="22"/>
      <c r="K15" s="19">
        <f>'Private Car Analysis &amp; Split'!E15+'Private Car Analysis &amp; Split'!F15-'Private Car Analysis &amp; Split'!R15-'Private Car Analysis &amp; Split'!U15</f>
        <v>25786.309782497996</v>
      </c>
      <c r="L15" s="21">
        <f t="shared" si="3"/>
        <v>0.97588387813816713</v>
      </c>
      <c r="M15" s="22"/>
      <c r="N15" s="19">
        <f>'Private Car Analysis &amp; Split'!P15</f>
        <v>3515.2217174527982</v>
      </c>
      <c r="O15" s="21">
        <f t="shared" si="4"/>
        <v>0.22253968880340083</v>
      </c>
      <c r="P15" s="257"/>
      <c r="Q15" s="14">
        <v>2018</v>
      </c>
      <c r="R15" s="257"/>
      <c r="S15" s="593">
        <f t="shared" si="5"/>
        <v>1.59</v>
      </c>
      <c r="T15" s="24"/>
      <c r="U15" s="620" t="s">
        <v>615</v>
      </c>
      <c r="V15" s="616"/>
      <c r="W15" s="616"/>
      <c r="X15" s="114"/>
      <c r="Y15" s="114"/>
      <c r="Z15" s="616"/>
      <c r="AA15" s="5"/>
      <c r="AB15" s="5"/>
      <c r="AG15" s="17"/>
      <c r="AI15" s="273"/>
    </row>
    <row r="16" spans="1:36" ht="14.4" x14ac:dyDescent="0.3">
      <c r="A16" s="5"/>
      <c r="B16" s="19">
        <f>'Private Car Analysis &amp; Split'!E16+'Private Car Analysis &amp; Split'!F16</f>
        <v>26882.394689812485</v>
      </c>
      <c r="C16" s="19">
        <f>'Private Car Analysis &amp; Split'!E16</f>
        <v>16106.41357009726</v>
      </c>
      <c r="D16" s="5"/>
      <c r="E16" s="19">
        <f>'Private Car Analysis &amp; Split'!R16</f>
        <v>180.48254382929443</v>
      </c>
      <c r="F16" s="21">
        <f t="shared" si="1"/>
        <v>6.7137822322685852E-3</v>
      </c>
      <c r="G16" s="20"/>
      <c r="H16" s="19">
        <f>'Private Car Analysis &amp; Split'!U16</f>
        <v>584.19269497163532</v>
      </c>
      <c r="I16" s="21">
        <f t="shared" si="2"/>
        <v>2.1731423175370031E-2</v>
      </c>
      <c r="J16" s="22"/>
      <c r="K16" s="19">
        <f>'Private Car Analysis &amp; Split'!E16+'Private Car Analysis &amp; Split'!F16-'Private Car Analysis &amp; Split'!R16-'Private Car Analysis &amp; Split'!U16</f>
        <v>26117.719451011555</v>
      </c>
      <c r="L16" s="21">
        <f t="shared" si="3"/>
        <v>0.97155479459236138</v>
      </c>
      <c r="M16" s="22"/>
      <c r="N16" s="19">
        <f>'Private Car Analysis &amp; Split'!P16</f>
        <v>4635.6271556436213</v>
      </c>
      <c r="O16" s="21">
        <f t="shared" si="4"/>
        <v>0.28781250000000025</v>
      </c>
      <c r="P16" s="257"/>
      <c r="Q16" s="14">
        <v>2019</v>
      </c>
      <c r="R16" s="257"/>
      <c r="S16" s="593">
        <f t="shared" si="5"/>
        <v>1.595</v>
      </c>
      <c r="T16" s="24"/>
      <c r="U16" s="24"/>
      <c r="V16" s="11" t="s">
        <v>260</v>
      </c>
      <c r="W16" s="589" t="s">
        <v>566</v>
      </c>
      <c r="X16" s="14"/>
      <c r="Y16" s="11" t="s">
        <v>261</v>
      </c>
      <c r="Z16" s="589" t="s">
        <v>565</v>
      </c>
      <c r="AA16" s="5"/>
      <c r="AB16" s="5"/>
      <c r="AG16" s="17"/>
      <c r="AI16" s="273"/>
    </row>
    <row r="17" spans="1:35" ht="43.2" x14ac:dyDescent="0.3">
      <c r="A17" s="30"/>
      <c r="B17" s="19">
        <f>'Private Car Analysis &amp; Split'!E17+'Private Car Analysis &amp; Split'!F17</f>
        <v>27688.690261553682</v>
      </c>
      <c r="C17" s="19">
        <f>'Private Car Analysis &amp; Split'!E17</f>
        <v>16641.024552320287</v>
      </c>
      <c r="D17" s="30"/>
      <c r="E17" s="19">
        <f>'Private Car Analysis &amp; Split'!R17</f>
        <v>257.48953831087636</v>
      </c>
      <c r="F17" s="21">
        <f t="shared" si="1"/>
        <v>9.2994481096278468E-3</v>
      </c>
      <c r="G17" s="31"/>
      <c r="H17" s="19">
        <f>'Private Car Analysis &amp; Split'!U17</f>
        <v>660.36395022130546</v>
      </c>
      <c r="I17" s="21">
        <f t="shared" si="2"/>
        <v>2.3849591439080615E-2</v>
      </c>
      <c r="J17" s="32"/>
      <c r="K17" s="19">
        <f>'Private Car Analysis &amp; Split'!E17+'Private Car Analysis &amp; Split'!F17-'Private Car Analysis &amp; Split'!R17-'Private Car Analysis &amp; Split'!U17</f>
        <v>26770.8367730215</v>
      </c>
      <c r="L17" s="21">
        <f t="shared" si="3"/>
        <v>0.96685096045129149</v>
      </c>
      <c r="M17" s="32"/>
      <c r="N17" s="19">
        <f>'Private Car Analysis &amp; Split'!P17</f>
        <v>4836.297760518074</v>
      </c>
      <c r="O17" s="21">
        <f t="shared" si="4"/>
        <v>0.29062499999999947</v>
      </c>
      <c r="P17" s="258"/>
      <c r="Q17" s="259">
        <v>2020</v>
      </c>
      <c r="R17" s="258"/>
      <c r="S17" s="593">
        <f t="shared" si="5"/>
        <v>1.6</v>
      </c>
      <c r="T17" s="34"/>
      <c r="U17" s="588" t="s">
        <v>602</v>
      </c>
      <c r="V17" s="581">
        <f t="array" ref="V17">AVERAGE($B$11:$B$47/($C$11:$C$47/$S$11:$S$47 + ($B$11:$B$47-$C$11:$C$47)/$V$12))</f>
        <v>1.5831510360525387</v>
      </c>
      <c r="W17" s="586" t="s">
        <v>569</v>
      </c>
      <c r="X17" s="5"/>
      <c r="Y17" s="581">
        <f t="array" ref="Y17">AVERAGE($B$11:$B$47/($C$11:$C$47/$S$11:$S$47 + ($B$11:$B$47-$C$11:$C$47)/$Y$12))</f>
        <v>1.5831510360525387</v>
      </c>
      <c r="Z17" s="586" t="s">
        <v>569</v>
      </c>
      <c r="AA17" s="5"/>
      <c r="AB17" s="5"/>
      <c r="AG17" s="17"/>
      <c r="AI17" s="273"/>
    </row>
    <row r="18" spans="1:35" ht="14.4" x14ac:dyDescent="0.3">
      <c r="A18" s="5"/>
      <c r="B18" s="19">
        <f>'Private Car Analysis &amp; Split'!E18+'Private Car Analysis &amp; Split'!F18</f>
        <v>28638.042215876627</v>
      </c>
      <c r="C18" s="19">
        <f>'Private Car Analysis &amp; Split'!E18</f>
        <v>17318.373019010545</v>
      </c>
      <c r="D18" s="5"/>
      <c r="E18" s="19">
        <f>'Private Car Analysis &amp; Split'!R18</f>
        <v>350.7227131875656</v>
      </c>
      <c r="F18" s="21">
        <f t="shared" si="1"/>
        <v>1.2246741957560515E-2</v>
      </c>
      <c r="G18" s="20"/>
      <c r="H18" s="19">
        <f>'Private Car Analysis &amp; Split'!U18</f>
        <v>729.36702385388128</v>
      </c>
      <c r="I18" s="21">
        <f t="shared" si="2"/>
        <v>2.5468466676452063E-2</v>
      </c>
      <c r="J18" s="22"/>
      <c r="K18" s="19">
        <f>'Private Car Analysis &amp; Split'!E18+'Private Car Analysis &amp; Split'!F18-'Private Car Analysis &amp; Split'!R18-'Private Car Analysis &amp; Split'!U18</f>
        <v>27557.952478835181</v>
      </c>
      <c r="L18" s="21">
        <f t="shared" si="3"/>
        <v>0.96228479136598744</v>
      </c>
      <c r="M18" s="22"/>
      <c r="N18" s="19">
        <f>'Private Car Analysis &amp; Split'!P18</f>
        <v>5081.8600827658993</v>
      </c>
      <c r="O18" s="21">
        <f t="shared" si="4"/>
        <v>0.29343749999999957</v>
      </c>
      <c r="P18" s="257"/>
      <c r="Q18" s="14">
        <v>2021</v>
      </c>
      <c r="R18" s="257"/>
      <c r="S18" s="593">
        <f t="shared" si="5"/>
        <v>1.605</v>
      </c>
      <c r="T18" s="24"/>
      <c r="U18" s="24"/>
      <c r="V18" s="114" t="s">
        <v>748</v>
      </c>
      <c r="X18" s="5"/>
      <c r="Y18" s="114" t="s">
        <v>748</v>
      </c>
      <c r="AA18" s="5"/>
      <c r="AB18" s="5"/>
      <c r="AG18" s="17"/>
      <c r="AI18" s="273"/>
    </row>
    <row r="19" spans="1:35" ht="14.4" x14ac:dyDescent="0.3">
      <c r="A19" s="5"/>
      <c r="B19" s="19">
        <f>'Private Car Analysis &amp; Split'!E19+'Private Car Analysis &amp; Split'!F19</f>
        <v>29416.640448743841</v>
      </c>
      <c r="C19" s="19">
        <f>'Private Car Analysis &amp; Split'!E19</f>
        <v>17816.665746760758</v>
      </c>
      <c r="D19" s="5"/>
      <c r="E19" s="19">
        <f>'Private Car Analysis &amp; Split'!R19</f>
        <v>460.55007209017521</v>
      </c>
      <c r="F19" s="21">
        <f t="shared" si="1"/>
        <v>1.5656107055890597E-2</v>
      </c>
      <c r="G19" s="20"/>
      <c r="H19" s="19">
        <f>'Private Car Analysis &amp; Split'!U19</f>
        <v>791.96156358067435</v>
      </c>
      <c r="I19" s="21">
        <f t="shared" si="2"/>
        <v>2.6922230122117596E-2</v>
      </c>
      <c r="J19" s="22"/>
      <c r="K19" s="19">
        <f>'Private Car Analysis &amp; Split'!E19+'Private Car Analysis &amp; Split'!F19-'Private Car Analysis &amp; Split'!R19-'Private Car Analysis &amp; Split'!U19</f>
        <v>28164.128813072992</v>
      </c>
      <c r="L19" s="21">
        <f t="shared" si="3"/>
        <v>0.95742166282199181</v>
      </c>
      <c r="M19" s="22"/>
      <c r="N19" s="19">
        <f>'Private Car Analysis &amp; Split'!P19</f>
        <v>5278.1872274778689</v>
      </c>
      <c r="O19" s="21">
        <f t="shared" si="4"/>
        <v>0.29624999999999968</v>
      </c>
      <c r="P19" s="257"/>
      <c r="Q19" s="14">
        <v>2022</v>
      </c>
      <c r="R19" s="257"/>
      <c r="S19" s="593">
        <f t="shared" si="5"/>
        <v>1.61</v>
      </c>
      <c r="T19" s="24"/>
      <c r="U19" s="24"/>
      <c r="V19" s="5"/>
      <c r="X19" s="5"/>
      <c r="AG19" s="17"/>
      <c r="AI19" s="273"/>
    </row>
    <row r="20" spans="1:35" ht="14.4" x14ac:dyDescent="0.3">
      <c r="A20" s="5"/>
      <c r="B20" s="19">
        <f>'Private Car Analysis &amp; Split'!E20+'Private Car Analysis &amp; Split'!F20</f>
        <v>30209.87703627118</v>
      </c>
      <c r="C20" s="19">
        <f>'Private Car Analysis &amp; Split'!E20</f>
        <v>18321.42455261428</v>
      </c>
      <c r="D20" s="5"/>
      <c r="E20" s="19">
        <f>'Private Car Analysis &amp; Split'!R20</f>
        <v>587.33961864951812</v>
      </c>
      <c r="F20" s="21">
        <f t="shared" si="1"/>
        <v>1.9441973164747901E-2</v>
      </c>
      <c r="G20" s="20"/>
      <c r="H20" s="19">
        <f>'Private Car Analysis &amp; Split'!U20</f>
        <v>848.90721711299648</v>
      </c>
      <c r="I20" s="21">
        <f t="shared" si="2"/>
        <v>2.8100320173225619E-2</v>
      </c>
      <c r="J20" s="22"/>
      <c r="K20" s="19">
        <f>'Private Car Analysis &amp; Split'!E20+'Private Car Analysis &amp; Split'!F20-'Private Car Analysis &amp; Split'!R20-'Private Car Analysis &amp; Split'!U20</f>
        <v>28773.630200508665</v>
      </c>
      <c r="L20" s="21">
        <f t="shared" si="3"/>
        <v>0.95245770666202645</v>
      </c>
      <c r="M20" s="22"/>
      <c r="N20" s="19">
        <f>'Private Car Analysis &amp; Split'!P20</f>
        <v>5479.251030266204</v>
      </c>
      <c r="O20" s="21">
        <f t="shared" si="4"/>
        <v>0.29906249999999979</v>
      </c>
      <c r="P20" s="257"/>
      <c r="Q20" s="14">
        <v>2023</v>
      </c>
      <c r="R20" s="257"/>
      <c r="S20" s="593">
        <f t="shared" si="5"/>
        <v>1.615</v>
      </c>
      <c r="T20" s="24"/>
      <c r="U20" s="620" t="s">
        <v>614</v>
      </c>
      <c r="V20" s="114"/>
      <c r="W20" s="616"/>
      <c r="X20" s="114"/>
      <c r="Y20" s="616"/>
      <c r="Z20" s="616"/>
      <c r="AG20" s="17"/>
      <c r="AI20" s="273"/>
    </row>
    <row r="21" spans="1:35" ht="43.2" x14ac:dyDescent="0.3">
      <c r="A21" s="5"/>
      <c r="B21" s="19">
        <f>'Private Car Analysis &amp; Split'!E21+'Private Car Analysis &amp; Split'!F21</f>
        <v>31018.880927197555</v>
      </c>
      <c r="C21" s="19">
        <f>'Private Car Analysis &amp; Split'!E21</f>
        <v>18834.138522495996</v>
      </c>
      <c r="D21" s="5"/>
      <c r="E21" s="19">
        <f>'Private Car Analysis &amp; Split'!R21</f>
        <v>731.45935649640705</v>
      </c>
      <c r="F21" s="21">
        <f t="shared" si="1"/>
        <v>2.3581100756444724E-2</v>
      </c>
      <c r="G21" s="20"/>
      <c r="H21" s="19">
        <f>'Private Car Analysis &amp; Split'!U21</f>
        <v>900.96363216215923</v>
      </c>
      <c r="I21" s="21">
        <f t="shared" si="2"/>
        <v>2.9045652364982275E-2</v>
      </c>
      <c r="J21" s="22"/>
      <c r="K21" s="19">
        <f>'Private Car Analysis &amp; Split'!E21+'Private Car Analysis &amp; Split'!F21-'Private Car Analysis &amp; Split'!R21-'Private Car Analysis &amp; Split'!U21</f>
        <v>29386.457938538988</v>
      </c>
      <c r="L21" s="21">
        <f t="shared" si="3"/>
        <v>0.94737324687857294</v>
      </c>
      <c r="M21" s="22"/>
      <c r="N21" s="19">
        <f>'Private Car Analysis &amp; Split'!P21</f>
        <v>5685.555566478477</v>
      </c>
      <c r="O21" s="21">
        <f t="shared" si="4"/>
        <v>0.30187499999999989</v>
      </c>
      <c r="P21" s="257"/>
      <c r="Q21" s="14">
        <v>2024</v>
      </c>
      <c r="R21" s="257"/>
      <c r="S21" s="593">
        <f t="shared" si="5"/>
        <v>1.62</v>
      </c>
      <c r="T21" s="24"/>
      <c r="U21" s="621" t="s">
        <v>603</v>
      </c>
      <c r="V21" s="11" t="s">
        <v>267</v>
      </c>
      <c r="W21" s="589" t="s">
        <v>307</v>
      </c>
      <c r="X21" s="5"/>
      <c r="AG21" s="17"/>
      <c r="AI21" s="273"/>
    </row>
    <row r="22" spans="1:35" ht="28.8" x14ac:dyDescent="0.3">
      <c r="A22" s="5"/>
      <c r="B22" s="19">
        <f>'Private Car Analysis &amp; Split'!E22+'Private Car Analysis &amp; Split'!F22</f>
        <v>31821.018927729063</v>
      </c>
      <c r="C22" s="19">
        <f>'Private Car Analysis &amp; Split'!E22</f>
        <v>19332.478692465098</v>
      </c>
      <c r="D22" s="5"/>
      <c r="E22" s="19">
        <f>'Private Car Analysis &amp; Split'!R22</f>
        <v>893.27728926165503</v>
      </c>
      <c r="F22" s="21">
        <f t="shared" si="1"/>
        <v>2.8071926021301815E-2</v>
      </c>
      <c r="G22" s="20"/>
      <c r="H22" s="19">
        <f>'Private Car Analysis &amp; Split'!U22</f>
        <v>948.89045643947429</v>
      </c>
      <c r="I22" s="21">
        <f t="shared" si="2"/>
        <v>2.9819612583574576E-2</v>
      </c>
      <c r="J22" s="22"/>
      <c r="K22" s="19">
        <f>'Private Car Analysis &amp; Split'!E22+'Private Car Analysis &amp; Split'!F22-'Private Car Analysis &amp; Split'!R22-'Private Car Analysis &amp; Split'!U22</f>
        <v>29978.851182027931</v>
      </c>
      <c r="L22" s="21">
        <f t="shared" si="3"/>
        <v>0.9421084613951235</v>
      </c>
      <c r="M22" s="22"/>
      <c r="N22" s="19">
        <f>'Private Car Analysis &amp; Split'!P22</f>
        <v>5890.3646016104594</v>
      </c>
      <c r="O22" s="21">
        <f t="shared" si="4"/>
        <v>0.3046875</v>
      </c>
      <c r="P22" s="257"/>
      <c r="Q22" s="14">
        <v>2025</v>
      </c>
      <c r="R22" s="257"/>
      <c r="S22" s="593">
        <f t="shared" si="5"/>
        <v>1.625</v>
      </c>
      <c r="T22" s="24"/>
      <c r="U22" s="17" t="s">
        <v>561</v>
      </c>
      <c r="V22" s="583">
        <f>AVERAGE($V8*$F$11:$F$47+$Y8*$I$11:$I$47+$AB8*$L$11:$L$47)</f>
        <v>2.3737883005149002E-3</v>
      </c>
      <c r="W22" s="585" t="s">
        <v>570</v>
      </c>
      <c r="X22" s="5"/>
      <c r="Y22" s="5"/>
      <c r="AA22" s="5"/>
      <c r="AB22" s="5"/>
      <c r="AG22" s="17"/>
      <c r="AI22" s="273"/>
    </row>
    <row r="23" spans="1:35" ht="14.4" x14ac:dyDescent="0.3">
      <c r="A23" s="5"/>
      <c r="B23" s="19">
        <f>'Private Car Analysis &amp; Split'!E23+'Private Car Analysis &amp; Split'!F23</f>
        <v>32684.439772158476</v>
      </c>
      <c r="C23" s="19">
        <f>'Private Car Analysis &amp; Split'!E23</f>
        <v>19884.665180034495</v>
      </c>
      <c r="D23" s="5"/>
      <c r="E23" s="19">
        <f>'Private Car Analysis &amp; Split'!R23</f>
        <v>1073.161420576075</v>
      </c>
      <c r="F23" s="21">
        <f t="shared" si="1"/>
        <v>3.2834016065657765E-2</v>
      </c>
      <c r="G23" s="20"/>
      <c r="H23" s="19">
        <f>'Private Car Analysis &amp; Split'!U23</f>
        <v>993.44733765625347</v>
      </c>
      <c r="I23" s="21">
        <f t="shared" si="2"/>
        <v>3.0395115981229081E-2</v>
      </c>
      <c r="J23" s="22"/>
      <c r="K23" s="19">
        <f>'Private Car Analysis &amp; Split'!E23+'Private Car Analysis &amp; Split'!F23-'Private Car Analysis &amp; Split'!R23-'Private Car Analysis &amp; Split'!U23</f>
        <v>30617.831013926148</v>
      </c>
      <c r="L23" s="21">
        <f t="shared" si="3"/>
        <v>0.93677086795311315</v>
      </c>
      <c r="M23" s="22"/>
      <c r="N23" s="19">
        <f>'Private Car Analysis &amp; Split'!P23</f>
        <v>6114.5345428606097</v>
      </c>
      <c r="O23" s="21">
        <f t="shared" si="4"/>
        <v>0.30750000000000011</v>
      </c>
      <c r="P23" s="257"/>
      <c r="Q23" s="14">
        <v>2026</v>
      </c>
      <c r="R23" s="257"/>
      <c r="S23" s="593">
        <f t="shared" si="5"/>
        <v>1.6300000000000001</v>
      </c>
      <c r="T23" s="24"/>
      <c r="U23" s="114" t="s">
        <v>748</v>
      </c>
      <c r="V23" s="577">
        <f>V22/10^9</f>
        <v>2.3737883005149001E-12</v>
      </c>
      <c r="W23" s="585" t="s">
        <v>575</v>
      </c>
      <c r="X23" s="5"/>
      <c r="Y23" s="5"/>
      <c r="AA23" s="5"/>
      <c r="AB23" s="5"/>
      <c r="AG23" s="17"/>
      <c r="AI23" s="273"/>
    </row>
    <row r="24" spans="1:35" ht="14.4" x14ac:dyDescent="0.3">
      <c r="A24" s="5"/>
      <c r="B24" s="19">
        <f>'Private Car Analysis &amp; Split'!E24+'Private Car Analysis &amp; Split'!F24</f>
        <v>33542.637706032838</v>
      </c>
      <c r="C24" s="19">
        <f>'Private Car Analysis &amp; Split'!E24</f>
        <v>20424.135674450576</v>
      </c>
      <c r="D24" s="5"/>
      <c r="E24" s="19">
        <f>'Private Car Analysis &amp; Split'!R24</f>
        <v>1271.4797540704801</v>
      </c>
      <c r="F24" s="21">
        <f t="shared" si="1"/>
        <v>3.7906373530123334E-2</v>
      </c>
      <c r="G24" s="20"/>
      <c r="H24" s="19">
        <f>'Private Car Analysis &amp; Split'!U24</f>
        <v>1035.3939235238076</v>
      </c>
      <c r="I24" s="21">
        <f t="shared" si="2"/>
        <v>3.0867993525076475E-2</v>
      </c>
      <c r="J24" s="22"/>
      <c r="K24" s="19">
        <f>'Private Car Analysis &amp; Split'!E24+'Private Car Analysis &amp; Split'!F24-'Private Car Analysis &amp; Split'!R24-'Private Car Analysis &amp; Split'!U24</f>
        <v>31235.764028438552</v>
      </c>
      <c r="L24" s="21">
        <f t="shared" si="3"/>
        <v>0.93122563294480032</v>
      </c>
      <c r="M24" s="22"/>
      <c r="N24" s="19">
        <f>'Private Car Analysis &amp; Split'!P24</f>
        <v>6337.8646014779479</v>
      </c>
      <c r="O24" s="21">
        <f t="shared" si="4"/>
        <v>0.31031250000000016</v>
      </c>
      <c r="P24" s="257"/>
      <c r="Q24" s="14">
        <v>2027</v>
      </c>
      <c r="R24" s="257"/>
      <c r="S24" s="593">
        <f t="shared" si="5"/>
        <v>1.635</v>
      </c>
      <c r="T24" s="24"/>
      <c r="X24" s="5"/>
      <c r="Y24" s="5"/>
      <c r="AA24" s="5"/>
      <c r="AB24" s="5"/>
      <c r="AG24" s="24"/>
      <c r="AI24" s="273"/>
    </row>
    <row r="25" spans="1:35" ht="28.8" x14ac:dyDescent="0.3">
      <c r="A25" s="5"/>
      <c r="B25" s="19">
        <f>'Private Car Analysis &amp; Split'!E25+'Private Car Analysis &amp; Split'!F25</f>
        <v>34418.715422129055</v>
      </c>
      <c r="C25" s="19">
        <f>'Private Car Analysis &amp; Split'!E25</f>
        <v>20974.072475105808</v>
      </c>
      <c r="D25" s="5"/>
      <c r="E25" s="19">
        <f>'Private Car Analysis &amp; Split'!R25</f>
        <v>1488.6002933756827</v>
      </c>
      <c r="F25" s="21">
        <f t="shared" si="1"/>
        <v>4.3249734196024264E-2</v>
      </c>
      <c r="G25" s="20"/>
      <c r="H25" s="19">
        <f>'Private Car Analysis &amp; Split'!U25</f>
        <v>1075.4898617534493</v>
      </c>
      <c r="I25" s="21">
        <f t="shared" si="2"/>
        <v>3.1247240013553133E-2</v>
      </c>
      <c r="J25" s="22"/>
      <c r="K25" s="19">
        <f>'Private Car Analysis &amp; Split'!E25+'Private Car Analysis &amp; Split'!F25-'Private Car Analysis &amp; Split'!R25-'Private Car Analysis &amp; Split'!U25</f>
        <v>31854.625266999923</v>
      </c>
      <c r="L25" s="21">
        <f t="shared" si="3"/>
        <v>0.92550302579042265</v>
      </c>
      <c r="M25" s="22"/>
      <c r="N25" s="19">
        <f>'Private Car Analysis &amp; Split'!P25</f>
        <v>6567.5064437674937</v>
      </c>
      <c r="O25" s="21">
        <f t="shared" si="4"/>
        <v>0.31312499999999943</v>
      </c>
      <c r="P25" s="257"/>
      <c r="Q25" s="14">
        <v>2028</v>
      </c>
      <c r="R25" s="257"/>
      <c r="S25" s="593">
        <f t="shared" si="5"/>
        <v>1.6400000000000001</v>
      </c>
      <c r="T25" s="24"/>
      <c r="U25" s="17" t="s">
        <v>562</v>
      </c>
      <c r="V25" s="582">
        <f t="array" ref="V25">AVERAGE((1-$V10)*$AB10*$F$11:$F$47+(1-$Y10)*$AB10*$I$11:$I$47+$AB10*$L$11:$L$47)</f>
        <v>51237692.221826769</v>
      </c>
      <c r="W25" s="585" t="s">
        <v>564</v>
      </c>
      <c r="X25" s="5"/>
      <c r="Y25" s="5"/>
      <c r="AA25" s="5"/>
      <c r="AB25" s="5"/>
      <c r="AG25" s="24"/>
      <c r="AI25" s="273"/>
    </row>
    <row r="26" spans="1:35" ht="14.4" x14ac:dyDescent="0.3">
      <c r="A26" s="5"/>
      <c r="B26" s="19">
        <f>'Private Car Analysis &amp; Split'!E26+'Private Car Analysis &amp; Split'!F26</f>
        <v>35313.284005648187</v>
      </c>
      <c r="C26" s="19">
        <f>'Private Car Analysis &amp; Split'!E26</f>
        <v>21535.160206070224</v>
      </c>
      <c r="D26" s="5"/>
      <c r="E26" s="19">
        <f>'Private Car Analysis &amp; Split'!R26</f>
        <v>1724.8910421224964</v>
      </c>
      <c r="F26" s="21">
        <f t="shared" si="1"/>
        <v>4.8845387527441754E-2</v>
      </c>
      <c r="G26" s="20"/>
      <c r="H26" s="19">
        <f>'Private Car Analysis &amp; Split'!U26</f>
        <v>1114.4948000564896</v>
      </c>
      <c r="I26" s="21">
        <f t="shared" si="2"/>
        <v>3.156021399420772E-2</v>
      </c>
      <c r="J26" s="22"/>
      <c r="K26" s="19">
        <f>'Private Car Analysis &amp; Split'!E26+'Private Car Analysis &amp; Split'!F26-'Private Car Analysis &amp; Split'!R26-'Private Car Analysis &amp; Split'!U26</f>
        <v>32473.898163469203</v>
      </c>
      <c r="L26" s="21">
        <f t="shared" si="3"/>
        <v>0.91959439847835056</v>
      </c>
      <c r="M26" s="22"/>
      <c r="N26" s="19">
        <f>'Private Car Analysis &amp; Split'!P26</f>
        <v>6803.7646776053007</v>
      </c>
      <c r="O26" s="21">
        <f t="shared" si="4"/>
        <v>0.31593749999999948</v>
      </c>
      <c r="P26" s="257"/>
      <c r="Q26" s="14">
        <v>2029</v>
      </c>
      <c r="R26" s="257"/>
      <c r="S26" s="593">
        <f t="shared" si="5"/>
        <v>1.645</v>
      </c>
      <c r="T26" s="24"/>
      <c r="U26" s="114" t="s">
        <v>748</v>
      </c>
      <c r="V26" s="578">
        <f>V25/10^9</f>
        <v>5.1237692221826767E-2</v>
      </c>
      <c r="W26" s="585" t="s">
        <v>574</v>
      </c>
      <c r="X26" s="5"/>
      <c r="Y26" s="5"/>
      <c r="AA26" s="5"/>
      <c r="AB26" s="5"/>
      <c r="AG26" s="24"/>
      <c r="AI26" s="273"/>
    </row>
    <row r="27" spans="1:35" ht="14.4" x14ac:dyDescent="0.3">
      <c r="A27" s="5"/>
      <c r="B27" s="19">
        <f>'Private Car Analysis &amp; Split'!E27+'Private Car Analysis &amp; Split'!F27</f>
        <v>36197.164641158866</v>
      </c>
      <c r="C27" s="19">
        <f>'Private Car Analysis &amp; Split'!E27</f>
        <v>22078.30240125674</v>
      </c>
      <c r="D27" s="5"/>
      <c r="E27" s="19">
        <f>'Private Car Analysis &amp; Split'!R27</f>
        <v>1980.7200039417335</v>
      </c>
      <c r="F27" s="21">
        <f t="shared" si="1"/>
        <v>5.4720308167162564E-2</v>
      </c>
      <c r="G27" s="20"/>
      <c r="H27" s="19">
        <f>'Private Car Analysis &amp; Split'!U27</f>
        <v>1153.16838614424</v>
      </c>
      <c r="I27" s="21">
        <f t="shared" si="2"/>
        <v>3.1857975550742497E-2</v>
      </c>
      <c r="J27" s="22"/>
      <c r="K27" s="19">
        <f>'Private Car Analysis &amp; Split'!E27+'Private Car Analysis &amp; Split'!F27-'Private Car Analysis &amp; Split'!R27-'Private Car Analysis &amp; Split'!U27</f>
        <v>33063.276251072886</v>
      </c>
      <c r="L27" s="21">
        <f t="shared" si="3"/>
        <v>0.91342171628209479</v>
      </c>
      <c r="M27" s="22"/>
      <c r="N27" s="19">
        <f>'Private Car Analysis &amp; Split'!P27</f>
        <v>7037.4588904005795</v>
      </c>
      <c r="O27" s="21">
        <f t="shared" si="4"/>
        <v>0.3187499999999997</v>
      </c>
      <c r="P27" s="257"/>
      <c r="Q27" s="14">
        <v>2030</v>
      </c>
      <c r="R27" s="257"/>
      <c r="S27" s="593">
        <f t="shared" si="5"/>
        <v>1.6500000000000001</v>
      </c>
      <c r="T27" s="24"/>
      <c r="U27" s="24"/>
      <c r="V27" s="5"/>
      <c r="X27" s="5"/>
      <c r="Y27" s="5"/>
      <c r="AA27" s="5"/>
      <c r="AB27" s="5"/>
      <c r="AG27" s="24"/>
      <c r="AI27" s="273"/>
    </row>
    <row r="28" spans="1:35" ht="14.4" x14ac:dyDescent="0.3">
      <c r="A28" s="5"/>
      <c r="B28" s="19">
        <f>'Private Car Analysis &amp; Split'!E28+'Private Car Analysis &amp; Split'!F28</f>
        <v>37034.572258455446</v>
      </c>
      <c r="C28" s="19">
        <f>'Private Car Analysis &amp; Split'!E28</f>
        <v>22693.432070020965</v>
      </c>
      <c r="D28" s="5"/>
      <c r="E28" s="19">
        <f>'Private Car Analysis &amp; Split'!R28</f>
        <v>2256.4551824642076</v>
      </c>
      <c r="F28" s="21">
        <f t="shared" si="1"/>
        <v>6.0928344648263931E-2</v>
      </c>
      <c r="G28" s="20"/>
      <c r="H28" s="19">
        <f>'Private Car Analysis &amp; Split'!U28</f>
        <v>1192.2702677280124</v>
      </c>
      <c r="I28" s="21">
        <f t="shared" si="2"/>
        <v>3.2193439670571665E-2</v>
      </c>
      <c r="J28" s="22"/>
      <c r="K28" s="19">
        <f>'Private Car Analysis &amp; Split'!E28+'Private Car Analysis &amp; Split'!F28-'Private Car Analysis &amp; Split'!R28-'Private Car Analysis &amp; Split'!U28</f>
        <v>33585.846808263224</v>
      </c>
      <c r="L28" s="21">
        <f t="shared" si="3"/>
        <v>0.90687821568116433</v>
      </c>
      <c r="M28" s="22"/>
      <c r="N28" s="19">
        <f>'Private Car Analysis &amp; Split'!P28</f>
        <v>7297.3567500161116</v>
      </c>
      <c r="O28" s="21">
        <f t="shared" si="4"/>
        <v>0.32156249999999981</v>
      </c>
      <c r="P28" s="257"/>
      <c r="Q28" s="14">
        <v>2031</v>
      </c>
      <c r="R28" s="257"/>
      <c r="S28" s="593">
        <f t="shared" si="5"/>
        <v>1.655</v>
      </c>
      <c r="T28" s="24"/>
      <c r="U28" s="24"/>
      <c r="V28" s="5"/>
      <c r="X28" s="5"/>
      <c r="Y28" s="5"/>
      <c r="AA28" s="5"/>
      <c r="AB28" s="5"/>
      <c r="AG28" s="24"/>
      <c r="AI28" s="273"/>
    </row>
    <row r="29" spans="1:35" ht="14.4" x14ac:dyDescent="0.3">
      <c r="A29" s="5"/>
      <c r="B29" s="19">
        <f>'Private Car Analysis &amp; Split'!E29+'Private Car Analysis &amp; Split'!F29</f>
        <v>37589.043938689778</v>
      </c>
      <c r="C29" s="19">
        <f>'Private Car Analysis &amp; Split'!E29</f>
        <v>23292.035990760436</v>
      </c>
      <c r="D29" s="5"/>
      <c r="E29" s="19">
        <f>'Private Car Analysis &amp; Split'!R29</f>
        <v>2552.4645813207308</v>
      </c>
      <c r="F29" s="21">
        <f t="shared" si="1"/>
        <v>6.7904482632864235E-2</v>
      </c>
      <c r="G29" s="20"/>
      <c r="H29" s="19">
        <f>'Private Car Analysis &amp; Split'!U29</f>
        <v>1232.5600925191188</v>
      </c>
      <c r="I29" s="21">
        <f t="shared" si="2"/>
        <v>3.279040814471116E-2</v>
      </c>
      <c r="J29" s="22"/>
      <c r="K29" s="19">
        <f>'Private Car Analysis &amp; Split'!E29+'Private Car Analysis &amp; Split'!F29-'Private Car Analysis &amp; Split'!R29-'Private Car Analysis &amp; Split'!U29</f>
        <v>33804.019264849929</v>
      </c>
      <c r="L29" s="21">
        <f t="shared" si="3"/>
        <v>0.89930510922242457</v>
      </c>
      <c r="M29" s="22"/>
      <c r="N29" s="19">
        <f>'Private Car Analysis &amp; Split'!P29</f>
        <v>7555.3541745029142</v>
      </c>
      <c r="O29" s="21">
        <f t="shared" si="4"/>
        <v>0.32437499999999991</v>
      </c>
      <c r="P29" s="257"/>
      <c r="Q29" s="14">
        <v>2032</v>
      </c>
      <c r="R29" s="257"/>
      <c r="S29" s="593">
        <f t="shared" si="5"/>
        <v>1.6600000000000001</v>
      </c>
      <c r="T29" s="24"/>
      <c r="U29" s="24"/>
      <c r="V29" s="5"/>
      <c r="X29" s="5"/>
      <c r="Y29" s="5"/>
      <c r="AA29" s="5"/>
      <c r="AB29" s="5"/>
      <c r="AG29" s="24"/>
      <c r="AI29" s="273"/>
    </row>
    <row r="30" spans="1:35" ht="14.4" x14ac:dyDescent="0.3">
      <c r="A30" s="5"/>
      <c r="B30" s="19">
        <f>'Private Car Analysis &amp; Split'!E30+'Private Car Analysis &amp; Split'!F30</f>
        <v>38163.585094369555</v>
      </c>
      <c r="C30" s="19">
        <f>'Private Car Analysis &amp; Split'!E30</f>
        <v>23904.905243256304</v>
      </c>
      <c r="D30" s="5"/>
      <c r="E30" s="19">
        <f>'Private Car Analysis &amp; Split'!R30</f>
        <v>2869.1162041421167</v>
      </c>
      <c r="F30" s="21">
        <f t="shared" si="1"/>
        <v>7.5179420304656075E-2</v>
      </c>
      <c r="G30" s="20"/>
      <c r="H30" s="19">
        <f>'Private Car Analysis &amp; Split'!U30</f>
        <v>1274.7975082288701</v>
      </c>
      <c r="I30" s="21">
        <f t="shared" si="2"/>
        <v>3.3403505071040791E-2</v>
      </c>
      <c r="J30" s="22"/>
      <c r="K30" s="19">
        <f>'Private Car Analysis &amp; Split'!E30+'Private Car Analysis &amp; Split'!F30-'Private Car Analysis &amp; Split'!R30-'Private Car Analysis &amp; Split'!U30</f>
        <v>34019.671381998567</v>
      </c>
      <c r="L30" s="21">
        <f t="shared" si="3"/>
        <v>0.89141707462430309</v>
      </c>
      <c r="M30" s="22"/>
      <c r="N30" s="19">
        <f>'Private Car Analysis &amp; Split'!P30</f>
        <v>7821.3861842779206</v>
      </c>
      <c r="O30" s="21">
        <f t="shared" si="4"/>
        <v>0.32718749999999996</v>
      </c>
      <c r="P30" s="257"/>
      <c r="Q30" s="14">
        <v>2033</v>
      </c>
      <c r="R30" s="257"/>
      <c r="S30" s="593">
        <f t="shared" si="5"/>
        <v>1.665</v>
      </c>
      <c r="T30" s="24"/>
      <c r="U30" s="24"/>
      <c r="V30" s="5"/>
      <c r="X30" s="5"/>
      <c r="Y30" s="5"/>
      <c r="AA30" s="5"/>
      <c r="AB30" s="5"/>
      <c r="AG30" s="24"/>
      <c r="AI30" s="273"/>
    </row>
    <row r="31" spans="1:35" ht="14.4" x14ac:dyDescent="0.3">
      <c r="A31" s="5"/>
      <c r="B31" s="19">
        <f>'Private Car Analysis &amp; Split'!E31+'Private Car Analysis &amp; Split'!F31</f>
        <v>38759.698606916209</v>
      </c>
      <c r="C31" s="19">
        <f>'Private Car Analysis &amp; Split'!E31</f>
        <v>24533.209541511569</v>
      </c>
      <c r="D31" s="5"/>
      <c r="E31" s="19">
        <f>'Private Car Analysis &amp; Split'!R31</f>
        <v>3206.7780545591777</v>
      </c>
      <c r="F31" s="21">
        <f t="shared" si="1"/>
        <v>8.2734855270184329E-2</v>
      </c>
      <c r="G31" s="20"/>
      <c r="H31" s="19">
        <f>'Private Car Analysis &amp; Split'!U31</f>
        <v>1319.7421625685781</v>
      </c>
      <c r="I31" s="21">
        <f t="shared" si="2"/>
        <v>3.4049340165227336E-2</v>
      </c>
      <c r="J31" s="22"/>
      <c r="K31" s="19">
        <f>'Private Car Analysis &amp; Split'!E31+'Private Car Analysis &amp; Split'!F31-'Private Car Analysis &amp; Split'!R31-'Private Car Analysis &amp; Split'!U31</f>
        <v>34233.178389788452</v>
      </c>
      <c r="L31" s="21">
        <f t="shared" si="3"/>
        <v>0.88321580456458837</v>
      </c>
      <c r="M31" s="22"/>
      <c r="N31" s="19">
        <f>'Private Car Analysis &amp; Split'!P31</f>
        <v>8095.9591486988202</v>
      </c>
      <c r="O31" s="21">
        <f t="shared" si="4"/>
        <v>0.33000000000000007</v>
      </c>
      <c r="P31" s="257"/>
      <c r="Q31" s="14">
        <v>2034</v>
      </c>
      <c r="R31" s="257"/>
      <c r="S31" s="593">
        <f t="shared" si="5"/>
        <v>1.67</v>
      </c>
      <c r="T31" s="24"/>
      <c r="U31" s="24"/>
      <c r="V31" s="5"/>
      <c r="X31" s="5"/>
      <c r="Y31" s="5"/>
      <c r="AA31" s="5"/>
      <c r="AB31" s="5"/>
      <c r="AG31" s="24"/>
      <c r="AI31" s="273"/>
    </row>
    <row r="32" spans="1:35" ht="14.4" x14ac:dyDescent="0.3">
      <c r="A32" s="5"/>
      <c r="B32" s="19">
        <f>'Private Car Analysis &amp; Split'!E32+'Private Car Analysis &amp; Split'!F32</f>
        <v>39342.408973519407</v>
      </c>
      <c r="C32" s="19">
        <f>'Private Car Analysis &amp; Split'!E32</f>
        <v>25150.459322866525</v>
      </c>
      <c r="D32" s="5"/>
      <c r="E32" s="19">
        <f>'Private Car Analysis &amp; Split'!R32</f>
        <v>3565.8181362027276</v>
      </c>
      <c r="F32" s="21">
        <f t="shared" si="1"/>
        <v>9.0635480369359409E-2</v>
      </c>
      <c r="G32" s="20"/>
      <c r="H32" s="19">
        <f>'Private Car Analysis &amp; Split'!U32</f>
        <v>1368.1537032495548</v>
      </c>
      <c r="I32" s="21">
        <f t="shared" si="2"/>
        <v>3.4775544735210086E-2</v>
      </c>
      <c r="J32" s="22"/>
      <c r="K32" s="19">
        <f>'Private Car Analysis &amp; Split'!E32+'Private Car Analysis &amp; Split'!F32-'Private Car Analysis &amp; Split'!R32-'Private Car Analysis &amp; Split'!U32</f>
        <v>34408.437134067128</v>
      </c>
      <c r="L32" s="21">
        <f t="shared" si="3"/>
        <v>0.87458897489543064</v>
      </c>
      <c r="M32" s="22"/>
      <c r="N32" s="19">
        <f>'Private Car Analysis &amp; Split'!P32</f>
        <v>8370.3872433915203</v>
      </c>
      <c r="O32" s="21">
        <f t="shared" si="4"/>
        <v>0.33281250000000018</v>
      </c>
      <c r="P32" s="257"/>
      <c r="Q32" s="14">
        <v>2035</v>
      </c>
      <c r="R32" s="257"/>
      <c r="S32" s="593">
        <f t="shared" si="5"/>
        <v>1.675</v>
      </c>
      <c r="T32" s="24"/>
      <c r="U32" s="24"/>
      <c r="V32" s="5"/>
      <c r="X32" s="5"/>
      <c r="Y32" s="5"/>
      <c r="AA32" s="5"/>
      <c r="AB32" s="5"/>
      <c r="AG32" s="24"/>
      <c r="AI32" s="273"/>
    </row>
    <row r="33" spans="1:35" ht="14.4" x14ac:dyDescent="0.3">
      <c r="A33" s="5"/>
      <c r="B33" s="19">
        <f>'Private Car Analysis &amp; Split'!E33+'Private Car Analysis &amp; Split'!F33</f>
        <v>40032.099518585739</v>
      </c>
      <c r="C33" s="19">
        <f>'Private Car Analysis &amp; Split'!E33</f>
        <v>25840.152933238784</v>
      </c>
      <c r="D33" s="5"/>
      <c r="E33" s="19">
        <f>'Private Car Analysis &amp; Split'!R33</f>
        <v>3946.6044527035779</v>
      </c>
      <c r="F33" s="21">
        <f t="shared" si="1"/>
        <v>9.8585997241320916E-2</v>
      </c>
      <c r="G33" s="20"/>
      <c r="H33" s="19">
        <f>'Private Car Analysis &amp; Split'!U33</f>
        <v>1420.7917779831116</v>
      </c>
      <c r="I33" s="21">
        <f t="shared" si="2"/>
        <v>3.5491313097967277E-2</v>
      </c>
      <c r="J33" s="22"/>
      <c r="K33" s="19">
        <f>'Private Car Analysis &amp; Split'!E33+'Private Car Analysis &amp; Split'!F33-'Private Car Analysis &amp; Split'!R33-'Private Car Analysis &amp; Split'!U33</f>
        <v>34664.70328789905</v>
      </c>
      <c r="L33" s="21">
        <f t="shared" si="3"/>
        <v>0.86592268966071184</v>
      </c>
      <c r="M33" s="22"/>
      <c r="N33" s="19">
        <f>'Private Car Analysis &amp; Split'!P33</f>
        <v>8672.6013282182521</v>
      </c>
      <c r="O33" s="21">
        <f t="shared" si="4"/>
        <v>0.33562499999999945</v>
      </c>
      <c r="P33" s="257"/>
      <c r="Q33" s="14">
        <v>2036</v>
      </c>
      <c r="R33" s="257"/>
      <c r="S33" s="593">
        <f t="shared" si="5"/>
        <v>1.68</v>
      </c>
      <c r="T33" s="24"/>
      <c r="U33" s="24"/>
      <c r="V33" s="5"/>
      <c r="X33" s="5"/>
      <c r="Y33" s="5"/>
      <c r="AA33" s="5"/>
      <c r="AB33" s="5"/>
      <c r="AG33" s="24"/>
      <c r="AI33" s="273"/>
    </row>
    <row r="34" spans="1:35" ht="14.4" x14ac:dyDescent="0.3">
      <c r="A34" s="5"/>
      <c r="B34" s="19">
        <f>'Private Car Analysis &amp; Split'!E34+'Private Car Analysis &amp; Split'!F34</f>
        <v>40711.398496215552</v>
      </c>
      <c r="C34" s="19">
        <f>'Private Car Analysis &amp; Split'!E34</f>
        <v>26520.270103371797</v>
      </c>
      <c r="D34" s="5"/>
      <c r="E34" s="19">
        <f>'Private Car Analysis &amp; Split'!R34</f>
        <v>4349.5050076925427</v>
      </c>
      <c r="F34" s="21">
        <f t="shared" si="1"/>
        <v>0.10683752384720617</v>
      </c>
      <c r="G34" s="20"/>
      <c r="H34" s="19">
        <f>'Private Car Analysis &amp; Split'!U34</f>
        <v>1478.4160344805603</v>
      </c>
      <c r="I34" s="21">
        <f t="shared" si="2"/>
        <v>3.6314547991221448E-2</v>
      </c>
      <c r="J34" s="22"/>
      <c r="K34" s="19">
        <f>'Private Car Analysis &amp; Split'!E34+'Private Car Analysis &amp; Split'!F34-'Private Car Analysis &amp; Split'!R34-'Private Car Analysis &amp; Split'!U34</f>
        <v>34883.477454042455</v>
      </c>
      <c r="L34" s="21">
        <f t="shared" si="3"/>
        <v>0.85684792816157251</v>
      </c>
      <c r="M34" s="22"/>
      <c r="N34" s="19">
        <f>'Private Car Analysis &amp; Split'!P34</f>
        <v>8975.4539131098791</v>
      </c>
      <c r="O34" s="21">
        <f t="shared" si="4"/>
        <v>0.3384374999999995</v>
      </c>
      <c r="P34" s="257"/>
      <c r="Q34" s="14">
        <v>2037</v>
      </c>
      <c r="R34" s="257"/>
      <c r="S34" s="593">
        <f t="shared" si="5"/>
        <v>1.6850000000000001</v>
      </c>
      <c r="T34" s="24"/>
      <c r="U34" s="24"/>
      <c r="V34" s="5"/>
      <c r="X34" s="5"/>
      <c r="Y34" s="5"/>
      <c r="AA34" s="5"/>
      <c r="AB34" s="5"/>
      <c r="AG34" s="24"/>
      <c r="AI34" s="273"/>
    </row>
    <row r="35" spans="1:35" ht="14.4" x14ac:dyDescent="0.3">
      <c r="A35" s="5"/>
      <c r="B35" s="19">
        <f>'Private Car Analysis &amp; Split'!E35+'Private Car Analysis &amp; Split'!F35</f>
        <v>41408.258872660961</v>
      </c>
      <c r="C35" s="19">
        <f>'Private Car Analysis &amp; Split'!E35</f>
        <v>27218.877742009878</v>
      </c>
      <c r="D35" s="5"/>
      <c r="E35" s="19">
        <f>'Private Car Analysis &amp; Split'!R35</f>
        <v>4774.8878048004353</v>
      </c>
      <c r="F35" s="21">
        <f t="shared" si="1"/>
        <v>0.11531245057862037</v>
      </c>
      <c r="G35" s="20"/>
      <c r="H35" s="19">
        <f>'Private Car Analysis &amp; Split'!U35</f>
        <v>1541.7861204532123</v>
      </c>
      <c r="I35" s="21">
        <f t="shared" si="2"/>
        <v>3.7233782883615715E-2</v>
      </c>
      <c r="J35" s="22"/>
      <c r="K35" s="19">
        <f>'Private Car Analysis &amp; Split'!E35+'Private Car Analysis &amp; Split'!F35-'Private Car Analysis &amp; Split'!R35-'Private Car Analysis &amp; Split'!U35</f>
        <v>35091.584947407318</v>
      </c>
      <c r="L35" s="21">
        <f t="shared" si="3"/>
        <v>0.84745376653776405</v>
      </c>
      <c r="M35" s="22"/>
      <c r="N35" s="19">
        <f>'Private Car Analysis &amp; Split'!P35</f>
        <v>9288.4420294608608</v>
      </c>
      <c r="O35" s="21">
        <f t="shared" si="4"/>
        <v>0.34124999999999961</v>
      </c>
      <c r="P35" s="257"/>
      <c r="Q35" s="14">
        <v>2038</v>
      </c>
      <c r="R35" s="257"/>
      <c r="S35" s="593">
        <f t="shared" si="5"/>
        <v>1.69</v>
      </c>
      <c r="T35" s="24"/>
      <c r="U35" s="24"/>
      <c r="V35" s="5"/>
      <c r="X35" s="5"/>
      <c r="Y35" s="5"/>
      <c r="AA35" s="5"/>
      <c r="AB35" s="5"/>
      <c r="AG35" s="24"/>
      <c r="AI35" s="273"/>
    </row>
    <row r="36" spans="1:35" ht="14.4" x14ac:dyDescent="0.3">
      <c r="A36" s="5"/>
      <c r="B36" s="19">
        <f>'Private Car Analysis &amp; Split'!E36+'Private Car Analysis &amp; Split'!F36</f>
        <v>42202.359670109247</v>
      </c>
      <c r="C36" s="19">
        <f>'Private Car Analysis &amp; Split'!E36</f>
        <v>27936.358875617902</v>
      </c>
      <c r="D36" s="5"/>
      <c r="E36" s="19">
        <f>'Private Car Analysis &amp; Split'!R36</f>
        <v>5223.1208476580669</v>
      </c>
      <c r="F36" s="21">
        <f t="shared" si="1"/>
        <v>0.12376371578477062</v>
      </c>
      <c r="G36" s="20"/>
      <c r="H36" s="19">
        <f>'Private Car Analysis &amp; Split'!U36</f>
        <v>1611.6616836123792</v>
      </c>
      <c r="I36" s="21">
        <f t="shared" si="2"/>
        <v>3.8188899772679634E-2</v>
      </c>
      <c r="J36" s="22"/>
      <c r="K36" s="19">
        <f>'Private Car Analysis &amp; Split'!E36+'Private Car Analysis &amp; Split'!F36-'Private Car Analysis &amp; Split'!R36-'Private Car Analysis &amp; Split'!U36</f>
        <v>35367.577138838802</v>
      </c>
      <c r="L36" s="21">
        <f t="shared" si="3"/>
        <v>0.83804738444254978</v>
      </c>
      <c r="M36" s="22"/>
      <c r="N36" s="19">
        <f>'Private Car Analysis &amp; Split'!P36</f>
        <v>9611.8534756422778</v>
      </c>
      <c r="O36" s="21">
        <f t="shared" si="4"/>
        <v>0.34406249999999977</v>
      </c>
      <c r="P36" s="257"/>
      <c r="Q36" s="14">
        <v>2039</v>
      </c>
      <c r="R36" s="257"/>
      <c r="S36" s="593">
        <f t="shared" si="5"/>
        <v>1.6950000000000001</v>
      </c>
      <c r="T36" s="24"/>
      <c r="U36" s="24"/>
      <c r="V36" s="5"/>
      <c r="X36" s="5"/>
      <c r="Y36" s="5"/>
      <c r="AA36" s="5"/>
      <c r="AB36" s="5"/>
      <c r="AG36" s="24"/>
      <c r="AI36" s="273"/>
    </row>
    <row r="37" spans="1:35" ht="14.4" x14ac:dyDescent="0.3">
      <c r="A37" s="5"/>
      <c r="B37" s="19">
        <f>'Private Car Analysis &amp; Split'!E37+'Private Car Analysis &amp; Split'!F37</f>
        <v>43111.09551724224</v>
      </c>
      <c r="C37" s="19">
        <f>'Private Car Analysis &amp; Split'!E37</f>
        <v>28689.651206741459</v>
      </c>
      <c r="D37" s="5"/>
      <c r="E37" s="19">
        <f>'Private Car Analysis &amp; Split'!R37</f>
        <v>5694.5721398962514</v>
      </c>
      <c r="F37" s="21">
        <f t="shared" si="1"/>
        <v>0.13209063865284315</v>
      </c>
      <c r="G37" s="20"/>
      <c r="H37" s="19">
        <f>'Private Car Analysis &amp; Split'!U37</f>
        <v>1688.8023716693722</v>
      </c>
      <c r="I37" s="21">
        <f t="shared" si="2"/>
        <v>3.9173265058734995E-2</v>
      </c>
      <c r="J37" s="22"/>
      <c r="K37" s="19">
        <f>'Private Car Analysis &amp; Split'!E37+'Private Car Analysis &amp; Split'!F37-'Private Car Analysis &amp; Split'!R37-'Private Car Analysis &amp; Split'!U37</f>
        <v>35727.72100567662</v>
      </c>
      <c r="L37" s="21">
        <f t="shared" si="3"/>
        <v>0.82873609628842193</v>
      </c>
      <c r="M37" s="22"/>
      <c r="N37" s="19">
        <f>'Private Car Analysis &amp; Split'!P37</f>
        <v>9951.722762338437</v>
      </c>
      <c r="O37" s="21">
        <f t="shared" si="4"/>
        <v>0.34687499999999977</v>
      </c>
      <c r="P37" s="257"/>
      <c r="Q37" s="14">
        <v>2040</v>
      </c>
      <c r="R37" s="257"/>
      <c r="S37" s="593">
        <f t="shared" si="5"/>
        <v>1.7</v>
      </c>
      <c r="T37" s="24"/>
      <c r="U37" s="24"/>
      <c r="V37" s="5"/>
      <c r="X37" s="5"/>
      <c r="Y37" s="5"/>
      <c r="AA37" s="5"/>
      <c r="AB37" s="5"/>
      <c r="AG37" s="24"/>
      <c r="AI37" s="273"/>
    </row>
    <row r="38" spans="1:35" ht="14.4" x14ac:dyDescent="0.3">
      <c r="A38" s="5"/>
      <c r="B38" s="19">
        <f>'Private Car Analysis &amp; Split'!E38+'Private Car Analysis &amp; Split'!F38</f>
        <v>44153.054078436428</v>
      </c>
      <c r="C38" s="19">
        <f>'Private Car Analysis &amp; Split'!E38</f>
        <v>29429.778010582271</v>
      </c>
      <c r="D38" s="5"/>
      <c r="E38" s="19">
        <f>'Private Car Analysis &amp; Split'!R38</f>
        <v>6189.6096851458024</v>
      </c>
      <c r="F38" s="21">
        <f t="shared" si="1"/>
        <v>0.14018531253014044</v>
      </c>
      <c r="G38" s="20"/>
      <c r="H38" s="19">
        <f>'Private Car Analysis &amp; Split'!U38</f>
        <v>1773.9678323355033</v>
      </c>
      <c r="I38" s="21">
        <f t="shared" si="2"/>
        <v>4.0177692559706261E-2</v>
      </c>
      <c r="J38" s="22"/>
      <c r="K38" s="19">
        <f>'Private Car Analysis &amp; Split'!E38+'Private Car Analysis &amp; Split'!F38-'Private Car Analysis &amp; Split'!R38-'Private Car Analysis &amp; Split'!U38</f>
        <v>36189.476560955125</v>
      </c>
      <c r="L38" s="21">
        <f t="shared" si="3"/>
        <v>0.8196369949101534</v>
      </c>
      <c r="M38" s="22"/>
      <c r="N38" s="19">
        <f>'Private Car Analysis &amp; Split'!P38</f>
        <v>10291.225498075484</v>
      </c>
      <c r="O38" s="21">
        <f t="shared" si="4"/>
        <v>0.34968749999999987</v>
      </c>
      <c r="P38" s="257"/>
      <c r="Q38" s="14">
        <v>2041</v>
      </c>
      <c r="R38" s="257"/>
      <c r="S38" s="593">
        <f t="shared" si="5"/>
        <v>1.7050000000000001</v>
      </c>
      <c r="T38" s="24"/>
      <c r="U38" s="24"/>
      <c r="V38" s="5"/>
      <c r="X38" s="5"/>
      <c r="Y38" s="5"/>
      <c r="AA38" s="5"/>
      <c r="AB38" s="5"/>
      <c r="AG38" s="24"/>
      <c r="AI38" s="273"/>
    </row>
    <row r="39" spans="1:35" ht="14.4" x14ac:dyDescent="0.3">
      <c r="A39" s="5"/>
      <c r="B39" s="19">
        <f>'Private Car Analysis &amp; Split'!E39+'Private Car Analysis &amp; Split'!F39</f>
        <v>45280.371243004003</v>
      </c>
      <c r="C39" s="19">
        <f>'Private Car Analysis &amp; Split'!E39</f>
        <v>30206.95315717901</v>
      </c>
      <c r="D39" s="5"/>
      <c r="E39" s="19">
        <f>'Private Car Analysis &amp; Split'!R39</f>
        <v>6708.601487037532</v>
      </c>
      <c r="F39" s="21">
        <f t="shared" si="1"/>
        <v>0.14815694533586754</v>
      </c>
      <c r="G39" s="20"/>
      <c r="H39" s="19">
        <f>'Private Car Analysis &amp; Split'!U39</f>
        <v>1867.9177133220844</v>
      </c>
      <c r="I39" s="21">
        <f t="shared" si="2"/>
        <v>4.1252261455579059E-2</v>
      </c>
      <c r="J39" s="22"/>
      <c r="K39" s="19">
        <f>'Private Car Analysis &amp; Split'!E39+'Private Car Analysis &amp; Split'!F39-'Private Car Analysis &amp; Split'!R39-'Private Car Analysis &amp; Split'!U39</f>
        <v>36703.852042644387</v>
      </c>
      <c r="L39" s="21">
        <f t="shared" si="3"/>
        <v>0.81059079320855343</v>
      </c>
      <c r="M39" s="22"/>
      <c r="N39" s="19">
        <f>'Private Car Analysis &amp; Split'!P39</f>
        <v>10647.950987905604</v>
      </c>
      <c r="O39" s="21">
        <f t="shared" si="4"/>
        <v>0.35250000000000009</v>
      </c>
      <c r="P39" s="257"/>
      <c r="Q39" s="14">
        <v>2042</v>
      </c>
      <c r="R39" s="257"/>
      <c r="S39" s="593">
        <f t="shared" si="5"/>
        <v>1.71</v>
      </c>
      <c r="T39" s="24"/>
      <c r="U39" s="24"/>
      <c r="V39" s="5"/>
      <c r="X39" s="5"/>
      <c r="Y39" s="5"/>
      <c r="AA39" s="5"/>
      <c r="AB39" s="5"/>
      <c r="AG39" s="24"/>
      <c r="AI39" s="273"/>
    </row>
    <row r="40" spans="1:35" ht="14.4" x14ac:dyDescent="0.3">
      <c r="A40" s="5"/>
      <c r="B40" s="19">
        <f>'Private Car Analysis &amp; Split'!E40+'Private Car Analysis &amp; Split'!F40</f>
        <v>46473.16759002352</v>
      </c>
      <c r="C40" s="19">
        <f>'Private Car Analysis &amp; Split'!E40</f>
        <v>31005.181954132266</v>
      </c>
      <c r="D40" s="5"/>
      <c r="E40" s="19">
        <f>'Private Car Analysis &amp; Split'!R40</f>
        <v>7251.9155492022528</v>
      </c>
      <c r="F40" s="21">
        <f t="shared" si="1"/>
        <v>0.15604521760119994</v>
      </c>
      <c r="G40" s="20"/>
      <c r="H40" s="19">
        <f>'Private Car Analysis &amp; Split'!U40</f>
        <v>1971.4116623404273</v>
      </c>
      <c r="I40" s="21">
        <f t="shared" si="2"/>
        <v>4.2420428057149129E-2</v>
      </c>
      <c r="J40" s="22"/>
      <c r="K40" s="19">
        <f>'Private Car Analysis &amp; Split'!E40+'Private Car Analysis &amp; Split'!F40-'Private Car Analysis &amp; Split'!R40-'Private Car Analysis &amp; Split'!U40</f>
        <v>37249.84037848084</v>
      </c>
      <c r="L40" s="21">
        <f t="shared" si="3"/>
        <v>0.80153435434165088</v>
      </c>
      <c r="M40" s="22"/>
      <c r="N40" s="19">
        <f>'Private Car Analysis &amp; Split'!P40</f>
        <v>11016.528713077625</v>
      </c>
      <c r="O40" s="21">
        <f t="shared" si="4"/>
        <v>0.35531250000000014</v>
      </c>
      <c r="P40" s="257"/>
      <c r="Q40" s="14">
        <v>2043</v>
      </c>
      <c r="R40" s="257"/>
      <c r="S40" s="593">
        <f t="shared" si="5"/>
        <v>1.7150000000000001</v>
      </c>
      <c r="T40" s="24"/>
      <c r="U40" s="24"/>
      <c r="V40" s="5"/>
      <c r="X40" s="5"/>
      <c r="Y40" s="5"/>
      <c r="AA40" s="5"/>
      <c r="AB40" s="5"/>
      <c r="AG40" s="24"/>
      <c r="AI40" s="273"/>
    </row>
    <row r="41" spans="1:35" ht="14.4" x14ac:dyDescent="0.3">
      <c r="A41" s="5"/>
      <c r="B41" s="19">
        <f>'Private Car Analysis &amp; Split'!E41+'Private Car Analysis &amp; Split'!F41</f>
        <v>47803.451018629952</v>
      </c>
      <c r="C41" s="19">
        <f>'Private Car Analysis &amp; Split'!E41</f>
        <v>31824.973434706404</v>
      </c>
      <c r="D41" s="5"/>
      <c r="E41" s="19">
        <f>'Private Car Analysis &amp; Split'!R41</f>
        <v>7819.9198752707789</v>
      </c>
      <c r="F41" s="21">
        <f t="shared" si="1"/>
        <v>0.16358483976864352</v>
      </c>
      <c r="G41" s="20"/>
      <c r="H41" s="19">
        <f>'Private Car Analysis &amp; Split'!U41</f>
        <v>2085.209327101843</v>
      </c>
      <c r="I41" s="21">
        <f t="shared" si="2"/>
        <v>4.3620476820579242E-2</v>
      </c>
      <c r="J41" s="22"/>
      <c r="K41" s="19">
        <f>'Private Car Analysis &amp; Split'!E41+'Private Car Analysis &amp; Split'!F41-'Private Car Analysis &amp; Split'!R41-'Private Car Analysis &amp; Split'!U41</f>
        <v>37898.321816257325</v>
      </c>
      <c r="L41" s="21">
        <f t="shared" si="3"/>
        <v>0.79279468341077719</v>
      </c>
      <c r="M41" s="22"/>
      <c r="N41" s="19">
        <f>'Private Car Analysis &amp; Split'!P41</f>
        <v>11397.31861130421</v>
      </c>
      <c r="O41" s="21">
        <f t="shared" si="4"/>
        <v>0.35812499999999936</v>
      </c>
      <c r="P41" s="257"/>
      <c r="Q41" s="14">
        <v>2044</v>
      </c>
      <c r="R41" s="257"/>
      <c r="S41" s="593">
        <f t="shared" si="5"/>
        <v>1.72</v>
      </c>
      <c r="T41" s="24"/>
      <c r="U41" s="24"/>
      <c r="V41" s="24"/>
      <c r="W41" s="24"/>
      <c r="X41" s="24"/>
      <c r="Y41" s="24"/>
      <c r="Z41" s="24"/>
      <c r="AA41" s="24"/>
      <c r="AB41" s="24"/>
      <c r="AC41" s="24"/>
      <c r="AD41" s="24"/>
      <c r="AE41" s="24"/>
      <c r="AF41" s="24"/>
      <c r="AG41" s="24"/>
      <c r="AH41" s="24"/>
      <c r="AI41" s="273"/>
    </row>
    <row r="42" spans="1:35" ht="14.4" x14ac:dyDescent="0.3">
      <c r="A42" s="5"/>
      <c r="B42" s="19">
        <f>'Private Car Analysis &amp; Split'!E42+'Private Car Analysis &amp; Split'!F42</f>
        <v>49209.465343099153</v>
      </c>
      <c r="C42" s="19">
        <f>'Private Car Analysis &amp; Split'!E42</f>
        <v>32717.206419468068</v>
      </c>
      <c r="D42" s="5"/>
      <c r="E42" s="19">
        <f>'Private Car Analysis &amp; Split'!R42</f>
        <v>8412.9824688739209</v>
      </c>
      <c r="F42" s="21">
        <f t="shared" si="1"/>
        <v>0.17096268797510331</v>
      </c>
      <c r="G42" s="20"/>
      <c r="H42" s="19">
        <f>'Private Car Analysis &amp; Split'!U42</f>
        <v>2210.0703553176431</v>
      </c>
      <c r="I42" s="21">
        <f t="shared" si="2"/>
        <v>4.4911488875332202E-2</v>
      </c>
      <c r="J42" s="22"/>
      <c r="K42" s="19">
        <f>'Private Car Analysis &amp; Split'!E42+'Private Car Analysis &amp; Split'!F42-'Private Car Analysis &amp; Split'!R42-'Private Car Analysis &amp; Split'!U42</f>
        <v>38586.412518907586</v>
      </c>
      <c r="L42" s="21">
        <f t="shared" si="3"/>
        <v>0.78412582314956447</v>
      </c>
      <c r="M42" s="22"/>
      <c r="N42" s="19">
        <f>'Private Car Analysis &amp; Split'!P42</f>
        <v>11808.866692026739</v>
      </c>
      <c r="O42" s="21">
        <f t="shared" si="4"/>
        <v>0.36093749999999947</v>
      </c>
      <c r="P42" s="257"/>
      <c r="Q42" s="14">
        <v>2045</v>
      </c>
      <c r="R42" s="257"/>
      <c r="S42" s="593">
        <f t="shared" si="5"/>
        <v>1.7250000000000001</v>
      </c>
      <c r="T42" s="24"/>
      <c r="U42" s="24"/>
      <c r="V42" s="24"/>
      <c r="W42" s="24"/>
      <c r="X42" s="24"/>
      <c r="Y42" s="24"/>
      <c r="Z42" s="24"/>
      <c r="AA42" s="24"/>
      <c r="AB42" s="24"/>
      <c r="AC42" s="24"/>
      <c r="AD42" s="24"/>
      <c r="AE42" s="24"/>
      <c r="AF42" s="24"/>
      <c r="AG42" s="24"/>
      <c r="AH42" s="24"/>
      <c r="AI42" s="273"/>
    </row>
    <row r="43" spans="1:35" ht="14.4" x14ac:dyDescent="0.3">
      <c r="A43" s="5"/>
      <c r="B43" s="19">
        <f>'Private Car Analysis &amp; Split'!E43+'Private Car Analysis &amp; Split'!F43</f>
        <v>50540.439683097589</v>
      </c>
      <c r="C43" s="19">
        <f>'Private Car Analysis &amp; Split'!E43</f>
        <v>33531.208047640488</v>
      </c>
      <c r="D43" s="5"/>
      <c r="E43" s="19">
        <f>'Private Car Analysis &amp; Split'!R43</f>
        <v>9031.4713336424975</v>
      </c>
      <c r="F43" s="21">
        <f t="shared" si="1"/>
        <v>0.17869791775204763</v>
      </c>
      <c r="G43" s="20"/>
      <c r="H43" s="19">
        <f>'Private Car Analysis &amp; Split'!U43</f>
        <v>2346.7543946991395</v>
      </c>
      <c r="I43" s="21">
        <f t="shared" si="2"/>
        <v>4.6433201005253076E-2</v>
      </c>
      <c r="J43" s="22"/>
      <c r="K43" s="19">
        <f>'Private Car Analysis &amp; Split'!E43+'Private Car Analysis &amp; Split'!F43-'Private Car Analysis &amp; Split'!R43-'Private Car Analysis &amp; Split'!U43</f>
        <v>39162.213954755949</v>
      </c>
      <c r="L43" s="21">
        <f t="shared" si="3"/>
        <v>0.77486888124269926</v>
      </c>
      <c r="M43" s="22"/>
      <c r="N43" s="19">
        <f>'Private Car Analysis &amp; Split'!P43</f>
        <v>12196.976927329213</v>
      </c>
      <c r="O43" s="21">
        <f t="shared" si="4"/>
        <v>0.36374999999999957</v>
      </c>
      <c r="P43" s="257"/>
      <c r="Q43" s="14">
        <v>2046</v>
      </c>
      <c r="R43" s="257"/>
      <c r="S43" s="593">
        <f t="shared" si="5"/>
        <v>1.73</v>
      </c>
      <c r="T43" s="24"/>
      <c r="U43" s="24"/>
      <c r="V43" s="24"/>
      <c r="W43" s="24"/>
      <c r="X43" s="24"/>
      <c r="Y43" s="24"/>
      <c r="Z43" s="24"/>
      <c r="AA43" s="24"/>
      <c r="AB43" s="24"/>
      <c r="AC43" s="24"/>
      <c r="AD43" s="24"/>
      <c r="AE43" s="24"/>
      <c r="AF43" s="24"/>
      <c r="AG43" s="24"/>
      <c r="AH43" s="24"/>
      <c r="AI43" s="273"/>
    </row>
    <row r="44" spans="1:35" ht="14.4" x14ac:dyDescent="0.3">
      <c r="A44" s="5"/>
      <c r="B44" s="19">
        <f>'Private Car Analysis &amp; Split'!E44+'Private Car Analysis &amp; Split'!F44</f>
        <v>51947.897954803855</v>
      </c>
      <c r="C44" s="19">
        <f>'Private Car Analysis &amp; Split'!E44</f>
        <v>34418.616530557374</v>
      </c>
      <c r="D44" s="5"/>
      <c r="E44" s="19">
        <f>'Private Car Analysis &amp; Split'!R44</f>
        <v>9675.7544732073147</v>
      </c>
      <c r="F44" s="21">
        <f t="shared" si="1"/>
        <v>0.1862588257493209</v>
      </c>
      <c r="G44" s="20"/>
      <c r="H44" s="19">
        <f>'Private Car Analysis &amp; Split'!U44</f>
        <v>2496.0210929576442</v>
      </c>
      <c r="I44" s="21">
        <f t="shared" si="2"/>
        <v>4.8048548473111526E-2</v>
      </c>
      <c r="J44" s="22"/>
      <c r="K44" s="19">
        <f>'Private Car Analysis &amp; Split'!E44+'Private Car Analysis &amp; Split'!F44-'Private Car Analysis &amp; Split'!R44-'Private Car Analysis &amp; Split'!U44</f>
        <v>39776.122388638898</v>
      </c>
      <c r="L44" s="21">
        <f t="shared" si="3"/>
        <v>0.76569262577756758</v>
      </c>
      <c r="M44" s="22"/>
      <c r="N44" s="19">
        <f>'Private Car Analysis &amp; Split'!P44</f>
        <v>12616.574121982429</v>
      </c>
      <c r="O44" s="21">
        <f t="shared" si="4"/>
        <v>0.36656249999999974</v>
      </c>
      <c r="P44" s="257"/>
      <c r="Q44" s="14">
        <v>2047</v>
      </c>
      <c r="R44" s="257"/>
      <c r="S44" s="593">
        <f t="shared" si="5"/>
        <v>1.7349999999999999</v>
      </c>
      <c r="T44" s="24"/>
      <c r="U44" s="24"/>
      <c r="V44" s="24"/>
      <c r="W44" s="24"/>
      <c r="X44" s="24"/>
      <c r="Y44" s="24"/>
      <c r="Z44" s="24"/>
      <c r="AA44" s="24"/>
      <c r="AB44" s="24"/>
      <c r="AC44" s="24"/>
      <c r="AD44" s="24"/>
      <c r="AE44" s="24"/>
      <c r="AF44" s="24"/>
      <c r="AG44" s="24"/>
      <c r="AH44" s="24"/>
      <c r="AI44" s="273"/>
    </row>
    <row r="45" spans="1:35" ht="14.4" x14ac:dyDescent="0.3">
      <c r="A45" s="5"/>
      <c r="B45" s="19">
        <f>'Private Car Analysis &amp; Split'!E45+'Private Car Analysis &amp; Split'!F45</f>
        <v>53381.708993827575</v>
      </c>
      <c r="C45" s="19">
        <f>'Private Car Analysis &amp; Split'!E45</f>
        <v>35329.450298135249</v>
      </c>
      <c r="D45" s="5"/>
      <c r="E45" s="19">
        <f>'Private Car Analysis &amp; Split'!R45</f>
        <v>10346.199891199187</v>
      </c>
      <c r="F45" s="21">
        <f t="shared" si="1"/>
        <v>0.1938154488908457</v>
      </c>
      <c r="G45" s="20"/>
      <c r="H45" s="19">
        <f>'Private Car Analysis &amp; Split'!U45</f>
        <v>2658.6300978044674</v>
      </c>
      <c r="I45" s="21">
        <f t="shared" si="2"/>
        <v>4.9804139805862707E-2</v>
      </c>
      <c r="J45" s="22"/>
      <c r="K45" s="19">
        <f>'Private Car Analysis &amp; Split'!E45+'Private Car Analysis &amp; Split'!F45-'Private Car Analysis &amp; Split'!R45-'Private Car Analysis &amp; Split'!U45</f>
        <v>40376.879004823924</v>
      </c>
      <c r="L45" s="21">
        <f t="shared" si="3"/>
        <v>0.7563804113032917</v>
      </c>
      <c r="M45" s="22"/>
      <c r="N45" s="19">
        <f>'Private Car Analysis &amp; Split'!P45</f>
        <v>13049.815703873701</v>
      </c>
      <c r="O45" s="21">
        <f t="shared" si="4"/>
        <v>0.36937499999999979</v>
      </c>
      <c r="P45" s="257"/>
      <c r="Q45" s="14">
        <v>2048</v>
      </c>
      <c r="R45" s="257"/>
      <c r="S45" s="593">
        <f t="shared" si="5"/>
        <v>1.74</v>
      </c>
      <c r="T45" s="24"/>
      <c r="U45" s="24"/>
      <c r="V45" s="24"/>
      <c r="W45" s="24"/>
      <c r="X45" s="24"/>
      <c r="Y45" s="24"/>
      <c r="Z45" s="24"/>
      <c r="AA45" s="24"/>
      <c r="AB45" s="24"/>
      <c r="AC45" s="24"/>
      <c r="AD45" s="24"/>
      <c r="AE45" s="24"/>
      <c r="AF45" s="24"/>
      <c r="AG45" s="24"/>
      <c r="AH45" s="24"/>
      <c r="AI45" s="273"/>
    </row>
    <row r="46" spans="1:35" ht="14.4" x14ac:dyDescent="0.3">
      <c r="A46" s="5"/>
      <c r="B46" s="19">
        <f>'Private Car Analysis &amp; Split'!E46+'Private Car Analysis &amp; Split'!F46</f>
        <v>54847.907621130966</v>
      </c>
      <c r="C46" s="19">
        <f>'Private Car Analysis &amp; Split'!E46</f>
        <v>36264.083324735286</v>
      </c>
      <c r="D46" s="5"/>
      <c r="E46" s="19">
        <f>'Private Car Analysis &amp; Split'!R46</f>
        <v>11043.175591248928</v>
      </c>
      <c r="F46" s="21">
        <f t="shared" si="1"/>
        <v>0.20134178440372047</v>
      </c>
      <c r="G46" s="20"/>
      <c r="H46" s="19">
        <f>'Private Car Analysis &amp; Split'!U46</f>
        <v>2835.3410569509233</v>
      </c>
      <c r="I46" s="21">
        <f t="shared" si="2"/>
        <v>5.1694607505110485E-2</v>
      </c>
      <c r="J46" s="22"/>
      <c r="K46" s="19">
        <f>'Private Car Analysis &amp; Split'!E46+'Private Car Analysis &amp; Split'!F46-'Private Car Analysis &amp; Split'!R46-'Private Car Analysis &amp; Split'!U46</f>
        <v>40969.39097293112</v>
      </c>
      <c r="L46" s="21">
        <f t="shared" si="3"/>
        <v>0.74696360809116913</v>
      </c>
      <c r="M46" s="22"/>
      <c r="N46" s="19">
        <f>'Private Car Analysis &amp; Split'!P46</f>
        <v>13497.038512424911</v>
      </c>
      <c r="O46" s="21">
        <f t="shared" si="4"/>
        <v>0.37218749999999995</v>
      </c>
      <c r="P46" s="257"/>
      <c r="Q46" s="14">
        <v>2049</v>
      </c>
      <c r="R46" s="257"/>
      <c r="S46" s="593">
        <f t="shared" si="5"/>
        <v>1.7450000000000001</v>
      </c>
      <c r="T46" s="24"/>
      <c r="U46" s="24"/>
      <c r="V46" s="24"/>
      <c r="W46" s="24"/>
      <c r="X46" s="24"/>
      <c r="Y46" s="24"/>
      <c r="Z46" s="24"/>
      <c r="AA46" s="24"/>
      <c r="AB46" s="24"/>
      <c r="AC46" s="24"/>
      <c r="AD46" s="24"/>
      <c r="AE46" s="24"/>
      <c r="AF46" s="24"/>
      <c r="AG46" s="24"/>
      <c r="AH46" s="24"/>
      <c r="AI46" s="273"/>
    </row>
    <row r="47" spans="1:35" ht="14.4" x14ac:dyDescent="0.3">
      <c r="A47" s="30"/>
      <c r="B47" s="19">
        <f>'Private Car Analysis &amp; Split'!E47+'Private Car Analysis &amp; Split'!F47</f>
        <v>56323.77659121035</v>
      </c>
      <c r="C47" s="19">
        <f>'Private Car Analysis &amp; Split'!E47</f>
        <v>37192.934777069822</v>
      </c>
      <c r="D47" s="30"/>
      <c r="E47" s="19">
        <f>'Private Car Analysis &amp; Split'!R47</f>
        <v>11767.049576987356</v>
      </c>
      <c r="F47" s="21">
        <f t="shared" si="1"/>
        <v>0.20891797903380777</v>
      </c>
      <c r="G47" s="31"/>
      <c r="H47" s="19">
        <f>'Private Car Analysis &amp; Split'!U47</f>
        <v>3026.9136181083218</v>
      </c>
      <c r="I47" s="21">
        <f t="shared" si="2"/>
        <v>5.3741311419459911E-2</v>
      </c>
      <c r="J47" s="32"/>
      <c r="K47" s="19">
        <f>'Private Car Analysis &amp; Split'!E47+'Private Car Analysis &amp; Split'!F47-'Private Car Analysis &amp; Split'!R47-'Private Car Analysis &amp; Split'!U47</f>
        <v>41529.813396114674</v>
      </c>
      <c r="L47" s="21">
        <f t="shared" si="3"/>
        <v>0.73734070954673236</v>
      </c>
      <c r="M47" s="32"/>
      <c r="N47" s="19">
        <f>'Private Car Analysis &amp; Split'!P47</f>
        <v>13947.350541401183</v>
      </c>
      <c r="O47" s="21">
        <f t="shared" si="4"/>
        <v>0.375</v>
      </c>
      <c r="P47" s="258"/>
      <c r="Q47" s="259">
        <v>2050</v>
      </c>
      <c r="R47" s="258"/>
      <c r="S47" s="594">
        <v>1.75</v>
      </c>
      <c r="T47" s="34"/>
      <c r="U47" s="24"/>
      <c r="V47" s="24"/>
      <c r="W47" s="24"/>
      <c r="X47" s="24"/>
      <c r="Y47" s="24"/>
      <c r="Z47" s="24"/>
      <c r="AA47" s="24"/>
      <c r="AB47" s="24"/>
      <c r="AC47" s="24"/>
      <c r="AD47" s="24"/>
      <c r="AE47" s="24"/>
      <c r="AF47" s="24"/>
      <c r="AG47" s="24"/>
      <c r="AH47" s="24"/>
      <c r="AI47" s="273"/>
    </row>
    <row r="48" spans="1:35" ht="14.4" x14ac:dyDescent="0.3">
      <c r="A48" s="5"/>
      <c r="B48" s="19">
        <f>'Private Car Analysis &amp; Split'!E48+'Private Car Analysis &amp; Split'!F48</f>
        <v>57898.501075454333</v>
      </c>
      <c r="C48" s="19">
        <f>'Private Car Analysis &amp; Split'!E48</f>
        <v>38206.253759005718</v>
      </c>
      <c r="D48" s="5"/>
      <c r="E48" s="19">
        <f>'Private Car Analysis &amp; Split'!R48</f>
        <v>12518.189852045274</v>
      </c>
      <c r="F48" s="21">
        <f t="shared" si="1"/>
        <v>0.21620922164688428</v>
      </c>
      <c r="G48" s="20"/>
      <c r="H48" s="19">
        <f>'Private Car Analysis &amp; Split'!U48</f>
        <v>3234.107428987973</v>
      </c>
      <c r="I48" s="21">
        <f t="shared" si="2"/>
        <v>5.5858223769441426E-2</v>
      </c>
      <c r="J48" s="22"/>
      <c r="K48" s="19">
        <f>'Private Car Analysis &amp; Split'!E48+'Private Car Analysis &amp; Split'!F48-'Private Car Analysis &amp; Split'!R48-'Private Car Analysis &amp; Split'!U48</f>
        <v>42146.203794421082</v>
      </c>
      <c r="L48" s="21">
        <f t="shared" si="3"/>
        <v>0.72793255458367423</v>
      </c>
      <c r="M48" s="22"/>
      <c r="N48" s="19">
        <f>'Private Car Analysis &amp; Split'!P48</f>
        <v>14434.800248324351</v>
      </c>
      <c r="O48" s="21">
        <f t="shared" si="4"/>
        <v>0.37781250000000005</v>
      </c>
      <c r="P48" s="257"/>
      <c r="Q48" s="14">
        <v>2051</v>
      </c>
      <c r="R48" s="257"/>
      <c r="S48" s="593">
        <f t="shared" ref="S48:S57" si="6">$S$11+($S$47-$S$11)*($Q48-$Q$11)/($Q$47-$Q$11)</f>
        <v>1.7549999999999999</v>
      </c>
      <c r="T48" s="24"/>
      <c r="U48" s="24"/>
      <c r="V48" s="24"/>
      <c r="W48" s="24"/>
      <c r="X48" s="24"/>
      <c r="Y48" s="24"/>
      <c r="Z48" s="24"/>
      <c r="AA48" s="24"/>
      <c r="AB48" s="24"/>
      <c r="AC48" s="24"/>
      <c r="AD48" s="24"/>
      <c r="AE48" s="24"/>
      <c r="AF48" s="24"/>
      <c r="AG48" s="24"/>
      <c r="AH48" s="24"/>
      <c r="AI48" s="273"/>
    </row>
    <row r="49" spans="1:35" ht="14.4" x14ac:dyDescent="0.3">
      <c r="A49" s="5"/>
      <c r="B49" s="19">
        <f>'Private Car Analysis &amp; Split'!E49+'Private Car Analysis &amp; Split'!F49</f>
        <v>59477.541557907214</v>
      </c>
      <c r="C49" s="19">
        <f>'Private Car Analysis &amp; Split'!E49</f>
        <v>39214.598105012905</v>
      </c>
      <c r="D49" s="5"/>
      <c r="E49" s="19">
        <f>'Private Car Analysis &amp; Split'!R49</f>
        <v>13296.9644200535</v>
      </c>
      <c r="F49" s="21">
        <f t="shared" si="1"/>
        <v>0.2235627780127328</v>
      </c>
      <c r="G49" s="20"/>
      <c r="H49" s="19">
        <f>'Private Car Analysis &amp; Split'!U49</f>
        <v>3457.6821373011908</v>
      </c>
      <c r="I49" s="21">
        <f t="shared" si="2"/>
        <v>5.8134247763667206E-2</v>
      </c>
      <c r="J49" s="22"/>
      <c r="K49" s="19">
        <f>'Private Car Analysis &amp; Split'!E49+'Private Car Analysis &amp; Split'!F49-'Private Car Analysis &amp; Split'!R49-'Private Car Analysis &amp; Split'!U49</f>
        <v>42722.895000552526</v>
      </c>
      <c r="L49" s="21">
        <f t="shared" si="3"/>
        <v>0.71830297422360001</v>
      </c>
      <c r="M49" s="22"/>
      <c r="N49" s="19">
        <f>'Private Car Analysis &amp; Split'!P49</f>
        <v>14926.056403720544</v>
      </c>
      <c r="O49" s="21">
        <f t="shared" si="4"/>
        <v>0.38062500000000016</v>
      </c>
      <c r="P49" s="257"/>
      <c r="Q49" s="14">
        <v>2052</v>
      </c>
      <c r="R49" s="257"/>
      <c r="S49" s="593">
        <f t="shared" si="6"/>
        <v>1.76</v>
      </c>
      <c r="T49" s="24"/>
      <c r="U49" s="24"/>
      <c r="V49" s="24"/>
      <c r="W49" s="24"/>
      <c r="X49" s="24"/>
      <c r="Y49" s="24"/>
      <c r="Z49" s="24"/>
      <c r="AA49" s="24"/>
      <c r="AB49" s="24"/>
      <c r="AC49" s="24"/>
      <c r="AD49" s="24"/>
      <c r="AE49" s="24"/>
      <c r="AF49" s="24"/>
      <c r="AG49" s="24"/>
      <c r="AH49" s="24"/>
      <c r="AI49" s="273"/>
    </row>
    <row r="50" spans="1:35" ht="14.4" x14ac:dyDescent="0.3">
      <c r="A50" s="5"/>
      <c r="B50" s="19">
        <f>'Private Car Analysis &amp; Split'!E50+'Private Car Analysis &amp; Split'!F50</f>
        <v>61095.652324283496</v>
      </c>
      <c r="C50" s="19">
        <f>'Private Car Analysis &amp; Split'!E50</f>
        <v>40248.243389848925</v>
      </c>
      <c r="D50" s="5"/>
      <c r="E50" s="19">
        <f>'Private Car Analysis &amp; Split'!R50</f>
        <v>14103.741284642852</v>
      </c>
      <c r="F50" s="21">
        <f t="shared" si="1"/>
        <v>0.2308468892317086</v>
      </c>
      <c r="G50" s="20"/>
      <c r="H50" s="19">
        <f>'Private Car Analysis &amp; Split'!U50</f>
        <v>3698.3973907592867</v>
      </c>
      <c r="I50" s="21">
        <f t="shared" si="2"/>
        <v>6.0534542967622861E-2</v>
      </c>
      <c r="J50" s="22"/>
      <c r="K50" s="19">
        <f>'Private Car Analysis &amp; Split'!E50+'Private Car Analysis &amp; Split'!F50-'Private Car Analysis &amp; Split'!R50-'Private Car Analysis &amp; Split'!U50</f>
        <v>43293.513648881359</v>
      </c>
      <c r="L50" s="21">
        <f t="shared" si="3"/>
        <v>0.70861856780066856</v>
      </c>
      <c r="M50" s="22"/>
      <c r="N50" s="19">
        <f>'Private Car Analysis &amp; Split'!P50</f>
        <v>15432.685824795173</v>
      </c>
      <c r="O50" s="21">
        <f t="shared" si="4"/>
        <v>0.38343749999999938</v>
      </c>
      <c r="P50" s="257"/>
      <c r="Q50" s="14">
        <v>2053</v>
      </c>
      <c r="R50" s="257"/>
      <c r="S50" s="593">
        <f t="shared" si="6"/>
        <v>1.7650000000000001</v>
      </c>
      <c r="T50" s="24"/>
      <c r="U50" s="24"/>
      <c r="V50" s="24"/>
      <c r="W50" s="24"/>
      <c r="X50" s="24"/>
      <c r="Y50" s="24"/>
      <c r="Z50" s="24"/>
      <c r="AA50" s="24"/>
      <c r="AB50" s="24"/>
      <c r="AC50" s="24"/>
      <c r="AD50" s="24"/>
      <c r="AE50" s="24"/>
      <c r="AF50" s="24"/>
      <c r="AG50" s="24"/>
      <c r="AH50" s="24"/>
      <c r="AI50" s="273"/>
    </row>
    <row r="51" spans="1:35" ht="14.4" x14ac:dyDescent="0.3">
      <c r="A51" s="5"/>
      <c r="B51" s="19">
        <f>'Private Car Analysis &amp; Split'!E51+'Private Car Analysis &amp; Split'!F51</f>
        <v>62752.952774781741</v>
      </c>
      <c r="C51" s="19">
        <f>'Private Car Analysis &amp; Split'!E51</f>
        <v>41307.485368223373</v>
      </c>
      <c r="D51" s="5"/>
      <c r="E51" s="19">
        <f>'Private Car Analysis &amp; Split'!R51</f>
        <v>14938.888449444134</v>
      </c>
      <c r="F51" s="21">
        <f t="shared" si="1"/>
        <v>0.23805873331665056</v>
      </c>
      <c r="G51" s="20"/>
      <c r="H51" s="19">
        <f>'Private Car Analysis &amp; Split'!U51</f>
        <v>3957.012837073572</v>
      </c>
      <c r="I51" s="21">
        <f t="shared" si="2"/>
        <v>6.3056998310105972E-2</v>
      </c>
      <c r="J51" s="22"/>
      <c r="K51" s="19">
        <f>'Private Car Analysis &amp; Split'!E51+'Private Car Analysis &amp; Split'!F51-'Private Car Analysis &amp; Split'!R51-'Private Car Analysis &amp; Split'!U51</f>
        <v>43857.051488264035</v>
      </c>
      <c r="L51" s="21">
        <f t="shared" si="3"/>
        <v>0.69888426837324347</v>
      </c>
      <c r="M51" s="22"/>
      <c r="N51" s="19">
        <f>'Private Car Analysis &amp; Split'!P51</f>
        <v>15955.016223476259</v>
      </c>
      <c r="O51" s="21">
        <f t="shared" si="4"/>
        <v>0.38624999999999954</v>
      </c>
      <c r="P51" s="257"/>
      <c r="Q51" s="14">
        <v>2054</v>
      </c>
      <c r="R51" s="257"/>
      <c r="S51" s="593">
        <f t="shared" si="6"/>
        <v>1.77</v>
      </c>
      <c r="T51" s="24"/>
      <c r="U51" s="24"/>
      <c r="V51" s="24"/>
      <c r="W51" s="24"/>
      <c r="X51" s="24"/>
      <c r="Y51" s="24"/>
      <c r="Z51" s="24"/>
      <c r="AA51" s="24"/>
      <c r="AB51" s="24"/>
      <c r="AC51" s="24"/>
      <c r="AD51" s="24"/>
      <c r="AE51" s="24"/>
      <c r="AF51" s="24"/>
      <c r="AG51" s="24"/>
      <c r="AH51" s="24"/>
      <c r="AI51" s="273"/>
    </row>
    <row r="52" spans="1:35" ht="14.4" x14ac:dyDescent="0.3">
      <c r="A52" s="5"/>
      <c r="B52" s="19">
        <f>'Private Car Analysis &amp; Split'!E52+'Private Car Analysis &amp; Split'!F52</f>
        <v>64449.575112246617</v>
      </c>
      <c r="C52" s="19">
        <f>'Private Car Analysis &amp; Split'!E52</f>
        <v>42392.62492300231</v>
      </c>
      <c r="D52" s="5"/>
      <c r="E52" s="19">
        <f>'Private Car Analysis &amp; Split'!R52</f>
        <v>15802.773918088162</v>
      </c>
      <c r="F52" s="21">
        <f t="shared" si="1"/>
        <v>0.24519593636677584</v>
      </c>
      <c r="G52" s="20"/>
      <c r="H52" s="19">
        <f>'Private Car Analysis &amp; Split'!U52</f>
        <v>4234.2881239553581</v>
      </c>
      <c r="I52" s="21">
        <f t="shared" si="2"/>
        <v>6.5699240322078786E-2</v>
      </c>
      <c r="J52" s="22"/>
      <c r="K52" s="19">
        <f>'Private Car Analysis &amp; Split'!E52+'Private Car Analysis &amp; Split'!F52-'Private Car Analysis &amp; Split'!R52-'Private Car Analysis &amp; Split'!U52</f>
        <v>44412.513070203095</v>
      </c>
      <c r="L52" s="21">
        <f t="shared" si="3"/>
        <v>0.68910482331114531</v>
      </c>
      <c r="M52" s="22"/>
      <c r="N52" s="19">
        <f>'Private Car Analysis &amp; Split'!P52</f>
        <v>16493.380634105572</v>
      </c>
      <c r="O52" s="21">
        <f t="shared" si="4"/>
        <v>0.38906249999999964</v>
      </c>
      <c r="P52" s="257"/>
      <c r="Q52" s="14">
        <v>2055</v>
      </c>
      <c r="R52" s="257"/>
      <c r="S52" s="593">
        <f t="shared" si="6"/>
        <v>1.7749999999999999</v>
      </c>
      <c r="T52" s="24"/>
      <c r="U52" s="24"/>
      <c r="V52" s="5"/>
      <c r="X52" s="5"/>
      <c r="Y52" s="5"/>
      <c r="AA52" s="5"/>
      <c r="AB52" s="5"/>
      <c r="AG52" s="24"/>
      <c r="AI52" s="273"/>
    </row>
    <row r="53" spans="1:35" ht="14.4" x14ac:dyDescent="0.3">
      <c r="A53" s="5"/>
      <c r="B53" s="19">
        <f>'Private Car Analysis &amp; Split'!E53+'Private Car Analysis &amp; Split'!F53</f>
        <v>66185.657213408645</v>
      </c>
      <c r="C53" s="19">
        <f>'Private Car Analysis &amp; Split'!E53</f>
        <v>43503.966524690397</v>
      </c>
      <c r="D53" s="5"/>
      <c r="E53" s="19">
        <f>'Private Car Analysis &amp; Split'!R53</f>
        <v>16695.765694205755</v>
      </c>
      <c r="F53" s="21">
        <f t="shared" si="1"/>
        <v>0.25225655220695364</v>
      </c>
      <c r="G53" s="20"/>
      <c r="H53" s="19">
        <f>'Private Car Analysis &amp; Split'!U53</f>
        <v>4530.9828991159575</v>
      </c>
      <c r="I53" s="21">
        <f t="shared" si="2"/>
        <v>6.8458682588982731E-2</v>
      </c>
      <c r="J53" s="22"/>
      <c r="K53" s="19">
        <f>'Private Car Analysis &amp; Split'!E53+'Private Car Analysis &amp; Split'!F53-'Private Car Analysis &amp; Split'!R53-'Private Car Analysis &amp; Split'!U53</f>
        <v>44958.908620086935</v>
      </c>
      <c r="L53" s="21">
        <f t="shared" si="3"/>
        <v>0.67928476520406367</v>
      </c>
      <c r="M53" s="22"/>
      <c r="N53" s="19">
        <f>'Private Car Analysis &amp; Split'!P53</f>
        <v>17048.116881863039</v>
      </c>
      <c r="O53" s="21">
        <f t="shared" si="4"/>
        <v>0.39187499999999975</v>
      </c>
      <c r="P53" s="257"/>
      <c r="Q53" s="14">
        <v>2056</v>
      </c>
      <c r="R53" s="257"/>
      <c r="S53" s="593">
        <f t="shared" si="6"/>
        <v>1.78</v>
      </c>
      <c r="T53" s="24"/>
      <c r="U53" s="24"/>
      <c r="V53" s="5"/>
      <c r="X53" s="5"/>
      <c r="Y53" s="5"/>
      <c r="AA53" s="5"/>
      <c r="AB53" s="5"/>
      <c r="AG53" s="24"/>
      <c r="AI53" s="273"/>
    </row>
    <row r="54" spans="1:35" ht="14.4" x14ac:dyDescent="0.3">
      <c r="A54" s="5"/>
      <c r="B54" s="19">
        <f>'Private Car Analysis &amp; Split'!E54+'Private Car Analysis &amp; Split'!F54</f>
        <v>67961.402320161098</v>
      </c>
      <c r="C54" s="19">
        <f>'Private Car Analysis &amp; Split'!E54</f>
        <v>44641.853777731936</v>
      </c>
      <c r="D54" s="5"/>
      <c r="E54" s="19">
        <f>'Private Car Analysis &amp; Split'!R54</f>
        <v>17618.231781427716</v>
      </c>
      <c r="F54" s="21">
        <f t="shared" si="1"/>
        <v>0.25923879113661513</v>
      </c>
      <c r="G54" s="20"/>
      <c r="H54" s="19">
        <f>'Private Car Analysis &amp; Split'!U54</f>
        <v>4847.8568102666777</v>
      </c>
      <c r="I54" s="21">
        <f t="shared" si="2"/>
        <v>7.133250116630592E-2</v>
      </c>
      <c r="J54" s="22"/>
      <c r="K54" s="19">
        <f>'Private Car Analysis &amp; Split'!E54+'Private Car Analysis &amp; Split'!F54-'Private Car Analysis &amp; Split'!R54-'Private Car Analysis &amp; Split'!U54</f>
        <v>45495.313728466703</v>
      </c>
      <c r="L54" s="21">
        <f t="shared" si="3"/>
        <v>0.66942870769707885</v>
      </c>
      <c r="M54" s="22"/>
      <c r="N54" s="19">
        <f>'Private Car Analysis &amp; Split'!P54</f>
        <v>17619.581662898567</v>
      </c>
      <c r="O54" s="21">
        <f t="shared" si="4"/>
        <v>0.39468749999999986</v>
      </c>
      <c r="P54" s="257"/>
      <c r="Q54" s="14">
        <v>2057</v>
      </c>
      <c r="R54" s="257"/>
      <c r="S54" s="593">
        <f t="shared" si="6"/>
        <v>1.7849999999999999</v>
      </c>
      <c r="T54" s="24"/>
      <c r="U54" s="24"/>
      <c r="V54" s="5"/>
      <c r="X54" s="5"/>
      <c r="Y54" s="5"/>
      <c r="AA54" s="5"/>
      <c r="AB54" s="5"/>
      <c r="AG54" s="24"/>
      <c r="AI54" s="273"/>
    </row>
    <row r="55" spans="1:35" ht="14.4" x14ac:dyDescent="0.3">
      <c r="A55" s="5"/>
      <c r="B55" s="19">
        <f>'Private Car Analysis &amp; Split'!E55+'Private Car Analysis &amp; Split'!F55</f>
        <v>69777.087956462128</v>
      </c>
      <c r="C55" s="19">
        <f>'Private Car Analysis &amp; Split'!E55</f>
        <v>45806.671661076594</v>
      </c>
      <c r="D55" s="5"/>
      <c r="E55" s="19">
        <f>'Private Car Analysis &amp; Split'!R55</f>
        <v>18570.540183384859</v>
      </c>
      <c r="F55" s="21">
        <f t="shared" si="1"/>
        <v>0.2661409457925798</v>
      </c>
      <c r="G55" s="20"/>
      <c r="H55" s="19">
        <f>'Private Car Analysis &amp; Split'!U55</f>
        <v>5185.6695051188381</v>
      </c>
      <c r="I55" s="21">
        <f t="shared" si="2"/>
        <v>7.4317654361765143E-2</v>
      </c>
      <c r="J55" s="22"/>
      <c r="K55" s="19">
        <f>'Private Car Analysis &amp; Split'!E55+'Private Car Analysis &amp; Split'!F55-'Private Car Analysis &amp; Split'!R55-'Private Car Analysis &amp; Split'!U55</f>
        <v>46020.878267958433</v>
      </c>
      <c r="L55" s="21">
        <f t="shared" si="3"/>
        <v>0.65954139984565507</v>
      </c>
      <c r="M55" s="22"/>
      <c r="N55" s="19">
        <f>'Private Car Analysis &amp; Split'!P55</f>
        <v>18208.151985277946</v>
      </c>
      <c r="O55" s="21">
        <f t="shared" si="4"/>
        <v>0.39749999999999996</v>
      </c>
      <c r="P55" s="257"/>
      <c r="Q55" s="14">
        <v>2058</v>
      </c>
      <c r="R55" s="257"/>
      <c r="S55" s="593">
        <f t="shared" si="6"/>
        <v>1.79</v>
      </c>
      <c r="T55" s="24"/>
      <c r="U55" s="24"/>
      <c r="V55" s="5"/>
      <c r="X55" s="5"/>
      <c r="Y55" s="5"/>
      <c r="AA55" s="5"/>
      <c r="AB55" s="5"/>
      <c r="AG55" s="24"/>
      <c r="AI55" s="273"/>
    </row>
    <row r="56" spans="1:35" ht="14.4" x14ac:dyDescent="0.3">
      <c r="A56" s="5"/>
      <c r="B56" s="19">
        <f>'Private Car Analysis &amp; Split'!E56+'Private Car Analysis &amp; Split'!F56</f>
        <v>71633.050657359126</v>
      </c>
      <c r="C56" s="19">
        <f>'Private Car Analysis &amp; Split'!E56</f>
        <v>46998.839515616353</v>
      </c>
      <c r="D56" s="5"/>
      <c r="E56" s="19">
        <f>'Private Car Analysis &amp; Split'!R56</f>
        <v>19553.058903708006</v>
      </c>
      <c r="F56" s="21">
        <f t="shared" si="1"/>
        <v>0.27296141549570108</v>
      </c>
      <c r="G56" s="20"/>
      <c r="H56" s="19">
        <f>'Private Car Analysis &amp; Split'!U56</f>
        <v>5545.1806313837442</v>
      </c>
      <c r="I56" s="21">
        <f t="shared" si="2"/>
        <v>7.741092387518006E-2</v>
      </c>
      <c r="J56" s="22"/>
      <c r="K56" s="19">
        <f>'Private Car Analysis &amp; Split'!E56+'Private Car Analysis &amp; Split'!F56-'Private Car Analysis &amp; Split'!R56-'Private Car Analysis &amp; Split'!U56</f>
        <v>46534.811122267376</v>
      </c>
      <c r="L56" s="21">
        <f t="shared" si="3"/>
        <v>0.64962766062911892</v>
      </c>
      <c r="M56" s="22"/>
      <c r="N56" s="19">
        <f>'Private Car Analysis &amp; Split'!P56</f>
        <v>18814.222943595174</v>
      </c>
      <c r="O56" s="21">
        <f t="shared" si="4"/>
        <v>0.40031250000000007</v>
      </c>
      <c r="P56" s="257"/>
      <c r="Q56" s="14">
        <v>2059</v>
      </c>
      <c r="R56" s="257"/>
      <c r="S56" s="593">
        <f t="shared" si="6"/>
        <v>1.7949999999999999</v>
      </c>
      <c r="T56" s="24"/>
      <c r="U56" s="24"/>
      <c r="V56" s="5"/>
      <c r="X56" s="5"/>
      <c r="Y56" s="5"/>
      <c r="AA56" s="5"/>
      <c r="AB56" s="5"/>
      <c r="AG56" s="24"/>
      <c r="AI56" s="273"/>
    </row>
    <row r="57" spans="1:35" ht="14.4" x14ac:dyDescent="0.3">
      <c r="A57" s="5"/>
      <c r="B57" s="19">
        <f>'Private Car Analysis &amp; Split'!E57+'Private Car Analysis &amp; Split'!F57</f>
        <v>73538.345050543343</v>
      </c>
      <c r="C57" s="19">
        <f>'Private Car Analysis &amp; Split'!E57</f>
        <v>48218.759202328394</v>
      </c>
      <c r="D57" s="5"/>
      <c r="E57" s="19">
        <f>'Private Car Analysis &amp; Split'!R57</f>
        <v>20566.155946027964</v>
      </c>
      <c r="F57" s="21">
        <f t="shared" si="1"/>
        <v>0.27966574352322893</v>
      </c>
      <c r="G57" s="20"/>
      <c r="H57" s="19">
        <f>'Private Car Analysis &amp; Split'!U57</f>
        <v>5927.149836772709</v>
      </c>
      <c r="I57" s="21">
        <f t="shared" si="2"/>
        <v>8.0599445536868472E-2</v>
      </c>
      <c r="J57" s="22"/>
      <c r="K57" s="19">
        <f>'Private Car Analysis &amp; Split'!E57+'Private Car Analysis &amp; Split'!F57-'Private Car Analysis &amp; Split'!R57-'Private Car Analysis &amp; Split'!U57</f>
        <v>47045.039267742664</v>
      </c>
      <c r="L57" s="21">
        <f t="shared" si="3"/>
        <v>0.63973481093990259</v>
      </c>
      <c r="M57" s="22"/>
      <c r="N57" s="19">
        <f>'Private Car Analysis &amp; Split'!P57</f>
        <v>19438.187303438641</v>
      </c>
      <c r="O57" s="21">
        <f t="shared" si="4"/>
        <v>0.40312500000000012</v>
      </c>
      <c r="P57" s="257"/>
      <c r="Q57" s="14">
        <v>2060</v>
      </c>
      <c r="R57" s="257"/>
      <c r="S57" s="593">
        <f t="shared" si="6"/>
        <v>1.8</v>
      </c>
      <c r="T57" s="24"/>
      <c r="U57" s="24"/>
      <c r="V57" s="5"/>
      <c r="X57" s="5"/>
      <c r="Y57" s="5"/>
      <c r="AA57" s="5"/>
      <c r="AB57" s="5"/>
      <c r="AG57" s="24"/>
      <c r="AI57" s="273"/>
    </row>
    <row r="58" spans="1:35" ht="14.4" x14ac:dyDescent="0.3">
      <c r="A58" s="5"/>
      <c r="B58" s="5"/>
      <c r="C58" s="5"/>
      <c r="D58" s="5"/>
      <c r="E58" s="5"/>
      <c r="F58" s="5"/>
      <c r="G58" s="5"/>
      <c r="H58" s="5"/>
      <c r="I58" s="5"/>
      <c r="J58" s="5"/>
      <c r="K58" s="5"/>
      <c r="L58" s="5"/>
      <c r="M58" s="5"/>
      <c r="N58" s="5"/>
      <c r="O58" s="5"/>
      <c r="P58" s="257"/>
      <c r="R58" s="260"/>
      <c r="S58" s="260"/>
      <c r="T58" s="260"/>
      <c r="U58" s="260"/>
      <c r="V58" s="260"/>
      <c r="W58" s="260"/>
      <c r="X58" s="260"/>
      <c r="Y58" s="260"/>
      <c r="Z58" s="260"/>
      <c r="AA58" s="260"/>
      <c r="AB58" s="260"/>
      <c r="AC58" s="260"/>
      <c r="AD58" s="260"/>
      <c r="AE58" s="260"/>
      <c r="AF58" s="260"/>
      <c r="AG58" s="260"/>
      <c r="AI58" s="273"/>
    </row>
    <row r="59" spans="1:35" ht="14.4" x14ac:dyDescent="0.3">
      <c r="A59" s="5"/>
      <c r="B59" s="5"/>
      <c r="C59" s="5"/>
      <c r="D59" s="5"/>
      <c r="E59" s="5"/>
      <c r="F59" s="5"/>
      <c r="G59" s="5"/>
      <c r="H59" s="5"/>
      <c r="I59" s="5"/>
      <c r="J59" s="5"/>
      <c r="K59" s="5"/>
      <c r="L59" s="5"/>
      <c r="M59" s="5"/>
      <c r="N59" s="5"/>
      <c r="O59" s="5"/>
      <c r="P59" s="257"/>
      <c r="R59" s="260"/>
      <c r="S59" s="260"/>
      <c r="T59" s="260"/>
      <c r="U59" s="260"/>
      <c r="V59" s="260"/>
      <c r="W59" s="260"/>
      <c r="X59" s="260"/>
      <c r="Y59" s="260"/>
      <c r="Z59" s="260"/>
      <c r="AA59" s="260"/>
      <c r="AB59" s="260"/>
      <c r="AC59" s="260"/>
      <c r="AD59" s="260"/>
      <c r="AE59" s="260"/>
      <c r="AF59" s="260"/>
      <c r="AG59" s="260"/>
      <c r="AI59" s="273"/>
    </row>
    <row r="60" spans="1:35" ht="29.4" customHeight="1" x14ac:dyDescent="0.3">
      <c r="A60" s="5"/>
      <c r="B60" s="5"/>
      <c r="C60" s="5"/>
      <c r="D60" s="5"/>
      <c r="E60" s="5"/>
      <c r="F60" s="5"/>
      <c r="G60" s="5"/>
      <c r="H60" s="231" t="s">
        <v>246</v>
      </c>
      <c r="I60" s="231"/>
      <c r="J60" s="5"/>
      <c r="K60" s="5"/>
      <c r="L60" s="5"/>
      <c r="M60" s="5"/>
      <c r="N60" s="5"/>
      <c r="O60" s="5"/>
      <c r="P60" s="257"/>
      <c r="R60" s="260"/>
      <c r="S60" s="260"/>
      <c r="T60" s="260"/>
      <c r="U60" s="260"/>
      <c r="V60" s="260"/>
      <c r="W60" s="260"/>
      <c r="X60" s="260"/>
      <c r="Y60" s="260"/>
      <c r="Z60" s="260"/>
      <c r="AA60" s="260"/>
      <c r="AB60" s="260"/>
      <c r="AC60" s="260"/>
      <c r="AD60" s="260"/>
      <c r="AE60" s="260"/>
      <c r="AF60" s="260"/>
      <c r="AG60" s="260"/>
      <c r="AI60" s="273"/>
    </row>
    <row r="61" spans="1:35" ht="14.4" x14ac:dyDescent="0.3">
      <c r="A61" s="5"/>
      <c r="B61" s="5"/>
      <c r="C61" s="5"/>
      <c r="D61" s="5"/>
      <c r="E61" s="5"/>
      <c r="F61" s="5"/>
      <c r="G61" s="5"/>
      <c r="H61" s="5"/>
      <c r="I61" s="5"/>
      <c r="J61" s="5"/>
      <c r="K61" s="5"/>
      <c r="L61" s="5"/>
      <c r="M61" s="5"/>
      <c r="N61" s="5"/>
      <c r="O61" s="5"/>
      <c r="P61" s="257"/>
      <c r="R61" s="260"/>
      <c r="S61" s="260"/>
      <c r="T61" s="260"/>
      <c r="U61" s="260"/>
      <c r="V61" s="260"/>
      <c r="W61" s="260"/>
      <c r="X61" s="260"/>
      <c r="Y61" s="260"/>
      <c r="Z61" s="260"/>
      <c r="AA61" s="260"/>
      <c r="AB61" s="260"/>
      <c r="AC61" s="260"/>
      <c r="AD61" s="260"/>
      <c r="AE61" s="260"/>
      <c r="AF61" s="260"/>
      <c r="AG61" s="260"/>
      <c r="AI61" s="273"/>
    </row>
    <row r="62" spans="1:35" ht="14.4" x14ac:dyDescent="0.3">
      <c r="A62" s="5"/>
      <c r="B62" s="5"/>
      <c r="C62" s="5"/>
      <c r="D62" s="5"/>
      <c r="E62" s="5"/>
      <c r="F62" s="5"/>
      <c r="G62" s="5"/>
      <c r="H62" s="5"/>
      <c r="I62" s="5"/>
      <c r="J62" s="5"/>
      <c r="K62" s="5"/>
      <c r="L62" s="5"/>
      <c r="M62" s="5"/>
      <c r="N62" s="5"/>
      <c r="O62" s="5"/>
      <c r="P62" s="255"/>
      <c r="R62" s="260"/>
      <c r="S62" s="260"/>
      <c r="T62" s="260"/>
      <c r="U62" s="260"/>
      <c r="V62" s="260"/>
      <c r="W62" s="260"/>
      <c r="X62" s="260"/>
      <c r="Y62" s="260"/>
      <c r="Z62" s="260"/>
      <c r="AA62" s="260"/>
      <c r="AB62" s="260"/>
      <c r="AC62" s="260"/>
      <c r="AD62" s="260"/>
      <c r="AE62" s="260"/>
      <c r="AF62" s="260"/>
      <c r="AG62" s="260"/>
      <c r="AI62" s="273"/>
    </row>
    <row r="63" spans="1:35" ht="15.75" customHeight="1" x14ac:dyDescent="0.3">
      <c r="A63" s="4" t="s">
        <v>19</v>
      </c>
      <c r="B63" s="5"/>
      <c r="C63" s="5"/>
      <c r="D63" s="5"/>
      <c r="E63" s="5"/>
      <c r="F63" s="5"/>
      <c r="G63" s="5"/>
      <c r="H63" s="5"/>
      <c r="I63" s="5"/>
      <c r="J63" s="5"/>
      <c r="K63" s="5"/>
      <c r="L63" s="5"/>
      <c r="M63" s="5"/>
      <c r="N63" s="5"/>
      <c r="O63" s="5"/>
      <c r="P63" s="255"/>
      <c r="R63" s="260"/>
      <c r="S63" s="260"/>
      <c r="T63" s="260"/>
      <c r="U63" s="260"/>
      <c r="V63" s="260"/>
      <c r="W63" s="260"/>
      <c r="X63" s="260"/>
      <c r="Y63" s="260"/>
      <c r="Z63" s="260"/>
      <c r="AA63" s="260"/>
      <c r="AB63" s="260"/>
      <c r="AC63" s="260"/>
      <c r="AD63" s="260"/>
      <c r="AE63" s="260"/>
      <c r="AF63" s="260"/>
      <c r="AG63" s="260"/>
      <c r="AI63" s="273"/>
    </row>
    <row r="64" spans="1:35" ht="37.200000000000003" customHeight="1" x14ac:dyDescent="0.35">
      <c r="A64" s="4"/>
      <c r="B64" s="70" t="s">
        <v>129</v>
      </c>
      <c r="C64" s="5"/>
      <c r="D64" s="5"/>
      <c r="E64" s="5"/>
      <c r="G64" s="5"/>
      <c r="H64" s="5"/>
      <c r="I64" s="5"/>
      <c r="J64" s="5"/>
      <c r="K64" s="5"/>
      <c r="L64" s="5"/>
      <c r="M64" s="5"/>
      <c r="N64" s="5"/>
      <c r="O64" s="5"/>
      <c r="R64" s="260"/>
      <c r="S64" s="11" t="s">
        <v>267</v>
      </c>
      <c r="T64" s="260"/>
      <c r="U64" s="260"/>
      <c r="V64" s="11" t="s">
        <v>260</v>
      </c>
      <c r="W64" s="808" t="s">
        <v>761</v>
      </c>
      <c r="X64" s="14"/>
      <c r="Y64" s="11" t="s">
        <v>261</v>
      </c>
      <c r="Z64" s="534" t="s">
        <v>565</v>
      </c>
      <c r="AA64" s="14"/>
      <c r="AB64" s="11" t="s">
        <v>560</v>
      </c>
      <c r="AC64" s="534" t="s">
        <v>567</v>
      </c>
      <c r="AD64" s="260"/>
      <c r="AE64" s="260"/>
      <c r="AF64" s="260"/>
      <c r="AG64" s="260"/>
    </row>
    <row r="65" spans="1:36" ht="60" customHeight="1" x14ac:dyDescent="0.3">
      <c r="A65" s="8"/>
      <c r="B65" s="12" t="s">
        <v>556</v>
      </c>
      <c r="C65" s="10" t="s">
        <v>568</v>
      </c>
      <c r="D65" s="5"/>
      <c r="E65" s="12" t="s">
        <v>558</v>
      </c>
      <c r="F65" s="10" t="s">
        <v>557</v>
      </c>
      <c r="G65" s="10" t="s">
        <v>557</v>
      </c>
      <c r="H65" s="12" t="s">
        <v>377</v>
      </c>
      <c r="I65" s="10" t="s">
        <v>557</v>
      </c>
      <c r="J65" s="11"/>
      <c r="K65" s="12" t="s">
        <v>559</v>
      </c>
      <c r="L65" s="10" t="s">
        <v>557</v>
      </c>
      <c r="M65" s="11"/>
      <c r="N65" s="12" t="s">
        <v>266</v>
      </c>
      <c r="O65" s="10" t="s">
        <v>557</v>
      </c>
      <c r="P65" s="256"/>
      <c r="R65" s="256"/>
      <c r="S65" s="11" t="s">
        <v>307</v>
      </c>
      <c r="T65" s="14"/>
      <c r="U65" s="14"/>
      <c r="V65" s="837" t="s">
        <v>380</v>
      </c>
      <c r="W65" s="837"/>
      <c r="X65" s="14"/>
      <c r="Y65" s="837" t="s">
        <v>261</v>
      </c>
      <c r="Z65" s="837"/>
      <c r="AA65" s="14"/>
      <c r="AB65" s="837" t="s">
        <v>375</v>
      </c>
      <c r="AC65" s="837"/>
      <c r="AD65" s="14"/>
      <c r="AF65" s="17" t="s">
        <v>30</v>
      </c>
      <c r="AG65" s="14"/>
    </row>
    <row r="66" spans="1:36" ht="52.8" customHeight="1" x14ac:dyDescent="0.3">
      <c r="A66" s="16"/>
      <c r="B66" s="68" t="s">
        <v>28</v>
      </c>
      <c r="C66" s="17"/>
      <c r="D66" s="5"/>
      <c r="E66" s="11" t="s">
        <v>732</v>
      </c>
      <c r="F66" s="5"/>
      <c r="G66" s="17"/>
      <c r="H66" s="11" t="s">
        <v>732</v>
      </c>
      <c r="I66" s="17"/>
      <c r="J66" s="17"/>
      <c r="K66" s="11" t="s">
        <v>732</v>
      </c>
      <c r="L66" s="17"/>
      <c r="M66" s="17"/>
      <c r="N66" s="17" t="s">
        <v>733</v>
      </c>
      <c r="O66" s="17"/>
      <c r="P66" s="257"/>
      <c r="Q66" s="122" t="s">
        <v>276</v>
      </c>
      <c r="R66" s="257"/>
      <c r="S66" s="618" t="str">
        <f>'Private Car Analysis &amp; Split'!P66</f>
        <v>PDS2-50p2050-Oct21ComDat2</v>
      </c>
      <c r="T66" s="17"/>
      <c r="U66" s="17" t="s">
        <v>561</v>
      </c>
      <c r="V66" s="591">
        <v>8.45609346046865E-2</v>
      </c>
      <c r="W66" s="592" t="s">
        <v>563</v>
      </c>
      <c r="X66" s="17"/>
      <c r="Y66" s="263">
        <v>0</v>
      </c>
      <c r="Z66" s="592" t="s">
        <v>563</v>
      </c>
      <c r="AA66" s="17"/>
      <c r="AB66" s="263">
        <v>0</v>
      </c>
      <c r="AC66" s="592" t="s">
        <v>563</v>
      </c>
      <c r="AD66" s="17"/>
      <c r="AF66" s="17" t="s">
        <v>30</v>
      </c>
      <c r="AG66" s="17"/>
      <c r="AH66" s="5"/>
      <c r="AI66" s="5"/>
      <c r="AJ66" s="5"/>
    </row>
    <row r="67" spans="1:36" ht="14.4" x14ac:dyDescent="0.3">
      <c r="A67" s="831"/>
      <c r="B67" s="19">
        <f>'Private Car Analysis &amp; Split'!E67+'Private Car Analysis &amp; Split'!F67</f>
        <v>31940.822528863981</v>
      </c>
      <c r="C67" s="19">
        <f>'Private Car Analysis &amp; Split'!E67</f>
        <v>22374.399399366055</v>
      </c>
      <c r="D67" s="5"/>
      <c r="E67" s="19">
        <f>'Private Car Analysis &amp; Split'!R67</f>
        <v>0</v>
      </c>
      <c r="F67" s="21">
        <f>E67/$B67</f>
        <v>0</v>
      </c>
      <c r="G67" s="20"/>
      <c r="H67" s="19">
        <f>'Private Car Analysis &amp; Split'!U67</f>
        <v>0</v>
      </c>
      <c r="I67" s="21">
        <f>H67/$B67</f>
        <v>0</v>
      </c>
      <c r="J67" s="22"/>
      <c r="K67" s="19">
        <f>'Private Car Analysis &amp; Split'!E67+'Private Car Analysis &amp; Split'!F67-'Private Car Analysis &amp; Split'!R67-'Private Car Analysis &amp; Split'!U67</f>
        <v>31940.822528863981</v>
      </c>
      <c r="L67" s="21">
        <f>K67/$B67</f>
        <v>1</v>
      </c>
      <c r="M67" s="22"/>
      <c r="N67" s="19">
        <f>'Private Car Analysis &amp; Split'!P67</f>
        <v>0</v>
      </c>
      <c r="O67" s="21">
        <f>N67/$C67</f>
        <v>0</v>
      </c>
      <c r="P67" s="257"/>
      <c r="Q67" s="14">
        <v>2012</v>
      </c>
      <c r="R67" s="257"/>
      <c r="S67" s="593">
        <f>$S$69+($S$105-$S$69)*($Q67-$Q$69)/($Q$105-$Q$69)</f>
        <v>1.5461111111111112</v>
      </c>
      <c r="T67" s="24"/>
      <c r="U67" s="24"/>
      <c r="V67" s="5"/>
      <c r="X67" s="5"/>
      <c r="Y67" s="5"/>
      <c r="AA67" s="5"/>
      <c r="AB67" s="5"/>
      <c r="AG67" s="17"/>
    </row>
    <row r="68" spans="1:36" ht="28.8" x14ac:dyDescent="0.3">
      <c r="A68" s="832"/>
      <c r="B68" s="19">
        <f>'Private Car Analysis &amp; Split'!E68+'Private Car Analysis &amp; Split'!F68</f>
        <v>33155.301078379336</v>
      </c>
      <c r="C68" s="19">
        <f>'Private Car Analysis &amp; Split'!E68</f>
        <v>23261.58893495956</v>
      </c>
      <c r="D68" s="5"/>
      <c r="E68" s="19">
        <f>'Private Car Analysis &amp; Split'!R68</f>
        <v>0</v>
      </c>
      <c r="F68" s="21">
        <f t="shared" ref="F68:F115" si="7">E68/$B68</f>
        <v>0</v>
      </c>
      <c r="G68" s="20"/>
      <c r="H68" s="19">
        <f>'Private Car Analysis &amp; Split'!U68</f>
        <v>0</v>
      </c>
      <c r="I68" s="21">
        <f t="shared" ref="I68:I115" si="8">H68/$B68</f>
        <v>0</v>
      </c>
      <c r="J68" s="22"/>
      <c r="K68" s="19">
        <f>'Private Car Analysis &amp; Split'!E68+'Private Car Analysis &amp; Split'!F68-'Private Car Analysis &amp; Split'!R68-'Private Car Analysis &amp; Split'!U68</f>
        <v>33155.301078379336</v>
      </c>
      <c r="L68" s="21">
        <f t="shared" ref="L68:L115" si="9">K68/$B68</f>
        <v>1</v>
      </c>
      <c r="M68" s="22"/>
      <c r="N68" s="19">
        <f>'Private Car Analysis &amp; Split'!P68</f>
        <v>0</v>
      </c>
      <c r="O68" s="21">
        <f t="shared" ref="O68:O115" si="10">N68/$C68</f>
        <v>0</v>
      </c>
      <c r="P68" s="257"/>
      <c r="Q68" s="14">
        <v>2013</v>
      </c>
      <c r="R68" s="257"/>
      <c r="S68" s="593">
        <f>$S$69+($S$105-$S$69)*($Q68-$Q$69)/($Q$105-$Q$69)</f>
        <v>1.5580555555555555</v>
      </c>
      <c r="T68" s="24"/>
      <c r="U68" s="17" t="s">
        <v>562</v>
      </c>
      <c r="V68" s="619">
        <v>0.89647683290179381</v>
      </c>
      <c r="W68" s="592" t="s">
        <v>601</v>
      </c>
      <c r="X68" s="17"/>
      <c r="Y68" s="619">
        <v>0.40174623661052872</v>
      </c>
      <c r="Z68" s="592" t="s">
        <v>601</v>
      </c>
      <c r="AA68" s="17"/>
      <c r="AB68" s="590">
        <v>56150410.87990173</v>
      </c>
      <c r="AC68" s="592" t="s">
        <v>564</v>
      </c>
      <c r="AG68" s="17"/>
    </row>
    <row r="69" spans="1:36" ht="14.4" x14ac:dyDescent="0.3">
      <c r="A69" s="30"/>
      <c r="B69" s="19">
        <f>'Private Car Analysis &amp; Split'!E69+'Private Car Analysis &amp; Split'!F69</f>
        <v>22221.936155392275</v>
      </c>
      <c r="C69" s="19">
        <f>'Private Car Analysis &amp; Split'!E69</f>
        <v>12627.813321591922</v>
      </c>
      <c r="D69" s="30"/>
      <c r="E69" s="19">
        <f>'Private Car Analysis &amp; Split'!R69</f>
        <v>116.38899289627807</v>
      </c>
      <c r="F69" s="21">
        <f t="shared" si="7"/>
        <v>5.2375721036366871E-3</v>
      </c>
      <c r="G69" s="31"/>
      <c r="H69" s="19">
        <f>'Private Car Analysis &amp; Split'!U69</f>
        <v>252.99595444214927</v>
      </c>
      <c r="I69" s="21">
        <f t="shared" si="8"/>
        <v>1.1384964508628489E-2</v>
      </c>
      <c r="J69" s="32"/>
      <c r="K69" s="19">
        <f>'Private Car Analysis &amp; Split'!E69+'Private Car Analysis &amp; Split'!F69-'Private Car Analysis &amp; Split'!R69-'Private Car Analysis &amp; Split'!U69</f>
        <v>21852.551208053846</v>
      </c>
      <c r="L69" s="21">
        <f t="shared" si="9"/>
        <v>0.9833774633877348</v>
      </c>
      <c r="M69" s="32"/>
      <c r="N69" s="19">
        <f>'Private Car Analysis &amp; Split'!P69</f>
        <v>3141.4174626346876</v>
      </c>
      <c r="O69" s="21">
        <f t="shared" si="10"/>
        <v>0.24876971037125417</v>
      </c>
      <c r="P69" s="258"/>
      <c r="Q69" s="259">
        <v>2014</v>
      </c>
      <c r="R69" s="258"/>
      <c r="S69" s="594">
        <v>1.57</v>
      </c>
      <c r="T69" s="34"/>
      <c r="U69" s="5"/>
      <c r="V69" s="5"/>
      <c r="X69" s="5"/>
      <c r="Y69" s="5"/>
      <c r="AA69" s="5"/>
      <c r="AB69" s="5"/>
      <c r="AG69" s="17"/>
      <c r="AI69" s="273"/>
    </row>
    <row r="70" spans="1:36" ht="28.8" x14ac:dyDescent="0.3">
      <c r="A70" s="5"/>
      <c r="B70" s="19">
        <f>'Private Car Analysis &amp; Split'!E70+'Private Car Analysis &amp; Split'!F70</f>
        <v>23212.020456815939</v>
      </c>
      <c r="C70" s="19">
        <f>'Private Car Analysis &amp; Split'!E70</f>
        <v>13436.84044747937</v>
      </c>
      <c r="D70" s="5"/>
      <c r="E70" s="19">
        <f>'Private Car Analysis &amp; Split'!R70</f>
        <v>121.57668884867235</v>
      </c>
      <c r="F70" s="21">
        <f t="shared" si="7"/>
        <v>5.2376607661041748E-3</v>
      </c>
      <c r="G70" s="20"/>
      <c r="H70" s="19">
        <f>'Private Car Analysis &amp; Split'!U70</f>
        <v>291.45222628122792</v>
      </c>
      <c r="I70" s="21">
        <f t="shared" si="8"/>
        <v>1.2556090359451945E-2</v>
      </c>
      <c r="J70" s="22"/>
      <c r="K70" s="19">
        <f>'Private Car Analysis &amp; Split'!E70+'Private Car Analysis &amp; Split'!F70-'Private Car Analysis &amp; Split'!R70-'Private Car Analysis &amp; Split'!U70</f>
        <v>22798.991541686039</v>
      </c>
      <c r="L70" s="21">
        <f t="shared" si="9"/>
        <v>0.98220624887444385</v>
      </c>
      <c r="M70" s="22"/>
      <c r="N70" s="19">
        <f>'Private Car Analysis &amp; Split'!P70</f>
        <v>3237.1081048085771</v>
      </c>
      <c r="O70" s="21">
        <f t="shared" si="10"/>
        <v>0.24091289298711807</v>
      </c>
      <c r="P70" s="257"/>
      <c r="Q70" s="14">
        <v>2015</v>
      </c>
      <c r="R70" s="257"/>
      <c r="S70" s="593">
        <f>$S$69+($S$105-$S$69)*($Q70-$Q$69)/($Q$105-$Q$69)</f>
        <v>1.5819444444444446</v>
      </c>
      <c r="T70" s="24"/>
      <c r="U70" s="584" t="s">
        <v>571</v>
      </c>
      <c r="V70" s="587">
        <v>1.4652916201235937</v>
      </c>
      <c r="W70" s="592" t="s">
        <v>569</v>
      </c>
      <c r="X70" s="17"/>
      <c r="Y70" s="587">
        <v>1.4652916201235937</v>
      </c>
      <c r="Z70" s="592" t="s">
        <v>569</v>
      </c>
      <c r="AA70" s="17"/>
      <c r="AB70" s="587">
        <v>1.4652916201235937</v>
      </c>
      <c r="AC70" s="592" t="s">
        <v>569</v>
      </c>
      <c r="AG70" s="17"/>
      <c r="AI70" s="273"/>
    </row>
    <row r="71" spans="1:36" ht="14.4" x14ac:dyDescent="0.3">
      <c r="A71" s="5"/>
      <c r="B71" s="19">
        <f>'Private Car Analysis &amp; Split'!E71+'Private Car Analysis &amp; Split'!F71</f>
        <v>24218.137238019648</v>
      </c>
      <c r="C71" s="19">
        <f>'Private Car Analysis &amp; Split'!E71</f>
        <v>14195.233376260261</v>
      </c>
      <c r="D71" s="5"/>
      <c r="E71" s="19">
        <f>'Private Car Analysis &amp; Split'!R71</f>
        <v>126.76438480106481</v>
      </c>
      <c r="F71" s="21">
        <f t="shared" si="7"/>
        <v>5.2342747732909665E-3</v>
      </c>
      <c r="G71" s="20"/>
      <c r="H71" s="19">
        <f>'Private Car Analysis &amp; Split'!U71</f>
        <v>334.13093232809371</v>
      </c>
      <c r="I71" s="21">
        <f t="shared" si="8"/>
        <v>1.3796723052817917E-2</v>
      </c>
      <c r="J71" s="22"/>
      <c r="K71" s="19">
        <f>'Private Car Analysis &amp; Split'!E71+'Private Car Analysis &amp; Split'!F71-'Private Car Analysis &amp; Split'!R71-'Private Car Analysis &amp; Split'!U71</f>
        <v>23757.24192089049</v>
      </c>
      <c r="L71" s="21">
        <f t="shared" si="9"/>
        <v>0.98096900217389116</v>
      </c>
      <c r="M71" s="22"/>
      <c r="N71" s="19">
        <f>'Private Car Analysis &amp; Split'!P71</f>
        <v>3330.0461502061598</v>
      </c>
      <c r="O71" s="21">
        <f t="shared" si="10"/>
        <v>0.2345890385835602</v>
      </c>
      <c r="P71" s="257"/>
      <c r="Q71" s="14">
        <v>2016</v>
      </c>
      <c r="R71" s="257"/>
      <c r="S71" s="593">
        <f>$S$69+($S$105-$S$69)*($Q71-$Q$69)/($Q$105-$Q$69)</f>
        <v>1.5938888888888889</v>
      </c>
      <c r="T71" s="24"/>
      <c r="AA71" s="14"/>
      <c r="AG71" s="17"/>
      <c r="AI71" s="273"/>
    </row>
    <row r="72" spans="1:36" ht="14.4" x14ac:dyDescent="0.3">
      <c r="A72" s="5"/>
      <c r="B72" s="19">
        <f>'Private Car Analysis &amp; Split'!E72+'Private Car Analysis &amp; Split'!F72</f>
        <v>25259.017190435494</v>
      </c>
      <c r="C72" s="19">
        <f>'Private Car Analysis &amp; Split'!E72</f>
        <v>14978.035642215102</v>
      </c>
      <c r="D72" s="5"/>
      <c r="E72" s="19">
        <f>'Private Car Analysis &amp; Split'!R72</f>
        <v>131.95208075345909</v>
      </c>
      <c r="F72" s="21">
        <f t="shared" si="7"/>
        <v>5.2239594184774413E-3</v>
      </c>
      <c r="G72" s="20"/>
      <c r="H72" s="19">
        <f>'Private Car Analysis &amp; Split'!U72</f>
        <v>380.8746575800638</v>
      </c>
      <c r="I72" s="21">
        <f t="shared" si="8"/>
        <v>1.507875998137745E-2</v>
      </c>
      <c r="J72" s="22"/>
      <c r="K72" s="19">
        <f>'Private Car Analysis &amp; Split'!E72+'Private Car Analysis &amp; Split'!F72-'Private Car Analysis &amp; Split'!R72-'Private Car Analysis &amp; Split'!U72</f>
        <v>24746.190452101971</v>
      </c>
      <c r="L72" s="21">
        <f t="shared" si="9"/>
        <v>0.97969728060014516</v>
      </c>
      <c r="M72" s="22"/>
      <c r="N72" s="19">
        <f>'Private Car Analysis &amp; Split'!P72</f>
        <v>3422.7338233785767</v>
      </c>
      <c r="O72" s="21">
        <f t="shared" si="10"/>
        <v>0.22851686997804396</v>
      </c>
      <c r="P72" s="257"/>
      <c r="Q72" s="14">
        <v>2017</v>
      </c>
      <c r="R72" s="257"/>
      <c r="S72" s="593">
        <f t="shared" ref="S72:S115" si="11">$S$69+($S$105-$S$69)*($Q72-$Q$69)/($Q$105-$Q$69)</f>
        <v>1.6058333333333334</v>
      </c>
      <c r="T72" s="24"/>
      <c r="AA72" s="5"/>
      <c r="AB72" s="5"/>
      <c r="AG72" s="17"/>
      <c r="AI72" s="273"/>
    </row>
    <row r="73" spans="1:36" ht="14.4" x14ac:dyDescent="0.3">
      <c r="A73" s="5"/>
      <c r="B73" s="19">
        <f>'Private Car Analysis &amp; Split'!E73+'Private Car Analysis &amp; Split'!F73</f>
        <v>26345.114996359778</v>
      </c>
      <c r="C73" s="19">
        <f>'Private Car Analysis &amp; Split'!E73</f>
        <v>15795.931666635273</v>
      </c>
      <c r="D73" s="5"/>
      <c r="E73" s="19">
        <f>'Private Car Analysis &amp; Split'!R73</f>
        <v>137.13977670585155</v>
      </c>
      <c r="F73" s="21">
        <f t="shared" si="7"/>
        <v>5.2055106506386766E-3</v>
      </c>
      <c r="G73" s="20"/>
      <c r="H73" s="19">
        <f>'Private Car Analysis &amp; Split'!U73</f>
        <v>404.53037467026184</v>
      </c>
      <c r="I73" s="21">
        <f t="shared" si="8"/>
        <v>1.535504304028119E-2</v>
      </c>
      <c r="J73" s="22"/>
      <c r="K73" s="19">
        <f>'Private Car Analysis &amp; Split'!E73+'Private Car Analysis &amp; Split'!F73-'Private Car Analysis &amp; Split'!R73-'Private Car Analysis &amp; Split'!U73</f>
        <v>25803.444844983664</v>
      </c>
      <c r="L73" s="21">
        <f t="shared" si="9"/>
        <v>0.97943944630908009</v>
      </c>
      <c r="M73" s="22"/>
      <c r="N73" s="19">
        <f>'Private Car Analysis &amp; Split'!P73</f>
        <v>3515.2217174527982</v>
      </c>
      <c r="O73" s="21">
        <f t="shared" si="10"/>
        <v>0.22253968880340083</v>
      </c>
      <c r="P73" s="257"/>
      <c r="Q73" s="14">
        <v>2018</v>
      </c>
      <c r="R73" s="257"/>
      <c r="S73" s="593">
        <f t="shared" si="11"/>
        <v>1.6177777777777778</v>
      </c>
      <c r="T73" s="24"/>
      <c r="U73" s="620" t="s">
        <v>615</v>
      </c>
      <c r="V73" s="616"/>
      <c r="W73" s="616"/>
      <c r="X73" s="114"/>
      <c r="Y73" s="114"/>
      <c r="Z73" s="616"/>
      <c r="AA73" s="5"/>
      <c r="AB73" s="5"/>
      <c r="AG73" s="17"/>
      <c r="AI73" s="273"/>
    </row>
    <row r="74" spans="1:36" ht="14.4" x14ac:dyDescent="0.3">
      <c r="A74" s="5"/>
      <c r="B74" s="19">
        <f>'Private Car Analysis &amp; Split'!E74+'Private Car Analysis &amp; Split'!F74</f>
        <v>26784.388105178841</v>
      </c>
      <c r="C74" s="19">
        <f>'Private Car Analysis &amp; Split'!E74</f>
        <v>16129.954657852024</v>
      </c>
      <c r="D74" s="5"/>
      <c r="E74" s="19">
        <f>'Private Car Analysis &amp; Split'!R74</f>
        <v>100.95610393109587</v>
      </c>
      <c r="F74" s="21">
        <f t="shared" si="7"/>
        <v>3.7692144966931579E-3</v>
      </c>
      <c r="G74" s="20"/>
      <c r="H74" s="19">
        <f>'Private Car Analysis &amp; Split'!U74</f>
        <v>473.60267778239267</v>
      </c>
      <c r="I74" s="21">
        <f t="shared" si="8"/>
        <v>1.7682042088197646E-2</v>
      </c>
      <c r="J74" s="22"/>
      <c r="K74" s="19">
        <f>'Private Car Analysis &amp; Split'!E74+'Private Car Analysis &amp; Split'!F74-'Private Car Analysis &amp; Split'!R74-'Private Car Analysis &amp; Split'!U74</f>
        <v>26209.82932346535</v>
      </c>
      <c r="L74" s="21">
        <f t="shared" si="9"/>
        <v>0.97854874341510911</v>
      </c>
      <c r="M74" s="22"/>
      <c r="N74" s="19">
        <f>'Private Car Analysis &amp; Split'!P74</f>
        <v>4705.4102103452597</v>
      </c>
      <c r="O74" s="21">
        <f t="shared" si="10"/>
        <v>0.29171874999999936</v>
      </c>
      <c r="P74" s="257"/>
      <c r="Q74" s="14">
        <v>2019</v>
      </c>
      <c r="R74" s="257"/>
      <c r="S74" s="593">
        <f t="shared" si="11"/>
        <v>1.6297222222222223</v>
      </c>
      <c r="T74" s="24"/>
      <c r="U74" s="24"/>
      <c r="V74" s="11" t="s">
        <v>260</v>
      </c>
      <c r="W74" s="589" t="s">
        <v>566</v>
      </c>
      <c r="X74" s="14"/>
      <c r="Y74" s="11" t="s">
        <v>261</v>
      </c>
      <c r="Z74" s="589" t="s">
        <v>565</v>
      </c>
      <c r="AA74" s="5"/>
      <c r="AB74" s="5"/>
      <c r="AG74" s="17"/>
      <c r="AI74" s="273"/>
    </row>
    <row r="75" spans="1:36" ht="43.2" x14ac:dyDescent="0.3">
      <c r="A75" s="30"/>
      <c r="B75" s="19">
        <f>'Private Car Analysis &amp; Split'!E75+'Private Car Analysis &amp; Split'!F75</f>
        <v>27357.683826636425</v>
      </c>
      <c r="C75" s="19">
        <f>'Private Car Analysis &amp; Split'!E75</f>
        <v>16474.348147898796</v>
      </c>
      <c r="D75" s="30"/>
      <c r="E75" s="19">
        <f>'Private Car Analysis &amp; Split'!R75</f>
        <v>183.94918774375452</v>
      </c>
      <c r="F75" s="21">
        <f t="shared" si="7"/>
        <v>6.7238582370286399E-3</v>
      </c>
      <c r="G75" s="31"/>
      <c r="H75" s="19">
        <f>'Private Car Analysis &amp; Split'!U75</f>
        <v>550.10315348453435</v>
      </c>
      <c r="I75" s="21">
        <f t="shared" si="8"/>
        <v>2.0107811647012828E-2</v>
      </c>
      <c r="J75" s="32"/>
      <c r="K75" s="19">
        <f>'Private Car Analysis &amp; Split'!E75+'Private Car Analysis &amp; Split'!F75-'Private Car Analysis &amp; Split'!R75-'Private Car Analysis &amp; Split'!U75</f>
        <v>26623.631485408136</v>
      </c>
      <c r="L75" s="21">
        <f t="shared" si="9"/>
        <v>0.97316833011595849</v>
      </c>
      <c r="M75" s="32"/>
      <c r="N75" s="19">
        <f>'Private Car Analysis &amp; Split'!P75</f>
        <v>4916.5632753885529</v>
      </c>
      <c r="O75" s="21">
        <f t="shared" si="10"/>
        <v>0.29843750000000036</v>
      </c>
      <c r="P75" s="258"/>
      <c r="Q75" s="259">
        <v>2020</v>
      </c>
      <c r="R75" s="258"/>
      <c r="S75" s="593">
        <f t="shared" si="11"/>
        <v>1.6416666666666666</v>
      </c>
      <c r="T75" s="34"/>
      <c r="U75" s="588" t="s">
        <v>602</v>
      </c>
      <c r="V75" s="581">
        <f t="array" ref="V75">AVERAGE($B$69:$B$105/($C$69:$C$105/$S$69:$S$105 + ($B$69:$B$105-$C$69:$C$105)/$V$70))</f>
        <v>1.6556248941822833</v>
      </c>
      <c r="W75" s="586" t="s">
        <v>569</v>
      </c>
      <c r="X75" s="5"/>
      <c r="Y75" s="581">
        <f t="array" ref="Y75">AVERAGE($B$69:$B$105/($C$69:$C$105/$S$69:$S$105 + ($B$69:$B$105-$C$69:$C$105)/$V$70))</f>
        <v>1.6556248941822833</v>
      </c>
      <c r="Z75" s="586" t="s">
        <v>569</v>
      </c>
      <c r="AA75" s="5"/>
      <c r="AB75" s="5"/>
      <c r="AG75" s="17"/>
      <c r="AI75" s="273"/>
    </row>
    <row r="76" spans="1:36" ht="14.4" x14ac:dyDescent="0.3">
      <c r="A76" s="5"/>
      <c r="B76" s="19">
        <f>'Private Car Analysis &amp; Split'!E76+'Private Car Analysis &amp; Split'!F76</f>
        <v>28229.093028702591</v>
      </c>
      <c r="C76" s="19">
        <f>'Private Car Analysis &amp; Split'!E76</f>
        <v>17116.247853028974</v>
      </c>
      <c r="D76" s="5"/>
      <c r="E76" s="19">
        <f>'Private Car Analysis &amp; Split'!R76</f>
        <v>290.43608327460674</v>
      </c>
      <c r="F76" s="21">
        <f t="shared" si="7"/>
        <v>1.028853753747239E-2</v>
      </c>
      <c r="G76" s="20"/>
      <c r="H76" s="19">
        <f>'Private Car Analysis &amp; Split'!U76</f>
        <v>634.29548145312083</v>
      </c>
      <c r="I76" s="21">
        <f t="shared" si="8"/>
        <v>2.2469566443675183E-2</v>
      </c>
      <c r="J76" s="22"/>
      <c r="K76" s="19">
        <f>'Private Car Analysis &amp; Split'!E76+'Private Car Analysis &amp; Split'!F76-'Private Car Analysis &amp; Split'!R76-'Private Car Analysis &amp; Split'!U76</f>
        <v>27304.361463974863</v>
      </c>
      <c r="L76" s="21">
        <f t="shared" si="9"/>
        <v>0.96724189601885235</v>
      </c>
      <c r="M76" s="22"/>
      <c r="N76" s="19">
        <f>'Private Car Analysis &amp; Split'!P76</f>
        <v>5223.1300089008655</v>
      </c>
      <c r="O76" s="21">
        <f t="shared" si="10"/>
        <v>0.30515624999999957</v>
      </c>
      <c r="P76" s="257"/>
      <c r="Q76" s="14">
        <v>2021</v>
      </c>
      <c r="R76" s="257"/>
      <c r="S76" s="593">
        <f t="shared" si="11"/>
        <v>1.6536111111111111</v>
      </c>
      <c r="T76" s="24"/>
      <c r="U76" s="24"/>
      <c r="V76" s="114" t="s">
        <v>748</v>
      </c>
      <c r="X76" s="5"/>
      <c r="Y76" s="114" t="s">
        <v>748</v>
      </c>
      <c r="AA76" s="5"/>
      <c r="AB76" s="5"/>
      <c r="AG76" s="17"/>
      <c r="AI76" s="273"/>
    </row>
    <row r="77" spans="1:36" ht="14.4" x14ac:dyDescent="0.3">
      <c r="A77" s="5"/>
      <c r="B77" s="19">
        <f>'Private Car Analysis &amp; Split'!E77+'Private Car Analysis &amp; Split'!F77</f>
        <v>29410.727193428946</v>
      </c>
      <c r="C77" s="19">
        <f>'Private Car Analysis &amp; Split'!E77</f>
        <v>18059.831003520132</v>
      </c>
      <c r="D77" s="5"/>
      <c r="E77" s="19">
        <f>'Private Car Analysis &amp; Split'!R77</f>
        <v>421.08040300586612</v>
      </c>
      <c r="F77" s="21">
        <f t="shared" si="7"/>
        <v>1.4317238748858459E-2</v>
      </c>
      <c r="G77" s="20"/>
      <c r="H77" s="19">
        <f>'Private Car Analysis &amp; Split'!U77</f>
        <v>726.4433413645869</v>
      </c>
      <c r="I77" s="21">
        <f t="shared" si="8"/>
        <v>2.4699944907410912E-2</v>
      </c>
      <c r="J77" s="22"/>
      <c r="K77" s="19">
        <f>'Private Car Analysis &amp; Split'!E77+'Private Car Analysis &amp; Split'!F77-'Private Car Analysis &amp; Split'!R77-'Private Car Analysis &amp; Split'!U77</f>
        <v>28263.203449058496</v>
      </c>
      <c r="L77" s="21">
        <f t="shared" si="9"/>
        <v>0.96098281634373073</v>
      </c>
      <c r="M77" s="22"/>
      <c r="N77" s="19">
        <f>'Private Car Analysis &amp; Split'!P77</f>
        <v>5632.4097942228518</v>
      </c>
      <c r="O77" s="21">
        <f t="shared" si="10"/>
        <v>0.31187500000000057</v>
      </c>
      <c r="P77" s="257"/>
      <c r="Q77" s="14">
        <v>2022</v>
      </c>
      <c r="R77" s="257"/>
      <c r="S77" s="593">
        <f t="shared" si="11"/>
        <v>1.6655555555555557</v>
      </c>
      <c r="T77" s="24"/>
      <c r="U77" s="24"/>
      <c r="V77" s="5"/>
      <c r="X77" s="5"/>
      <c r="AG77" s="17"/>
      <c r="AI77" s="273"/>
    </row>
    <row r="78" spans="1:36" ht="14.4" x14ac:dyDescent="0.3">
      <c r="A78" s="5"/>
      <c r="B78" s="19">
        <f>'Private Car Analysis &amp; Split'!E78+'Private Car Analysis &amp; Split'!F78</f>
        <v>29942.753004852693</v>
      </c>
      <c r="C78" s="19">
        <f>'Private Car Analysis &amp; Split'!E78</f>
        <v>18345.442986059516</v>
      </c>
      <c r="D78" s="5"/>
      <c r="E78" s="19">
        <f>'Private Car Analysis &amp; Split'!R78</f>
        <v>576.54575941974588</v>
      </c>
      <c r="F78" s="21">
        <f t="shared" si="7"/>
        <v>1.9254934886124453E-2</v>
      </c>
      <c r="G78" s="20"/>
      <c r="H78" s="19">
        <f>'Private Car Analysis &amp; Split'!U78</f>
        <v>826.81041289536665</v>
      </c>
      <c r="I78" s="21">
        <f t="shared" si="8"/>
        <v>2.7613039213908255E-2</v>
      </c>
      <c r="J78" s="22"/>
      <c r="K78" s="19">
        <f>'Private Car Analysis &amp; Split'!E78+'Private Car Analysis &amp; Split'!F78-'Private Car Analysis &amp; Split'!R78-'Private Car Analysis &amp; Split'!U78</f>
        <v>28539.396832537579</v>
      </c>
      <c r="L78" s="21">
        <f t="shared" si="9"/>
        <v>0.95313202589996726</v>
      </c>
      <c r="M78" s="22"/>
      <c r="N78" s="19">
        <f>'Private Car Analysis &amp; Split'!P78</f>
        <v>5844.7434763398942</v>
      </c>
      <c r="O78" s="21">
        <f t="shared" si="10"/>
        <v>0.31859374999999973</v>
      </c>
      <c r="P78" s="257"/>
      <c r="Q78" s="14">
        <v>2023</v>
      </c>
      <c r="R78" s="257"/>
      <c r="S78" s="593">
        <f t="shared" si="11"/>
        <v>1.6775</v>
      </c>
      <c r="T78" s="24"/>
      <c r="U78" s="620" t="s">
        <v>614</v>
      </c>
      <c r="V78" s="616"/>
      <c r="W78" s="616"/>
      <c r="X78" s="114"/>
      <c r="Y78" s="114"/>
      <c r="Z78" s="616"/>
      <c r="AG78" s="17"/>
      <c r="AI78" s="273"/>
    </row>
    <row r="79" spans="1:36" ht="43.2" x14ac:dyDescent="0.3">
      <c r="A79" s="5"/>
      <c r="B79" s="19">
        <f>'Private Car Analysis &amp; Split'!E79+'Private Car Analysis &amp; Split'!F79</f>
        <v>30492.136551500644</v>
      </c>
      <c r="C79" s="19">
        <f>'Private Car Analysis &amp; Split'!E79</f>
        <v>18640.459082334211</v>
      </c>
      <c r="D79" s="5"/>
      <c r="E79" s="19">
        <f>'Private Car Analysis &amp; Split'!R79</f>
        <v>757.49576499845932</v>
      </c>
      <c r="F79" s="21">
        <f t="shared" si="7"/>
        <v>2.4842331521081288E-2</v>
      </c>
      <c r="G79" s="20"/>
      <c r="H79" s="19">
        <f>'Private Car Analysis &amp; Split'!U79</f>
        <v>935.66037572189475</v>
      </c>
      <c r="I79" s="21">
        <f t="shared" si="8"/>
        <v>3.0685300590254868E-2</v>
      </c>
      <c r="J79" s="22"/>
      <c r="K79" s="19">
        <f>'Private Car Analysis &amp; Split'!E79+'Private Car Analysis &amp; Split'!F79-'Private Car Analysis &amp; Split'!R79-'Private Car Analysis &amp; Split'!U79</f>
        <v>28798.980410780288</v>
      </c>
      <c r="L79" s="21">
        <f t="shared" si="9"/>
        <v>0.94447236788866384</v>
      </c>
      <c r="M79" s="22"/>
      <c r="N79" s="19">
        <f>'Private Car Analysis &amp; Split'!P79</f>
        <v>6063.974345221829</v>
      </c>
      <c r="O79" s="21">
        <f t="shared" si="10"/>
        <v>0.32531249999999895</v>
      </c>
      <c r="P79" s="257"/>
      <c r="Q79" s="14">
        <v>2024</v>
      </c>
      <c r="R79" s="257"/>
      <c r="S79" s="593">
        <f t="shared" si="11"/>
        <v>1.6894444444444445</v>
      </c>
      <c r="T79" s="24"/>
      <c r="U79" s="621" t="s">
        <v>603</v>
      </c>
      <c r="V79" s="11" t="s">
        <v>267</v>
      </c>
      <c r="W79" s="589" t="s">
        <v>307</v>
      </c>
      <c r="X79" s="5"/>
      <c r="AG79" s="17"/>
      <c r="AI79" s="273"/>
    </row>
    <row r="80" spans="1:36" ht="28.8" x14ac:dyDescent="0.3">
      <c r="A80" s="5"/>
      <c r="B80" s="19">
        <f>'Private Car Analysis &amp; Split'!E80+'Private Car Analysis &amp; Split'!F80</f>
        <v>31053.31646313825</v>
      </c>
      <c r="C80" s="19">
        <f>'Private Car Analysis &amp; Split'!E80</f>
        <v>18939.671302275419</v>
      </c>
      <c r="D80" s="5"/>
      <c r="E80" s="19">
        <f>'Private Car Analysis &amp; Split'!R80</f>
        <v>964.59403222421997</v>
      </c>
      <c r="F80" s="21">
        <f t="shared" si="7"/>
        <v>3.106251254577715E-2</v>
      </c>
      <c r="G80" s="20"/>
      <c r="H80" s="19">
        <f>'Private Car Analysis &amp; Split'!U80</f>
        <v>1053.2569095206054</v>
      </c>
      <c r="I80" s="21">
        <f t="shared" si="8"/>
        <v>3.3917694774111197E-2</v>
      </c>
      <c r="J80" s="22"/>
      <c r="K80" s="19">
        <f>'Private Car Analysis &amp; Split'!E80+'Private Car Analysis &amp; Split'!F80-'Private Car Analysis &amp; Split'!R80-'Private Car Analysis &amp; Split'!U80</f>
        <v>29035.465521393424</v>
      </c>
      <c r="L80" s="21">
        <f t="shared" si="9"/>
        <v>0.93501979268011159</v>
      </c>
      <c r="M80" s="22"/>
      <c r="N80" s="19">
        <f>'Private Car Analysis &amp; Split'!P80</f>
        <v>6288.5627370836346</v>
      </c>
      <c r="O80" s="21">
        <f t="shared" si="10"/>
        <v>0.33203124999999994</v>
      </c>
      <c r="P80" s="257"/>
      <c r="Q80" s="14">
        <v>2025</v>
      </c>
      <c r="R80" s="257"/>
      <c r="S80" s="593">
        <f t="shared" si="11"/>
        <v>1.7013888888888888</v>
      </c>
      <c r="T80" s="24"/>
      <c r="U80" s="17" t="s">
        <v>561</v>
      </c>
      <c r="V80" s="583">
        <f t="array" ref="V80">AVERAGE($V66*$F$69:$F$105+$Y66*$I$69:$I$105+$AB66*$L$69:$L$105)</f>
        <v>1.0434677590253674E-2</v>
      </c>
      <c r="W80" s="585" t="s">
        <v>570</v>
      </c>
      <c r="X80" s="5"/>
      <c r="Y80" s="5"/>
      <c r="AA80" s="5"/>
      <c r="AB80" s="5"/>
      <c r="AG80" s="17"/>
      <c r="AI80" s="273"/>
    </row>
    <row r="81" spans="1:35" ht="14.4" x14ac:dyDescent="0.3">
      <c r="A81" s="5"/>
      <c r="B81" s="19">
        <f>'Private Car Analysis &amp; Split'!E81+'Private Car Analysis &amp; Split'!F81</f>
        <v>31645.628356151894</v>
      </c>
      <c r="C81" s="19">
        <f>'Private Car Analysis &amp; Split'!E81</f>
        <v>19262.535890189269</v>
      </c>
      <c r="D81" s="5"/>
      <c r="E81" s="19">
        <f>'Private Car Analysis &amp; Split'!R81</f>
        <v>1198.5041735792411</v>
      </c>
      <c r="F81" s="21">
        <f t="shared" si="7"/>
        <v>3.787266159138384E-2</v>
      </c>
      <c r="G81" s="20"/>
      <c r="H81" s="19">
        <f>'Private Car Analysis &amp; Split'!U81</f>
        <v>1179.8636939679329</v>
      </c>
      <c r="I81" s="21">
        <f t="shared" si="8"/>
        <v>3.7283623528953189E-2</v>
      </c>
      <c r="J81" s="22"/>
      <c r="K81" s="19">
        <f>'Private Car Analysis &amp; Split'!E81+'Private Car Analysis &amp; Split'!F81-'Private Car Analysis &amp; Split'!R81-'Private Car Analysis &amp; Split'!U81</f>
        <v>29267.260488604719</v>
      </c>
      <c r="L81" s="21">
        <f t="shared" si="9"/>
        <v>0.92484371487966299</v>
      </c>
      <c r="M81" s="22"/>
      <c r="N81" s="19">
        <f>'Private Car Analysis &amp; Split'!P81</f>
        <v>6525.1840328015996</v>
      </c>
      <c r="O81" s="21">
        <f t="shared" si="10"/>
        <v>0.33874999999999922</v>
      </c>
      <c r="P81" s="257"/>
      <c r="Q81" s="14">
        <v>2026</v>
      </c>
      <c r="R81" s="257"/>
      <c r="S81" s="593">
        <f t="shared" si="11"/>
        <v>1.7133333333333334</v>
      </c>
      <c r="T81" s="24"/>
      <c r="U81" s="114" t="s">
        <v>748</v>
      </c>
      <c r="V81" s="577">
        <f>V80/10^9</f>
        <v>1.0434677590253674E-11</v>
      </c>
      <c r="W81" s="585" t="s">
        <v>575</v>
      </c>
      <c r="X81" s="5"/>
      <c r="Y81" s="5"/>
      <c r="AA81" s="5"/>
      <c r="AB81" s="5"/>
      <c r="AG81" s="17"/>
      <c r="AI81" s="273"/>
    </row>
    <row r="82" spans="1:35" ht="14.4" x14ac:dyDescent="0.3">
      <c r="A82" s="5"/>
      <c r="B82" s="19">
        <f>'Private Car Analysis &amp; Split'!E82+'Private Car Analysis &amp; Split'!F82</f>
        <v>32252.120164306994</v>
      </c>
      <c r="C82" s="19">
        <f>'Private Car Analysis &amp; Split'!E82</f>
        <v>19592.093562638169</v>
      </c>
      <c r="D82" s="5"/>
      <c r="E82" s="19">
        <f>'Private Car Analysis &amp; Split'!R82</f>
        <v>1459.889801545736</v>
      </c>
      <c r="F82" s="21">
        <f t="shared" si="7"/>
        <v>4.5264925037746116E-2</v>
      </c>
      <c r="G82" s="20"/>
      <c r="H82" s="19">
        <f>'Private Car Analysis &amp; Split'!U82</f>
        <v>1315.7444087403114</v>
      </c>
      <c r="I82" s="21">
        <f t="shared" si="8"/>
        <v>4.0795594275269652E-2</v>
      </c>
      <c r="J82" s="22"/>
      <c r="K82" s="19">
        <f>'Private Car Analysis &amp; Split'!E82+'Private Car Analysis &amp; Split'!F82-'Private Car Analysis &amp; Split'!R82-'Private Car Analysis &amp; Split'!U82</f>
        <v>29476.485954020947</v>
      </c>
      <c r="L82" s="21">
        <f t="shared" si="9"/>
        <v>0.91393948068698427</v>
      </c>
      <c r="M82" s="22"/>
      <c r="N82" s="19">
        <f>'Private Car Analysis &amp; Split'!P82</f>
        <v>6768.4560729676596</v>
      </c>
      <c r="O82" s="21">
        <f t="shared" si="10"/>
        <v>0.34546875000000021</v>
      </c>
      <c r="P82" s="257"/>
      <c r="Q82" s="14">
        <v>2027</v>
      </c>
      <c r="R82" s="257"/>
      <c r="S82" s="593">
        <f t="shared" si="11"/>
        <v>1.7252777777777779</v>
      </c>
      <c r="T82" s="24"/>
      <c r="X82" s="5"/>
      <c r="Y82" s="5"/>
      <c r="AA82" s="5"/>
      <c r="AB82" s="5"/>
      <c r="AG82" s="24"/>
      <c r="AI82" s="273"/>
    </row>
    <row r="83" spans="1:35" ht="28.8" x14ac:dyDescent="0.3">
      <c r="A83" s="5"/>
      <c r="B83" s="19">
        <f>'Private Car Analysis &amp; Split'!E83+'Private Car Analysis &amp; Split'!F83</f>
        <v>32879.893052396365</v>
      </c>
      <c r="C83" s="19">
        <f>'Private Car Analysis &amp; Split'!E83</f>
        <v>19935.574524500142</v>
      </c>
      <c r="D83" s="5"/>
      <c r="E83" s="19">
        <f>'Private Car Analysis &amp; Split'!R83</f>
        <v>1749.4145286059179</v>
      </c>
      <c r="F83" s="21">
        <f t="shared" si="7"/>
        <v>5.3206211036578063E-2</v>
      </c>
      <c r="G83" s="20"/>
      <c r="H83" s="19">
        <f>'Private Car Analysis &amp; Split'!U83</f>
        <v>1461.1627335141757</v>
      </c>
      <c r="I83" s="21">
        <f t="shared" si="8"/>
        <v>4.4439400431920892E-2</v>
      </c>
      <c r="J83" s="22"/>
      <c r="K83" s="19">
        <f>'Private Car Analysis &amp; Split'!E83+'Private Car Analysis &amp; Split'!F83-'Private Car Analysis &amp; Split'!R83-'Private Car Analysis &amp; Split'!U83</f>
        <v>29669.315790276272</v>
      </c>
      <c r="L83" s="21">
        <f t="shared" si="9"/>
        <v>0.90235438853150107</v>
      </c>
      <c r="M83" s="22"/>
      <c r="N83" s="19">
        <f>'Private Car Analysis &amp; Split'!P83</f>
        <v>7021.0601528473817</v>
      </c>
      <c r="O83" s="21">
        <f t="shared" si="10"/>
        <v>0.35218749999999938</v>
      </c>
      <c r="P83" s="257"/>
      <c r="Q83" s="14">
        <v>2028</v>
      </c>
      <c r="R83" s="257"/>
      <c r="S83" s="593">
        <f t="shared" si="11"/>
        <v>1.7372222222222222</v>
      </c>
      <c r="T83" s="24"/>
      <c r="U83" s="17" t="s">
        <v>562</v>
      </c>
      <c r="V83" s="582">
        <f t="array" ref="V83">AVERAGE((1-$V68)*$AB68*$F$69:$F$105+(1-$Y68)*$AB68*$I$69:$I$105+$AB68*$L$69:$L$105)</f>
        <v>48342030.701788813</v>
      </c>
      <c r="W83" s="585" t="s">
        <v>564</v>
      </c>
      <c r="X83" s="5"/>
      <c r="Y83" s="5"/>
      <c r="AA83" s="5"/>
      <c r="AB83" s="5"/>
      <c r="AG83" s="24"/>
      <c r="AI83" s="273"/>
    </row>
    <row r="84" spans="1:35" ht="14.4" x14ac:dyDescent="0.3">
      <c r="A84" s="5"/>
      <c r="B84" s="19">
        <f>'Private Car Analysis &amp; Split'!E84+'Private Car Analysis &amp; Split'!F84</f>
        <v>33529.956420552553</v>
      </c>
      <c r="C84" s="19">
        <f>'Private Car Analysis &amp; Split'!E84</f>
        <v>20294.111242555842</v>
      </c>
      <c r="D84" s="5"/>
      <c r="E84" s="19">
        <f>'Private Car Analysis &amp; Split'!R84</f>
        <v>2067.7419672420006</v>
      </c>
      <c r="F84" s="21">
        <f t="shared" si="7"/>
        <v>6.1668495518072179E-2</v>
      </c>
      <c r="G84" s="20"/>
      <c r="H84" s="19">
        <f>'Private Car Analysis &amp; Split'!U84</f>
        <v>1616.3823479659602</v>
      </c>
      <c r="I84" s="21">
        <f t="shared" si="8"/>
        <v>4.8207111506270287E-2</v>
      </c>
      <c r="J84" s="22"/>
      <c r="K84" s="19">
        <f>'Private Car Analysis &amp; Split'!E84+'Private Car Analysis &amp; Split'!F84-'Private Car Analysis &amp; Split'!R84-'Private Car Analysis &amp; Split'!U84</f>
        <v>29845.832105344594</v>
      </c>
      <c r="L84" s="21">
        <f t="shared" si="9"/>
        <v>0.8901243929756576</v>
      </c>
      <c r="M84" s="22"/>
      <c r="N84" s="19">
        <f>'Private Car Analysis &amp; Split'!P84</f>
        <v>7283.683363148567</v>
      </c>
      <c r="O84" s="21">
        <f t="shared" si="10"/>
        <v>0.35890625000000048</v>
      </c>
      <c r="P84" s="257"/>
      <c r="Q84" s="14">
        <v>2029</v>
      </c>
      <c r="R84" s="257"/>
      <c r="S84" s="593">
        <f t="shared" si="11"/>
        <v>1.7491666666666668</v>
      </c>
      <c r="T84" s="24"/>
      <c r="U84" s="114" t="s">
        <v>748</v>
      </c>
      <c r="V84" s="578">
        <f>V83/10^9</f>
        <v>4.8342030701788816E-2</v>
      </c>
      <c r="W84" s="585" t="s">
        <v>574</v>
      </c>
      <c r="X84" s="5"/>
      <c r="Y84" s="5"/>
      <c r="AA84" s="5"/>
      <c r="AB84" s="5"/>
      <c r="AG84" s="24"/>
      <c r="AI84" s="273"/>
    </row>
    <row r="85" spans="1:35" ht="14.4" x14ac:dyDescent="0.3">
      <c r="A85" s="5"/>
      <c r="B85" s="19">
        <f>'Private Car Analysis &amp; Split'!E85+'Private Car Analysis &amp; Split'!F85</f>
        <v>33793.81218122851</v>
      </c>
      <c r="C85" s="19">
        <f>'Private Car Analysis &amp; Split'!E85</f>
        <v>20656.982439570995</v>
      </c>
      <c r="D85" s="5"/>
      <c r="E85" s="19">
        <f>'Private Car Analysis &amp; Split'!R85</f>
        <v>2415.5357299361967</v>
      </c>
      <c r="F85" s="21">
        <f t="shared" si="7"/>
        <v>7.1478639846319483E-2</v>
      </c>
      <c r="G85" s="20"/>
      <c r="H85" s="19">
        <f>'Private Car Analysis &amp; Split'!U85</f>
        <v>1781.6669317720989</v>
      </c>
      <c r="I85" s="21">
        <f t="shared" si="8"/>
        <v>5.2721691243871077E-2</v>
      </c>
      <c r="J85" s="22"/>
      <c r="K85" s="19">
        <f>'Private Car Analysis &amp; Split'!E85+'Private Car Analysis &amp; Split'!F85-'Private Car Analysis &amp; Split'!R85-'Private Car Analysis &amp; Split'!U85</f>
        <v>29596.609519520214</v>
      </c>
      <c r="L85" s="21">
        <f t="shared" si="9"/>
        <v>0.87579966890980943</v>
      </c>
      <c r="M85" s="22"/>
      <c r="N85" s="19">
        <f>'Private Car Analysis &amp; Split'!P85</f>
        <v>7552.7092044681376</v>
      </c>
      <c r="O85" s="21">
        <f t="shared" si="10"/>
        <v>0.36562499999999964</v>
      </c>
      <c r="P85" s="257"/>
      <c r="Q85" s="14">
        <v>2030</v>
      </c>
      <c r="R85" s="257"/>
      <c r="S85" s="593">
        <f t="shared" si="11"/>
        <v>1.7611111111111111</v>
      </c>
      <c r="T85" s="24"/>
      <c r="U85" s="24"/>
      <c r="V85" s="5"/>
      <c r="X85" s="5"/>
      <c r="Y85" s="5"/>
      <c r="AA85" s="5"/>
      <c r="AB85" s="5"/>
      <c r="AG85" s="24"/>
      <c r="AI85" s="273"/>
    </row>
    <row r="86" spans="1:35" ht="14.4" x14ac:dyDescent="0.3">
      <c r="A86" s="5"/>
      <c r="B86" s="19">
        <f>'Private Car Analysis &amp; Split'!E86+'Private Car Analysis &amp; Split'!F86</f>
        <v>34056.45377295326</v>
      </c>
      <c r="C86" s="19">
        <f>'Private Car Analysis &amp; Split'!E86</f>
        <v>21060.806406517651</v>
      </c>
      <c r="D86" s="5"/>
      <c r="E86" s="19">
        <f>'Private Car Analysis &amp; Split'!R86</f>
        <v>2793.4594291707203</v>
      </c>
      <c r="F86" s="21">
        <f t="shared" si="7"/>
        <v>8.2024377752131436E-2</v>
      </c>
      <c r="G86" s="20"/>
      <c r="H86" s="19">
        <f>'Private Car Analysis &amp; Split'!U86</f>
        <v>1957.2801646090265</v>
      </c>
      <c r="I86" s="21">
        <f t="shared" si="8"/>
        <v>5.7471637465772989E-2</v>
      </c>
      <c r="J86" s="22"/>
      <c r="K86" s="19">
        <f>'Private Car Analysis &amp; Split'!E86+'Private Car Analysis &amp; Split'!F86-'Private Car Analysis &amp; Split'!R86-'Private Car Analysis &amp; Split'!U86</f>
        <v>29305.714179173512</v>
      </c>
      <c r="L86" s="21">
        <f t="shared" si="9"/>
        <v>0.86050398478209555</v>
      </c>
      <c r="M86" s="22"/>
      <c r="N86" s="19">
        <f>'Private Car Analysis &amp; Split'!P86</f>
        <v>7841.8596354267829</v>
      </c>
      <c r="O86" s="21">
        <f t="shared" si="10"/>
        <v>0.37234374999999886</v>
      </c>
      <c r="P86" s="257"/>
      <c r="Q86" s="14">
        <v>2031</v>
      </c>
      <c r="R86" s="257"/>
      <c r="S86" s="593">
        <f t="shared" si="11"/>
        <v>1.7730555555555556</v>
      </c>
      <c r="T86" s="24"/>
      <c r="U86" s="24"/>
      <c r="V86" s="5"/>
      <c r="X86" s="5"/>
      <c r="Y86" s="5"/>
      <c r="AA86" s="5"/>
      <c r="AB86" s="5"/>
      <c r="AG86" s="24"/>
      <c r="AI86" s="273"/>
    </row>
    <row r="87" spans="1:35" ht="14.4" x14ac:dyDescent="0.3">
      <c r="A87" s="5"/>
      <c r="B87" s="19">
        <f>'Private Car Analysis &amp; Split'!E87+'Private Car Analysis &amp; Split'!F87</f>
        <v>34330.674846241323</v>
      </c>
      <c r="C87" s="19">
        <f>'Private Car Analysis &amp; Split'!E87</f>
        <v>21471.259476579038</v>
      </c>
      <c r="D87" s="5"/>
      <c r="E87" s="19">
        <f>'Private Car Analysis &amp; Split'!R87</f>
        <v>3202.1766774277844</v>
      </c>
      <c r="F87" s="21">
        <f t="shared" si="7"/>
        <v>9.32745042667978E-2</v>
      </c>
      <c r="G87" s="20"/>
      <c r="H87" s="19">
        <f>'Private Car Analysis &amp; Split'!U87</f>
        <v>2143.485726153177</v>
      </c>
      <c r="I87" s="21">
        <f t="shared" si="8"/>
        <v>6.2436457650579959E-2</v>
      </c>
      <c r="J87" s="22"/>
      <c r="K87" s="19">
        <f>'Private Car Analysis &amp; Split'!E87+'Private Car Analysis &amp; Split'!F87-'Private Car Analysis &amp; Split'!R87-'Private Car Analysis &amp; Split'!U87</f>
        <v>28985.012442660362</v>
      </c>
      <c r="L87" s="21">
        <f t="shared" si="9"/>
        <v>0.84428903808262223</v>
      </c>
      <c r="M87" s="22"/>
      <c r="N87" s="19">
        <f>'Private Car Analysis &amp; Split'!P87</f>
        <v>8138.9492953407389</v>
      </c>
      <c r="O87" s="21">
        <f t="shared" si="10"/>
        <v>0.37906249999999986</v>
      </c>
      <c r="P87" s="257"/>
      <c r="Q87" s="14">
        <v>2032</v>
      </c>
      <c r="R87" s="257"/>
      <c r="S87" s="593">
        <f t="shared" si="11"/>
        <v>1.7850000000000001</v>
      </c>
      <c r="T87" s="24"/>
      <c r="U87" s="24"/>
      <c r="V87" s="5"/>
      <c r="X87" s="5"/>
      <c r="Y87" s="5"/>
      <c r="AA87" s="5"/>
      <c r="AB87" s="5"/>
      <c r="AG87" s="24"/>
      <c r="AI87" s="273"/>
    </row>
    <row r="88" spans="1:35" ht="14.4" x14ac:dyDescent="0.3">
      <c r="A88" s="5"/>
      <c r="B88" s="19">
        <f>'Private Car Analysis &amp; Split'!E88+'Private Car Analysis &amp; Split'!F88</f>
        <v>34629.779705816502</v>
      </c>
      <c r="C88" s="19">
        <f>'Private Car Analysis &amp; Split'!E88</f>
        <v>21901.462384250652</v>
      </c>
      <c r="D88" s="5"/>
      <c r="E88" s="19">
        <f>'Private Car Analysis &amp; Split'!R88</f>
        <v>3642.3510871896019</v>
      </c>
      <c r="F88" s="21">
        <f t="shared" si="7"/>
        <v>0.10517973599981706</v>
      </c>
      <c r="G88" s="20"/>
      <c r="H88" s="19">
        <f>'Private Car Analysis &amp; Split'!U88</f>
        <v>2340.5472960809852</v>
      </c>
      <c r="I88" s="21">
        <f t="shared" si="8"/>
        <v>6.7587703876957131E-2</v>
      </c>
      <c r="J88" s="22"/>
      <c r="K88" s="19">
        <f>'Private Car Analysis &amp; Split'!E88+'Private Car Analysis &amp; Split'!F88-'Private Car Analysis &amp; Split'!R88-'Private Car Analysis &amp; Split'!U88</f>
        <v>28646.881322545913</v>
      </c>
      <c r="L88" s="21">
        <f t="shared" si="9"/>
        <v>0.82723256012322577</v>
      </c>
      <c r="M88" s="22"/>
      <c r="N88" s="19">
        <f>'Private Car Analysis &amp; Split'!P88</f>
        <v>8449.1735354241773</v>
      </c>
      <c r="O88" s="21">
        <f t="shared" si="10"/>
        <v>0.38578124999999913</v>
      </c>
      <c r="P88" s="257"/>
      <c r="Q88" s="14">
        <v>2033</v>
      </c>
      <c r="R88" s="257"/>
      <c r="S88" s="593">
        <f t="shared" si="11"/>
        <v>1.7969444444444445</v>
      </c>
      <c r="T88" s="24"/>
      <c r="U88" s="24"/>
      <c r="V88" s="5"/>
      <c r="X88" s="5"/>
      <c r="Y88" s="5"/>
      <c r="AA88" s="5"/>
      <c r="AB88" s="5"/>
      <c r="AG88" s="24"/>
      <c r="AI88" s="273"/>
    </row>
    <row r="89" spans="1:35" ht="14.4" x14ac:dyDescent="0.3">
      <c r="A89" s="5"/>
      <c r="B89" s="19">
        <f>'Private Car Analysis &amp; Split'!E89+'Private Car Analysis &amp; Split'!F89</f>
        <v>34955.402080626292</v>
      </c>
      <c r="C89" s="19">
        <f>'Private Car Analysis &amp; Split'!E89</f>
        <v>22352.765688204297</v>
      </c>
      <c r="D89" s="5"/>
      <c r="E89" s="19">
        <f>'Private Car Analysis &amp; Split'!R89</f>
        <v>4114.6462709383868</v>
      </c>
      <c r="F89" s="21">
        <f t="shared" si="7"/>
        <v>0.11771131287369432</v>
      </c>
      <c r="G89" s="20"/>
      <c r="H89" s="19">
        <f>'Private Car Analysis &amp; Split'!U89</f>
        <v>2548.7285540688849</v>
      </c>
      <c r="I89" s="21">
        <f t="shared" si="8"/>
        <v>7.2913724413471825E-2</v>
      </c>
      <c r="J89" s="22"/>
      <c r="K89" s="19">
        <f>'Private Car Analysis &amp; Split'!E89+'Private Car Analysis &amp; Split'!F89-'Private Car Analysis &amp; Split'!R89-'Private Car Analysis &amp; Split'!U89</f>
        <v>28292.027255619021</v>
      </c>
      <c r="L89" s="21">
        <f t="shared" si="9"/>
        <v>0.80937496271283382</v>
      </c>
      <c r="M89" s="22"/>
      <c r="N89" s="19">
        <f>'Private Car Analysis &amp; Split'!P89</f>
        <v>8773.460532620189</v>
      </c>
      <c r="O89" s="21">
        <f t="shared" si="10"/>
        <v>0.39250000000000013</v>
      </c>
      <c r="P89" s="257"/>
      <c r="Q89" s="14">
        <v>2034</v>
      </c>
      <c r="R89" s="257"/>
      <c r="S89" s="593">
        <f t="shared" si="11"/>
        <v>1.8088888888888888</v>
      </c>
      <c r="T89" s="24"/>
      <c r="U89" s="24"/>
      <c r="V89" s="5"/>
      <c r="X89" s="5"/>
      <c r="Y89" s="5"/>
      <c r="AA89" s="5"/>
      <c r="AB89" s="5"/>
      <c r="AG89" s="24"/>
      <c r="AI89" s="273"/>
    </row>
    <row r="90" spans="1:35" ht="14.4" x14ac:dyDescent="0.3">
      <c r="A90" s="5"/>
      <c r="B90" s="19">
        <f>'Private Car Analysis &amp; Split'!E90+'Private Car Analysis &amp; Split'!F90</f>
        <v>35286.75507240725</v>
      </c>
      <c r="C90" s="19">
        <f>'Private Car Analysis &amp; Split'!E90</f>
        <v>22813.607372108832</v>
      </c>
      <c r="D90" s="5"/>
      <c r="E90" s="19">
        <f>'Private Car Analysis &amp; Split'!R90</f>
        <v>4619.7258411563525</v>
      </c>
      <c r="F90" s="21">
        <f t="shared" si="7"/>
        <v>0.13091954280513549</v>
      </c>
      <c r="G90" s="20"/>
      <c r="H90" s="19">
        <f>'Private Car Analysis &amp; Split'!U90</f>
        <v>2768.2931797933115</v>
      </c>
      <c r="I90" s="21">
        <f t="shared" si="8"/>
        <v>7.8451338869580556E-2</v>
      </c>
      <c r="J90" s="22"/>
      <c r="K90" s="19">
        <f>'Private Car Analysis &amp; Split'!E90+'Private Car Analysis &amp; Split'!F90-'Private Car Analysis &amp; Split'!R90-'Private Car Analysis &amp; Split'!U90</f>
        <v>27898.736051457585</v>
      </c>
      <c r="L90" s="21">
        <f t="shared" si="9"/>
        <v>0.79062911832528393</v>
      </c>
      <c r="M90" s="22"/>
      <c r="N90" s="19">
        <f>'Private Car Analysis &amp; Split'!P90</f>
        <v>9107.6198180840565</v>
      </c>
      <c r="O90" s="21">
        <f t="shared" si="10"/>
        <v>0.39921874999999929</v>
      </c>
      <c r="P90" s="257"/>
      <c r="Q90" s="14">
        <v>2035</v>
      </c>
      <c r="R90" s="257"/>
      <c r="S90" s="593">
        <f t="shared" si="11"/>
        <v>1.8208333333333333</v>
      </c>
      <c r="T90" s="24"/>
      <c r="U90" s="24"/>
      <c r="V90" s="5"/>
      <c r="X90" s="5"/>
      <c r="Y90" s="5"/>
      <c r="AA90" s="5"/>
      <c r="AB90" s="5"/>
      <c r="AG90" s="24"/>
      <c r="AI90" s="273"/>
    </row>
    <row r="91" spans="1:35" ht="14.4" x14ac:dyDescent="0.3">
      <c r="A91" s="5"/>
      <c r="B91" s="19">
        <f>'Private Car Analysis &amp; Split'!E91+'Private Car Analysis &amp; Split'!F91</f>
        <v>35703.346943740631</v>
      </c>
      <c r="C91" s="19">
        <f>'Private Car Analysis &amp; Split'!E91</f>
        <v>23323.764229974</v>
      </c>
      <c r="D91" s="5"/>
      <c r="E91" s="19">
        <f>'Private Car Analysis &amp; Split'!R91</f>
        <v>5158.2534103257112</v>
      </c>
      <c r="F91" s="21">
        <f t="shared" si="7"/>
        <v>0.14447534620364313</v>
      </c>
      <c r="G91" s="20"/>
      <c r="H91" s="19">
        <f>'Private Car Analysis &amp; Split'!U91</f>
        <v>2999.5048529306982</v>
      </c>
      <c r="I91" s="21">
        <f t="shared" si="8"/>
        <v>8.4011867505227253E-2</v>
      </c>
      <c r="J91" s="22"/>
      <c r="K91" s="19">
        <f>'Private Car Analysis &amp; Split'!E91+'Private Car Analysis &amp; Split'!F91-'Private Car Analysis &amp; Split'!R91-'Private Car Analysis &amp; Split'!U91</f>
        <v>27545.588680484219</v>
      </c>
      <c r="L91" s="21">
        <f t="shared" si="9"/>
        <v>0.77151278629112952</v>
      </c>
      <c r="M91" s="22"/>
      <c r="N91" s="19">
        <f>'Private Car Analysis &amp; Split'!P91</f>
        <v>9467.9905421050789</v>
      </c>
      <c r="O91" s="21">
        <f t="shared" si="10"/>
        <v>0.40593750000000034</v>
      </c>
      <c r="P91" s="257"/>
      <c r="Q91" s="14">
        <v>2036</v>
      </c>
      <c r="R91" s="257"/>
      <c r="S91" s="593">
        <f t="shared" si="11"/>
        <v>1.8327777777777778</v>
      </c>
      <c r="T91" s="24"/>
      <c r="U91" s="24"/>
      <c r="V91" s="5"/>
      <c r="X91" s="5"/>
      <c r="Y91" s="5"/>
      <c r="AA91" s="5"/>
      <c r="AB91" s="5"/>
      <c r="AG91" s="24"/>
      <c r="AI91" s="273"/>
    </row>
    <row r="92" spans="1:35" ht="14.4" x14ac:dyDescent="0.3">
      <c r="A92" s="5"/>
      <c r="B92" s="19">
        <f>'Private Car Analysis &amp; Split'!E92+'Private Car Analysis &amp; Split'!F92</f>
        <v>36129.511037225413</v>
      </c>
      <c r="C92" s="19">
        <f>'Private Car Analysis &amp; Split'!E92</f>
        <v>23845.753221564712</v>
      </c>
      <c r="D92" s="5"/>
      <c r="E92" s="19">
        <f>'Private Car Analysis &amp; Split'!R92</f>
        <v>5730.8925909286791</v>
      </c>
      <c r="F92" s="21">
        <f t="shared" si="7"/>
        <v>0.15862081789659299</v>
      </c>
      <c r="G92" s="20"/>
      <c r="H92" s="19">
        <f>'Private Car Analysis &amp; Split'!U92</f>
        <v>3242.6272531574796</v>
      </c>
      <c r="I92" s="21">
        <f t="shared" si="8"/>
        <v>8.9750100681309938E-2</v>
      </c>
      <c r="J92" s="22"/>
      <c r="K92" s="19">
        <f>'Private Car Analysis &amp; Split'!E92+'Private Car Analysis &amp; Split'!F92-'Private Car Analysis &amp; Split'!R92-'Private Car Analysis &amp; Split'!U92</f>
        <v>27155.991193139256</v>
      </c>
      <c r="L92" s="21">
        <f t="shared" si="9"/>
        <v>0.75162908142209706</v>
      </c>
      <c r="M92" s="22"/>
      <c r="N92" s="19">
        <f>'Private Car Analysis &amp; Split'!P92</f>
        <v>9840.0991028363005</v>
      </c>
      <c r="O92" s="21">
        <f t="shared" si="10"/>
        <v>0.4126562499999995</v>
      </c>
      <c r="P92" s="257"/>
      <c r="Q92" s="14">
        <v>2037</v>
      </c>
      <c r="R92" s="257"/>
      <c r="S92" s="593">
        <f t="shared" si="11"/>
        <v>1.8447222222222224</v>
      </c>
      <c r="T92" s="24"/>
      <c r="U92" s="24"/>
      <c r="V92" s="5"/>
      <c r="X92" s="5"/>
      <c r="Y92" s="5"/>
      <c r="AA92" s="5"/>
      <c r="AB92" s="5"/>
      <c r="AG92" s="24"/>
      <c r="AI92" s="273"/>
    </row>
    <row r="93" spans="1:35" ht="14.4" x14ac:dyDescent="0.3">
      <c r="A93" s="5"/>
      <c r="B93" s="19">
        <f>'Private Car Analysis &amp; Split'!E93+'Private Car Analysis &amp; Split'!F93</f>
        <v>36578.999702211499</v>
      </c>
      <c r="C93" s="19">
        <f>'Private Car Analysis &amp; Split'!E93</f>
        <v>24393.491006697244</v>
      </c>
      <c r="D93" s="5"/>
      <c r="E93" s="19">
        <f>'Private Car Analysis &amp; Split'!R93</f>
        <v>6338.3069954474668</v>
      </c>
      <c r="F93" s="21">
        <f t="shared" si="7"/>
        <v>0.17327720952041956</v>
      </c>
      <c r="G93" s="20"/>
      <c r="H93" s="19">
        <f>'Private Car Analysis &amp; Split'!U93</f>
        <v>3497.924060150091</v>
      </c>
      <c r="I93" s="21">
        <f t="shared" si="8"/>
        <v>9.5626564111281939E-2</v>
      </c>
      <c r="J93" s="22"/>
      <c r="K93" s="19">
        <f>'Private Car Analysis &amp; Split'!E93+'Private Car Analysis &amp; Split'!F93-'Private Car Analysis &amp; Split'!R93-'Private Car Analysis &amp; Split'!U93</f>
        <v>26742.768646613942</v>
      </c>
      <c r="L93" s="21">
        <f t="shared" si="9"/>
        <v>0.73109622636829852</v>
      </c>
      <c r="M93" s="22"/>
      <c r="N93" s="19">
        <f>'Private Car Analysis &amp; Split'!P93</f>
        <v>10230.020290933669</v>
      </c>
      <c r="O93" s="21">
        <f t="shared" si="10"/>
        <v>0.4193750000000005</v>
      </c>
      <c r="P93" s="257"/>
      <c r="Q93" s="14">
        <v>2038</v>
      </c>
      <c r="R93" s="257"/>
      <c r="S93" s="593">
        <f t="shared" si="11"/>
        <v>1.8566666666666667</v>
      </c>
      <c r="T93" s="24"/>
      <c r="U93" s="24"/>
      <c r="V93" s="5"/>
      <c r="X93" s="5"/>
      <c r="Y93" s="5"/>
      <c r="AA93" s="5"/>
      <c r="AB93" s="5"/>
      <c r="AG93" s="24"/>
      <c r="AI93" s="273"/>
    </row>
    <row r="94" spans="1:35" ht="14.4" x14ac:dyDescent="0.3">
      <c r="A94" s="5"/>
      <c r="B94" s="19">
        <f>'Private Car Analysis &amp; Split'!E94+'Private Car Analysis &amp; Split'!F94</f>
        <v>37138.322229405312</v>
      </c>
      <c r="C94" s="19">
        <f>'Private Car Analysis &amp; Split'!E94</f>
        <v>24967.977097302624</v>
      </c>
      <c r="D94" s="5"/>
      <c r="E94" s="19">
        <f>'Private Car Analysis &amp; Split'!R94</f>
        <v>6981.1602363642887</v>
      </c>
      <c r="F94" s="21">
        <f t="shared" si="7"/>
        <v>0.18797726491900485</v>
      </c>
      <c r="G94" s="20"/>
      <c r="H94" s="19">
        <f>'Private Car Analysis &amp; Split'!U94</f>
        <v>3765.6589535849657</v>
      </c>
      <c r="I94" s="21">
        <f t="shared" si="8"/>
        <v>0.10139550543840667</v>
      </c>
      <c r="J94" s="22"/>
      <c r="K94" s="19">
        <f>'Private Car Analysis &amp; Split'!E94+'Private Car Analysis &amp; Split'!F94-'Private Car Analysis &amp; Split'!R94-'Private Car Analysis &amp; Split'!U94</f>
        <v>26391.503039456056</v>
      </c>
      <c r="L94" s="21">
        <f t="shared" si="9"/>
        <v>0.7106272296425884</v>
      </c>
      <c r="M94" s="22"/>
      <c r="N94" s="19">
        <f>'Private Car Analysis &amp; Split'!P94</f>
        <v>10638.698991303783</v>
      </c>
      <c r="O94" s="21">
        <f t="shared" si="10"/>
        <v>0.42609374999999972</v>
      </c>
      <c r="P94" s="257"/>
      <c r="Q94" s="14">
        <v>2039</v>
      </c>
      <c r="R94" s="257"/>
      <c r="S94" s="593">
        <f t="shared" si="11"/>
        <v>1.868611111111111</v>
      </c>
      <c r="T94" s="24"/>
      <c r="U94" s="24"/>
      <c r="V94" s="5"/>
      <c r="X94" s="5"/>
      <c r="Y94" s="5"/>
      <c r="AA94" s="5"/>
      <c r="AB94" s="5"/>
      <c r="AG94" s="24"/>
      <c r="AI94" s="273"/>
    </row>
    <row r="95" spans="1:35" ht="14.4" x14ac:dyDescent="0.3">
      <c r="A95" s="5"/>
      <c r="B95" s="19">
        <f>'Private Car Analysis &amp; Split'!E95+'Private Car Analysis &amp; Split'!F95</f>
        <v>37806.639880751827</v>
      </c>
      <c r="C95" s="19">
        <f>'Private Car Analysis &amp; Split'!E95</f>
        <v>25567.916151567992</v>
      </c>
      <c r="D95" s="5"/>
      <c r="E95" s="19">
        <f>'Private Car Analysis &amp; Split'!R95</f>
        <v>7660.1159261613575</v>
      </c>
      <c r="F95" s="21">
        <f t="shared" si="7"/>
        <v>0.20261297883976426</v>
      </c>
      <c r="G95" s="20"/>
      <c r="H95" s="19">
        <f>'Private Car Analysis &amp; Split'!U95</f>
        <v>4046.0956131385383</v>
      </c>
      <c r="I95" s="21">
        <f t="shared" si="8"/>
        <v>0.10702076740753924</v>
      </c>
      <c r="J95" s="22"/>
      <c r="K95" s="19">
        <f>'Private Car Analysis &amp; Split'!E95+'Private Car Analysis &amp; Split'!F95-'Private Car Analysis &amp; Split'!R95-'Private Car Analysis &amp; Split'!U95</f>
        <v>26100.42834145193</v>
      </c>
      <c r="L95" s="21">
        <f t="shared" si="9"/>
        <v>0.69036625375269645</v>
      </c>
      <c r="M95" s="22"/>
      <c r="N95" s="19">
        <f>'Private Car Analysis &amp; Split'!P95</f>
        <v>11066.113709350495</v>
      </c>
      <c r="O95" s="21">
        <f t="shared" si="10"/>
        <v>0.43281249999999899</v>
      </c>
      <c r="P95" s="257"/>
      <c r="Q95" s="14">
        <v>2040</v>
      </c>
      <c r="R95" s="257"/>
      <c r="S95" s="593">
        <f t="shared" si="11"/>
        <v>1.8805555555555555</v>
      </c>
      <c r="T95" s="24"/>
      <c r="U95" s="24"/>
      <c r="V95" s="5"/>
      <c r="X95" s="5"/>
      <c r="Y95" s="5"/>
      <c r="AA95" s="5"/>
      <c r="AB95" s="5"/>
      <c r="AG95" s="24"/>
      <c r="AI95" s="273"/>
    </row>
    <row r="96" spans="1:35" ht="14.4" x14ac:dyDescent="0.3">
      <c r="A96" s="5"/>
      <c r="B96" s="19">
        <f>'Private Car Analysis &amp; Split'!E96+'Private Car Analysis &amp; Split'!F96</f>
        <v>38664.778009324051</v>
      </c>
      <c r="C96" s="19">
        <f>'Private Car Analysis &amp; Split'!E96</f>
        <v>26201.291572094186</v>
      </c>
      <c r="D96" s="5"/>
      <c r="E96" s="19">
        <f>'Private Car Analysis &amp; Split'!R96</f>
        <v>8375.8376773208875</v>
      </c>
      <c r="F96" s="21">
        <f t="shared" si="7"/>
        <v>0.2166270727146305</v>
      </c>
      <c r="G96" s="20"/>
      <c r="H96" s="19">
        <f>'Private Car Analysis &amp; Split'!U96</f>
        <v>4339.4977184872432</v>
      </c>
      <c r="I96" s="21">
        <f t="shared" si="8"/>
        <v>0.11223387128825023</v>
      </c>
      <c r="J96" s="22"/>
      <c r="K96" s="19">
        <f>'Private Car Analysis &amp; Split'!E96+'Private Car Analysis &amp; Split'!F96-'Private Car Analysis &amp; Split'!R96-'Private Car Analysis &amp; Split'!U96</f>
        <v>25949.442613515919</v>
      </c>
      <c r="L96" s="21">
        <f t="shared" si="9"/>
        <v>0.6711390559971192</v>
      </c>
      <c r="M96" s="22"/>
      <c r="N96" s="19">
        <f>'Private Car Analysis &amp; Split'!P96</f>
        <v>11516.286436297019</v>
      </c>
      <c r="O96" s="21">
        <f t="shared" si="10"/>
        <v>0.43953124999999987</v>
      </c>
      <c r="P96" s="257"/>
      <c r="Q96" s="14">
        <v>2041</v>
      </c>
      <c r="R96" s="257"/>
      <c r="S96" s="593">
        <f t="shared" si="11"/>
        <v>1.8925000000000001</v>
      </c>
      <c r="T96" s="24"/>
      <c r="U96" s="24"/>
      <c r="V96" s="5"/>
      <c r="X96" s="5"/>
      <c r="Y96" s="5"/>
      <c r="AA96" s="5"/>
      <c r="AB96" s="5"/>
      <c r="AG96" s="24"/>
      <c r="AI96" s="273"/>
    </row>
    <row r="97" spans="1:35" ht="14.4" x14ac:dyDescent="0.3">
      <c r="A97" s="5"/>
      <c r="B97" s="19">
        <f>'Private Car Analysis &amp; Split'!E97+'Private Car Analysis &amp; Split'!F97</f>
        <v>39601.069411012708</v>
      </c>
      <c r="C97" s="19">
        <f>'Private Car Analysis &amp; Split'!E97</f>
        <v>26862.292091163621</v>
      </c>
      <c r="D97" s="5"/>
      <c r="E97" s="19">
        <f>'Private Car Analysis &amp; Split'!R97</f>
        <v>9128.9891023250893</v>
      </c>
      <c r="F97" s="21">
        <f t="shared" si="7"/>
        <v>0.23052380246545559</v>
      </c>
      <c r="G97" s="20"/>
      <c r="H97" s="19">
        <f>'Private Car Analysis &amp; Split'!U97</f>
        <v>4646.1289493075155</v>
      </c>
      <c r="I97" s="21">
        <f t="shared" si="8"/>
        <v>0.11732332026406005</v>
      </c>
      <c r="J97" s="22"/>
      <c r="K97" s="19">
        <f>'Private Car Analysis &amp; Split'!E97+'Private Car Analysis &amp; Split'!F97-'Private Car Analysis &amp; Split'!R97-'Private Car Analysis &amp; Split'!U97</f>
        <v>25825.951359380102</v>
      </c>
      <c r="L97" s="21">
        <f t="shared" si="9"/>
        <v>0.65215287727048432</v>
      </c>
      <c r="M97" s="22"/>
      <c r="N97" s="19">
        <f>'Private Car Analysis &amp; Split'!P97</f>
        <v>11987.297845681742</v>
      </c>
      <c r="O97" s="21">
        <f t="shared" si="10"/>
        <v>0.44624999999999909</v>
      </c>
      <c r="P97" s="257"/>
      <c r="Q97" s="14">
        <v>2042</v>
      </c>
      <c r="R97" s="257"/>
      <c r="S97" s="593">
        <f t="shared" si="11"/>
        <v>1.9044444444444446</v>
      </c>
      <c r="T97" s="24"/>
      <c r="U97" s="24"/>
      <c r="V97" s="5"/>
      <c r="X97" s="5"/>
      <c r="Y97" s="5"/>
      <c r="AA97" s="5"/>
      <c r="AB97" s="5"/>
      <c r="AG97" s="24"/>
      <c r="AI97" s="273"/>
    </row>
    <row r="98" spans="1:35" ht="14.4" x14ac:dyDescent="0.3">
      <c r="A98" s="5"/>
      <c r="B98" s="19">
        <f>'Private Car Analysis &amp; Split'!E98+'Private Car Analysis &amp; Split'!F98</f>
        <v>40614.627547200449</v>
      </c>
      <c r="C98" s="19">
        <f>'Private Car Analysis &amp; Split'!E98</f>
        <v>27554.265702662065</v>
      </c>
      <c r="D98" s="5"/>
      <c r="E98" s="19">
        <f>'Private Car Analysis &amp; Split'!R98</f>
        <v>9920.2338136561793</v>
      </c>
      <c r="F98" s="21">
        <f t="shared" si="7"/>
        <v>0.24425273387346322</v>
      </c>
      <c r="G98" s="20"/>
      <c r="H98" s="19">
        <f>'Private Car Analysis &amp; Split'!U98</f>
        <v>4966.2529852757889</v>
      </c>
      <c r="I98" s="21">
        <f t="shared" si="8"/>
        <v>0.12227744744191581</v>
      </c>
      <c r="J98" s="22"/>
      <c r="K98" s="19">
        <f>'Private Car Analysis &amp; Split'!E98+'Private Car Analysis &amp; Split'!F98-'Private Car Analysis &amp; Split'!R98-'Private Car Analysis &amp; Split'!U98</f>
        <v>25728.140748268481</v>
      </c>
      <c r="L98" s="21">
        <f t="shared" si="9"/>
        <v>0.63346981868462093</v>
      </c>
      <c r="M98" s="22"/>
      <c r="N98" s="19">
        <f>'Private Car Analysis &amp; Split'!P98</f>
        <v>12481.221292502711</v>
      </c>
      <c r="O98" s="21">
        <f t="shared" si="10"/>
        <v>0.45296875000000014</v>
      </c>
      <c r="P98" s="257"/>
      <c r="Q98" s="14">
        <v>2043</v>
      </c>
      <c r="R98" s="257"/>
      <c r="S98" s="593">
        <f t="shared" si="11"/>
        <v>1.9163888888888889</v>
      </c>
      <c r="T98" s="24"/>
      <c r="U98" s="24"/>
      <c r="V98" s="5"/>
      <c r="X98" s="5"/>
      <c r="Y98" s="5"/>
      <c r="AA98" s="5"/>
      <c r="AB98" s="5"/>
      <c r="AG98" s="24"/>
      <c r="AI98" s="273"/>
    </row>
    <row r="99" spans="1:35" ht="14.4" x14ac:dyDescent="0.3">
      <c r="A99" s="5"/>
      <c r="B99" s="19">
        <f>'Private Car Analysis &amp; Split'!E99+'Private Car Analysis &amp; Split'!F99</f>
        <v>41783.576148295746</v>
      </c>
      <c r="C99" s="19">
        <f>'Private Car Analysis &amp; Split'!E99</f>
        <v>28278.247164501892</v>
      </c>
      <c r="D99" s="5"/>
      <c r="E99" s="19">
        <f>'Private Car Analysis &amp; Split'!R99</f>
        <v>10750.235423796372</v>
      </c>
      <c r="F99" s="21">
        <f t="shared" si="7"/>
        <v>0.25728375631713007</v>
      </c>
      <c r="G99" s="20"/>
      <c r="H99" s="19">
        <f>'Private Car Analysis &amp; Split'!U99</f>
        <v>5300.1335060684978</v>
      </c>
      <c r="I99" s="21">
        <f t="shared" si="8"/>
        <v>0.12684729251650417</v>
      </c>
      <c r="J99" s="22"/>
      <c r="K99" s="19">
        <f>'Private Car Analysis &amp; Split'!E99+'Private Car Analysis &amp; Split'!F99-'Private Car Analysis &amp; Split'!R99-'Private Car Analysis &amp; Split'!U99</f>
        <v>25733.207218430874</v>
      </c>
      <c r="L99" s="21">
        <f t="shared" si="9"/>
        <v>0.61586895116636564</v>
      </c>
      <c r="M99" s="22"/>
      <c r="N99" s="19">
        <f>'Private Car Analysis &amp; Split'!P99</f>
        <v>12999.156743431946</v>
      </c>
      <c r="O99" s="21">
        <f t="shared" si="10"/>
        <v>0.45968749999999936</v>
      </c>
      <c r="P99" s="257"/>
      <c r="Q99" s="14">
        <v>2044</v>
      </c>
      <c r="R99" s="257"/>
      <c r="S99" s="593">
        <f t="shared" si="11"/>
        <v>1.9283333333333332</v>
      </c>
      <c r="T99" s="24"/>
      <c r="U99" s="24"/>
      <c r="V99" s="5"/>
      <c r="X99" s="5"/>
      <c r="Y99" s="5"/>
      <c r="AA99" s="5"/>
      <c r="AB99" s="5"/>
      <c r="AG99" s="24"/>
      <c r="AI99" s="273"/>
    </row>
    <row r="100" spans="1:35" ht="14.4" x14ac:dyDescent="0.3">
      <c r="A100" s="5"/>
      <c r="B100" s="19">
        <f>'Private Car Analysis &amp; Split'!E100+'Private Car Analysis &amp; Split'!F100</f>
        <v>43025.425708038303</v>
      </c>
      <c r="C100" s="19">
        <f>'Private Car Analysis &amp; Split'!E100</f>
        <v>29073.299249223339</v>
      </c>
      <c r="D100" s="5"/>
      <c r="E100" s="19">
        <f>'Private Car Analysis &amp; Split'!R100</f>
        <v>11619.657545227876</v>
      </c>
      <c r="F100" s="21">
        <f t="shared" si="7"/>
        <v>0.27006490590183774</v>
      </c>
      <c r="G100" s="20"/>
      <c r="H100" s="19">
        <f>'Private Car Analysis &amp; Split'!U100</f>
        <v>5648.0341913620759</v>
      </c>
      <c r="I100" s="21">
        <f t="shared" si="8"/>
        <v>0.13127201180270651</v>
      </c>
      <c r="J100" s="22"/>
      <c r="K100" s="19">
        <f>'Private Car Analysis &amp; Split'!E100+'Private Car Analysis &amp; Split'!F100-'Private Car Analysis &amp; Split'!R100-'Private Car Analysis &amp; Split'!U100</f>
        <v>25757.73397144835</v>
      </c>
      <c r="L100" s="21">
        <f t="shared" si="9"/>
        <v>0.59866308229545573</v>
      </c>
      <c r="M100" s="22"/>
      <c r="N100" s="19">
        <f>'Private Car Analysis &amp; Split'!P100</f>
        <v>13559.968477958084</v>
      </c>
      <c r="O100" s="21">
        <f t="shared" si="10"/>
        <v>0.46640625000000036</v>
      </c>
      <c r="P100" s="257"/>
      <c r="Q100" s="14">
        <v>2045</v>
      </c>
      <c r="R100" s="257"/>
      <c r="S100" s="593">
        <f t="shared" si="11"/>
        <v>1.9402777777777778</v>
      </c>
      <c r="T100" s="24"/>
      <c r="U100" s="24"/>
      <c r="V100" s="5"/>
      <c r="X100" s="5"/>
      <c r="Y100" s="5"/>
      <c r="AA100" s="5"/>
      <c r="AB100" s="5"/>
      <c r="AG100" s="24"/>
      <c r="AI100" s="273"/>
    </row>
    <row r="101" spans="1:35" ht="14.4" x14ac:dyDescent="0.3">
      <c r="A101" s="5"/>
      <c r="B101" s="19">
        <f>'Private Car Analysis &amp; Split'!E101+'Private Car Analysis &amp; Split'!F101</f>
        <v>44226.886969791492</v>
      </c>
      <c r="C101" s="19">
        <f>'Private Car Analysis &amp; Split'!E101</f>
        <v>29826.281808486652</v>
      </c>
      <c r="D101" s="5"/>
      <c r="E101" s="19">
        <f>'Private Car Analysis &amp; Split'!R101</f>
        <v>12529.163790432909</v>
      </c>
      <c r="F101" s="21">
        <f t="shared" si="7"/>
        <v>0.28329291634273884</v>
      </c>
      <c r="G101" s="20"/>
      <c r="H101" s="19">
        <f>'Private Car Analysis &amp; Split'!U101</f>
        <v>6010.2187208329588</v>
      </c>
      <c r="I101" s="21">
        <f t="shared" si="8"/>
        <v>0.13589513376643822</v>
      </c>
      <c r="J101" s="22"/>
      <c r="K101" s="19">
        <f>'Private Car Analysis &amp; Split'!E101+'Private Car Analysis &amp; Split'!F101-'Private Car Analysis &amp; Split'!R101-'Private Car Analysis &amp; Split'!U101</f>
        <v>25687.504458525622</v>
      </c>
      <c r="L101" s="21">
        <f t="shared" si="9"/>
        <v>0.58081194989082285</v>
      </c>
      <c r="M101" s="22"/>
      <c r="N101" s="19">
        <f>'Private Car Analysis &amp; Split'!P101</f>
        <v>14111.559580640234</v>
      </c>
      <c r="O101" s="21">
        <f t="shared" si="10"/>
        <v>0.47312499999999957</v>
      </c>
      <c r="P101" s="257"/>
      <c r="Q101" s="14">
        <v>2046</v>
      </c>
      <c r="R101" s="257"/>
      <c r="S101" s="593">
        <f t="shared" si="11"/>
        <v>1.9522222222222223</v>
      </c>
      <c r="T101" s="24"/>
      <c r="U101" s="24"/>
      <c r="V101" s="5"/>
      <c r="X101" s="5"/>
      <c r="Y101" s="5"/>
      <c r="AA101" s="5"/>
      <c r="AB101" s="5"/>
      <c r="AG101" s="24"/>
      <c r="AI101" s="273"/>
    </row>
    <row r="102" spans="1:35" ht="14.4" x14ac:dyDescent="0.3">
      <c r="A102" s="5"/>
      <c r="B102" s="19">
        <f>'Private Car Analysis &amp; Split'!E102+'Private Car Analysis &amp; Split'!F102</f>
        <v>45502.919985140805</v>
      </c>
      <c r="C102" s="19">
        <f>'Private Car Analysis &amp; Split'!E102</f>
        <v>30652.32036536164</v>
      </c>
      <c r="D102" s="5"/>
      <c r="E102" s="19">
        <f>'Private Car Analysis &amp; Split'!R102</f>
        <v>13479.417771893683</v>
      </c>
      <c r="F102" s="21">
        <f t="shared" si="7"/>
        <v>0.29623192921015729</v>
      </c>
      <c r="G102" s="20"/>
      <c r="H102" s="19">
        <f>'Private Car Analysis &amp; Split'!U102</f>
        <v>6386.9507741575808</v>
      </c>
      <c r="I102" s="21">
        <f t="shared" si="8"/>
        <v>0.1403635365871744</v>
      </c>
      <c r="J102" s="22"/>
      <c r="K102" s="19">
        <f>'Private Car Analysis &amp; Split'!E102+'Private Car Analysis &amp; Split'!F102-'Private Car Analysis &amp; Split'!R102-'Private Car Analysis &amp; Split'!U102</f>
        <v>25636.551439089541</v>
      </c>
      <c r="L102" s="21">
        <f t="shared" si="9"/>
        <v>0.56340453420266823</v>
      </c>
      <c r="M102" s="22"/>
      <c r="N102" s="19">
        <f>'Private Car Analysis &amp; Split'!P102</f>
        <v>14708.324350316518</v>
      </c>
      <c r="O102" s="21">
        <f t="shared" si="10"/>
        <v>0.47984375000000057</v>
      </c>
      <c r="P102" s="257"/>
      <c r="Q102" s="14">
        <v>2047</v>
      </c>
      <c r="R102" s="257"/>
      <c r="S102" s="593">
        <f t="shared" si="11"/>
        <v>1.9641666666666666</v>
      </c>
      <c r="T102" s="24"/>
      <c r="U102" s="24"/>
      <c r="V102" s="5"/>
      <c r="X102" s="5"/>
      <c r="Y102" s="5"/>
      <c r="AA102" s="5"/>
      <c r="AB102" s="5"/>
      <c r="AI102" s="273"/>
    </row>
    <row r="103" spans="1:35" ht="14.4" x14ac:dyDescent="0.3">
      <c r="A103" s="5"/>
      <c r="B103" s="19">
        <f>'Private Car Analysis &amp; Split'!E103+'Private Car Analysis &amp; Split'!F103</f>
        <v>46816.2116802276</v>
      </c>
      <c r="C103" s="19">
        <f>'Private Car Analysis &amp; Split'!E103</f>
        <v>31514.30270357287</v>
      </c>
      <c r="D103" s="5"/>
      <c r="E103" s="19">
        <f>'Private Car Analysis &amp; Split'!R103</f>
        <v>14471.083102092409</v>
      </c>
      <c r="F103" s="21">
        <f t="shared" si="7"/>
        <v>0.30910410267570065</v>
      </c>
      <c r="G103" s="20"/>
      <c r="H103" s="19">
        <f>'Private Car Analysis &amp; Split'!U103</f>
        <v>6778.4940310123757</v>
      </c>
      <c r="I103" s="21">
        <f t="shared" si="8"/>
        <v>0.144789460482451</v>
      </c>
      <c r="J103" s="22"/>
      <c r="K103" s="19">
        <f>'Private Car Analysis &amp; Split'!E103+'Private Car Analysis &amp; Split'!F103-'Private Car Analysis &amp; Split'!R103-'Private Car Analysis &amp; Split'!U103</f>
        <v>25566.634547122816</v>
      </c>
      <c r="L103" s="21">
        <f t="shared" si="9"/>
        <v>0.54610643684184834</v>
      </c>
      <c r="M103" s="22"/>
      <c r="N103" s="19">
        <f>'Private Car Analysis &amp; Split'!P103</f>
        <v>15333.677909207168</v>
      </c>
      <c r="O103" s="21">
        <f t="shared" si="10"/>
        <v>0.48656249999999979</v>
      </c>
      <c r="P103" s="257"/>
      <c r="Q103" s="14">
        <v>2048</v>
      </c>
      <c r="R103" s="257"/>
      <c r="S103" s="593">
        <f t="shared" si="11"/>
        <v>1.9761111111111112</v>
      </c>
      <c r="T103" s="24"/>
      <c r="U103" s="24"/>
      <c r="V103" s="5"/>
      <c r="X103" s="5"/>
      <c r="Y103" s="5"/>
      <c r="AA103" s="5"/>
      <c r="AB103" s="5"/>
      <c r="AI103" s="273"/>
    </row>
    <row r="104" spans="1:35" ht="14.4" x14ac:dyDescent="0.3">
      <c r="A104" s="5"/>
      <c r="B104" s="19">
        <f>'Private Car Analysis &amp; Split'!E104+'Private Car Analysis &amp; Split'!F104</f>
        <v>48173.737762544923</v>
      </c>
      <c r="C104" s="19">
        <f>'Private Car Analysis &amp; Split'!E104</f>
        <v>32413.135799273983</v>
      </c>
      <c r="D104" s="5"/>
      <c r="E104" s="19">
        <f>'Private Car Analysis &amp; Split'!R104</f>
        <v>15504.823393511306</v>
      </c>
      <c r="F104" s="21">
        <f t="shared" si="7"/>
        <v>0.32185219818185468</v>
      </c>
      <c r="G104" s="20"/>
      <c r="H104" s="19">
        <f>'Private Car Analysis &amp; Split'!U104</f>
        <v>7185.1121710737771</v>
      </c>
      <c r="I104" s="21">
        <f t="shared" si="8"/>
        <v>0.14914998305695518</v>
      </c>
      <c r="J104" s="22"/>
      <c r="K104" s="19">
        <f>'Private Car Analysis &amp; Split'!E104+'Private Car Analysis &amp; Split'!F104-'Private Car Analysis &amp; Split'!R104-'Private Car Analysis &amp; Split'!U104</f>
        <v>25483.802197959842</v>
      </c>
      <c r="L104" s="21">
        <f t="shared" si="9"/>
        <v>0.52899781876119012</v>
      </c>
      <c r="M104" s="22"/>
      <c r="N104" s="19">
        <f>'Private Car Analysis &amp; Split'!P104</f>
        <v>15988.792143485587</v>
      </c>
      <c r="O104" s="21">
        <f t="shared" si="10"/>
        <v>0.49328124999999901</v>
      </c>
      <c r="P104" s="257"/>
      <c r="Q104" s="14">
        <v>2049</v>
      </c>
      <c r="R104" s="257"/>
      <c r="S104" s="593">
        <f t="shared" si="11"/>
        <v>1.9880555555555555</v>
      </c>
      <c r="T104" s="24"/>
      <c r="U104" s="24"/>
      <c r="V104" s="5"/>
      <c r="X104" s="5"/>
      <c r="Y104" s="5"/>
      <c r="AA104" s="5"/>
      <c r="AB104" s="5"/>
      <c r="AI104" s="273"/>
    </row>
    <row r="105" spans="1:35" ht="14.4" x14ac:dyDescent="0.3">
      <c r="A105" s="30"/>
      <c r="B105" s="19">
        <f>'Private Car Analysis &amp; Split'!E105+'Private Car Analysis &amp; Split'!F105</f>
        <v>49564.048717056714</v>
      </c>
      <c r="C105" s="19">
        <f>'Private Car Analysis &amp; Split'!E105</f>
        <v>33330.004060143445</v>
      </c>
      <c r="D105" s="30"/>
      <c r="E105" s="19">
        <f>'Private Car Analysis &amp; Split'!R105</f>
        <v>16581.302258632579</v>
      </c>
      <c r="F105" s="21">
        <f t="shared" si="7"/>
        <v>0.33454293359465559</v>
      </c>
      <c r="G105" s="31"/>
      <c r="H105" s="19">
        <f>'Private Car Analysis &amp; Split'!U105</f>
        <v>7607.0688740182213</v>
      </c>
      <c r="I105" s="21">
        <f t="shared" si="8"/>
        <v>0.15347956978745289</v>
      </c>
      <c r="J105" s="32"/>
      <c r="K105" s="19">
        <f>'Private Car Analysis &amp; Split'!E105+'Private Car Analysis &amp; Split'!F105-'Private Car Analysis &amp; Split'!R105-'Private Car Analysis &amp; Split'!U105</f>
        <v>25375.677584405916</v>
      </c>
      <c r="L105" s="21">
        <f t="shared" si="9"/>
        <v>0.5119774966178916</v>
      </c>
      <c r="M105" s="32"/>
      <c r="N105" s="19">
        <f>'Private Car Analysis &amp; Split'!P105</f>
        <v>16665.002030071722</v>
      </c>
      <c r="O105" s="21">
        <f t="shared" si="10"/>
        <v>0.5</v>
      </c>
      <c r="P105" s="258"/>
      <c r="Q105" s="259">
        <v>2050</v>
      </c>
      <c r="R105" s="258"/>
      <c r="S105" s="594">
        <v>2</v>
      </c>
      <c r="T105" s="34"/>
      <c r="U105" s="24"/>
      <c r="V105" s="5"/>
      <c r="X105" s="5"/>
      <c r="Y105" s="5"/>
      <c r="AA105" s="5"/>
      <c r="AB105" s="5"/>
      <c r="AI105" s="273"/>
    </row>
    <row r="106" spans="1:35" ht="14.4" x14ac:dyDescent="0.3">
      <c r="A106" s="5"/>
      <c r="B106" s="19">
        <f>'Private Car Analysis &amp; Split'!E106+'Private Car Analysis &amp; Split'!F106</f>
        <v>51045.99436011177</v>
      </c>
      <c r="C106" s="19">
        <f>'Private Car Analysis &amp; Split'!E106</f>
        <v>34324.945941054393</v>
      </c>
      <c r="D106" s="5"/>
      <c r="E106" s="19">
        <f>'Private Car Analysis &amp; Split'!R106</f>
        <v>17701.183309938446</v>
      </c>
      <c r="F106" s="21">
        <f t="shared" si="7"/>
        <v>0.34676929173056642</v>
      </c>
      <c r="G106" s="20"/>
      <c r="H106" s="19">
        <f>'Private Car Analysis &amp; Split'!U106</f>
        <v>8044.6278195221403</v>
      </c>
      <c r="I106" s="21">
        <f t="shared" si="8"/>
        <v>0.15759567269412136</v>
      </c>
      <c r="J106" s="22"/>
      <c r="K106" s="19">
        <f>'Private Car Analysis &amp; Split'!E106+'Private Car Analysis &amp; Split'!F106-'Private Car Analysis &amp; Split'!R106-'Private Car Analysis &amp; Split'!U106</f>
        <v>25300.183230651186</v>
      </c>
      <c r="L106" s="21">
        <f t="shared" si="9"/>
        <v>0.49563503557531224</v>
      </c>
      <c r="M106" s="22"/>
      <c r="N106" s="19">
        <f>'Private Car Analysis &amp; Split'!P106</f>
        <v>17393.093701068628</v>
      </c>
      <c r="O106" s="21">
        <f t="shared" si="10"/>
        <v>0.50671874999999922</v>
      </c>
      <c r="P106" s="257"/>
      <c r="Q106" s="14">
        <v>2051</v>
      </c>
      <c r="R106" s="257"/>
      <c r="S106" s="593">
        <f t="shared" si="11"/>
        <v>2.0119444444444445</v>
      </c>
      <c r="T106" s="24"/>
      <c r="U106" s="24"/>
      <c r="V106" s="5"/>
      <c r="X106" s="5"/>
      <c r="Y106" s="5"/>
      <c r="AA106" s="5"/>
      <c r="AB106" s="5"/>
      <c r="AI106" s="273"/>
    </row>
    <row r="107" spans="1:35" ht="14.4" x14ac:dyDescent="0.3">
      <c r="A107" s="5"/>
      <c r="B107" s="19">
        <f>'Private Car Analysis &amp; Split'!E107+'Private Car Analysis &amp; Split'!F107</f>
        <v>52555.809272629151</v>
      </c>
      <c r="C107" s="19">
        <f>'Private Car Analysis &amp; Split'!E107</f>
        <v>35339.73619399788</v>
      </c>
      <c r="D107" s="5"/>
      <c r="E107" s="19">
        <f>'Private Car Analysis &amp; Split'!R107</f>
        <v>18865.130159911125</v>
      </c>
      <c r="F107" s="21">
        <f t="shared" si="7"/>
        <v>0.35895423210115057</v>
      </c>
      <c r="G107" s="20"/>
      <c r="H107" s="19">
        <f>'Private Car Analysis &amp; Split'!U107</f>
        <v>8498.0526872619721</v>
      </c>
      <c r="I107" s="21">
        <f t="shared" si="8"/>
        <v>0.16169578215757249</v>
      </c>
      <c r="J107" s="22"/>
      <c r="K107" s="19">
        <f>'Private Car Analysis &amp; Split'!E107+'Private Car Analysis &amp; Split'!F107-'Private Car Analysis &amp; Split'!R107-'Private Car Analysis &amp; Split'!U107</f>
        <v>25192.626425456052</v>
      </c>
      <c r="L107" s="21">
        <f t="shared" si="9"/>
        <v>0.47934998574127691</v>
      </c>
      <c r="M107" s="22"/>
      <c r="N107" s="19">
        <f>'Private Car Analysis &amp; Split'!P107</f>
        <v>18144.745802105797</v>
      </c>
      <c r="O107" s="21">
        <f t="shared" si="10"/>
        <v>0.51343750000000032</v>
      </c>
      <c r="P107" s="257"/>
      <c r="Q107" s="14">
        <v>2052</v>
      </c>
      <c r="R107" s="257"/>
      <c r="S107" s="593">
        <f t="shared" si="11"/>
        <v>2.0238888888888891</v>
      </c>
      <c r="T107" s="24"/>
      <c r="U107" s="24"/>
      <c r="V107" s="5"/>
      <c r="X107" s="5"/>
      <c r="Y107" s="5"/>
      <c r="AA107" s="5"/>
      <c r="AB107" s="5"/>
      <c r="AI107" s="273"/>
    </row>
    <row r="108" spans="1:35" ht="14.4" x14ac:dyDescent="0.3">
      <c r="A108" s="5"/>
      <c r="B108" s="19">
        <f>'Private Car Analysis &amp; Split'!E108+'Private Car Analysis &amp; Split'!F108</f>
        <v>54118.824440807337</v>
      </c>
      <c r="C108" s="19">
        <f>'Private Car Analysis &amp; Split'!E108</f>
        <v>36394.912851733105</v>
      </c>
      <c r="D108" s="5"/>
      <c r="E108" s="19">
        <f>'Private Car Analysis &amp; Split'!R108</f>
        <v>20073.806421032823</v>
      </c>
      <c r="F108" s="21">
        <f t="shared" si="7"/>
        <v>0.37092096194714325</v>
      </c>
      <c r="G108" s="20"/>
      <c r="H108" s="19">
        <f>'Private Car Analysis &amp; Split'!U108</f>
        <v>8967.6071569141459</v>
      </c>
      <c r="I108" s="21">
        <f t="shared" si="8"/>
        <v>0.16570217940935689</v>
      </c>
      <c r="J108" s="22"/>
      <c r="K108" s="19">
        <f>'Private Car Analysis &amp; Split'!E108+'Private Car Analysis &amp; Split'!F108-'Private Car Analysis &amp; Split'!R108-'Private Car Analysis &amp; Split'!U108</f>
        <v>25077.410862860368</v>
      </c>
      <c r="L108" s="21">
        <f t="shared" si="9"/>
        <v>0.46337685864349987</v>
      </c>
      <c r="M108" s="22"/>
      <c r="N108" s="19">
        <f>'Private Car Analysis &amp; Split'!P108</f>
        <v>18931.041388034278</v>
      </c>
      <c r="O108" s="21">
        <f t="shared" si="10"/>
        <v>0.52015624999999943</v>
      </c>
      <c r="P108" s="257"/>
      <c r="Q108" s="14">
        <v>2053</v>
      </c>
      <c r="R108" s="257"/>
      <c r="S108" s="593">
        <f t="shared" si="11"/>
        <v>2.0358333333333332</v>
      </c>
      <c r="T108" s="24"/>
      <c r="U108" s="24"/>
      <c r="V108" s="5"/>
      <c r="X108" s="5"/>
      <c r="Y108" s="5"/>
      <c r="AA108" s="5"/>
      <c r="AB108" s="5"/>
      <c r="AI108" s="273"/>
    </row>
    <row r="109" spans="1:35" ht="14.4" x14ac:dyDescent="0.3">
      <c r="A109" s="5"/>
      <c r="B109" s="19">
        <f>'Private Car Analysis &amp; Split'!E109+'Private Car Analysis &amp; Split'!F109</f>
        <v>55735.603261516837</v>
      </c>
      <c r="C109" s="19">
        <f>'Private Car Analysis &amp; Split'!E109</f>
        <v>37491.267435851209</v>
      </c>
      <c r="D109" s="5"/>
      <c r="E109" s="19">
        <f>'Private Car Analysis &amp; Split'!R109</f>
        <v>21327.875705785755</v>
      </c>
      <c r="F109" s="21">
        <f t="shared" si="7"/>
        <v>0.38266161049183051</v>
      </c>
      <c r="G109" s="20"/>
      <c r="H109" s="19">
        <f>'Private Car Analysis &amp; Split'!U109</f>
        <v>9453.5549081551017</v>
      </c>
      <c r="I109" s="21">
        <f t="shared" si="8"/>
        <v>0.16961429239041531</v>
      </c>
      <c r="J109" s="22"/>
      <c r="K109" s="19">
        <f>'Private Car Analysis &amp; Split'!E109+'Private Car Analysis &amp; Split'!F109-'Private Car Analysis &amp; Split'!R109-'Private Car Analysis &amp; Split'!U109</f>
        <v>24954.172647575979</v>
      </c>
      <c r="L109" s="21">
        <f t="shared" si="9"/>
        <v>0.44772409711775413</v>
      </c>
      <c r="M109" s="22"/>
      <c r="N109" s="19">
        <f>'Private Car Analysis &amp; Split'!P109</f>
        <v>19753.211530264121</v>
      </c>
      <c r="O109" s="21">
        <f t="shared" si="10"/>
        <v>0.52687500000000043</v>
      </c>
      <c r="P109" s="257"/>
      <c r="Q109" s="14">
        <v>2054</v>
      </c>
      <c r="R109" s="257"/>
      <c r="S109" s="593">
        <f t="shared" si="11"/>
        <v>2.0477777777777777</v>
      </c>
      <c r="T109" s="24"/>
      <c r="U109" s="24"/>
      <c r="V109" s="5"/>
      <c r="X109" s="5"/>
      <c r="Y109" s="5"/>
      <c r="AA109" s="5"/>
      <c r="AB109" s="5"/>
      <c r="AG109" s="24"/>
      <c r="AI109" s="273"/>
    </row>
    <row r="110" spans="1:35" ht="14.4" x14ac:dyDescent="0.3">
      <c r="A110" s="5"/>
      <c r="B110" s="19">
        <f>'Private Car Analysis &amp; Split'!E110+'Private Car Analysis &amp; Split'!F110</f>
        <v>57406.716861225708</v>
      </c>
      <c r="C110" s="19">
        <f>'Private Car Analysis &amp; Split'!E110</f>
        <v>38629.591604887501</v>
      </c>
      <c r="D110" s="5"/>
      <c r="E110" s="19">
        <f>'Private Car Analysis &amp; Split'!R110</f>
        <v>22628.001626652134</v>
      </c>
      <c r="F110" s="21">
        <f t="shared" si="7"/>
        <v>0.39416993104400633</v>
      </c>
      <c r="G110" s="20"/>
      <c r="H110" s="19">
        <f>'Private Car Analysis &amp; Split'!U110</f>
        <v>9956.1596206612703</v>
      </c>
      <c r="I110" s="21">
        <f t="shared" si="8"/>
        <v>0.17343196345349565</v>
      </c>
      <c r="J110" s="22"/>
      <c r="K110" s="19">
        <f>'Private Car Analysis &amp; Split'!E110+'Private Car Analysis &amp; Split'!F110-'Private Car Analysis &amp; Split'!R110-'Private Car Analysis &amp; Split'!U110</f>
        <v>24822.555613912304</v>
      </c>
      <c r="L110" s="21">
        <f t="shared" si="9"/>
        <v>0.43239810550249796</v>
      </c>
      <c r="M110" s="22"/>
      <c r="N110" s="19">
        <f>'Private Car Analysis &amp; Split'!P110</f>
        <v>20612.508645420425</v>
      </c>
      <c r="O110" s="21">
        <f t="shared" si="10"/>
        <v>0.53359374999999964</v>
      </c>
      <c r="P110" s="257"/>
      <c r="Q110" s="14">
        <v>2055</v>
      </c>
      <c r="R110" s="257"/>
      <c r="S110" s="593">
        <f t="shared" si="11"/>
        <v>2.0597222222222222</v>
      </c>
      <c r="T110" s="24"/>
      <c r="U110" s="24"/>
      <c r="V110" s="5"/>
      <c r="X110" s="5"/>
      <c r="Y110" s="5"/>
      <c r="AA110" s="5"/>
      <c r="AB110" s="5"/>
      <c r="AG110" s="24"/>
      <c r="AI110" s="273"/>
    </row>
    <row r="111" spans="1:35" ht="14.4" x14ac:dyDescent="0.3">
      <c r="A111" s="5"/>
      <c r="B111" s="19">
        <f>'Private Car Analysis &amp; Split'!E111+'Private Car Analysis &amp; Split'!F111</f>
        <v>59132.739466955783</v>
      </c>
      <c r="C111" s="19">
        <f>'Private Car Analysis &amp; Split'!E111</f>
        <v>39810.678112710935</v>
      </c>
      <c r="D111" s="5"/>
      <c r="E111" s="19">
        <f>'Private Car Analysis &amp; Split'!R111</f>
        <v>23974.847796114173</v>
      </c>
      <c r="F111" s="21">
        <f t="shared" si="7"/>
        <v>0.40544118219842762</v>
      </c>
      <c r="G111" s="20"/>
      <c r="H111" s="19">
        <f>'Private Car Analysis &amp; Split'!U111</f>
        <v>10475.684974109086</v>
      </c>
      <c r="I111" s="21">
        <f t="shared" si="8"/>
        <v>0.17715541455614531</v>
      </c>
      <c r="J111" s="22"/>
      <c r="K111" s="19">
        <f>'Private Car Analysis &amp; Split'!E111+'Private Car Analysis &amp; Split'!F111-'Private Car Analysis &amp; Split'!R111-'Private Car Analysis &amp; Split'!U111</f>
        <v>24682.206696732523</v>
      </c>
      <c r="L111" s="21">
        <f t="shared" si="9"/>
        <v>0.41740340324542702</v>
      </c>
      <c r="M111" s="22"/>
      <c r="N111" s="19">
        <f>'Private Car Analysis &amp; Split'!P111</f>
        <v>21510.207017774152</v>
      </c>
      <c r="O111" s="21">
        <f t="shared" si="10"/>
        <v>0.54031250000000064</v>
      </c>
      <c r="P111" s="257"/>
      <c r="Q111" s="14">
        <v>2056</v>
      </c>
      <c r="R111" s="257"/>
      <c r="S111" s="593">
        <f t="shared" si="11"/>
        <v>2.0716666666666668</v>
      </c>
      <c r="T111" s="24"/>
      <c r="U111" s="24"/>
      <c r="V111" s="5"/>
      <c r="X111" s="5"/>
      <c r="Y111" s="5"/>
      <c r="AA111" s="5"/>
      <c r="AB111" s="5"/>
      <c r="AG111" s="24"/>
      <c r="AI111" s="273"/>
    </row>
    <row r="112" spans="1:35" ht="14.4" x14ac:dyDescent="0.3">
      <c r="A112" s="5"/>
      <c r="B112" s="19">
        <f>'Private Car Analysis &amp; Split'!E112+'Private Car Analysis &amp; Split'!F112</f>
        <v>60914.29886186053</v>
      </c>
      <c r="C112" s="19">
        <f>'Private Car Analysis &amp; Split'!E112</f>
        <v>41035.347118299942</v>
      </c>
      <c r="D112" s="5"/>
      <c r="E112" s="19">
        <f>'Private Car Analysis &amp; Split'!R112</f>
        <v>25369.077826654087</v>
      </c>
      <c r="F112" s="21">
        <f t="shared" si="7"/>
        <v>0.41647163803338288</v>
      </c>
      <c r="G112" s="20"/>
      <c r="H112" s="19">
        <f>'Private Car Analysis &amp; Split'!U112</f>
        <v>11012.394648174984</v>
      </c>
      <c r="I112" s="21">
        <f t="shared" si="8"/>
        <v>0.18078505135795023</v>
      </c>
      <c r="J112" s="22"/>
      <c r="K112" s="19">
        <f>'Private Car Analysis &amp; Split'!E112+'Private Car Analysis &amp; Split'!F112-'Private Car Analysis &amp; Split'!R112-'Private Car Analysis &amp; Split'!U112</f>
        <v>24532.826387031459</v>
      </c>
      <c r="L112" s="21">
        <f t="shared" si="9"/>
        <v>0.40274331060866686</v>
      </c>
      <c r="M112" s="22"/>
      <c r="N112" s="19">
        <f>'Private Car Analysis &amp; Split'!P112</f>
        <v>22447.61722830751</v>
      </c>
      <c r="O112" s="21">
        <f t="shared" si="10"/>
        <v>0.54703124999999986</v>
      </c>
      <c r="P112" s="257"/>
      <c r="Q112" s="14">
        <v>2057</v>
      </c>
      <c r="R112" s="257"/>
      <c r="S112" s="593">
        <f t="shared" si="11"/>
        <v>2.0836111111111109</v>
      </c>
      <c r="T112" s="24"/>
      <c r="U112" s="24"/>
      <c r="V112" s="5"/>
      <c r="X112" s="5"/>
      <c r="Y112" s="5"/>
      <c r="AA112" s="5"/>
      <c r="AB112" s="5"/>
      <c r="AG112" s="24"/>
      <c r="AI112" s="273"/>
    </row>
    <row r="113" spans="1:36" ht="14.4" x14ac:dyDescent="0.3">
      <c r="A113" s="5"/>
      <c r="B113" s="19">
        <f>'Private Car Analysis &amp; Split'!E113+'Private Car Analysis &amp; Split'!F113</f>
        <v>62752.073930942963</v>
      </c>
      <c r="C113" s="19">
        <f>'Private Car Analysis &amp; Split'!E113</f>
        <v>42304.437054280759</v>
      </c>
      <c r="D113" s="5"/>
      <c r="E113" s="19">
        <f>'Private Car Analysis &amp; Split'!R113</f>
        <v>26811.35533075409</v>
      </c>
      <c r="F113" s="21">
        <f t="shared" si="7"/>
        <v>0.42725847372406039</v>
      </c>
      <c r="G113" s="20"/>
      <c r="H113" s="19">
        <f>'Private Car Analysis &amp; Split'!U113</f>
        <v>11566.552322535399</v>
      </c>
      <c r="I113" s="21">
        <f t="shared" si="8"/>
        <v>0.18432143510131779</v>
      </c>
      <c r="J113" s="22"/>
      <c r="K113" s="19">
        <f>'Private Car Analysis &amp; Split'!E113+'Private Car Analysis &amp; Split'!F113-'Private Car Analysis &amp; Split'!R113-'Private Car Analysis &amp; Split'!U113</f>
        <v>24374.166277653479</v>
      </c>
      <c r="L113" s="21">
        <f t="shared" si="9"/>
        <v>0.3884200911746219</v>
      </c>
      <c r="M113" s="22"/>
      <c r="N113" s="19">
        <f>'Private Car Analysis &amp; Split'!P113</f>
        <v>23426.082018807931</v>
      </c>
      <c r="O113" s="21">
        <f t="shared" si="10"/>
        <v>0.55374999999999908</v>
      </c>
      <c r="P113" s="257"/>
      <c r="Q113" s="14">
        <v>2058</v>
      </c>
      <c r="R113" s="257"/>
      <c r="S113" s="593">
        <f t="shared" si="11"/>
        <v>2.0955555555555554</v>
      </c>
      <c r="T113" s="24"/>
      <c r="U113" s="24"/>
      <c r="V113" s="5"/>
      <c r="X113" s="5"/>
      <c r="Y113" s="5"/>
      <c r="AA113" s="5"/>
      <c r="AB113" s="5"/>
      <c r="AG113" s="24"/>
      <c r="AI113" s="273"/>
    </row>
    <row r="114" spans="1:36" ht="14.4" x14ac:dyDescent="0.3">
      <c r="A114" s="5"/>
      <c r="B114" s="19">
        <f>'Private Car Analysis &amp; Split'!E114+'Private Car Analysis &amp; Split'!F114</f>
        <v>64646.79057353126</v>
      </c>
      <c r="C114" s="19">
        <f>'Private Car Analysis &amp; Split'!E114</f>
        <v>43618.808796956757</v>
      </c>
      <c r="D114" s="5"/>
      <c r="E114" s="19">
        <f>'Private Car Analysis &amp; Split'!R114</f>
        <v>28302.34392089639</v>
      </c>
      <c r="F114" s="21">
        <f t="shared" si="7"/>
        <v>0.43779967527861152</v>
      </c>
      <c r="G114" s="20"/>
      <c r="H114" s="19">
        <f>'Private Car Analysis &amp; Split'!U114</f>
        <v>12138.421676866765</v>
      </c>
      <c r="I114" s="21">
        <f t="shared" si="8"/>
        <v>0.1877652636608487</v>
      </c>
      <c r="J114" s="22"/>
      <c r="K114" s="19">
        <f>'Private Car Analysis &amp; Split'!E114+'Private Car Analysis &amp; Split'!F114-'Private Car Analysis &amp; Split'!R114-'Private Car Analysis &amp; Split'!U114</f>
        <v>24206.024975768105</v>
      </c>
      <c r="L114" s="21">
        <f t="shared" si="9"/>
        <v>0.37443506106053981</v>
      </c>
      <c r="M114" s="22"/>
      <c r="N114" s="19">
        <f>'Private Car Analysis &amp; Split'!P114</f>
        <v>24446.979242919359</v>
      </c>
      <c r="O114" s="21">
        <f t="shared" si="10"/>
        <v>0.56046875000000007</v>
      </c>
      <c r="P114" s="257"/>
      <c r="Q114" s="14">
        <v>2059</v>
      </c>
      <c r="R114" s="257"/>
      <c r="S114" s="593">
        <f t="shared" si="11"/>
        <v>2.1074999999999999</v>
      </c>
      <c r="T114" s="24"/>
      <c r="U114" s="24"/>
      <c r="V114" s="5"/>
      <c r="X114" s="5"/>
      <c r="Y114" s="5"/>
      <c r="AA114" s="5"/>
      <c r="AB114" s="5"/>
      <c r="AG114" s="24"/>
      <c r="AI114" s="273"/>
    </row>
    <row r="115" spans="1:36" ht="14.4" x14ac:dyDescent="0.3">
      <c r="A115" s="5"/>
      <c r="B115" s="19">
        <f>'Private Car Analysis &amp; Split'!E115+'Private Car Analysis &amp; Split'!F115</f>
        <v>66608.580475414856</v>
      </c>
      <c r="C115" s="19">
        <f>'Private Car Analysis &amp; Split'!E115</f>
        <v>44979.304662714756</v>
      </c>
      <c r="D115" s="5"/>
      <c r="E115" s="19">
        <f>'Private Car Analysis &amp; Split'!R115</f>
        <v>29842.70720956321</v>
      </c>
      <c r="F115" s="21">
        <f t="shared" si="7"/>
        <v>0.44803097433637873</v>
      </c>
      <c r="G115" s="20"/>
      <c r="H115" s="19">
        <f>'Private Car Analysis &amp; Split'!U115</f>
        <v>12728.266390845516</v>
      </c>
      <c r="I115" s="21">
        <f t="shared" si="8"/>
        <v>0.19109049164534445</v>
      </c>
      <c r="J115" s="22"/>
      <c r="K115" s="19">
        <f>'Private Car Analysis &amp; Split'!E115+'Private Car Analysis &amp; Split'!F115-'Private Car Analysis &amp; Split'!R115-'Private Car Analysis &amp; Split'!U115</f>
        <v>24037.606875006131</v>
      </c>
      <c r="L115" s="21">
        <f t="shared" si="9"/>
        <v>0.36087853401827685</v>
      </c>
      <c r="M115" s="22"/>
      <c r="N115" s="19">
        <f>'Private Car Analysis &amp; Split'!P115</f>
        <v>25511.699363383497</v>
      </c>
      <c r="O115" s="21">
        <f t="shared" si="10"/>
        <v>0.5671874999999994</v>
      </c>
      <c r="P115" s="257"/>
      <c r="Q115" s="14">
        <v>2060</v>
      </c>
      <c r="R115" s="257"/>
      <c r="S115" s="593">
        <f t="shared" si="11"/>
        <v>2.1194444444444445</v>
      </c>
      <c r="T115" s="24"/>
      <c r="U115" s="24"/>
      <c r="V115" s="5"/>
      <c r="X115" s="5"/>
      <c r="Y115" s="5"/>
      <c r="AA115" s="5"/>
      <c r="AB115" s="5"/>
      <c r="AG115" s="24"/>
      <c r="AI115" s="273"/>
    </row>
    <row r="116" spans="1:36" ht="14.4" x14ac:dyDescent="0.3">
      <c r="A116" s="5"/>
      <c r="B116" s="5"/>
      <c r="C116" s="5"/>
      <c r="D116" s="5"/>
      <c r="E116" s="5"/>
      <c r="F116" s="5"/>
      <c r="G116" s="5"/>
      <c r="H116" s="5"/>
      <c r="I116" s="5"/>
      <c r="J116" s="5"/>
      <c r="K116" s="5"/>
      <c r="L116" s="5"/>
      <c r="M116" s="5"/>
      <c r="N116" s="5"/>
      <c r="O116" s="5"/>
      <c r="P116" s="257"/>
      <c r="R116" s="257"/>
      <c r="S116" s="5"/>
      <c r="T116" s="5"/>
      <c r="U116" s="5"/>
      <c r="V116" s="5"/>
      <c r="X116" s="5"/>
      <c r="Y116" s="5"/>
      <c r="AA116" s="5"/>
      <c r="AB116" s="5"/>
      <c r="AI116" s="273"/>
    </row>
    <row r="117" spans="1:36" ht="14.4" x14ac:dyDescent="0.3">
      <c r="A117" s="5"/>
      <c r="B117" s="5"/>
      <c r="C117" s="5"/>
      <c r="D117" s="5"/>
      <c r="E117" s="5"/>
      <c r="F117" s="5"/>
      <c r="G117" s="5"/>
      <c r="H117" s="5"/>
      <c r="I117" s="5"/>
      <c r="J117" s="5"/>
      <c r="K117" s="5"/>
      <c r="L117" s="5"/>
      <c r="M117" s="5"/>
      <c r="N117" s="5"/>
      <c r="O117" s="5"/>
      <c r="P117" s="257"/>
      <c r="R117" s="260"/>
      <c r="S117" s="260"/>
      <c r="T117" s="260"/>
      <c r="U117" s="260"/>
      <c r="V117" s="260"/>
      <c r="W117" s="260"/>
      <c r="X117" s="260"/>
      <c r="Y117" s="260"/>
      <c r="Z117" s="260"/>
      <c r="AA117" s="260"/>
      <c r="AB117" s="260"/>
      <c r="AC117" s="260"/>
      <c r="AD117" s="260"/>
      <c r="AE117" s="260"/>
      <c r="AF117" s="260"/>
      <c r="AG117" s="260"/>
      <c r="AH117" s="260"/>
      <c r="AI117" s="260"/>
      <c r="AJ117" s="260"/>
    </row>
    <row r="118" spans="1:36" ht="29.4" customHeight="1" x14ac:dyDescent="0.3">
      <c r="A118" s="5"/>
      <c r="B118" s="5"/>
      <c r="C118" s="5"/>
      <c r="D118" s="5"/>
      <c r="E118" s="5"/>
      <c r="F118" s="5"/>
      <c r="G118" s="5"/>
      <c r="H118" s="231" t="s">
        <v>246</v>
      </c>
      <c r="I118" s="231"/>
      <c r="J118" s="5"/>
      <c r="K118" s="5"/>
      <c r="L118" s="5"/>
      <c r="M118" s="5"/>
      <c r="N118" s="5"/>
      <c r="O118" s="5"/>
      <c r="P118" s="257"/>
      <c r="R118" s="260"/>
      <c r="S118" s="260"/>
      <c r="T118" s="260"/>
      <c r="U118" s="260"/>
      <c r="V118" s="260"/>
      <c r="W118" s="260"/>
      <c r="X118" s="260"/>
      <c r="Y118" s="260"/>
      <c r="Z118" s="260"/>
      <c r="AA118" s="260"/>
      <c r="AB118" s="260"/>
      <c r="AC118" s="260"/>
      <c r="AD118" s="260"/>
      <c r="AE118" s="260"/>
      <c r="AF118" s="260"/>
      <c r="AG118" s="260"/>
      <c r="AH118" s="260"/>
      <c r="AI118" s="260"/>
      <c r="AJ118" s="260"/>
    </row>
    <row r="119" spans="1:36" ht="14.4" x14ac:dyDescent="0.3">
      <c r="A119" s="5"/>
      <c r="B119" s="5"/>
      <c r="C119" s="5"/>
      <c r="D119" s="5"/>
      <c r="E119" s="5"/>
      <c r="F119" s="5"/>
      <c r="G119" s="5"/>
      <c r="H119" s="5"/>
      <c r="I119" s="5"/>
      <c r="J119" s="5"/>
      <c r="K119" s="5"/>
      <c r="L119" s="5"/>
      <c r="M119" s="5"/>
      <c r="N119" s="5"/>
      <c r="O119" s="5"/>
      <c r="P119" s="257"/>
      <c r="R119" s="260"/>
      <c r="S119" s="260"/>
      <c r="T119" s="260"/>
      <c r="U119" s="260"/>
      <c r="V119" s="260"/>
      <c r="W119" s="260"/>
      <c r="X119" s="260"/>
      <c r="Y119" s="260"/>
      <c r="Z119" s="260"/>
      <c r="AA119" s="260"/>
      <c r="AB119" s="260"/>
      <c r="AC119" s="260"/>
      <c r="AD119" s="260"/>
      <c r="AE119" s="260"/>
      <c r="AF119" s="260"/>
      <c r="AG119" s="260"/>
      <c r="AH119" s="260"/>
      <c r="AI119" s="260"/>
      <c r="AJ119" s="260"/>
    </row>
    <row r="120" spans="1:36" ht="14.4" x14ac:dyDescent="0.3">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row>
    <row r="121" spans="1:36" ht="15.75" customHeight="1" x14ac:dyDescent="0.3">
      <c r="A121" s="4" t="s">
        <v>19</v>
      </c>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273"/>
    </row>
    <row r="122" spans="1:36" ht="37.200000000000003" customHeight="1" x14ac:dyDescent="0.35">
      <c r="A122" s="4"/>
      <c r="B122" s="70" t="s">
        <v>130</v>
      </c>
      <c r="C122" s="5"/>
      <c r="D122" s="5"/>
      <c r="E122" s="5"/>
      <c r="G122" s="5"/>
      <c r="H122" s="5"/>
      <c r="I122" s="5"/>
      <c r="J122" s="5"/>
      <c r="K122" s="5"/>
      <c r="L122" s="5"/>
      <c r="M122" s="5"/>
      <c r="N122" s="5"/>
      <c r="O122" s="5"/>
      <c r="R122" s="260"/>
      <c r="S122" s="11" t="s">
        <v>267</v>
      </c>
      <c r="V122" s="11" t="s">
        <v>260</v>
      </c>
      <c r="W122" s="808" t="s">
        <v>761</v>
      </c>
      <c r="X122" s="14"/>
      <c r="Y122" s="11" t="s">
        <v>261</v>
      </c>
      <c r="Z122" s="534" t="s">
        <v>565</v>
      </c>
      <c r="AA122" s="14"/>
      <c r="AB122" s="11" t="s">
        <v>560</v>
      </c>
      <c r="AC122" s="534" t="s">
        <v>567</v>
      </c>
      <c r="AD122" s="5"/>
      <c r="AF122" s="17" t="s">
        <v>30</v>
      </c>
      <c r="AG122" s="5"/>
    </row>
    <row r="123" spans="1:36" ht="60" customHeight="1" x14ac:dyDescent="0.3">
      <c r="A123" s="8"/>
      <c r="B123" s="12" t="s">
        <v>556</v>
      </c>
      <c r="C123" s="10" t="s">
        <v>568</v>
      </c>
      <c r="D123" s="5"/>
      <c r="E123" s="12" t="s">
        <v>558</v>
      </c>
      <c r="F123" s="10" t="s">
        <v>557</v>
      </c>
      <c r="G123" s="10" t="s">
        <v>557</v>
      </c>
      <c r="H123" s="12" t="s">
        <v>377</v>
      </c>
      <c r="I123" s="10" t="s">
        <v>557</v>
      </c>
      <c r="J123" s="11"/>
      <c r="K123" s="12" t="s">
        <v>559</v>
      </c>
      <c r="L123" s="10" t="s">
        <v>557</v>
      </c>
      <c r="M123" s="11"/>
      <c r="N123" s="12" t="s">
        <v>266</v>
      </c>
      <c r="O123" s="10" t="s">
        <v>557</v>
      </c>
      <c r="P123" s="256"/>
      <c r="R123" s="256"/>
      <c r="S123" s="11" t="s">
        <v>307</v>
      </c>
      <c r="T123" s="14"/>
      <c r="U123" s="14"/>
      <c r="V123" s="837" t="s">
        <v>380</v>
      </c>
      <c r="W123" s="837"/>
      <c r="X123" s="14"/>
      <c r="Y123" s="837" t="s">
        <v>261</v>
      </c>
      <c r="Z123" s="837"/>
      <c r="AA123" s="14"/>
      <c r="AB123" s="837" t="s">
        <v>375</v>
      </c>
      <c r="AC123" s="837"/>
      <c r="AD123" s="14"/>
      <c r="AF123" s="17" t="s">
        <v>30</v>
      </c>
      <c r="AG123" s="14"/>
    </row>
    <row r="124" spans="1:36" ht="52.8" customHeight="1" x14ac:dyDescent="0.3">
      <c r="A124" s="16"/>
      <c r="B124" s="68" t="s">
        <v>28</v>
      </c>
      <c r="C124" s="17"/>
      <c r="D124" s="5"/>
      <c r="E124" s="11" t="s">
        <v>732</v>
      </c>
      <c r="F124" s="5"/>
      <c r="G124" s="17"/>
      <c r="H124" s="11" t="s">
        <v>732</v>
      </c>
      <c r="I124" s="17"/>
      <c r="J124" s="17"/>
      <c r="K124" s="11" t="s">
        <v>732</v>
      </c>
      <c r="L124" s="17"/>
      <c r="M124" s="17"/>
      <c r="N124" s="17" t="s">
        <v>733</v>
      </c>
      <c r="O124" s="17"/>
      <c r="P124" s="257"/>
      <c r="Q124" s="122" t="s">
        <v>276</v>
      </c>
      <c r="R124" s="257"/>
      <c r="S124" s="618" t="str">
        <f>'Private Car Analysis &amp; Split'!P124</f>
        <v>PDS3-100p2050-3.0 Veh Occupancy</v>
      </c>
      <c r="T124" s="17"/>
      <c r="U124" s="17" t="s">
        <v>561</v>
      </c>
      <c r="V124" s="591">
        <v>8.45609346046865E-2</v>
      </c>
      <c r="W124" s="592" t="s">
        <v>563</v>
      </c>
      <c r="X124" s="17"/>
      <c r="Y124" s="263">
        <v>0</v>
      </c>
      <c r="Z124" s="592" t="s">
        <v>563</v>
      </c>
      <c r="AA124" s="17"/>
      <c r="AB124" s="263">
        <v>0</v>
      </c>
      <c r="AC124" s="592" t="s">
        <v>563</v>
      </c>
      <c r="AD124" s="17"/>
      <c r="AF124" s="17" t="s">
        <v>30</v>
      </c>
      <c r="AG124" s="17"/>
      <c r="AH124" s="5"/>
      <c r="AI124" s="5"/>
      <c r="AJ124" s="5"/>
    </row>
    <row r="125" spans="1:36" ht="14.4" x14ac:dyDescent="0.3">
      <c r="A125" s="831"/>
      <c r="B125" s="19">
        <f>'Private Car Analysis &amp; Split'!E125+'Private Car Analysis &amp; Split'!F125</f>
        <v>31940.822528863981</v>
      </c>
      <c r="C125" s="19">
        <f>'Private Car Analysis &amp; Split'!E125</f>
        <v>22374.399399366055</v>
      </c>
      <c r="D125" s="5"/>
      <c r="E125" s="19">
        <f>'Private Car Analysis &amp; Split'!R125</f>
        <v>0</v>
      </c>
      <c r="F125" s="21">
        <f>E125/$B125</f>
        <v>0</v>
      </c>
      <c r="G125" s="20"/>
      <c r="H125" s="19">
        <f>'Private Car Analysis &amp; Split'!U125</f>
        <v>0</v>
      </c>
      <c r="I125" s="21">
        <f>H125/$B125</f>
        <v>0</v>
      </c>
      <c r="J125" s="22"/>
      <c r="K125" s="19">
        <f>'Private Car Analysis &amp; Split'!E125+'Private Car Analysis &amp; Split'!F125-'Private Car Analysis &amp; Split'!R125-'Private Car Analysis &amp; Split'!U125</f>
        <v>31940.822528863981</v>
      </c>
      <c r="L125" s="21">
        <f>K125/$B125</f>
        <v>1</v>
      </c>
      <c r="M125" s="22"/>
      <c r="N125" s="19">
        <f>'Private Car Analysis &amp; Split'!P125</f>
        <v>0</v>
      </c>
      <c r="O125" s="21">
        <f>N125/$C125</f>
        <v>0</v>
      </c>
      <c r="P125" s="257"/>
      <c r="Q125" s="14">
        <v>2012</v>
      </c>
      <c r="R125" s="257"/>
      <c r="S125" s="593">
        <f>$S$127+($S$163-$S$127)*($Q125-$Q$127)/($Q$163-$Q$127)</f>
        <v>1.4905555555555556</v>
      </c>
      <c r="T125" s="24"/>
      <c r="U125" s="24"/>
      <c r="V125" s="5"/>
      <c r="X125" s="5"/>
      <c r="Y125" s="5"/>
      <c r="AA125" s="5"/>
      <c r="AB125" s="5"/>
      <c r="AG125" s="17"/>
    </row>
    <row r="126" spans="1:36" ht="28.8" x14ac:dyDescent="0.3">
      <c r="A126" s="832"/>
      <c r="B126" s="19">
        <f>'Private Car Analysis &amp; Split'!E126+'Private Car Analysis &amp; Split'!F126</f>
        <v>33155.301078379336</v>
      </c>
      <c r="C126" s="19">
        <f>'Private Car Analysis &amp; Split'!E126</f>
        <v>23261.58893495956</v>
      </c>
      <c r="D126" s="5"/>
      <c r="E126" s="19">
        <f>'Private Car Analysis &amp; Split'!R126</f>
        <v>0</v>
      </c>
      <c r="F126" s="21">
        <f t="shared" ref="F126:F173" si="12">E126/$B126</f>
        <v>0</v>
      </c>
      <c r="G126" s="20"/>
      <c r="H126" s="19">
        <f>'Private Car Analysis &amp; Split'!U126</f>
        <v>0</v>
      </c>
      <c r="I126" s="21">
        <f t="shared" ref="I126:I173" si="13">H126/$B126</f>
        <v>0</v>
      </c>
      <c r="J126" s="22"/>
      <c r="K126" s="19">
        <f>'Private Car Analysis &amp; Split'!E126+'Private Car Analysis &amp; Split'!F126-'Private Car Analysis &amp; Split'!R126-'Private Car Analysis &amp; Split'!U126</f>
        <v>33155.301078379336</v>
      </c>
      <c r="L126" s="21">
        <f t="shared" ref="L126:L173" si="14">K126/$B126</f>
        <v>1</v>
      </c>
      <c r="M126" s="22"/>
      <c r="N126" s="19">
        <f>'Private Car Analysis &amp; Split'!P126</f>
        <v>0</v>
      </c>
      <c r="O126" s="21">
        <f t="shared" ref="O126:O173" si="15">N126/$C126</f>
        <v>0</v>
      </c>
      <c r="P126" s="257"/>
      <c r="Q126" s="14">
        <v>2013</v>
      </c>
      <c r="R126" s="257"/>
      <c r="S126" s="593">
        <f>$S$127+($S$163-$S$127)*($Q126-$Q$127)/($Q$163-$Q$127)</f>
        <v>1.5302777777777778</v>
      </c>
      <c r="T126" s="24"/>
      <c r="U126" s="17" t="s">
        <v>562</v>
      </c>
      <c r="V126" s="619">
        <v>0.89647683290179381</v>
      </c>
      <c r="W126" s="592" t="s">
        <v>601</v>
      </c>
      <c r="X126" s="17"/>
      <c r="Y126" s="619">
        <v>0.40174623661052872</v>
      </c>
      <c r="Z126" s="592" t="s">
        <v>601</v>
      </c>
      <c r="AA126" s="17"/>
      <c r="AB126" s="590">
        <v>56150410.87990173</v>
      </c>
      <c r="AC126" s="592" t="s">
        <v>564</v>
      </c>
      <c r="AG126" s="17"/>
    </row>
    <row r="127" spans="1:36" ht="14.4" x14ac:dyDescent="0.3">
      <c r="A127" s="30"/>
      <c r="B127" s="19">
        <f>'Private Car Analysis &amp; Split'!E127+'Private Car Analysis &amp; Split'!F127</f>
        <v>22221.936155392275</v>
      </c>
      <c r="C127" s="19">
        <f>'Private Car Analysis &amp; Split'!E127</f>
        <v>12627.813321591922</v>
      </c>
      <c r="D127" s="30"/>
      <c r="E127" s="19">
        <f>'Private Car Analysis &amp; Split'!R127</f>
        <v>116.38899289627807</v>
      </c>
      <c r="F127" s="21">
        <f t="shared" si="12"/>
        <v>5.2375721036366871E-3</v>
      </c>
      <c r="G127" s="31"/>
      <c r="H127" s="19">
        <f>'Private Car Analysis &amp; Split'!U127</f>
        <v>252.99595444214927</v>
      </c>
      <c r="I127" s="21">
        <f t="shared" si="13"/>
        <v>1.1384964508628489E-2</v>
      </c>
      <c r="J127" s="32"/>
      <c r="K127" s="19">
        <f>'Private Car Analysis &amp; Split'!E127+'Private Car Analysis &amp; Split'!F127-'Private Car Analysis &amp; Split'!R127-'Private Car Analysis &amp; Split'!U127</f>
        <v>21852.551208053846</v>
      </c>
      <c r="L127" s="21">
        <f t="shared" si="14"/>
        <v>0.9833774633877348</v>
      </c>
      <c r="M127" s="32"/>
      <c r="N127" s="19">
        <f>'Private Car Analysis &amp; Split'!P127</f>
        <v>3141.4174626346876</v>
      </c>
      <c r="O127" s="21">
        <f t="shared" si="15"/>
        <v>0.24876971037125417</v>
      </c>
      <c r="P127" s="258"/>
      <c r="Q127" s="259">
        <v>2014</v>
      </c>
      <c r="R127" s="258"/>
      <c r="S127" s="594">
        <v>1.57</v>
      </c>
      <c r="T127" s="34"/>
      <c r="U127" s="5"/>
      <c r="V127" s="5"/>
      <c r="X127" s="5"/>
      <c r="Y127" s="5"/>
      <c r="AA127" s="5"/>
      <c r="AB127" s="5"/>
      <c r="AG127" s="17"/>
      <c r="AI127" s="273"/>
    </row>
    <row r="128" spans="1:36" ht="28.8" x14ac:dyDescent="0.3">
      <c r="A128" s="5"/>
      <c r="B128" s="19">
        <f>'Private Car Analysis &amp; Split'!E128+'Private Car Analysis &amp; Split'!F128</f>
        <v>23198.87977991809</v>
      </c>
      <c r="C128" s="19">
        <f>'Private Car Analysis &amp; Split'!E128</f>
        <v>13436.84044747937</v>
      </c>
      <c r="D128" s="5"/>
      <c r="E128" s="19">
        <f>'Private Car Analysis &amp; Split'!R128</f>
        <v>121.57668884867235</v>
      </c>
      <c r="F128" s="21">
        <f t="shared" si="12"/>
        <v>5.2406275648669105E-3</v>
      </c>
      <c r="G128" s="20"/>
      <c r="H128" s="19">
        <f>'Private Car Analysis &amp; Split'!U128</f>
        <v>291.45222628122792</v>
      </c>
      <c r="I128" s="21">
        <f t="shared" si="13"/>
        <v>1.2563202579010778E-2</v>
      </c>
      <c r="J128" s="22"/>
      <c r="K128" s="19">
        <f>'Private Car Analysis &amp; Split'!E128+'Private Car Analysis &amp; Split'!F128-'Private Car Analysis &amp; Split'!R128-'Private Car Analysis &amp; Split'!U128</f>
        <v>22785.85086478819</v>
      </c>
      <c r="L128" s="21">
        <f t="shared" si="14"/>
        <v>0.98219616985612235</v>
      </c>
      <c r="M128" s="22"/>
      <c r="N128" s="19">
        <f>'Private Car Analysis &amp; Split'!P128</f>
        <v>3237.1081048085771</v>
      </c>
      <c r="O128" s="21">
        <f t="shared" si="15"/>
        <v>0.24091289298711807</v>
      </c>
      <c r="P128" s="257"/>
      <c r="Q128" s="14">
        <v>2015</v>
      </c>
      <c r="R128" s="257"/>
      <c r="S128" s="593">
        <f>$S$127+($S$163-$S$127)*($Q128-$Q$127)/($Q$163-$Q$127)</f>
        <v>1.6097222222222223</v>
      </c>
      <c r="T128" s="24"/>
      <c r="U128" s="584" t="s">
        <v>571</v>
      </c>
      <c r="V128" s="587">
        <v>1.4652916201235937</v>
      </c>
      <c r="W128" s="592" t="s">
        <v>569</v>
      </c>
      <c r="X128" s="17"/>
      <c r="Y128" s="587">
        <v>1.4652916201235937</v>
      </c>
      <c r="Z128" s="592" t="s">
        <v>569</v>
      </c>
      <c r="AA128" s="17"/>
      <c r="AB128" s="587">
        <v>1.4652916201235937</v>
      </c>
      <c r="AC128" s="592" t="s">
        <v>569</v>
      </c>
      <c r="AG128" s="17"/>
      <c r="AI128" s="273"/>
    </row>
    <row r="129" spans="1:35" ht="14.4" x14ac:dyDescent="0.3">
      <c r="A129" s="5"/>
      <c r="B129" s="19">
        <f>'Private Car Analysis &amp; Split'!E129+'Private Car Analysis &amp; Split'!F129</f>
        <v>24170.229006344012</v>
      </c>
      <c r="C129" s="19">
        <f>'Private Car Analysis &amp; Split'!E129</f>
        <v>14195.233376260261</v>
      </c>
      <c r="D129" s="5"/>
      <c r="E129" s="19">
        <f>'Private Car Analysis &amp; Split'!R129</f>
        <v>126.76438480106481</v>
      </c>
      <c r="F129" s="21">
        <f t="shared" si="12"/>
        <v>5.2446497204388376E-3</v>
      </c>
      <c r="G129" s="20"/>
      <c r="H129" s="19">
        <f>'Private Car Analysis &amp; Split'!U129</f>
        <v>334.13093232809371</v>
      </c>
      <c r="I129" s="21">
        <f t="shared" si="13"/>
        <v>1.3824069777758153E-2</v>
      </c>
      <c r="J129" s="22"/>
      <c r="K129" s="19">
        <f>'Private Car Analysis &amp; Split'!E129+'Private Car Analysis &amp; Split'!F129-'Private Car Analysis &amp; Split'!R129-'Private Car Analysis &amp; Split'!U129</f>
        <v>23709.333689214851</v>
      </c>
      <c r="L129" s="21">
        <f t="shared" si="14"/>
        <v>0.98093128050180289</v>
      </c>
      <c r="M129" s="22"/>
      <c r="N129" s="19">
        <f>'Private Car Analysis &amp; Split'!P129</f>
        <v>3330.0461502061598</v>
      </c>
      <c r="O129" s="21">
        <f t="shared" si="15"/>
        <v>0.2345890385835602</v>
      </c>
      <c r="P129" s="257"/>
      <c r="Q129" s="14">
        <v>2016</v>
      </c>
      <c r="R129" s="257"/>
      <c r="S129" s="593">
        <f>$S$127+($S$163-$S$127)*($Q129-$Q$127)/($Q$163-$Q$127)</f>
        <v>1.6494444444444445</v>
      </c>
      <c r="T129" s="24"/>
      <c r="AA129" s="14"/>
      <c r="AG129" s="17"/>
      <c r="AI129" s="273"/>
    </row>
    <row r="130" spans="1:35" ht="14.4" x14ac:dyDescent="0.3">
      <c r="A130" s="5"/>
      <c r="B130" s="19">
        <f>'Private Car Analysis &amp; Split'!E130+'Private Car Analysis &amp; Split'!F130</f>
        <v>25176.699218285117</v>
      </c>
      <c r="C130" s="19">
        <f>'Private Car Analysis &amp; Split'!E130</f>
        <v>14978.035642215102</v>
      </c>
      <c r="D130" s="5"/>
      <c r="E130" s="19">
        <f>'Private Car Analysis &amp; Split'!R130</f>
        <v>131.95208075345909</v>
      </c>
      <c r="F130" s="21">
        <f t="shared" si="12"/>
        <v>5.2410397252403151E-3</v>
      </c>
      <c r="G130" s="20"/>
      <c r="H130" s="19">
        <f>'Private Car Analysis &amp; Split'!U130</f>
        <v>380.8746575800638</v>
      </c>
      <c r="I130" s="21">
        <f t="shared" si="13"/>
        <v>1.5128061636588383E-2</v>
      </c>
      <c r="J130" s="22"/>
      <c r="K130" s="19">
        <f>'Private Car Analysis &amp; Split'!E130+'Private Car Analysis &amp; Split'!F130-'Private Car Analysis &amp; Split'!R130-'Private Car Analysis &amp; Split'!U130</f>
        <v>24663.872479951595</v>
      </c>
      <c r="L130" s="21">
        <f t="shared" si="14"/>
        <v>0.97963089863817132</v>
      </c>
      <c r="M130" s="22"/>
      <c r="N130" s="19">
        <f>'Private Car Analysis &amp; Split'!P130</f>
        <v>3422.7338233785767</v>
      </c>
      <c r="O130" s="21">
        <f t="shared" si="15"/>
        <v>0.22851686997804396</v>
      </c>
      <c r="P130" s="257"/>
      <c r="Q130" s="14">
        <v>2017</v>
      </c>
      <c r="R130" s="257"/>
      <c r="S130" s="593">
        <f t="shared" ref="S130:S173" si="16">$S$127+($S$163-$S$127)*($Q130-$Q$127)/($Q$163-$Q$127)</f>
        <v>1.6891666666666667</v>
      </c>
      <c r="T130" s="24"/>
      <c r="AA130" s="5"/>
      <c r="AB130" s="5"/>
      <c r="AG130" s="17"/>
      <c r="AI130" s="273"/>
    </row>
    <row r="131" spans="1:35" ht="14.4" x14ac:dyDescent="0.3">
      <c r="A131" s="5"/>
      <c r="B131" s="19">
        <f>'Private Car Analysis &amp; Split'!E131+'Private Car Analysis &amp; Split'!F131</f>
        <v>26228.406842400345</v>
      </c>
      <c r="C131" s="19">
        <f>'Private Car Analysis &amp; Split'!E131</f>
        <v>15795.931666635273</v>
      </c>
      <c r="D131" s="5"/>
      <c r="E131" s="19">
        <f>'Private Car Analysis &amp; Split'!R131</f>
        <v>137.13977670585155</v>
      </c>
      <c r="F131" s="21">
        <f t="shared" si="12"/>
        <v>5.2286735343815846E-3</v>
      </c>
      <c r="G131" s="20"/>
      <c r="H131" s="19">
        <f>'Private Car Analysis &amp; Split'!U131</f>
        <v>383.15358371927999</v>
      </c>
      <c r="I131" s="21">
        <f t="shared" si="13"/>
        <v>1.4608343770994172E-2</v>
      </c>
      <c r="J131" s="22"/>
      <c r="K131" s="19">
        <f>'Private Car Analysis &amp; Split'!E131+'Private Car Analysis &amp; Split'!F131-'Private Car Analysis &amp; Split'!R131-'Private Car Analysis &amp; Split'!U131</f>
        <v>25708.113481975215</v>
      </c>
      <c r="L131" s="21">
        <f t="shared" si="14"/>
        <v>0.98016298269462432</v>
      </c>
      <c r="M131" s="22"/>
      <c r="N131" s="19">
        <f>'Private Car Analysis &amp; Split'!P131</f>
        <v>3515.2217174527982</v>
      </c>
      <c r="O131" s="21">
        <f t="shared" si="15"/>
        <v>0.22253968880340083</v>
      </c>
      <c r="P131" s="257"/>
      <c r="Q131" s="14">
        <v>2018</v>
      </c>
      <c r="R131" s="257"/>
      <c r="S131" s="593">
        <f t="shared" si="16"/>
        <v>1.7288888888888889</v>
      </c>
      <c r="T131" s="24"/>
      <c r="U131" s="620" t="s">
        <v>615</v>
      </c>
      <c r="V131" s="616"/>
      <c r="W131" s="616"/>
      <c r="X131" s="114"/>
      <c r="Y131" s="114"/>
      <c r="Z131" s="616"/>
      <c r="AA131" s="5"/>
      <c r="AB131" s="5"/>
      <c r="AG131" s="17"/>
      <c r="AI131" s="273"/>
    </row>
    <row r="132" spans="1:35" ht="14.4" x14ac:dyDescent="0.3">
      <c r="A132" s="5"/>
      <c r="B132" s="19">
        <f>'Private Car Analysis &amp; Split'!E132+'Private Car Analysis &amp; Split'!F132</f>
        <v>26466.451791829149</v>
      </c>
      <c r="C132" s="19">
        <f>'Private Car Analysis &amp; Split'!E132</f>
        <v>15934.264998710552</v>
      </c>
      <c r="D132" s="5"/>
      <c r="E132" s="19">
        <f>'Private Car Analysis &amp; Split'!R132</f>
        <v>296.83399761980957</v>
      </c>
      <c r="F132" s="21">
        <f t="shared" si="12"/>
        <v>1.1215481393370969E-2</v>
      </c>
      <c r="G132" s="20"/>
      <c r="H132" s="19">
        <f>'Private Car Analysis &amp; Split'!U132</f>
        <v>487.83448316095041</v>
      </c>
      <c r="I132" s="21">
        <f t="shared" si="13"/>
        <v>1.8432183014103803E-2</v>
      </c>
      <c r="J132" s="22"/>
      <c r="K132" s="19">
        <f>'Private Car Analysis &amp; Split'!E132+'Private Car Analysis &amp; Split'!F132-'Private Car Analysis &amp; Split'!R132-'Private Car Analysis &amp; Split'!U132</f>
        <v>25681.783311048388</v>
      </c>
      <c r="L132" s="21">
        <f t="shared" si="14"/>
        <v>0.97035233559252521</v>
      </c>
      <c r="M132" s="22"/>
      <c r="N132" s="19">
        <f>'Private Car Analysis &amp; Split'!P132</f>
        <v>4897.2967581974644</v>
      </c>
      <c r="O132" s="21">
        <f t="shared" si="15"/>
        <v>0.30734375000000114</v>
      </c>
      <c r="P132" s="257"/>
      <c r="Q132" s="14">
        <v>2019</v>
      </c>
      <c r="R132" s="257"/>
      <c r="S132" s="593">
        <f t="shared" si="16"/>
        <v>1.7686111111111111</v>
      </c>
      <c r="T132" s="24"/>
      <c r="U132" s="24"/>
      <c r="V132" s="11" t="s">
        <v>260</v>
      </c>
      <c r="W132" s="589" t="s">
        <v>566</v>
      </c>
      <c r="X132" s="14"/>
      <c r="Y132" s="11" t="s">
        <v>261</v>
      </c>
      <c r="Z132" s="589" t="s">
        <v>565</v>
      </c>
      <c r="AA132" s="5"/>
      <c r="AB132" s="5"/>
      <c r="AG132" s="17"/>
      <c r="AI132" s="273"/>
    </row>
    <row r="133" spans="1:35" ht="43.2" x14ac:dyDescent="0.3">
      <c r="A133" s="30"/>
      <c r="B133" s="19">
        <f>'Private Car Analysis &amp; Split'!E133+'Private Car Analysis &amp; Split'!F133</f>
        <v>26995.80533621215</v>
      </c>
      <c r="C133" s="19">
        <f>'Private Car Analysis &amp; Split'!E133</f>
        <v>16398.659197456029</v>
      </c>
      <c r="D133" s="30"/>
      <c r="E133" s="19">
        <f>'Private Car Analysis &amp; Split'!R133</f>
        <v>450.81365153839374</v>
      </c>
      <c r="F133" s="21">
        <f t="shared" si="12"/>
        <v>1.6699396292270366E-2</v>
      </c>
      <c r="G133" s="31"/>
      <c r="H133" s="19">
        <f>'Private Car Analysis &amp; Split'!U133</f>
        <v>601.84849183167535</v>
      </c>
      <c r="I133" s="21">
        <f t="shared" si="13"/>
        <v>2.2294148455143745E-2</v>
      </c>
      <c r="J133" s="32"/>
      <c r="K133" s="19">
        <f>'Private Car Analysis &amp; Split'!E133+'Private Car Analysis &amp; Split'!F133-'Private Car Analysis &amp; Split'!R133-'Private Car Analysis &amp; Split'!U133</f>
        <v>25943.143192842082</v>
      </c>
      <c r="L133" s="21">
        <f t="shared" si="14"/>
        <v>0.96100645525258599</v>
      </c>
      <c r="M133" s="32"/>
      <c r="N133" s="19">
        <f>'Private Car Analysis &amp; Split'!P133</f>
        <v>5406.4329541612615</v>
      </c>
      <c r="O133" s="21">
        <f t="shared" si="15"/>
        <v>0.32968749999999858</v>
      </c>
      <c r="P133" s="258"/>
      <c r="Q133" s="259">
        <v>2020</v>
      </c>
      <c r="R133" s="258"/>
      <c r="S133" s="593">
        <f t="shared" si="16"/>
        <v>1.8083333333333333</v>
      </c>
      <c r="T133" s="34"/>
      <c r="U133" s="588" t="s">
        <v>602</v>
      </c>
      <c r="V133" s="581">
        <f t="array" ref="V133">AVERAGE($B$127:$B$163/($C$127:$C$163/$S$127:$S$163 + ($B$127:$B$163-$C$127:$C$163)/$V$128))</f>
        <v>1.8653462003100407</v>
      </c>
      <c r="W133" s="586" t="s">
        <v>569</v>
      </c>
      <c r="X133" s="5"/>
      <c r="Y133" s="581">
        <f t="array" ref="Y133">AVERAGE($B$127:$B$163/($C$127:$C$163/$S$127:$S$163 + ($B$127:$B$163-$C$127:$C$163)/$V$128))</f>
        <v>1.8653462003100407</v>
      </c>
      <c r="Z133" s="586" t="s">
        <v>569</v>
      </c>
      <c r="AA133" s="5"/>
      <c r="AB133" s="5"/>
      <c r="AG133" s="17"/>
      <c r="AI133" s="273"/>
    </row>
    <row r="134" spans="1:35" ht="14.4" x14ac:dyDescent="0.3">
      <c r="A134" s="5"/>
      <c r="B134" s="19">
        <f>'Private Car Analysis &amp; Split'!E134+'Private Car Analysis &amp; Split'!F134</f>
        <v>27606.48466178466</v>
      </c>
      <c r="C134" s="19">
        <f>'Private Car Analysis &amp; Split'!E134</f>
        <v>16948.480753665113</v>
      </c>
      <c r="D134" s="5"/>
      <c r="E134" s="19">
        <f>'Private Car Analysis &amp; Split'!R134</f>
        <v>643.95809479607919</v>
      </c>
      <c r="F134" s="21">
        <f t="shared" si="12"/>
        <v>2.3326334471244832E-2</v>
      </c>
      <c r="G134" s="20"/>
      <c r="H134" s="19">
        <f>'Private Car Analysis &amp; Split'!U134</f>
        <v>733.16895309070435</v>
      </c>
      <c r="I134" s="21">
        <f t="shared" si="13"/>
        <v>2.6557852695588646E-2</v>
      </c>
      <c r="J134" s="22"/>
      <c r="K134" s="19">
        <f>'Private Car Analysis &amp; Split'!E134+'Private Car Analysis &amp; Split'!F134-'Private Car Analysis &amp; Split'!R134-'Private Car Analysis &amp; Split'!U134</f>
        <v>26229.357613897875</v>
      </c>
      <c r="L134" s="21">
        <f t="shared" si="14"/>
        <v>0.95011581283316648</v>
      </c>
      <c r="M134" s="22"/>
      <c r="N134" s="19">
        <f>'Private Car Analysis &amp; Split'!P134</f>
        <v>5966.3948653136049</v>
      </c>
      <c r="O134" s="21">
        <f t="shared" si="15"/>
        <v>0.35203124999999602</v>
      </c>
      <c r="P134" s="257"/>
      <c r="Q134" s="14">
        <v>2021</v>
      </c>
      <c r="R134" s="257"/>
      <c r="S134" s="593">
        <f t="shared" si="16"/>
        <v>1.8480555555555556</v>
      </c>
      <c r="T134" s="24"/>
      <c r="U134" s="24"/>
      <c r="V134" s="114" t="s">
        <v>748</v>
      </c>
      <c r="X134" s="5"/>
      <c r="Y134" s="114" t="s">
        <v>748</v>
      </c>
      <c r="AA134" s="5"/>
      <c r="AB134" s="5"/>
      <c r="AG134" s="17"/>
      <c r="AI134" s="273"/>
    </row>
    <row r="135" spans="1:35" ht="14.4" x14ac:dyDescent="0.3">
      <c r="A135" s="5"/>
      <c r="B135" s="19">
        <f>'Private Car Analysis &amp; Split'!E135+'Private Car Analysis &amp; Split'!F135</f>
        <v>26445.768004003541</v>
      </c>
      <c r="C135" s="19">
        <f>'Private Car Analysis &amp; Split'!E135</f>
        <v>15723.073784718817</v>
      </c>
      <c r="D135" s="5"/>
      <c r="E135" s="19">
        <f>'Private Car Analysis &amp; Split'!R135</f>
        <v>878.81358812276108</v>
      </c>
      <c r="F135" s="21">
        <f t="shared" si="12"/>
        <v>3.3230783389982102E-2</v>
      </c>
      <c r="G135" s="20"/>
      <c r="H135" s="19">
        <f>'Private Car Analysis &amp; Split'!U135</f>
        <v>881.55948616017656</v>
      </c>
      <c r="I135" s="21">
        <f t="shared" si="13"/>
        <v>3.333461467357348E-2</v>
      </c>
      <c r="J135" s="22"/>
      <c r="K135" s="19">
        <f>'Private Car Analysis &amp; Split'!E135+'Private Car Analysis &amp; Split'!F135-'Private Car Analysis &amp; Split'!R135-'Private Car Analysis &amp; Split'!U135</f>
        <v>24685.394929720605</v>
      </c>
      <c r="L135" s="21">
        <f t="shared" si="14"/>
        <v>0.93343460193644445</v>
      </c>
      <c r="M135" s="22"/>
      <c r="N135" s="19">
        <f>'Private Car Analysis &amp; Split'!P135</f>
        <v>5886.3257481541159</v>
      </c>
      <c r="O135" s="21">
        <f t="shared" si="15"/>
        <v>0.37437500000000057</v>
      </c>
      <c r="P135" s="257"/>
      <c r="Q135" s="14">
        <v>2022</v>
      </c>
      <c r="R135" s="257"/>
      <c r="S135" s="593">
        <f t="shared" si="16"/>
        <v>1.8877777777777778</v>
      </c>
      <c r="T135" s="24"/>
      <c r="U135" s="24"/>
      <c r="V135" s="5"/>
      <c r="X135" s="5"/>
      <c r="AG135" s="17"/>
      <c r="AI135" s="273"/>
    </row>
    <row r="136" spans="1:35" ht="14.4" x14ac:dyDescent="0.3">
      <c r="A136" s="5"/>
      <c r="B136" s="19">
        <f>'Private Car Analysis &amp; Split'!E136+'Private Car Analysis &amp; Split'!F136</f>
        <v>26738.440405191657</v>
      </c>
      <c r="C136" s="19">
        <f>'Private Car Analysis &amp; Split'!E136</f>
        <v>15947.378738111931</v>
      </c>
      <c r="D136" s="5"/>
      <c r="E136" s="19">
        <f>'Private Car Analysis &amp; Split'!R136</f>
        <v>1157.9263922483353</v>
      </c>
      <c r="F136" s="21">
        <f t="shared" si="12"/>
        <v>4.3305681808708148E-2</v>
      </c>
      <c r="G136" s="20"/>
      <c r="H136" s="19">
        <f>'Private Car Analysis &amp; Split'!U136</f>
        <v>1046.7837102622302</v>
      </c>
      <c r="I136" s="21">
        <f t="shared" si="13"/>
        <v>3.9149018955457922E-2</v>
      </c>
      <c r="J136" s="22"/>
      <c r="K136" s="19">
        <f>'Private Car Analysis &amp; Split'!E136+'Private Car Analysis &amp; Split'!F136-'Private Car Analysis &amp; Split'!R136-'Private Car Analysis &amp; Split'!U136</f>
        <v>24533.730302681091</v>
      </c>
      <c r="L136" s="21">
        <f t="shared" si="14"/>
        <v>0.91754529923583394</v>
      </c>
      <c r="M136" s="22"/>
      <c r="N136" s="19">
        <f>'Private Car Analysis &amp; Split'!P136</f>
        <v>6326.6241587603117</v>
      </c>
      <c r="O136" s="21">
        <f t="shared" si="15"/>
        <v>0.39671874999999807</v>
      </c>
      <c r="P136" s="257"/>
      <c r="Q136" s="14">
        <v>2023</v>
      </c>
      <c r="R136" s="257"/>
      <c r="S136" s="593">
        <f t="shared" si="16"/>
        <v>1.9275</v>
      </c>
      <c r="T136" s="24"/>
      <c r="U136" s="620" t="s">
        <v>614</v>
      </c>
      <c r="V136" s="616"/>
      <c r="W136" s="616"/>
      <c r="X136" s="114"/>
      <c r="Y136" s="114"/>
      <c r="Z136" s="616"/>
      <c r="AG136" s="17"/>
      <c r="AI136" s="273"/>
    </row>
    <row r="137" spans="1:35" ht="43.2" x14ac:dyDescent="0.3">
      <c r="A137" s="5"/>
      <c r="B137" s="19">
        <f>'Private Car Analysis &amp; Split'!E137+'Private Car Analysis &amp; Split'!F137</f>
        <v>26661.63416215004</v>
      </c>
      <c r="C137" s="19">
        <f>'Private Car Analysis &amp; Split'!E137</f>
        <v>16155.113237498434</v>
      </c>
      <c r="D137" s="5"/>
      <c r="E137" s="19">
        <f>'Private Car Analysis &amp; Split'!R137</f>
        <v>1483.8427679026972</v>
      </c>
      <c r="F137" s="21">
        <f t="shared" si="12"/>
        <v>5.5654606873618492E-2</v>
      </c>
      <c r="G137" s="20"/>
      <c r="H137" s="19">
        <f>'Private Car Analysis &amp; Split'!U137</f>
        <v>1228.6052446190042</v>
      </c>
      <c r="I137" s="21">
        <f t="shared" si="13"/>
        <v>4.6081393103922459E-2</v>
      </c>
      <c r="J137" s="22"/>
      <c r="K137" s="19">
        <f>'Private Car Analysis &amp; Split'!E137+'Private Car Analysis &amp; Split'!F137-'Private Car Analysis &amp; Split'!R137-'Private Car Analysis &amp; Split'!U137</f>
        <v>23949.186149628338</v>
      </c>
      <c r="L137" s="21">
        <f t="shared" si="14"/>
        <v>0.8982640000224591</v>
      </c>
      <c r="M137" s="22"/>
      <c r="N137" s="19">
        <f>'Private Car Analysis &amp; Split'!P137</f>
        <v>6770.002141089114</v>
      </c>
      <c r="O137" s="21">
        <f t="shared" si="15"/>
        <v>0.41906249999999545</v>
      </c>
      <c r="P137" s="257"/>
      <c r="Q137" s="14">
        <v>2024</v>
      </c>
      <c r="R137" s="257"/>
      <c r="S137" s="593">
        <f t="shared" si="16"/>
        <v>1.9672222222222222</v>
      </c>
      <c r="T137" s="24"/>
      <c r="U137" s="621" t="s">
        <v>603</v>
      </c>
      <c r="V137" s="11" t="s">
        <v>267</v>
      </c>
      <c r="W137" s="589" t="s">
        <v>307</v>
      </c>
      <c r="X137" s="5"/>
      <c r="AG137" s="17"/>
      <c r="AI137" s="273"/>
    </row>
    <row r="138" spans="1:35" ht="28.8" x14ac:dyDescent="0.3">
      <c r="A138" s="5"/>
      <c r="B138" s="19">
        <f>'Private Car Analysis &amp; Split'!E138+'Private Car Analysis &amp; Split'!F138</f>
        <v>26460.252377400546</v>
      </c>
      <c r="C138" s="19">
        <f>'Private Car Analysis &amp; Split'!E138</f>
        <v>16342.169350776423</v>
      </c>
      <c r="D138" s="5"/>
      <c r="E138" s="19">
        <f>'Private Car Analysis &amp; Split'!R138</f>
        <v>1859.1089758157423</v>
      </c>
      <c r="F138" s="21">
        <f t="shared" si="12"/>
        <v>7.0260440047941103E-2</v>
      </c>
      <c r="G138" s="20"/>
      <c r="H138" s="19">
        <f>'Private Car Analysis &amp; Split'!U138</f>
        <v>1426.7877084526367</v>
      </c>
      <c r="I138" s="21">
        <f t="shared" si="13"/>
        <v>5.3921923649951381E-2</v>
      </c>
      <c r="J138" s="22"/>
      <c r="K138" s="19">
        <f>'Private Car Analysis &amp; Split'!E138+'Private Car Analysis &amp; Split'!F138-'Private Car Analysis &amp; Split'!R138-'Private Car Analysis &amp; Split'!U138</f>
        <v>23174.355693132165</v>
      </c>
      <c r="L138" s="21">
        <f t="shared" si="14"/>
        <v>0.87581763630210741</v>
      </c>
      <c r="M138" s="22"/>
      <c r="N138" s="19">
        <f>'Private Car Analysis &amp; Split'!P138</f>
        <v>7213.5356899911567</v>
      </c>
      <c r="O138" s="21">
        <f t="shared" si="15"/>
        <v>0.44140625000000006</v>
      </c>
      <c r="P138" s="257"/>
      <c r="Q138" s="14">
        <v>2025</v>
      </c>
      <c r="R138" s="257"/>
      <c r="S138" s="593">
        <f t="shared" si="16"/>
        <v>2.0069444444444446</v>
      </c>
      <c r="T138" s="24"/>
      <c r="U138" s="17" t="s">
        <v>561</v>
      </c>
      <c r="V138" s="583">
        <f t="array" ref="V138">AVERAGE($V124*$F$127:$F$163+$Y124*$I$127:$I$163+$AB124*$L$127:$L$163)</f>
        <v>2.5535533895604881E-2</v>
      </c>
      <c r="W138" s="585" t="s">
        <v>570</v>
      </c>
      <c r="X138" s="5"/>
      <c r="Y138" s="5"/>
      <c r="AA138" s="5"/>
      <c r="AB138" s="5"/>
      <c r="AG138" s="17"/>
      <c r="AI138" s="273"/>
    </row>
    <row r="139" spans="1:35" ht="14.4" x14ac:dyDescent="0.3">
      <c r="A139" s="5"/>
      <c r="B139" s="19">
        <f>'Private Car Analysis &amp; Split'!E139+'Private Car Analysis &amp; Split'!F139</f>
        <v>26721.585265651825</v>
      </c>
      <c r="C139" s="19">
        <f>'Private Car Analysis &amp; Split'!E139</f>
        <v>16529.363608253985</v>
      </c>
      <c r="D139" s="5"/>
      <c r="E139" s="19">
        <f>'Private Car Analysis &amp; Split'!R139</f>
        <v>2286.2712767173666</v>
      </c>
      <c r="F139" s="21">
        <f t="shared" si="12"/>
        <v>8.5558968676014924E-2</v>
      </c>
      <c r="G139" s="20"/>
      <c r="H139" s="19">
        <f>'Private Car Analysis &amp; Split'!U139</f>
        <v>1641.094720985267</v>
      </c>
      <c r="I139" s="21">
        <f t="shared" si="13"/>
        <v>6.1414571952613357E-2</v>
      </c>
      <c r="J139" s="22"/>
      <c r="K139" s="19">
        <f>'Private Car Analysis &amp; Split'!E139+'Private Car Analysis &amp; Split'!F139-'Private Car Analysis &amp; Split'!R139-'Private Car Analysis &amp; Split'!U139</f>
        <v>22794.219267949193</v>
      </c>
      <c r="L139" s="21">
        <f t="shared" si="14"/>
        <v>0.85302645937137178</v>
      </c>
      <c r="M139" s="22"/>
      <c r="N139" s="19">
        <f>'Private Car Analysis &amp; Split'!P139</f>
        <v>7665.4923733277428</v>
      </c>
      <c r="O139" s="21">
        <f t="shared" si="15"/>
        <v>0.46374999999999739</v>
      </c>
      <c r="P139" s="257"/>
      <c r="Q139" s="14">
        <v>2026</v>
      </c>
      <c r="R139" s="257"/>
      <c r="S139" s="593">
        <f t="shared" si="16"/>
        <v>2.0466666666666669</v>
      </c>
      <c r="T139" s="24"/>
      <c r="U139" s="114" t="s">
        <v>748</v>
      </c>
      <c r="V139" s="577">
        <f>V138/10^9</f>
        <v>2.5535533895604883E-11</v>
      </c>
      <c r="W139" s="585" t="s">
        <v>575</v>
      </c>
      <c r="X139" s="5"/>
      <c r="Y139" s="5"/>
      <c r="AA139" s="5"/>
      <c r="AB139" s="5"/>
      <c r="AG139" s="17"/>
      <c r="AI139" s="273"/>
    </row>
    <row r="140" spans="1:35" ht="14.4" x14ac:dyDescent="0.3">
      <c r="A140" s="5"/>
      <c r="B140" s="19">
        <f>'Private Car Analysis &amp; Split'!E140+'Private Car Analysis &amp; Split'!F140</f>
        <v>26975.460765980206</v>
      </c>
      <c r="C140" s="19">
        <f>'Private Car Analysis &amp; Split'!E140</f>
        <v>16701.244203281851</v>
      </c>
      <c r="D140" s="5"/>
      <c r="E140" s="19">
        <f>'Private Car Analysis &amp; Split'!R140</f>
        <v>2767.8759313374649</v>
      </c>
      <c r="F140" s="21">
        <f t="shared" si="12"/>
        <v>0.10260717899685109</v>
      </c>
      <c r="G140" s="20"/>
      <c r="H140" s="19">
        <f>'Private Car Analysis &amp; Split'!U140</f>
        <v>1871.289901439033</v>
      </c>
      <c r="I140" s="21">
        <f t="shared" si="13"/>
        <v>6.937008111457317E-2</v>
      </c>
      <c r="J140" s="22"/>
      <c r="K140" s="19">
        <f>'Private Car Analysis &amp; Split'!E140+'Private Car Analysis &amp; Split'!F140-'Private Car Analysis &amp; Split'!R140-'Private Car Analysis &amp; Split'!U140</f>
        <v>22336.29493320371</v>
      </c>
      <c r="L140" s="21">
        <f t="shared" si="14"/>
        <v>0.82802273988857578</v>
      </c>
      <c r="M140" s="22"/>
      <c r="N140" s="19">
        <f>'Private Car Analysis &amp; Split'!P140</f>
        <v>8118.3704244389519</v>
      </c>
      <c r="O140" s="21">
        <f t="shared" si="15"/>
        <v>0.48609374999999488</v>
      </c>
      <c r="P140" s="257"/>
      <c r="Q140" s="14">
        <v>2027</v>
      </c>
      <c r="R140" s="257"/>
      <c r="S140" s="593">
        <f t="shared" si="16"/>
        <v>2.0863888888888891</v>
      </c>
      <c r="T140" s="24"/>
      <c r="X140" s="5"/>
      <c r="Y140" s="5"/>
      <c r="AA140" s="5"/>
      <c r="AB140" s="5"/>
      <c r="AG140" s="24"/>
      <c r="AI140" s="273"/>
    </row>
    <row r="141" spans="1:35" ht="28.8" x14ac:dyDescent="0.3">
      <c r="A141" s="5"/>
      <c r="B141" s="19">
        <f>'Private Car Analysis &amp; Split'!E141+'Private Car Analysis &amp; Split'!F141</f>
        <v>27230.420073966008</v>
      </c>
      <c r="C141" s="19">
        <f>'Private Car Analysis &amp; Split'!E141</f>
        <v>16866.410746914255</v>
      </c>
      <c r="D141" s="5"/>
      <c r="E141" s="19">
        <f>'Private Car Analysis &amp; Split'!R141</f>
        <v>3306.469200405933</v>
      </c>
      <c r="F141" s="21">
        <f t="shared" si="12"/>
        <v>0.12142556712032236</v>
      </c>
      <c r="G141" s="20"/>
      <c r="H141" s="19">
        <f>'Private Car Analysis &amp; Split'!U141</f>
        <v>2117.1368690360732</v>
      </c>
      <c r="I141" s="21">
        <f t="shared" si="13"/>
        <v>7.7748961025400742E-2</v>
      </c>
      <c r="J141" s="22"/>
      <c r="K141" s="19">
        <f>'Private Car Analysis &amp; Split'!E141+'Private Car Analysis &amp; Split'!F141-'Private Car Analysis &amp; Split'!R141-'Private Car Analysis &amp; Split'!U141</f>
        <v>21806.814004524003</v>
      </c>
      <c r="L141" s="21">
        <f t="shared" si="14"/>
        <v>0.80082547185427699</v>
      </c>
      <c r="M141" s="22"/>
      <c r="N141" s="19">
        <f>'Private Car Analysis &amp; Split'!P141</f>
        <v>8575.5157141342061</v>
      </c>
      <c r="O141" s="21">
        <f t="shared" si="15"/>
        <v>0.50843749999999943</v>
      </c>
      <c r="P141" s="257"/>
      <c r="Q141" s="14">
        <v>2028</v>
      </c>
      <c r="R141" s="257"/>
      <c r="S141" s="593">
        <f t="shared" si="16"/>
        <v>2.1261111111111113</v>
      </c>
      <c r="T141" s="24"/>
      <c r="U141" s="17" t="s">
        <v>562</v>
      </c>
      <c r="V141" s="582">
        <f t="array" ref="V141">AVERAGE((1-$V126)*$AB126*$F$127:$F$163+(1-$Y126)*$AB126*$I$127:$I$163+$AB126*$L$127:$L$163)</f>
        <v>39102095.877406575</v>
      </c>
      <c r="W141" s="585" t="s">
        <v>564</v>
      </c>
      <c r="X141" s="5"/>
      <c r="Y141" s="5"/>
      <c r="AA141" s="5"/>
      <c r="AB141" s="5"/>
      <c r="AG141" s="24"/>
      <c r="AI141" s="273"/>
    </row>
    <row r="142" spans="1:35" ht="14.4" x14ac:dyDescent="0.3">
      <c r="A142" s="5"/>
      <c r="B142" s="19">
        <f>'Private Car Analysis &amp; Split'!E142+'Private Car Analysis &amp; Split'!F142</f>
        <v>27488.934579602712</v>
      </c>
      <c r="C142" s="19">
        <f>'Private Car Analysis &amp; Split'!E142</f>
        <v>17027.377761169791</v>
      </c>
      <c r="D142" s="5"/>
      <c r="E142" s="19">
        <f>'Private Car Analysis &amp; Split'!R142</f>
        <v>3904.5973446526673</v>
      </c>
      <c r="F142" s="21">
        <f t="shared" si="12"/>
        <v>0.14204251290080736</v>
      </c>
      <c r="G142" s="20"/>
      <c r="H142" s="19">
        <f>'Private Car Analysis &amp; Split'!U142</f>
        <v>2378.3992429985274</v>
      </c>
      <c r="I142" s="21">
        <f t="shared" si="13"/>
        <v>8.6522059853252467E-2</v>
      </c>
      <c r="J142" s="22"/>
      <c r="K142" s="19">
        <f>'Private Car Analysis &amp; Split'!E142+'Private Car Analysis &amp; Split'!F142-'Private Car Analysis &amp; Split'!R142-'Private Car Analysis &amp; Split'!U142</f>
        <v>21205.93799195152</v>
      </c>
      <c r="L142" s="21">
        <f t="shared" si="14"/>
        <v>0.77143542724594028</v>
      </c>
      <c r="M142" s="22"/>
      <c r="N142" s="19">
        <f>'Private Car Analysis &amp; Split'!P142</f>
        <v>9037.8128522958505</v>
      </c>
      <c r="O142" s="21">
        <f t="shared" si="15"/>
        <v>0.53078124999999687</v>
      </c>
      <c r="P142" s="257"/>
      <c r="Q142" s="14">
        <v>2029</v>
      </c>
      <c r="R142" s="257"/>
      <c r="S142" s="593">
        <f t="shared" si="16"/>
        <v>2.1658333333333335</v>
      </c>
      <c r="T142" s="24"/>
      <c r="U142" s="114" t="s">
        <v>748</v>
      </c>
      <c r="V142" s="578">
        <f>V141/10^9</f>
        <v>3.9102095877406574E-2</v>
      </c>
      <c r="W142" s="585" t="s">
        <v>574</v>
      </c>
      <c r="X142" s="5"/>
      <c r="Y142" s="5"/>
      <c r="AA142" s="5"/>
      <c r="AB142" s="5"/>
      <c r="AG142" s="24"/>
      <c r="AI142" s="273"/>
    </row>
    <row r="143" spans="1:35" ht="14.4" x14ac:dyDescent="0.3">
      <c r="A143" s="5"/>
      <c r="B143" s="19">
        <f>'Private Car Analysis &amp; Split'!E143+'Private Car Analysis &amp; Split'!F143</f>
        <v>27749.801224179315</v>
      </c>
      <c r="C143" s="19">
        <f>'Private Car Analysis &amp; Split'!E143</f>
        <v>17174.80779284448</v>
      </c>
      <c r="D143" s="5"/>
      <c r="E143" s="19">
        <f>'Private Car Analysis &amp; Split'!R143</f>
        <v>4564.806624807562</v>
      </c>
      <c r="F143" s="21">
        <f t="shared" si="12"/>
        <v>0.16449871434863092</v>
      </c>
      <c r="G143" s="20"/>
      <c r="H143" s="19">
        <f>'Private Car Analysis &amp; Split'!U143</f>
        <v>2654.8406425485332</v>
      </c>
      <c r="I143" s="21">
        <f t="shared" si="13"/>
        <v>9.5670618362314011E-2</v>
      </c>
      <c r="J143" s="22"/>
      <c r="K143" s="19">
        <f>'Private Car Analysis &amp; Split'!E143+'Private Car Analysis &amp; Split'!F143-'Private Car Analysis &amp; Split'!R143-'Private Car Analysis &amp; Split'!U143</f>
        <v>20530.153956823218</v>
      </c>
      <c r="L143" s="21">
        <f t="shared" si="14"/>
        <v>0.739830667289055</v>
      </c>
      <c r="M143" s="22"/>
      <c r="N143" s="19">
        <f>'Private Car Analysis &amp; Split'!P143</f>
        <v>9499.8155604171261</v>
      </c>
      <c r="O143" s="21">
        <f t="shared" si="15"/>
        <v>0.55312500000000131</v>
      </c>
      <c r="P143" s="257"/>
      <c r="Q143" s="14">
        <v>2030</v>
      </c>
      <c r="R143" s="257"/>
      <c r="S143" s="593">
        <f t="shared" si="16"/>
        <v>2.2055555555555557</v>
      </c>
      <c r="T143" s="24"/>
      <c r="U143" s="24"/>
      <c r="V143" s="5"/>
      <c r="X143" s="5"/>
      <c r="Y143" s="5"/>
      <c r="AA143" s="5"/>
      <c r="AB143" s="5"/>
      <c r="AG143" s="24"/>
      <c r="AI143" s="273"/>
    </row>
    <row r="144" spans="1:35" ht="14.4" x14ac:dyDescent="0.3">
      <c r="A144" s="5"/>
      <c r="B144" s="19">
        <f>'Private Car Analysis &amp; Split'!E144+'Private Car Analysis &amp; Split'!F144</f>
        <v>28045.145254995521</v>
      </c>
      <c r="C144" s="19">
        <f>'Private Car Analysis &amp; Split'!E144</f>
        <v>17346.690821972414</v>
      </c>
      <c r="D144" s="5"/>
      <c r="E144" s="19">
        <f>'Private Car Analysis &amp; Split'!R144</f>
        <v>5289.643301600514</v>
      </c>
      <c r="F144" s="21">
        <f t="shared" si="12"/>
        <v>0.18861172775200014</v>
      </c>
      <c r="G144" s="20"/>
      <c r="H144" s="19">
        <f>'Private Car Analysis &amp; Split'!U144</f>
        <v>2946.2246869082287</v>
      </c>
      <c r="I144" s="21">
        <f t="shared" si="13"/>
        <v>0.10505293019951233</v>
      </c>
      <c r="J144" s="22"/>
      <c r="K144" s="19">
        <f>'Private Car Analysis &amp; Split'!E144+'Private Car Analysis &amp; Split'!F144-'Private Car Analysis &amp; Split'!R144-'Private Car Analysis &amp; Split'!U144</f>
        <v>19809.277266486777</v>
      </c>
      <c r="L144" s="21">
        <f t="shared" si="14"/>
        <v>0.70633534204848747</v>
      </c>
      <c r="M144" s="22"/>
      <c r="N144" s="19">
        <f>'Private Car Analysis &amp; Split'!P144</f>
        <v>9982.4784839569184</v>
      </c>
      <c r="O144" s="21">
        <f t="shared" si="15"/>
        <v>0.57546874999999886</v>
      </c>
      <c r="P144" s="257"/>
      <c r="Q144" s="14">
        <v>2031</v>
      </c>
      <c r="R144" s="257"/>
      <c r="S144" s="593">
        <f t="shared" si="16"/>
        <v>2.2452777777777779</v>
      </c>
      <c r="T144" s="24"/>
      <c r="U144" s="24"/>
      <c r="V144" s="5"/>
      <c r="X144" s="5"/>
      <c r="Y144" s="5"/>
      <c r="AA144" s="5"/>
      <c r="AB144" s="5"/>
      <c r="AG144" s="24"/>
      <c r="AI144" s="273"/>
    </row>
    <row r="145" spans="1:35" ht="14.4" x14ac:dyDescent="0.3">
      <c r="A145" s="5"/>
      <c r="B145" s="19">
        <f>'Private Car Analysis &amp; Split'!E145+'Private Car Analysis &amp; Split'!F145</f>
        <v>28340.622131884797</v>
      </c>
      <c r="C145" s="19">
        <f>'Private Car Analysis &amp; Split'!E145</f>
        <v>17510.136844009063</v>
      </c>
      <c r="D145" s="5"/>
      <c r="E145" s="19">
        <f>'Private Car Analysis &amp; Split'!R145</f>
        <v>6081.6536357614177</v>
      </c>
      <c r="F145" s="21">
        <f t="shared" si="12"/>
        <v>0.2145913949051674</v>
      </c>
      <c r="G145" s="20"/>
      <c r="H145" s="19">
        <f>'Private Car Analysis &amp; Split'!U145</f>
        <v>3252.3149952997537</v>
      </c>
      <c r="I145" s="21">
        <f t="shared" si="13"/>
        <v>0.11475806636018467</v>
      </c>
      <c r="J145" s="22"/>
      <c r="K145" s="19">
        <f>'Private Car Analysis &amp; Split'!E145+'Private Car Analysis &amp; Split'!F145-'Private Car Analysis &amp; Split'!R145-'Private Car Analysis &amp; Split'!U145</f>
        <v>19006.653500823624</v>
      </c>
      <c r="L145" s="21">
        <f t="shared" si="14"/>
        <v>0.67065053873464786</v>
      </c>
      <c r="M145" s="22"/>
      <c r="N145" s="19">
        <f>'Private Car Analysis &amp; Split'!P145</f>
        <v>10467.778682059103</v>
      </c>
      <c r="O145" s="21">
        <f t="shared" si="15"/>
        <v>0.59781249999999631</v>
      </c>
      <c r="P145" s="257"/>
      <c r="Q145" s="14">
        <v>2032</v>
      </c>
      <c r="R145" s="257"/>
      <c r="S145" s="593">
        <f t="shared" si="16"/>
        <v>2.2850000000000001</v>
      </c>
      <c r="T145" s="24"/>
      <c r="U145" s="24"/>
      <c r="V145" s="5"/>
      <c r="X145" s="5"/>
      <c r="Y145" s="5"/>
      <c r="AA145" s="5"/>
      <c r="AB145" s="5"/>
      <c r="AG145" s="24"/>
      <c r="AI145" s="273"/>
    </row>
    <row r="146" spans="1:35" ht="14.4" x14ac:dyDescent="0.3">
      <c r="A146" s="5"/>
      <c r="B146" s="19">
        <f>'Private Car Analysis &amp; Split'!E146+'Private Car Analysis &amp; Split'!F146</f>
        <v>28651.102183724241</v>
      </c>
      <c r="C146" s="19">
        <f>'Private Car Analysis &amp; Split'!E146</f>
        <v>17679.834544685211</v>
      </c>
      <c r="D146" s="5"/>
      <c r="E146" s="19">
        <f>'Private Car Analysis &amp; Split'!R146</f>
        <v>6943.3838880201693</v>
      </c>
      <c r="F146" s="21">
        <f t="shared" si="12"/>
        <v>0.24234264509253259</v>
      </c>
      <c r="G146" s="20"/>
      <c r="H146" s="19">
        <f>'Private Car Analysis &amp; Split'!U146</f>
        <v>3572.8751869452472</v>
      </c>
      <c r="I146" s="21">
        <f t="shared" si="13"/>
        <v>0.12470288800878597</v>
      </c>
      <c r="J146" s="22"/>
      <c r="K146" s="19">
        <f>'Private Car Analysis &amp; Split'!E146+'Private Car Analysis &amp; Split'!F146-'Private Car Analysis &amp; Split'!R146-'Private Car Analysis &amp; Split'!U146</f>
        <v>18134.843108758825</v>
      </c>
      <c r="L146" s="21">
        <f t="shared" si="14"/>
        <v>0.63295446689868151</v>
      </c>
      <c r="M146" s="22"/>
      <c r="N146" s="19">
        <f>'Private Car Analysis &amp; Split'!P146</f>
        <v>10964.259891852453</v>
      </c>
      <c r="O146" s="21">
        <f t="shared" si="15"/>
        <v>0.62015625000000085</v>
      </c>
      <c r="P146" s="257"/>
      <c r="Q146" s="14">
        <v>2033</v>
      </c>
      <c r="R146" s="257"/>
      <c r="S146" s="593">
        <f t="shared" si="16"/>
        <v>2.3247222222222224</v>
      </c>
      <c r="T146" s="24"/>
      <c r="U146" s="24"/>
      <c r="V146" s="5"/>
      <c r="X146" s="5"/>
      <c r="Y146" s="5"/>
      <c r="AA146" s="5"/>
      <c r="AB146" s="5"/>
      <c r="AG146" s="24"/>
      <c r="AI146" s="273"/>
    </row>
    <row r="147" spans="1:35" ht="14.4" x14ac:dyDescent="0.3">
      <c r="A147" s="5"/>
      <c r="B147" s="19">
        <f>'Private Car Analysis &amp; Split'!E147+'Private Car Analysis &amp; Split'!F147</f>
        <v>28979.844849567518</v>
      </c>
      <c r="C147" s="19">
        <f>'Private Car Analysis &amp; Split'!E147</f>
        <v>17858.774057926334</v>
      </c>
      <c r="D147" s="5"/>
      <c r="E147" s="19">
        <f>'Private Car Analysis &amp; Split'!R147</f>
        <v>7877.3803191066627</v>
      </c>
      <c r="F147" s="21">
        <f t="shared" si="12"/>
        <v>0.27182272230916449</v>
      </c>
      <c r="G147" s="20"/>
      <c r="H147" s="19">
        <f>'Private Car Analysis &amp; Split'!U147</f>
        <v>3907.6688810668456</v>
      </c>
      <c r="I147" s="21">
        <f t="shared" si="13"/>
        <v>0.13484091793283573</v>
      </c>
      <c r="J147" s="22"/>
      <c r="K147" s="19">
        <f>'Private Car Analysis &amp; Split'!E147+'Private Car Analysis &amp; Split'!F147-'Private Car Analysis &amp; Split'!R147-'Private Car Analysis &amp; Split'!U147</f>
        <v>17194.795649394011</v>
      </c>
      <c r="L147" s="21">
        <f t="shared" si="14"/>
        <v>0.59333635975799981</v>
      </c>
      <c r="M147" s="22"/>
      <c r="N147" s="19">
        <f>'Private Car Analysis &amp; Split'!P147</f>
        <v>11474.262332217639</v>
      </c>
      <c r="O147" s="21">
        <f t="shared" si="15"/>
        <v>0.64249999999999829</v>
      </c>
      <c r="P147" s="257"/>
      <c r="Q147" s="14">
        <v>2034</v>
      </c>
      <c r="R147" s="257"/>
      <c r="S147" s="593">
        <f t="shared" si="16"/>
        <v>2.3644444444444446</v>
      </c>
      <c r="T147" s="24"/>
      <c r="U147" s="24"/>
      <c r="V147" s="5"/>
      <c r="X147" s="5"/>
      <c r="Y147" s="5"/>
      <c r="AA147" s="5"/>
      <c r="AB147" s="5"/>
      <c r="AG147" s="24"/>
      <c r="AI147" s="273"/>
    </row>
    <row r="148" spans="1:35" ht="14.4" x14ac:dyDescent="0.3">
      <c r="A148" s="5"/>
      <c r="B148" s="19">
        <f>'Private Car Analysis &amp; Split'!E148+'Private Car Analysis &amp; Split'!F148</f>
        <v>29317.052365474541</v>
      </c>
      <c r="C148" s="19">
        <f>'Private Car Analysis &amp; Split'!E148</f>
        <v>18036.979965603066</v>
      </c>
      <c r="D148" s="5"/>
      <c r="E148" s="19">
        <f>'Private Car Analysis &amp; Split'!R148</f>
        <v>8886.1891897507976</v>
      </c>
      <c r="F148" s="21">
        <f t="shared" si="12"/>
        <v>0.3031065019420468</v>
      </c>
      <c r="G148" s="20"/>
      <c r="H148" s="19">
        <f>'Private Car Analysis &amp; Split'!U148</f>
        <v>4256.459696886689</v>
      </c>
      <c r="I148" s="21">
        <f t="shared" si="13"/>
        <v>0.14518716424231456</v>
      </c>
      <c r="J148" s="22"/>
      <c r="K148" s="19">
        <f>'Private Car Analysis &amp; Split'!E148+'Private Car Analysis &amp; Split'!F148-'Private Car Analysis &amp; Split'!R148-'Private Car Analysis &amp; Split'!U148</f>
        <v>16174.403478837055</v>
      </c>
      <c r="L148" s="21">
        <f t="shared" si="14"/>
        <v>0.55170633381563861</v>
      </c>
      <c r="M148" s="22"/>
      <c r="N148" s="19">
        <f>'Private Car Analysis &amp; Split'!P148</f>
        <v>11991.773399006335</v>
      </c>
      <c r="O148" s="21">
        <f t="shared" si="15"/>
        <v>0.66484374999999563</v>
      </c>
      <c r="P148" s="257"/>
      <c r="Q148" s="14">
        <v>2035</v>
      </c>
      <c r="R148" s="257"/>
      <c r="S148" s="593">
        <f t="shared" si="16"/>
        <v>2.4041666666666668</v>
      </c>
      <c r="T148" s="24"/>
      <c r="U148" s="24"/>
      <c r="V148" s="5"/>
      <c r="X148" s="5"/>
      <c r="Y148" s="5"/>
      <c r="AA148" s="5"/>
      <c r="AB148" s="5"/>
      <c r="AG148" s="24"/>
      <c r="AI148" s="273"/>
    </row>
    <row r="149" spans="1:35" ht="14.4" x14ac:dyDescent="0.3">
      <c r="A149" s="5"/>
      <c r="B149" s="19">
        <f>'Private Car Analysis &amp; Split'!E149+'Private Car Analysis &amp; Split'!F149</f>
        <v>29704.031062553895</v>
      </c>
      <c r="C149" s="19">
        <f>'Private Car Analysis &amp; Split'!E149</f>
        <v>18255.735155274731</v>
      </c>
      <c r="D149" s="5"/>
      <c r="E149" s="19">
        <f>'Private Car Analysis &amp; Split'!R149</f>
        <v>9972.3567606824654</v>
      </c>
      <c r="F149" s="21">
        <f t="shared" si="12"/>
        <v>0.33572402141923502</v>
      </c>
      <c r="G149" s="20"/>
      <c r="H149" s="19">
        <f>'Private Car Analysis &amp; Split'!U149</f>
        <v>4619.0112536269171</v>
      </c>
      <c r="I149" s="21">
        <f t="shared" si="13"/>
        <v>0.15550115887973973</v>
      </c>
      <c r="J149" s="22"/>
      <c r="K149" s="19">
        <f>'Private Car Analysis &amp; Split'!E149+'Private Car Analysis &amp; Split'!F149-'Private Car Analysis &amp; Split'!R149-'Private Car Analysis &amp; Split'!U149</f>
        <v>15112.663048244513</v>
      </c>
      <c r="L149" s="21">
        <f t="shared" si="14"/>
        <v>0.50877481970102534</v>
      </c>
      <c r="M149" s="22"/>
      <c r="N149" s="19">
        <f>'Private Car Analysis &amp; Split'!P149</f>
        <v>12545.11300201536</v>
      </c>
      <c r="O149" s="21">
        <f t="shared" si="15"/>
        <v>0.68718750000000028</v>
      </c>
      <c r="P149" s="257"/>
      <c r="Q149" s="14">
        <v>2036</v>
      </c>
      <c r="R149" s="257"/>
      <c r="S149" s="593">
        <f t="shared" si="16"/>
        <v>2.443888888888889</v>
      </c>
      <c r="T149" s="24"/>
      <c r="U149" s="24"/>
      <c r="V149" s="5"/>
      <c r="X149" s="5"/>
      <c r="Y149" s="5"/>
      <c r="AA149" s="5"/>
      <c r="AB149" s="5"/>
      <c r="AG149" s="24"/>
      <c r="AI149" s="273"/>
    </row>
    <row r="150" spans="1:35" ht="14.4" x14ac:dyDescent="0.3">
      <c r="A150" s="5"/>
      <c r="B150" s="19">
        <f>'Private Car Analysis &amp; Split'!E150+'Private Car Analysis &amp; Split'!F150</f>
        <v>30104.512810812779</v>
      </c>
      <c r="C150" s="19">
        <f>'Private Car Analysis &amp; Split'!E150</f>
        <v>18478.934714859603</v>
      </c>
      <c r="D150" s="5"/>
      <c r="E150" s="19">
        <f>'Private Car Analysis &amp; Split'!R150</f>
        <v>11138.429292631563</v>
      </c>
      <c r="F150" s="21">
        <f t="shared" si="12"/>
        <v>0.36999201291279232</v>
      </c>
      <c r="G150" s="20"/>
      <c r="H150" s="19">
        <f>'Private Car Analysis &amp; Split'!U150</f>
        <v>4995.0871705096661</v>
      </c>
      <c r="I150" s="21">
        <f t="shared" si="13"/>
        <v>0.16592486322235239</v>
      </c>
      <c r="J150" s="22"/>
      <c r="K150" s="19">
        <f>'Private Car Analysis &amp; Split'!E150+'Private Car Analysis &amp; Split'!F150-'Private Car Analysis &amp; Split'!R150-'Private Car Analysis &amp; Split'!U150</f>
        <v>13970.996347671549</v>
      </c>
      <c r="L150" s="21">
        <f t="shared" si="14"/>
        <v>0.46408312386485528</v>
      </c>
      <c r="M150" s="22"/>
      <c r="N150" s="19">
        <f>'Private Car Analysis &amp; Split'!P150</f>
        <v>13111.381646902686</v>
      </c>
      <c r="O150" s="21">
        <f t="shared" si="15"/>
        <v>0.70953124999999773</v>
      </c>
      <c r="P150" s="257"/>
      <c r="Q150" s="14">
        <v>2037</v>
      </c>
      <c r="R150" s="257"/>
      <c r="S150" s="593">
        <f t="shared" si="16"/>
        <v>2.4836111111111112</v>
      </c>
      <c r="T150" s="24"/>
      <c r="U150" s="24"/>
      <c r="V150" s="5"/>
      <c r="X150" s="5"/>
      <c r="Y150" s="5"/>
      <c r="AA150" s="5"/>
      <c r="AB150" s="5"/>
      <c r="AG150" s="24"/>
      <c r="AI150" s="273"/>
    </row>
    <row r="151" spans="1:35" ht="14.4" x14ac:dyDescent="0.3">
      <c r="A151" s="5"/>
      <c r="B151" s="19">
        <f>'Private Car Analysis &amp; Split'!E151+'Private Car Analysis &amp; Split'!F151</f>
        <v>30533.457287726298</v>
      </c>
      <c r="C151" s="19">
        <f>'Private Car Analysis &amp; Split'!E151</f>
        <v>18721.794414610678</v>
      </c>
      <c r="D151" s="5"/>
      <c r="E151" s="19">
        <f>'Private Car Analysis &amp; Split'!R151</f>
        <v>12386.953046327988</v>
      </c>
      <c r="F151" s="21">
        <f t="shared" si="12"/>
        <v>0.40568458820767866</v>
      </c>
      <c r="G151" s="20"/>
      <c r="H151" s="19">
        <f>'Private Car Analysis &amp; Split'!U151</f>
        <v>5384.4510667570758</v>
      </c>
      <c r="I151" s="21">
        <f t="shared" si="13"/>
        <v>0.17634593475667407</v>
      </c>
      <c r="J151" s="22"/>
      <c r="K151" s="19">
        <f>'Private Car Analysis &amp; Split'!E151+'Private Car Analysis &amp; Split'!F151-'Private Car Analysis &amp; Split'!R151-'Private Car Analysis &amp; Split'!U151</f>
        <v>12762.053174641234</v>
      </c>
      <c r="L151" s="21">
        <f t="shared" si="14"/>
        <v>0.4179694770356473</v>
      </c>
      <c r="M151" s="22"/>
      <c r="N151" s="19">
        <f>'Private Car Analysis &amp; Split'!P151</f>
        <v>13702.013287193102</v>
      </c>
      <c r="O151" s="21">
        <f t="shared" si="15"/>
        <v>0.73187499999999528</v>
      </c>
      <c r="P151" s="257"/>
      <c r="Q151" s="14">
        <v>2038</v>
      </c>
      <c r="R151" s="257"/>
      <c r="S151" s="593">
        <f t="shared" si="16"/>
        <v>2.5233333333333334</v>
      </c>
      <c r="T151" s="24"/>
      <c r="U151" s="24"/>
      <c r="V151" s="5"/>
      <c r="X151" s="5"/>
      <c r="Y151" s="5"/>
      <c r="AA151" s="5"/>
      <c r="AB151" s="5"/>
      <c r="AG151" s="24"/>
      <c r="AI151" s="273"/>
    </row>
    <row r="152" spans="1:35" ht="14.4" x14ac:dyDescent="0.3">
      <c r="A152" s="5"/>
      <c r="B152" s="19">
        <f>'Private Car Analysis &amp; Split'!E152+'Private Car Analysis &amp; Split'!F152</f>
        <v>30992.707012545154</v>
      </c>
      <c r="C152" s="19">
        <f>'Private Car Analysis &amp; Split'!E152</f>
        <v>18986.533066575288</v>
      </c>
      <c r="D152" s="5"/>
      <c r="E152" s="19">
        <f>'Private Car Analysis &amp; Split'!R152</f>
        <v>13720.474282501631</v>
      </c>
      <c r="F152" s="21">
        <f t="shared" si="12"/>
        <v>0.44270009318475761</v>
      </c>
      <c r="G152" s="20"/>
      <c r="H152" s="19">
        <f>'Private Car Analysis &amp; Split'!U152</f>
        <v>5786.8665615912851</v>
      </c>
      <c r="I152" s="21">
        <f t="shared" si="13"/>
        <v>0.18671704150427684</v>
      </c>
      <c r="J152" s="22"/>
      <c r="K152" s="19">
        <f>'Private Car Analysis &amp; Split'!E152+'Private Car Analysis &amp; Split'!F152-'Private Car Analysis &amp; Split'!R152-'Private Car Analysis &amp; Split'!U152</f>
        <v>11485.366168452236</v>
      </c>
      <c r="L152" s="21">
        <f t="shared" si="14"/>
        <v>0.37058286531096546</v>
      </c>
      <c r="M152" s="22"/>
      <c r="N152" s="19">
        <f>'Private Car Analysis &amp; Split'!P152</f>
        <v>14319.999236306076</v>
      </c>
      <c r="O152" s="21">
        <f t="shared" si="15"/>
        <v>0.75421874999999972</v>
      </c>
      <c r="P152" s="257"/>
      <c r="Q152" s="14">
        <v>2039</v>
      </c>
      <c r="R152" s="257"/>
      <c r="S152" s="593">
        <f t="shared" si="16"/>
        <v>2.5630555555555556</v>
      </c>
      <c r="T152" s="24"/>
      <c r="U152" s="24"/>
      <c r="V152" s="5"/>
      <c r="X152" s="5"/>
      <c r="Y152" s="5"/>
      <c r="AA152" s="5"/>
      <c r="AB152" s="5"/>
      <c r="AG152" s="24"/>
      <c r="AI152" s="273"/>
    </row>
    <row r="153" spans="1:35" ht="14.4" x14ac:dyDescent="0.3">
      <c r="A153" s="5"/>
      <c r="B153" s="19">
        <f>'Private Car Analysis &amp; Split'!E153+'Private Car Analysis &amp; Split'!F153</f>
        <v>31481.850221478468</v>
      </c>
      <c r="C153" s="19">
        <f>'Private Car Analysis &amp; Split'!E153</f>
        <v>19273.114499669162</v>
      </c>
      <c r="D153" s="5"/>
      <c r="E153" s="19">
        <f>'Private Car Analysis &amp; Split'!R153</f>
        <v>15141.53926188239</v>
      </c>
      <c r="F153" s="21">
        <f t="shared" si="12"/>
        <v>0.48096090780433504</v>
      </c>
      <c r="G153" s="20"/>
      <c r="H153" s="19">
        <f>'Private Car Analysis &amp; Split'!U153</f>
        <v>6202.0972742344329</v>
      </c>
      <c r="I153" s="21">
        <f t="shared" si="13"/>
        <v>0.19700548826075848</v>
      </c>
      <c r="J153" s="22"/>
      <c r="K153" s="19">
        <f>'Private Car Analysis &amp; Split'!E153+'Private Car Analysis &amp; Split'!F153-'Private Car Analysis &amp; Split'!R153-'Private Car Analysis &amp; Split'!U153</f>
        <v>10138.213685361645</v>
      </c>
      <c r="L153" s="21">
        <f t="shared" si="14"/>
        <v>0.32203360393490649</v>
      </c>
      <c r="M153" s="22"/>
      <c r="N153" s="19">
        <f>'Private Car Analysis &amp; Split'!P153</f>
        <v>14966.777978649277</v>
      </c>
      <c r="O153" s="21">
        <f t="shared" si="15"/>
        <v>0.77656249999999705</v>
      </c>
      <c r="P153" s="257"/>
      <c r="Q153" s="14">
        <v>2040</v>
      </c>
      <c r="R153" s="257"/>
      <c r="S153" s="593">
        <f t="shared" si="16"/>
        <v>2.6027777777777779</v>
      </c>
      <c r="T153" s="24"/>
      <c r="U153" s="24"/>
      <c r="V153" s="5"/>
      <c r="X153" s="5"/>
      <c r="Y153" s="5"/>
      <c r="AA153" s="5"/>
      <c r="AB153" s="5"/>
      <c r="AG153" s="24"/>
      <c r="AI153" s="273"/>
    </row>
    <row r="154" spans="1:35" ht="14.4" x14ac:dyDescent="0.3">
      <c r="A154" s="5"/>
      <c r="B154" s="19">
        <f>'Private Car Analysis &amp; Split'!E154+'Private Car Analysis &amp; Split'!F154</f>
        <v>32009.962882200045</v>
      </c>
      <c r="C154" s="19">
        <f>'Private Car Analysis &amp; Split'!E154</f>
        <v>19590.898413832085</v>
      </c>
      <c r="D154" s="5"/>
      <c r="E154" s="19">
        <f>'Private Car Analysis &amp; Split'!R154</f>
        <v>16652.694245200164</v>
      </c>
      <c r="F154" s="21">
        <f t="shared" si="12"/>
        <v>0.52023472524737979</v>
      </c>
      <c r="G154" s="20"/>
      <c r="H154" s="19">
        <f>'Private Car Analysis &amp; Split'!U154</f>
        <v>6629.9068239086555</v>
      </c>
      <c r="I154" s="21">
        <f t="shared" si="13"/>
        <v>0.20712010345989448</v>
      </c>
      <c r="J154" s="22"/>
      <c r="K154" s="19">
        <f>'Private Car Analysis &amp; Split'!E154+'Private Car Analysis &amp; Split'!F154-'Private Car Analysis &amp; Split'!R154-'Private Car Analysis &amp; Split'!U154</f>
        <v>8727.3618130912255</v>
      </c>
      <c r="L154" s="21">
        <f t="shared" si="14"/>
        <v>0.27264517129272581</v>
      </c>
      <c r="M154" s="22"/>
      <c r="N154" s="19">
        <f>'Private Car Analysis &amp; Split'!P154</f>
        <v>15651.291185925433</v>
      </c>
      <c r="O154" s="21">
        <f t="shared" si="15"/>
        <v>0.7989062499999946</v>
      </c>
      <c r="P154" s="257"/>
      <c r="Q154" s="14">
        <v>2041</v>
      </c>
      <c r="R154" s="257"/>
      <c r="S154" s="593">
        <f t="shared" si="16"/>
        <v>2.6425000000000001</v>
      </c>
      <c r="T154" s="24"/>
      <c r="U154" s="24"/>
      <c r="V154" s="5"/>
      <c r="X154" s="5"/>
      <c r="Y154" s="5"/>
      <c r="AA154" s="5"/>
      <c r="AB154" s="5"/>
      <c r="AG154" s="24"/>
      <c r="AI154" s="273"/>
    </row>
    <row r="155" spans="1:35" ht="14.4" x14ac:dyDescent="0.3">
      <c r="A155" s="5"/>
      <c r="B155" s="19">
        <f>'Private Car Analysis &amp; Split'!E155+'Private Car Analysis &amp; Split'!F155</f>
        <v>32572.420488465847</v>
      </c>
      <c r="C155" s="19">
        <f>'Private Car Analysis &amp; Split'!E155</f>
        <v>19935.518970580135</v>
      </c>
      <c r="D155" s="5"/>
      <c r="E155" s="19">
        <f>'Private Car Analysis &amp; Split'!R155</f>
        <v>18256.485493184846</v>
      </c>
      <c r="F155" s="21">
        <f t="shared" si="12"/>
        <v>0.56048906465669668</v>
      </c>
      <c r="G155" s="20"/>
      <c r="H155" s="19">
        <f>'Private Car Analysis &amp; Split'!U155</f>
        <v>5847.806837756606</v>
      </c>
      <c r="I155" s="21">
        <f t="shared" si="13"/>
        <v>0.17953246182080207</v>
      </c>
      <c r="J155" s="22"/>
      <c r="K155" s="19">
        <f>'Private Car Analysis &amp; Split'!E155+'Private Car Analysis &amp; Split'!F155-'Private Car Analysis &amp; Split'!R155-'Private Car Analysis &amp; Split'!U155</f>
        <v>8468.1281575243956</v>
      </c>
      <c r="L155" s="21">
        <f t="shared" si="14"/>
        <v>0.25997847352250125</v>
      </c>
      <c r="M155" s="22"/>
      <c r="N155" s="19">
        <f>'Private Car Analysis &amp; Split'!P155</f>
        <v>16372.044954588921</v>
      </c>
      <c r="O155" s="21">
        <f t="shared" si="15"/>
        <v>0.82124999999999926</v>
      </c>
      <c r="P155" s="257"/>
      <c r="Q155" s="14">
        <v>2042</v>
      </c>
      <c r="R155" s="257"/>
      <c r="S155" s="593">
        <f t="shared" si="16"/>
        <v>2.6822222222222223</v>
      </c>
      <c r="T155" s="24"/>
      <c r="U155" s="24"/>
      <c r="V155" s="5"/>
      <c r="X155" s="5"/>
      <c r="Y155" s="5"/>
      <c r="AA155" s="5"/>
      <c r="AB155" s="5"/>
      <c r="AG155" s="24"/>
      <c r="AI155" s="273"/>
    </row>
    <row r="156" spans="1:35" ht="14.4" x14ac:dyDescent="0.3">
      <c r="A156" s="5"/>
      <c r="B156" s="19">
        <f>'Private Car Analysis &amp; Split'!E156+'Private Car Analysis &amp; Split'!F156</f>
        <v>33119.638660072327</v>
      </c>
      <c r="C156" s="19">
        <f>'Private Car Analysis &amp; Split'!E156</f>
        <v>20311.724810776803</v>
      </c>
      <c r="D156" s="5"/>
      <c r="E156" s="19">
        <f>'Private Car Analysis &amp; Split'!R156</f>
        <v>19955.459266566326</v>
      </c>
      <c r="F156" s="21">
        <f t="shared" si="12"/>
        <v>0.60252647896861888</v>
      </c>
      <c r="G156" s="20"/>
      <c r="H156" s="19">
        <f>'Private Car Analysis &amp; Split'!U156</f>
        <v>4798.2741371303709</v>
      </c>
      <c r="I156" s="21">
        <f t="shared" si="13"/>
        <v>0.14487700745705817</v>
      </c>
      <c r="J156" s="22"/>
      <c r="K156" s="19">
        <f>'Private Car Analysis &amp; Split'!E156+'Private Car Analysis &amp; Split'!F156-'Private Car Analysis &amp; Split'!R156-'Private Car Analysis &amp; Split'!U156</f>
        <v>8365.9052563756304</v>
      </c>
      <c r="L156" s="21">
        <f t="shared" si="14"/>
        <v>0.25259651357432295</v>
      </c>
      <c r="M156" s="22"/>
      <c r="N156" s="19">
        <f>'Private Car Analysis &amp; Split'!P156</f>
        <v>17134.844102091174</v>
      </c>
      <c r="O156" s="21">
        <f t="shared" si="15"/>
        <v>0.84359374999999659</v>
      </c>
      <c r="P156" s="257"/>
      <c r="Q156" s="14">
        <v>2043</v>
      </c>
      <c r="R156" s="257"/>
      <c r="S156" s="593">
        <f t="shared" si="16"/>
        <v>2.7219444444444445</v>
      </c>
      <c r="T156" s="24"/>
      <c r="U156" s="24"/>
      <c r="V156" s="5"/>
      <c r="X156" s="5"/>
      <c r="Y156" s="5"/>
      <c r="AA156" s="5"/>
      <c r="AB156" s="5"/>
      <c r="AG156" s="24"/>
      <c r="AI156" s="273"/>
    </row>
    <row r="157" spans="1:35" ht="14.4" x14ac:dyDescent="0.3">
      <c r="A157" s="5"/>
      <c r="B157" s="19">
        <f>'Private Car Analysis &amp; Split'!E157+'Private Car Analysis &amp; Split'!F157</f>
        <v>33659.282912153743</v>
      </c>
      <c r="C157" s="19">
        <f>'Private Car Analysis &amp; Split'!E157</f>
        <v>20721.967412636313</v>
      </c>
      <c r="D157" s="5"/>
      <c r="E157" s="19">
        <f>'Private Car Analysis &amp; Split'!R157</f>
        <v>21752.161826074513</v>
      </c>
      <c r="F157" s="21">
        <f t="shared" si="12"/>
        <v>0.64624555082901691</v>
      </c>
      <c r="G157" s="20"/>
      <c r="H157" s="19">
        <f>'Private Car Analysis &amp; Split'!U157</f>
        <v>3653.2720839314061</v>
      </c>
      <c r="I157" s="21">
        <f t="shared" si="13"/>
        <v>0.10853683643427464</v>
      </c>
      <c r="J157" s="22"/>
      <c r="K157" s="19">
        <f>'Private Car Analysis &amp; Split'!E157+'Private Car Analysis &amp; Split'!F157-'Private Car Analysis &amp; Split'!R157-'Private Car Analysis &amp; Split'!U157</f>
        <v>8253.8490021478246</v>
      </c>
      <c r="L157" s="21">
        <f t="shared" si="14"/>
        <v>0.24521761273670845</v>
      </c>
      <c r="M157" s="22"/>
      <c r="N157" s="19">
        <f>'Private Car Analysis &amp; Split'!P157</f>
        <v>17943.92865637978</v>
      </c>
      <c r="O157" s="21">
        <f t="shared" si="15"/>
        <v>0.86593750000000103</v>
      </c>
      <c r="P157" s="257"/>
      <c r="Q157" s="14">
        <v>2044</v>
      </c>
      <c r="R157" s="257"/>
      <c r="S157" s="593">
        <f t="shared" si="16"/>
        <v>2.7616666666666667</v>
      </c>
      <c r="T157" s="24"/>
      <c r="U157" s="24"/>
      <c r="V157" s="24"/>
      <c r="W157" s="24"/>
      <c r="X157" s="24"/>
      <c r="Y157" s="24"/>
      <c r="Z157" s="24"/>
      <c r="AA157" s="24"/>
      <c r="AB157" s="24"/>
      <c r="AC157" s="24"/>
      <c r="AD157" s="24"/>
      <c r="AE157" s="24"/>
      <c r="AF157" s="24"/>
      <c r="AG157" s="24"/>
      <c r="AH157" s="24"/>
      <c r="AI157" s="24"/>
    </row>
    <row r="158" spans="1:35" ht="14.4" x14ac:dyDescent="0.3">
      <c r="A158" s="5"/>
      <c r="B158" s="19">
        <f>'Private Car Analysis &amp; Split'!E158+'Private Car Analysis &amp; Split'!F158</f>
        <v>34274.609115538537</v>
      </c>
      <c r="C158" s="19">
        <f>'Private Car Analysis &amp; Split'!E158</f>
        <v>21206.728971351</v>
      </c>
      <c r="D158" s="5"/>
      <c r="E158" s="19">
        <f>'Private Car Analysis &amp; Split'!R158</f>
        <v>23649.13943243929</v>
      </c>
      <c r="F158" s="21">
        <f t="shared" si="12"/>
        <v>0.68999005510810785</v>
      </c>
      <c r="G158" s="20"/>
      <c r="H158" s="19">
        <f>'Private Car Analysis &amp; Split'!U158</f>
        <v>3048.0830022383143</v>
      </c>
      <c r="I158" s="21">
        <f t="shared" si="13"/>
        <v>8.8931225793511773E-2</v>
      </c>
      <c r="J158" s="22"/>
      <c r="K158" s="19">
        <f>'Private Car Analysis &amp; Split'!E158+'Private Car Analysis &amp; Split'!F158-'Private Car Analysis &amp; Split'!R158-'Private Car Analysis &amp; Split'!U158</f>
        <v>7577.3866808609328</v>
      </c>
      <c r="L158" s="21">
        <f t="shared" si="14"/>
        <v>0.22107871909838042</v>
      </c>
      <c r="M158" s="22"/>
      <c r="N158" s="19">
        <f>'Private Car Analysis &amp; Split'!P158</f>
        <v>18837.539719082852</v>
      </c>
      <c r="O158" s="21">
        <f t="shared" si="15"/>
        <v>0.88828124999999869</v>
      </c>
      <c r="P158" s="257"/>
      <c r="Q158" s="14">
        <v>2045</v>
      </c>
      <c r="R158" s="257"/>
      <c r="S158" s="593">
        <f t="shared" si="16"/>
        <v>2.8013888888888889</v>
      </c>
      <c r="T158" s="24"/>
      <c r="U158" s="24"/>
      <c r="V158" s="24"/>
      <c r="W158" s="24"/>
      <c r="X158" s="24"/>
      <c r="Y158" s="24"/>
      <c r="Z158" s="24"/>
      <c r="AA158" s="24"/>
      <c r="AB158" s="24"/>
      <c r="AC158" s="24"/>
      <c r="AD158" s="24"/>
      <c r="AE158" s="24"/>
      <c r="AF158" s="24"/>
      <c r="AG158" s="24"/>
      <c r="AH158" s="24"/>
      <c r="AI158" s="24"/>
    </row>
    <row r="159" spans="1:35" ht="14.4" x14ac:dyDescent="0.3">
      <c r="A159" s="5"/>
      <c r="B159" s="19">
        <f>'Private Car Analysis &amp; Split'!E159+'Private Car Analysis &amp; Split'!F159</f>
        <v>34853.498022416476</v>
      </c>
      <c r="C159" s="19">
        <f>'Private Car Analysis &amp; Split'!E159</f>
        <v>21654.291474159774</v>
      </c>
      <c r="D159" s="5"/>
      <c r="E159" s="19">
        <f>'Private Car Analysis &amp; Split'!R159</f>
        <v>25648.938346390558</v>
      </c>
      <c r="F159" s="21">
        <f t="shared" si="12"/>
        <v>0.73590714854199468</v>
      </c>
      <c r="G159" s="20"/>
      <c r="H159" s="19">
        <f>'Private Car Analysis &amp; Split'!U159</f>
        <v>1834.1005979937399</v>
      </c>
      <c r="I159" s="21">
        <f t="shared" si="13"/>
        <v>5.2623142641640003E-2</v>
      </c>
      <c r="J159" s="22"/>
      <c r="K159" s="19">
        <f>'Private Car Analysis &amp; Split'!E159+'Private Car Analysis &amp; Split'!F159-'Private Car Analysis &amp; Split'!R159-'Private Car Analysis &amp; Split'!U159</f>
        <v>7370.4590780321778</v>
      </c>
      <c r="L159" s="21">
        <f t="shared" si="14"/>
        <v>0.21146970881636534</v>
      </c>
      <c r="M159" s="22"/>
      <c r="N159" s="19">
        <f>'Private Car Analysis &amp; Split'!P159</f>
        <v>19718.939173656658</v>
      </c>
      <c r="O159" s="21">
        <f t="shared" si="15"/>
        <v>0.91062499999999602</v>
      </c>
      <c r="P159" s="257"/>
      <c r="Q159" s="14">
        <v>2046</v>
      </c>
      <c r="R159" s="257"/>
      <c r="S159" s="593">
        <f t="shared" si="16"/>
        <v>2.8411111111111111</v>
      </c>
      <c r="T159" s="24"/>
      <c r="U159" s="24"/>
      <c r="V159" s="24"/>
      <c r="W159" s="24"/>
      <c r="X159" s="24"/>
      <c r="Y159" s="24"/>
      <c r="Z159" s="24"/>
      <c r="AA159" s="24"/>
      <c r="AB159" s="24"/>
      <c r="AC159" s="24"/>
      <c r="AD159" s="24"/>
      <c r="AE159" s="24"/>
      <c r="AF159" s="24"/>
      <c r="AG159" s="24"/>
      <c r="AH159" s="24"/>
      <c r="AI159" s="24"/>
    </row>
    <row r="160" spans="1:35" ht="14.4" x14ac:dyDescent="0.3">
      <c r="A160" s="5"/>
      <c r="B160" s="19">
        <f>'Private Car Analysis &amp; Split'!E160+'Private Car Analysis &amp; Split'!F160</f>
        <v>35512.052657380635</v>
      </c>
      <c r="C160" s="19">
        <f>'Private Car Analysis &amp; Split'!E160</f>
        <v>22181.198373484636</v>
      </c>
      <c r="D160" s="5"/>
      <c r="E160" s="19">
        <f>'Private Car Analysis &amp; Split'!R160</f>
        <v>27754.104828658208</v>
      </c>
      <c r="F160" s="21">
        <f t="shared" si="12"/>
        <v>0.78154042787751787</v>
      </c>
      <c r="G160" s="20"/>
      <c r="H160" s="19">
        <f>'Private Car Analysis &amp; Split'!U160</f>
        <v>1258.2443704440248</v>
      </c>
      <c r="I160" s="21">
        <f t="shared" si="13"/>
        <v>3.5431474000771901E-2</v>
      </c>
      <c r="J160" s="22"/>
      <c r="K160" s="19">
        <f>'Private Car Analysis &amp; Split'!E160+'Private Car Analysis &amp; Split'!F160-'Private Car Analysis &amp; Split'!R160-'Private Car Analysis &amp; Split'!U160</f>
        <v>6499.7034582784017</v>
      </c>
      <c r="L160" s="21">
        <f t="shared" si="14"/>
        <v>0.1830280981217102</v>
      </c>
      <c r="M160" s="22"/>
      <c r="N160" s="19">
        <f>'Private Car Analysis &amp; Split'!P160</f>
        <v>20694.364920012009</v>
      </c>
      <c r="O160" s="21">
        <f t="shared" si="15"/>
        <v>0.93296875000000068</v>
      </c>
      <c r="P160" s="257"/>
      <c r="Q160" s="14">
        <v>2047</v>
      </c>
      <c r="R160" s="257"/>
      <c r="S160" s="593">
        <f t="shared" si="16"/>
        <v>2.8808333333333334</v>
      </c>
      <c r="T160" s="24"/>
      <c r="U160" s="24"/>
      <c r="V160" s="24"/>
      <c r="W160" s="24"/>
      <c r="X160" s="24"/>
      <c r="Y160" s="24"/>
      <c r="Z160" s="24"/>
      <c r="AA160" s="24"/>
      <c r="AB160" s="24"/>
      <c r="AC160" s="24"/>
      <c r="AD160" s="24"/>
      <c r="AE160" s="24"/>
      <c r="AF160" s="24"/>
      <c r="AG160" s="24"/>
      <c r="AH160" s="24"/>
      <c r="AI160" s="24"/>
    </row>
    <row r="161" spans="1:35" ht="14.4" x14ac:dyDescent="0.3">
      <c r="A161" s="5"/>
      <c r="B161" s="19">
        <f>'Private Car Analysis &amp; Split'!E161+'Private Car Analysis &amp; Split'!F161</f>
        <v>36214.090367656827</v>
      </c>
      <c r="C161" s="19">
        <f>'Private Car Analysis &amp; Split'!E161</f>
        <v>22751.757948158196</v>
      </c>
      <c r="D161" s="5"/>
      <c r="E161" s="19">
        <f>'Private Car Analysis &amp; Split'!R161</f>
        <v>29967.185139972142</v>
      </c>
      <c r="F161" s="21">
        <f t="shared" si="12"/>
        <v>0.82750070030023837</v>
      </c>
      <c r="G161" s="20"/>
      <c r="H161" s="19">
        <f>'Private Car Analysis &amp; Split'!U161</f>
        <v>331.66302553296737</v>
      </c>
      <c r="I161" s="21">
        <f t="shared" si="13"/>
        <v>9.1583972471990897E-3</v>
      </c>
      <c r="J161" s="22"/>
      <c r="K161" s="19">
        <f>'Private Car Analysis &amp; Split'!E161+'Private Car Analysis &amp; Split'!F161-'Private Car Analysis &amp; Split'!R161-'Private Car Analysis &amp; Split'!U161</f>
        <v>5915.2422021517177</v>
      </c>
      <c r="L161" s="21">
        <f t="shared" si="14"/>
        <v>0.16334090245256253</v>
      </c>
      <c r="M161" s="22"/>
      <c r="N161" s="19">
        <f>'Private Car Analysis &amp; Split'!P161</f>
        <v>21735.038764849833</v>
      </c>
      <c r="O161" s="21">
        <f t="shared" si="15"/>
        <v>0.95531249999999801</v>
      </c>
      <c r="P161" s="257"/>
      <c r="Q161" s="14">
        <v>2048</v>
      </c>
      <c r="R161" s="257"/>
      <c r="S161" s="593">
        <f t="shared" si="16"/>
        <v>2.9205555555555556</v>
      </c>
      <c r="T161" s="24"/>
      <c r="U161" s="24"/>
      <c r="V161" s="24"/>
      <c r="W161" s="24"/>
      <c r="X161" s="24"/>
      <c r="Y161" s="24"/>
      <c r="Z161" s="24"/>
      <c r="AA161" s="24"/>
      <c r="AB161" s="24"/>
      <c r="AC161" s="24"/>
      <c r="AD161" s="24"/>
      <c r="AE161" s="24"/>
      <c r="AF161" s="24"/>
      <c r="AG161" s="24"/>
      <c r="AH161" s="24"/>
      <c r="AI161" s="24"/>
    </row>
    <row r="162" spans="1:35" ht="14.4" x14ac:dyDescent="0.3">
      <c r="A162" s="5"/>
      <c r="B162" s="19">
        <f>'Private Car Analysis &amp; Split'!E162+'Private Car Analysis &amp; Split'!F162</f>
        <v>36961.412461479194</v>
      </c>
      <c r="C162" s="19">
        <f>'Private Car Analysis &amp; Split'!E162</f>
        <v>23368.300415537131</v>
      </c>
      <c r="D162" s="5"/>
      <c r="E162" s="19">
        <f>'Private Car Analysis &amp; Split'!R162</f>
        <v>30727.296111117605</v>
      </c>
      <c r="F162" s="21">
        <f t="shared" si="12"/>
        <v>0.83133446653699394</v>
      </c>
      <c r="G162" s="20"/>
      <c r="H162" s="19">
        <f>'Private Car Analysis &amp; Split'!U162</f>
        <v>3.0922819860279499E-12</v>
      </c>
      <c r="I162" s="21">
        <f t="shared" si="13"/>
        <v>8.3662440910522416E-17</v>
      </c>
      <c r="J162" s="22"/>
      <c r="K162" s="19">
        <f>'Private Car Analysis &amp; Split'!E162+'Private Car Analysis &amp; Split'!F162-'Private Car Analysis &amp; Split'!R162-'Private Car Analysis &amp; Split'!U162</f>
        <v>6234.1163503615871</v>
      </c>
      <c r="L162" s="21">
        <f t="shared" si="14"/>
        <v>0.16866553346300603</v>
      </c>
      <c r="M162" s="22"/>
      <c r="N162" s="19">
        <f>'Private Car Analysis &amp; Split'!P162</f>
        <v>22846.164953127369</v>
      </c>
      <c r="O162" s="21">
        <f t="shared" si="15"/>
        <v>0.97765624999999556</v>
      </c>
      <c r="P162" s="257"/>
      <c r="Q162" s="14">
        <v>2049</v>
      </c>
      <c r="R162" s="257"/>
      <c r="S162" s="593">
        <f t="shared" si="16"/>
        <v>2.9602777777777778</v>
      </c>
      <c r="T162" s="24"/>
      <c r="U162" s="24"/>
      <c r="V162" s="24"/>
      <c r="W162" s="24"/>
      <c r="X162" s="24"/>
      <c r="Y162" s="24"/>
      <c r="Z162" s="24"/>
      <c r="AA162" s="24"/>
      <c r="AB162" s="24"/>
      <c r="AC162" s="24"/>
      <c r="AD162" s="24"/>
      <c r="AE162" s="24"/>
      <c r="AF162" s="24"/>
      <c r="AG162" s="24"/>
      <c r="AH162" s="24"/>
      <c r="AI162" s="24"/>
    </row>
    <row r="163" spans="1:35" ht="14.4" x14ac:dyDescent="0.3">
      <c r="A163" s="30"/>
      <c r="B163" s="19">
        <f>'Private Car Analysis &amp; Split'!E163+'Private Car Analysis &amp; Split'!F163</f>
        <v>37736.088768003516</v>
      </c>
      <c r="C163" s="19">
        <f>'Private Car Analysis &amp; Split'!E163</f>
        <v>24013.448614590354</v>
      </c>
      <c r="D163" s="30"/>
      <c r="E163" s="19">
        <f>'Private Car Analysis &amp; Split'!R163</f>
        <v>31164.689691551263</v>
      </c>
      <c r="F163" s="21">
        <f t="shared" si="12"/>
        <v>0.82585903067876631</v>
      </c>
      <c r="G163" s="31"/>
      <c r="H163" s="19">
        <f>'Private Car Analysis &amp; Split'!U163</f>
        <v>3.0922819860279499E-12</v>
      </c>
      <c r="I163" s="21">
        <f t="shared" si="13"/>
        <v>8.1944952086552763E-17</v>
      </c>
      <c r="J163" s="32"/>
      <c r="K163" s="19">
        <f>'Private Car Analysis &amp; Split'!E163+'Private Car Analysis &amp; Split'!F163-'Private Car Analysis &amp; Split'!R163-'Private Car Analysis &amp; Split'!U163</f>
        <v>6571.3990764522505</v>
      </c>
      <c r="L163" s="21">
        <f t="shared" si="14"/>
        <v>0.17414096932123366</v>
      </c>
      <c r="M163" s="32"/>
      <c r="N163" s="19">
        <f>'Private Car Analysis &amp; Split'!P163</f>
        <v>24013.448614590354</v>
      </c>
      <c r="O163" s="21">
        <f t="shared" si="15"/>
        <v>1</v>
      </c>
      <c r="P163" s="258"/>
      <c r="Q163" s="259">
        <v>2050</v>
      </c>
      <c r="R163" s="258"/>
      <c r="S163" s="594">
        <v>3</v>
      </c>
      <c r="T163" s="34"/>
      <c r="U163" s="24"/>
      <c r="V163" s="24"/>
      <c r="W163" s="24"/>
      <c r="X163" s="24"/>
      <c r="Y163" s="24"/>
      <c r="Z163" s="24"/>
      <c r="AA163" s="24"/>
      <c r="AB163" s="24"/>
      <c r="AC163" s="24"/>
      <c r="AD163" s="24"/>
      <c r="AE163" s="24"/>
      <c r="AF163" s="24"/>
      <c r="AG163" s="24"/>
      <c r="AH163" s="24"/>
      <c r="AI163" s="24"/>
    </row>
    <row r="164" spans="1:35" ht="14.4" x14ac:dyDescent="0.3">
      <c r="A164" s="5"/>
      <c r="B164" s="19">
        <f>'Private Car Analysis &amp; Split'!E164+'Private Car Analysis &amp; Split'!F164</f>
        <v>38599.034972181136</v>
      </c>
      <c r="C164" s="19">
        <f>'Private Car Analysis &amp; Split'!E164</f>
        <v>24748.673713377029</v>
      </c>
      <c r="D164" s="5"/>
      <c r="E164" s="19">
        <f>'Private Car Analysis &amp; Split'!R164</f>
        <v>31670.549014300315</v>
      </c>
      <c r="F164" s="21">
        <f t="shared" si="12"/>
        <v>0.82050105752969527</v>
      </c>
      <c r="G164" s="20"/>
      <c r="H164" s="19">
        <f>'Private Car Analysis &amp; Split'!U164</f>
        <v>3.0922819860279499E-12</v>
      </c>
      <c r="I164" s="21">
        <f t="shared" si="13"/>
        <v>8.0112935161632951E-17</v>
      </c>
      <c r="J164" s="22"/>
      <c r="K164" s="19">
        <f>'Private Car Analysis &amp; Split'!E164+'Private Car Analysis &amp; Split'!F164-'Private Car Analysis &amp; Split'!R164-'Private Car Analysis &amp; Split'!U164</f>
        <v>6928.4859578808182</v>
      </c>
      <c r="L164" s="21">
        <f t="shared" si="14"/>
        <v>0.17949894247030462</v>
      </c>
      <c r="M164" s="22"/>
      <c r="N164" s="19">
        <f>'Private Car Analysis &amp; Split'!P164</f>
        <v>24748.673713377033</v>
      </c>
      <c r="O164" s="21">
        <f t="shared" si="15"/>
        <v>1.0000000000000002</v>
      </c>
      <c r="P164" s="257"/>
      <c r="Q164" s="14">
        <v>2051</v>
      </c>
      <c r="R164" s="257"/>
      <c r="S164" s="593">
        <f t="shared" si="16"/>
        <v>3.0397222222222222</v>
      </c>
      <c r="T164" s="24"/>
      <c r="U164" s="24"/>
      <c r="V164" s="24"/>
      <c r="W164" s="24"/>
      <c r="X164" s="24"/>
      <c r="Y164" s="24"/>
      <c r="Z164" s="24"/>
      <c r="AA164" s="24"/>
      <c r="AB164" s="24"/>
      <c r="AC164" s="24"/>
      <c r="AD164" s="24"/>
      <c r="AE164" s="24"/>
      <c r="AF164" s="24"/>
      <c r="AG164" s="24"/>
      <c r="AH164" s="24"/>
      <c r="AI164" s="24"/>
    </row>
    <row r="165" spans="1:35" ht="14.4" x14ac:dyDescent="0.3">
      <c r="A165" s="5"/>
      <c r="B165" s="19">
        <f>'Private Car Analysis &amp; Split'!E165+'Private Car Analysis &amp; Split'!F165</f>
        <v>39492.924005138018</v>
      </c>
      <c r="C165" s="19">
        <f>'Private Car Analysis &amp; Split'!E165</f>
        <v>25517.223547257185</v>
      </c>
      <c r="D165" s="5"/>
      <c r="E165" s="19">
        <f>'Private Car Analysis &amp; Split'!R165</f>
        <v>32185.720932466465</v>
      </c>
      <c r="F165" s="21">
        <f t="shared" si="12"/>
        <v>0.81497437182111687</v>
      </c>
      <c r="G165" s="20"/>
      <c r="H165" s="19">
        <f>'Private Car Analysis &amp; Split'!U165</f>
        <v>3.0922819860279499E-12</v>
      </c>
      <c r="I165" s="21">
        <f t="shared" si="13"/>
        <v>7.8299646428449939E-17</v>
      </c>
      <c r="J165" s="22"/>
      <c r="K165" s="19">
        <f>'Private Car Analysis &amp; Split'!E165+'Private Car Analysis &amp; Split'!F165-'Private Car Analysis &amp; Split'!R165-'Private Car Analysis &amp; Split'!U165</f>
        <v>7307.2030726715502</v>
      </c>
      <c r="L165" s="21">
        <f t="shared" si="14"/>
        <v>0.18502562817888302</v>
      </c>
      <c r="M165" s="22"/>
      <c r="N165" s="19">
        <f>'Private Car Analysis &amp; Split'!P165</f>
        <v>25517.223547257185</v>
      </c>
      <c r="O165" s="21">
        <f t="shared" si="15"/>
        <v>1</v>
      </c>
      <c r="P165" s="257"/>
      <c r="Q165" s="14">
        <v>2052</v>
      </c>
      <c r="R165" s="257"/>
      <c r="S165" s="593">
        <f t="shared" si="16"/>
        <v>3.0794444444444444</v>
      </c>
      <c r="T165" s="24"/>
      <c r="U165" s="24"/>
      <c r="V165" s="24"/>
      <c r="W165" s="24"/>
      <c r="X165" s="24"/>
      <c r="Y165" s="24"/>
      <c r="Z165" s="24"/>
      <c r="AA165" s="24"/>
      <c r="AB165" s="24"/>
      <c r="AC165" s="24"/>
      <c r="AD165" s="24"/>
      <c r="AE165" s="24"/>
      <c r="AF165" s="24"/>
      <c r="AG165" s="24"/>
      <c r="AH165" s="24"/>
      <c r="AI165" s="24"/>
    </row>
    <row r="166" spans="1:35" ht="14.4" x14ac:dyDescent="0.3">
      <c r="A166" s="5"/>
      <c r="B166" s="19">
        <f>'Private Car Analysis &amp; Split'!E166+'Private Car Analysis &amp; Split'!F166</f>
        <v>40439.210843865898</v>
      </c>
      <c r="C166" s="19">
        <f>'Private Car Analysis &amp; Split'!E166</f>
        <v>26341.169358070059</v>
      </c>
      <c r="D166" s="5"/>
      <c r="E166" s="19">
        <f>'Private Car Analysis &amp; Split'!R166</f>
        <v>32730.070388071617</v>
      </c>
      <c r="F166" s="21">
        <f t="shared" si="12"/>
        <v>0.80936471570726365</v>
      </c>
      <c r="G166" s="20"/>
      <c r="H166" s="19">
        <f>'Private Car Analysis &amp; Split'!U166</f>
        <v>3.0922819860279499E-12</v>
      </c>
      <c r="I166" s="21">
        <f t="shared" si="13"/>
        <v>7.6467416685432395E-17</v>
      </c>
      <c r="J166" s="22"/>
      <c r="K166" s="19">
        <f>'Private Car Analysis &amp; Split'!E166+'Private Car Analysis &amp; Split'!F166-'Private Car Analysis &amp; Split'!R166-'Private Car Analysis &amp; Split'!U166</f>
        <v>7709.1404557942778</v>
      </c>
      <c r="L166" s="21">
        <f t="shared" si="14"/>
        <v>0.19063528429273624</v>
      </c>
      <c r="M166" s="22"/>
      <c r="N166" s="19">
        <f>'Private Car Analysis &amp; Split'!P166</f>
        <v>26341.169358070059</v>
      </c>
      <c r="O166" s="21">
        <f t="shared" si="15"/>
        <v>1</v>
      </c>
      <c r="P166" s="257"/>
      <c r="Q166" s="14">
        <v>2053</v>
      </c>
      <c r="R166" s="257"/>
      <c r="S166" s="593">
        <f t="shared" si="16"/>
        <v>3.1191666666666666</v>
      </c>
      <c r="T166" s="24"/>
      <c r="U166" s="24"/>
      <c r="V166" s="24"/>
      <c r="W166" s="24"/>
      <c r="X166" s="24"/>
      <c r="Y166" s="24"/>
      <c r="Z166" s="24"/>
      <c r="AA166" s="24"/>
      <c r="AB166" s="24"/>
      <c r="AC166" s="24"/>
      <c r="AD166" s="24"/>
      <c r="AE166" s="24"/>
      <c r="AF166" s="24"/>
      <c r="AG166" s="24"/>
      <c r="AH166" s="24"/>
      <c r="AI166" s="24"/>
    </row>
    <row r="167" spans="1:35" ht="14.4" x14ac:dyDescent="0.3">
      <c r="A167" s="5"/>
      <c r="B167" s="19">
        <f>'Private Car Analysis &amp; Split'!E167+'Private Car Analysis &amp; Split'!F167</f>
        <v>41439.613938181734</v>
      </c>
      <c r="C167" s="19">
        <f>'Private Car Analysis &amp; Split'!E167</f>
        <v>27222.870556218495</v>
      </c>
      <c r="D167" s="5"/>
      <c r="E167" s="19">
        <f>'Private Car Analysis &amp; Split'!R167</f>
        <v>33303.697380039885</v>
      </c>
      <c r="F167" s="21">
        <f t="shared" si="12"/>
        <v>0.80366813816656824</v>
      </c>
      <c r="G167" s="20"/>
      <c r="H167" s="19">
        <f>'Private Car Analysis &amp; Split'!U167</f>
        <v>3.0922819860279499E-12</v>
      </c>
      <c r="I167" s="21">
        <f t="shared" si="13"/>
        <v>7.4621399481204516E-17</v>
      </c>
      <c r="J167" s="22"/>
      <c r="K167" s="19">
        <f>'Private Car Analysis &amp; Split'!E167+'Private Car Analysis &amp; Split'!F167-'Private Car Analysis &amp; Split'!R167-'Private Car Analysis &amp; Split'!U167</f>
        <v>8135.9165581418465</v>
      </c>
      <c r="L167" s="21">
        <f t="shared" si="14"/>
        <v>0.19633186183343171</v>
      </c>
      <c r="M167" s="22"/>
      <c r="N167" s="19">
        <f>'Private Car Analysis &amp; Split'!P167</f>
        <v>27222.870556218495</v>
      </c>
      <c r="O167" s="21">
        <f t="shared" si="15"/>
        <v>1</v>
      </c>
      <c r="P167" s="257"/>
      <c r="Q167" s="14">
        <v>2054</v>
      </c>
      <c r="R167" s="257"/>
      <c r="S167" s="593">
        <f t="shared" si="16"/>
        <v>3.1588888888888889</v>
      </c>
      <c r="T167" s="24"/>
      <c r="U167" s="24"/>
      <c r="V167" s="24"/>
      <c r="W167" s="24"/>
      <c r="X167" s="24"/>
      <c r="Y167" s="24"/>
      <c r="Z167" s="24"/>
      <c r="AA167" s="24"/>
      <c r="AB167" s="24"/>
      <c r="AC167" s="24"/>
      <c r="AD167" s="24"/>
      <c r="AE167" s="24"/>
      <c r="AF167" s="24"/>
      <c r="AG167" s="24"/>
      <c r="AH167" s="24"/>
      <c r="AI167" s="24"/>
    </row>
    <row r="168" spans="1:35" ht="14.4" x14ac:dyDescent="0.3">
      <c r="A168" s="5"/>
      <c r="B168" s="19">
        <f>'Private Car Analysis &amp; Split'!E168+'Private Car Analysis &amp; Split'!F168</f>
        <v>42495.814624613762</v>
      </c>
      <c r="C168" s="19">
        <f>'Private Car Analysis &amp; Split'!E168</f>
        <v>28164.660270798489</v>
      </c>
      <c r="D168" s="5"/>
      <c r="E168" s="19">
        <f>'Private Car Analysis &amp; Split'!R168</f>
        <v>33906.396203469718</v>
      </c>
      <c r="F168" s="21">
        <f t="shared" si="12"/>
        <v>0.79787613210810138</v>
      </c>
      <c r="G168" s="20"/>
      <c r="H168" s="19">
        <f>'Private Car Analysis &amp; Split'!U168</f>
        <v>3.0000000000000001E-12</v>
      </c>
      <c r="I168" s="21">
        <f t="shared" si="13"/>
        <v>7.0595187467294413E-17</v>
      </c>
      <c r="J168" s="22"/>
      <c r="K168" s="19">
        <f>'Private Car Analysis &amp; Split'!E168+'Private Car Analysis &amp; Split'!F168-'Private Car Analysis &amp; Split'!R168-'Private Car Analysis &amp; Split'!U168</f>
        <v>8589.4184211440406</v>
      </c>
      <c r="L168" s="21">
        <f t="shared" si="14"/>
        <v>0.20212386789189851</v>
      </c>
      <c r="M168" s="22"/>
      <c r="N168" s="19">
        <f>'Private Car Analysis &amp; Split'!P168</f>
        <v>28164.660270798489</v>
      </c>
      <c r="O168" s="21">
        <f t="shared" si="15"/>
        <v>1</v>
      </c>
      <c r="P168" s="257"/>
      <c r="Q168" s="14">
        <v>2055</v>
      </c>
      <c r="R168" s="257"/>
      <c r="S168" s="593">
        <f t="shared" si="16"/>
        <v>3.1986111111111111</v>
      </c>
      <c r="T168" s="24"/>
      <c r="U168" s="24"/>
      <c r="V168" s="5"/>
      <c r="X168" s="5"/>
      <c r="Y168" s="5"/>
      <c r="AA168" s="5"/>
      <c r="AB168" s="5"/>
      <c r="AG168" s="24"/>
      <c r="AI168" s="273"/>
    </row>
    <row r="169" spans="1:35" ht="14.4" x14ac:dyDescent="0.3">
      <c r="A169" s="5"/>
      <c r="B169" s="19">
        <f>'Private Car Analysis &amp; Split'!E169+'Private Car Analysis &amp; Split'!F169</f>
        <v>43609.425828924213</v>
      </c>
      <c r="C169" s="19">
        <f>'Private Car Analysis &amp; Split'!E169</f>
        <v>29168.815850124032</v>
      </c>
      <c r="D169" s="5"/>
      <c r="E169" s="19">
        <f>'Private Car Analysis &amp; Split'!R169</f>
        <v>34538.352111114946</v>
      </c>
      <c r="F169" s="21">
        <f t="shared" si="12"/>
        <v>0.79199281931859733</v>
      </c>
      <c r="G169" s="20"/>
      <c r="H169" s="19">
        <f>'Private Car Analysis &amp; Split'!U169</f>
        <v>3.0000000000000001E-12</v>
      </c>
      <c r="I169" s="21">
        <f t="shared" si="13"/>
        <v>6.8792467292936293E-17</v>
      </c>
      <c r="J169" s="22"/>
      <c r="K169" s="19">
        <f>'Private Car Analysis &amp; Split'!E169+'Private Car Analysis &amp; Split'!F169-'Private Car Analysis &amp; Split'!R169-'Private Car Analysis &amp; Split'!U169</f>
        <v>9071.0737178092641</v>
      </c>
      <c r="L169" s="21">
        <f t="shared" si="14"/>
        <v>0.20800718068140259</v>
      </c>
      <c r="M169" s="22"/>
      <c r="N169" s="19">
        <f>'Private Car Analysis &amp; Split'!P169</f>
        <v>29168.815850124032</v>
      </c>
      <c r="O169" s="21">
        <f t="shared" si="15"/>
        <v>1</v>
      </c>
      <c r="P169" s="257"/>
      <c r="Q169" s="14">
        <v>2056</v>
      </c>
      <c r="R169" s="257"/>
      <c r="S169" s="593">
        <f t="shared" si="16"/>
        <v>3.2383333333333333</v>
      </c>
      <c r="T169" s="24"/>
      <c r="U169" s="24"/>
      <c r="V169" s="5"/>
      <c r="X169" s="5"/>
      <c r="Y169" s="5"/>
      <c r="AA169" s="5"/>
      <c r="AB169" s="5"/>
      <c r="AG169" s="24"/>
      <c r="AI169" s="273"/>
    </row>
    <row r="170" spans="1:35" ht="14.4" x14ac:dyDescent="0.3">
      <c r="A170" s="5"/>
      <c r="B170" s="19">
        <f>'Private Car Analysis &amp; Split'!E170+'Private Car Analysis &amp; Split'!F170</f>
        <v>44782.053051201743</v>
      </c>
      <c r="C170" s="19">
        <f>'Private Car Analysis &amp; Split'!E170</f>
        <v>30237.602315070719</v>
      </c>
      <c r="D170" s="5"/>
      <c r="E170" s="19">
        <f>'Private Car Analysis &amp; Split'!R170</f>
        <v>35199.394391433045</v>
      </c>
      <c r="F170" s="21">
        <f t="shared" si="12"/>
        <v>0.7860156467410655</v>
      </c>
      <c r="G170" s="20"/>
      <c r="H170" s="19">
        <f>'Private Car Analysis &amp; Split'!U170</f>
        <v>3.0000000000000001E-12</v>
      </c>
      <c r="I170" s="21">
        <f t="shared" si="13"/>
        <v>6.6991122460820138E-17</v>
      </c>
      <c r="J170" s="22"/>
      <c r="K170" s="19">
        <f>'Private Car Analysis &amp; Split'!E170+'Private Car Analysis &amp; Split'!F170-'Private Car Analysis &amp; Split'!R170-'Private Car Analysis &amp; Split'!U170</f>
        <v>9582.6586597686946</v>
      </c>
      <c r="L170" s="21">
        <f t="shared" si="14"/>
        <v>0.21398435325893439</v>
      </c>
      <c r="M170" s="22"/>
      <c r="N170" s="19">
        <f>'Private Car Analysis &amp; Split'!P170</f>
        <v>30237.602315070719</v>
      </c>
      <c r="O170" s="21">
        <f t="shared" si="15"/>
        <v>1</v>
      </c>
      <c r="P170" s="257"/>
      <c r="Q170" s="14">
        <v>2057</v>
      </c>
      <c r="R170" s="257"/>
      <c r="S170" s="593">
        <f t="shared" si="16"/>
        <v>3.2780555555555555</v>
      </c>
      <c r="T170" s="24"/>
      <c r="U170" s="24"/>
      <c r="V170" s="5"/>
      <c r="X170" s="5"/>
      <c r="Y170" s="5"/>
      <c r="AA170" s="5"/>
      <c r="AB170" s="5"/>
      <c r="AG170" s="24"/>
      <c r="AI170" s="273"/>
    </row>
    <row r="171" spans="1:35" ht="14.4" x14ac:dyDescent="0.3">
      <c r="A171" s="5"/>
      <c r="B171" s="19">
        <f>'Private Car Analysis &amp; Split'!E171+'Private Car Analysis &amp; Split'!F171</f>
        <v>46015.345349382987</v>
      </c>
      <c r="C171" s="19">
        <f>'Private Car Analysis &amp; Split'!E171</f>
        <v>31373.317250370572</v>
      </c>
      <c r="D171" s="5"/>
      <c r="E171" s="19">
        <f>'Private Car Analysis &amp; Split'!R171</f>
        <v>35889.804701378795</v>
      </c>
      <c r="F171" s="21">
        <f t="shared" si="12"/>
        <v>0.77995295762482064</v>
      </c>
      <c r="G171" s="20"/>
      <c r="H171" s="19">
        <f>'Private Car Analysis &amp; Split'!U171</f>
        <v>3.0000000000000001E-12</v>
      </c>
      <c r="I171" s="21">
        <f t="shared" si="13"/>
        <v>6.519564239324407E-17</v>
      </c>
      <c r="J171" s="22"/>
      <c r="K171" s="19">
        <f>'Private Car Analysis &amp; Split'!E171+'Private Car Analysis &amp; Split'!F171-'Private Car Analysis &amp; Split'!R171-'Private Car Analysis &amp; Split'!U171</f>
        <v>10125.540648004189</v>
      </c>
      <c r="L171" s="21">
        <f t="shared" si="14"/>
        <v>0.22004704237517933</v>
      </c>
      <c r="M171" s="22"/>
      <c r="N171" s="19">
        <f>'Private Car Analysis &amp; Split'!P171</f>
        <v>31373.317250370572</v>
      </c>
      <c r="O171" s="21">
        <f t="shared" si="15"/>
        <v>1</v>
      </c>
      <c r="P171" s="257"/>
      <c r="Q171" s="14">
        <v>2058</v>
      </c>
      <c r="R171" s="257"/>
      <c r="S171" s="593">
        <f t="shared" si="16"/>
        <v>3.3177777777777777</v>
      </c>
      <c r="T171" s="24"/>
      <c r="U171" s="24"/>
      <c r="V171" s="5"/>
      <c r="X171" s="5"/>
      <c r="Y171" s="5"/>
      <c r="AA171" s="5"/>
      <c r="AB171" s="5"/>
      <c r="AG171" s="24"/>
      <c r="AI171" s="273"/>
    </row>
    <row r="172" spans="1:35" ht="14.4" x14ac:dyDescent="0.3">
      <c r="A172" s="5"/>
      <c r="B172" s="19">
        <f>'Private Car Analysis &amp; Split'!E172+'Private Car Analysis &amp; Split'!F172</f>
        <v>47310.967645428442</v>
      </c>
      <c r="C172" s="19">
        <f>'Private Car Analysis &amp; Split'!E172</f>
        <v>32578.266823435908</v>
      </c>
      <c r="D172" s="5"/>
      <c r="E172" s="19">
        <f>'Private Car Analysis &amp; Split'!R172</f>
        <v>36609.506341192427</v>
      </c>
      <c r="F172" s="21">
        <f t="shared" si="12"/>
        <v>0.77380590935197091</v>
      </c>
      <c r="G172" s="20"/>
      <c r="H172" s="19">
        <f>'Private Car Analysis &amp; Split'!U172</f>
        <v>3.0922819860279499E-12</v>
      </c>
      <c r="I172" s="21">
        <f t="shared" si="13"/>
        <v>6.5360785034096649E-17</v>
      </c>
      <c r="J172" s="22"/>
      <c r="K172" s="19">
        <f>'Private Car Analysis &amp; Split'!E172+'Private Car Analysis &amp; Split'!F172-'Private Car Analysis &amp; Split'!R172-'Private Car Analysis &amp; Split'!U172</f>
        <v>10701.461304236011</v>
      </c>
      <c r="L172" s="21">
        <f t="shared" si="14"/>
        <v>0.22619409064802906</v>
      </c>
      <c r="M172" s="22"/>
      <c r="N172" s="19">
        <f>'Private Car Analysis &amp; Split'!P172</f>
        <v>32578.266823435908</v>
      </c>
      <c r="O172" s="21">
        <f t="shared" si="15"/>
        <v>1</v>
      </c>
      <c r="P172" s="257"/>
      <c r="Q172" s="14">
        <v>2059</v>
      </c>
      <c r="R172" s="257"/>
      <c r="S172" s="593">
        <f t="shared" si="16"/>
        <v>3.3574999999999999</v>
      </c>
      <c r="T172" s="24"/>
      <c r="U172" s="24"/>
      <c r="V172" s="5"/>
      <c r="X172" s="5"/>
      <c r="Y172" s="5"/>
      <c r="AA172" s="5"/>
      <c r="AB172" s="5"/>
      <c r="AG172" s="24"/>
      <c r="AI172" s="273"/>
    </row>
    <row r="173" spans="1:35" ht="14.4" x14ac:dyDescent="0.3">
      <c r="A173" s="5"/>
      <c r="B173" s="19">
        <f>'Private Car Analysis &amp; Split'!E173+'Private Car Analysis &amp; Split'!F173</f>
        <v>48670.553543808019</v>
      </c>
      <c r="C173" s="19">
        <f>'Private Car Analysis &amp; Split'!E173</f>
        <v>33854.737768973093</v>
      </c>
      <c r="D173" s="5"/>
      <c r="E173" s="19">
        <f>'Private Car Analysis &amp; Split'!R173</f>
        <v>37358.693246415605</v>
      </c>
      <c r="F173" s="21">
        <f t="shared" si="12"/>
        <v>0.76758307695821271</v>
      </c>
      <c r="G173" s="20"/>
      <c r="H173" s="19">
        <f>'Private Car Analysis &amp; Split'!U173</f>
        <v>3.0000000000000001E-12</v>
      </c>
      <c r="I173" s="21">
        <f t="shared" si="13"/>
        <v>6.1638912680533247E-17</v>
      </c>
      <c r="J173" s="22"/>
      <c r="K173" s="19">
        <f>'Private Car Analysis &amp; Split'!E173+'Private Car Analysis &amp; Split'!F173-'Private Car Analysis &amp; Split'!R173-'Private Car Analysis &amp; Split'!U173</f>
        <v>11311.86029739241</v>
      </c>
      <c r="L173" s="21">
        <f t="shared" si="14"/>
        <v>0.23241692304178715</v>
      </c>
      <c r="M173" s="22"/>
      <c r="N173" s="19">
        <f>'Private Car Analysis &amp; Split'!P173</f>
        <v>33854.737768973093</v>
      </c>
      <c r="O173" s="21">
        <f t="shared" si="15"/>
        <v>1</v>
      </c>
      <c r="P173" s="257"/>
      <c r="Q173" s="14">
        <v>2060</v>
      </c>
      <c r="R173" s="257"/>
      <c r="S173" s="593">
        <f t="shared" si="16"/>
        <v>3.3972222222222221</v>
      </c>
      <c r="T173" s="24"/>
      <c r="U173" s="24"/>
      <c r="V173" s="5"/>
      <c r="X173" s="5"/>
      <c r="Y173" s="5"/>
      <c r="AA173" s="5"/>
      <c r="AB173" s="5"/>
      <c r="AG173" s="24"/>
      <c r="AI173" s="273"/>
    </row>
    <row r="174" spans="1:35" ht="14.4" x14ac:dyDescent="0.3">
      <c r="A174" s="5"/>
      <c r="B174" s="5"/>
      <c r="C174" s="5"/>
      <c r="D174" s="5"/>
      <c r="E174" s="5"/>
      <c r="F174" s="5"/>
      <c r="G174" s="5"/>
      <c r="H174" s="5"/>
      <c r="I174" s="5"/>
      <c r="J174" s="5"/>
      <c r="K174" s="5"/>
      <c r="L174" s="5"/>
      <c r="M174" s="5"/>
      <c r="N174" s="5"/>
      <c r="O174" s="5"/>
      <c r="P174" s="257"/>
      <c r="R174" s="257"/>
      <c r="S174" s="5"/>
      <c r="T174" s="5"/>
      <c r="U174" s="5"/>
      <c r="V174" s="5"/>
      <c r="X174" s="5"/>
      <c r="Y174" s="5"/>
      <c r="AA174" s="5"/>
      <c r="AB174" s="5"/>
      <c r="AD174" s="5"/>
      <c r="AE174" s="5"/>
      <c r="AF174" s="5"/>
      <c r="AG174" s="5"/>
    </row>
    <row r="175" spans="1:35" ht="14.4" x14ac:dyDescent="0.3">
      <c r="A175" s="5"/>
      <c r="B175" s="5"/>
      <c r="C175" s="5"/>
      <c r="D175" s="5"/>
      <c r="E175" s="5"/>
      <c r="F175" s="5"/>
      <c r="G175" s="5"/>
      <c r="H175" s="5"/>
      <c r="I175" s="5"/>
      <c r="J175" s="5"/>
      <c r="K175" s="5"/>
      <c r="L175" s="5"/>
      <c r="M175" s="5"/>
      <c r="N175" s="5"/>
      <c r="O175" s="5"/>
      <c r="P175" s="257"/>
      <c r="R175" s="257"/>
      <c r="S175" s="5"/>
      <c r="T175" s="5"/>
      <c r="U175" s="5"/>
      <c r="V175" s="5"/>
      <c r="X175" s="5"/>
      <c r="Y175" s="5"/>
      <c r="AA175" s="5"/>
      <c r="AB175" s="5"/>
      <c r="AD175" s="5"/>
      <c r="AE175" s="5"/>
      <c r="AF175" s="5"/>
      <c r="AG175" s="5"/>
    </row>
    <row r="176" spans="1:35" ht="14.4" x14ac:dyDescent="0.3">
      <c r="A176" s="5"/>
      <c r="B176" s="5"/>
      <c r="C176" s="5"/>
      <c r="D176" s="5"/>
      <c r="E176" s="5"/>
      <c r="F176" s="5"/>
      <c r="G176" s="5"/>
      <c r="H176" s="231" t="s">
        <v>246</v>
      </c>
      <c r="I176" s="231"/>
      <c r="J176" s="5"/>
      <c r="K176" s="5"/>
      <c r="L176" s="5"/>
      <c r="M176" s="5"/>
      <c r="N176" s="5"/>
      <c r="O176" s="5"/>
      <c r="P176" s="257"/>
      <c r="R176" s="257"/>
      <c r="S176" s="5"/>
      <c r="T176" s="5"/>
      <c r="U176" s="5"/>
      <c r="V176" s="5"/>
      <c r="X176" s="5"/>
      <c r="Y176" s="5"/>
      <c r="AA176" s="5"/>
      <c r="AB176" s="5"/>
      <c r="AD176" s="5"/>
      <c r="AE176" s="5"/>
      <c r="AF176" s="5"/>
      <c r="AG176" s="5"/>
    </row>
  </sheetData>
  <mergeCells count="14">
    <mergeCell ref="V123:W123"/>
    <mergeCell ref="Y123:Z123"/>
    <mergeCell ref="AB123:AC123"/>
    <mergeCell ref="B2:O5"/>
    <mergeCell ref="A125:A126"/>
    <mergeCell ref="V7:W7"/>
    <mergeCell ref="Y7:Z7"/>
    <mergeCell ref="AB7:AC7"/>
    <mergeCell ref="V65:W65"/>
    <mergeCell ref="Y65:Z65"/>
    <mergeCell ref="AB65:AC65"/>
    <mergeCell ref="X1:Z2"/>
    <mergeCell ref="A9:A10"/>
    <mergeCell ref="A67:A68"/>
  </mergeCells>
  <conditionalFormatting sqref="H9:H57 J9:K57">
    <cfRule type="cellIs" dxfId="170" priority="37" operator="lessThan">
      <formula>0</formula>
    </cfRule>
  </conditionalFormatting>
  <conditionalFormatting sqref="M9:N57">
    <cfRule type="cellIs" dxfId="169" priority="21" operator="lessThan">
      <formula>0</formula>
    </cfRule>
  </conditionalFormatting>
  <conditionalFormatting sqref="L67:L115">
    <cfRule type="cellIs" dxfId="168" priority="8" operator="lessThan">
      <formula>0</formula>
    </cfRule>
  </conditionalFormatting>
  <conditionalFormatting sqref="F9:F57">
    <cfRule type="cellIs" dxfId="167" priority="19" operator="lessThan">
      <formula>0</formula>
    </cfRule>
  </conditionalFormatting>
  <conditionalFormatting sqref="I9:I57">
    <cfRule type="cellIs" dxfId="166" priority="18" operator="lessThan">
      <formula>0</formula>
    </cfRule>
  </conditionalFormatting>
  <conditionalFormatting sqref="L9:L57">
    <cfRule type="cellIs" dxfId="165" priority="17" operator="lessThan">
      <formula>0</formula>
    </cfRule>
  </conditionalFormatting>
  <conditionalFormatting sqref="O9:O57">
    <cfRule type="cellIs" dxfId="164" priority="16" operator="lessThan">
      <formula>0</formula>
    </cfRule>
  </conditionalFormatting>
  <conditionalFormatting sqref="H67:H115 J67:K115">
    <cfRule type="cellIs" dxfId="163" priority="12" operator="lessThan">
      <formula>0</formula>
    </cfRule>
  </conditionalFormatting>
  <conditionalFormatting sqref="M67:N115">
    <cfRule type="cellIs" dxfId="162" priority="11" operator="lessThan">
      <formula>0</formula>
    </cfRule>
  </conditionalFormatting>
  <conditionalFormatting sqref="F67:F115">
    <cfRule type="cellIs" dxfId="161" priority="10" operator="lessThan">
      <formula>0</formula>
    </cfRule>
  </conditionalFormatting>
  <conditionalFormatting sqref="I67:I115">
    <cfRule type="cellIs" dxfId="160" priority="9" operator="lessThan">
      <formula>0</formula>
    </cfRule>
  </conditionalFormatting>
  <conditionalFormatting sqref="O67:O115">
    <cfRule type="cellIs" dxfId="159" priority="7" operator="lessThan">
      <formula>0</formula>
    </cfRule>
  </conditionalFormatting>
  <conditionalFormatting sqref="H125:H173 J125:K173">
    <cfRule type="cellIs" dxfId="158" priority="6" operator="lessThan">
      <formula>0</formula>
    </cfRule>
  </conditionalFormatting>
  <conditionalFormatting sqref="M125:N173">
    <cfRule type="cellIs" dxfId="157" priority="5" operator="lessThan">
      <formula>0</formula>
    </cfRule>
  </conditionalFormatting>
  <conditionalFormatting sqref="F125:F173">
    <cfRule type="cellIs" dxfId="156" priority="4" operator="lessThan">
      <formula>0</formula>
    </cfRule>
  </conditionalFormatting>
  <conditionalFormatting sqref="I125:I173">
    <cfRule type="cellIs" dxfId="155" priority="3" operator="lessThan">
      <formula>0</formula>
    </cfRule>
  </conditionalFormatting>
  <conditionalFormatting sqref="L125:L173">
    <cfRule type="cellIs" dxfId="154" priority="2" operator="lessThan">
      <formula>0</formula>
    </cfRule>
  </conditionalFormatting>
  <conditionalFormatting sqref="O125:O173">
    <cfRule type="cellIs" dxfId="153" priority="1" operator="lessThan">
      <formula>0</formula>
    </cfRule>
  </conditionalFormatting>
  <hyperlinks>
    <hyperlink ref="H118:I118" location="'Private Car Variable Adjust'!A1" display="Back to Top Left" xr:uid="{BD61D1F7-E765-4200-AFBA-4F6400E924D5}"/>
    <hyperlink ref="H176:I176" location="'Private Car Integration'!A1" display="Back to Top Left" xr:uid="{BA962667-F5C1-48F7-917B-BE757A6C83E9}"/>
    <hyperlink ref="H60:I60" location="'Private Car Variable Adjust'!A1" display="Back to Top Left" xr:uid="{521FE1CD-A627-4EE0-B066-BCF2EBB56063}"/>
    <hyperlink ref="X1:Z2" location="'Table of Contents'!A1" display="Back to Table of Contents" xr:uid="{2F10D238-92F4-4B1B-99B9-CC81F98AD9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6" tint="0.59999389629810485"/>
  </sheetPr>
  <dimension ref="A1:AH167"/>
  <sheetViews>
    <sheetView zoomScale="70" zoomScaleNormal="70" workbookViewId="0">
      <pane xSplit="5" topLeftCell="F1" activePane="topRight" state="frozen"/>
      <selection activeCell="V127" sqref="V127"/>
      <selection pane="topRight" activeCell="D34" sqref="D34"/>
    </sheetView>
  </sheetViews>
  <sheetFormatPr defaultColWidth="15.21875" defaultRowHeight="15" customHeight="1" x14ac:dyDescent="0.3"/>
  <cols>
    <col min="1" max="1" width="7.5546875" customWidth="1"/>
    <col min="2" max="2" width="12.44140625" customWidth="1"/>
    <col min="3" max="3" width="11.88671875" customWidth="1"/>
    <col min="4" max="4" width="9" customWidth="1"/>
    <col min="5" max="5" width="7.5546875" customWidth="1"/>
    <col min="6" max="6" width="3.21875" customWidth="1"/>
    <col min="7" max="7" width="15.44140625" customWidth="1"/>
    <col min="8" max="8" width="6.21875" customWidth="1"/>
    <col min="9" max="9" width="3.21875" customWidth="1"/>
    <col min="10" max="10" width="15.44140625" customWidth="1"/>
    <col min="11" max="11" width="7.5546875" customWidth="1"/>
    <col min="12" max="12" width="3.21875" customWidth="1"/>
    <col min="13" max="13" width="15.44140625" customWidth="1"/>
    <col min="14" max="14" width="7.5546875" customWidth="1"/>
    <col min="15" max="15" width="3.21875" customWidth="1"/>
    <col min="16" max="16" width="15.44140625" customWidth="1"/>
    <col min="17" max="17" width="7.5546875" customWidth="1"/>
    <col min="18" max="18" width="3.21875" customWidth="1"/>
    <col min="19" max="19" width="15.44140625" customWidth="1"/>
    <col min="20" max="20" width="7.5546875" customWidth="1"/>
    <col min="21" max="21" width="3.21875" customWidth="1"/>
    <col min="22" max="22" width="15.44140625" customWidth="1"/>
    <col min="23" max="23" width="7.5546875" customWidth="1"/>
    <col min="24" max="24" width="3.21875" customWidth="1"/>
    <col min="25" max="25" width="15.44140625" customWidth="1"/>
    <col min="26" max="26" width="7.5546875" customWidth="1"/>
    <col min="27" max="27" width="2.6640625" customWidth="1"/>
    <col min="28" max="29" width="7.5546875" customWidth="1"/>
    <col min="30" max="30" width="8.77734375" customWidth="1"/>
    <col min="31" max="32" width="7.5546875" customWidth="1"/>
  </cols>
  <sheetData>
    <row r="1" spans="1:33" s="184" customFormat="1" ht="15" customHeight="1" x14ac:dyDescent="0.4">
      <c r="A1" s="115" t="s">
        <v>45</v>
      </c>
      <c r="B1" s="115"/>
      <c r="C1" s="115"/>
      <c r="D1" s="115"/>
      <c r="X1" s="815" t="s">
        <v>467</v>
      </c>
      <c r="Y1" s="816"/>
      <c r="Z1" s="817"/>
    </row>
    <row r="2" spans="1:33" s="184" customFormat="1" ht="19.95" customHeight="1" thickBot="1" x14ac:dyDescent="0.35">
      <c r="A2" s="833" t="s">
        <v>208</v>
      </c>
      <c r="B2" s="849"/>
      <c r="C2" s="849"/>
      <c r="D2" s="849"/>
      <c r="E2" s="849"/>
      <c r="X2" s="818"/>
      <c r="Y2" s="819"/>
      <c r="Z2" s="820"/>
    </row>
    <row r="3" spans="1:33" s="184" customFormat="1" ht="19.95" customHeight="1" x14ac:dyDescent="0.3">
      <c r="A3" s="849"/>
      <c r="B3" s="849"/>
      <c r="C3" s="849"/>
      <c r="D3" s="849"/>
      <c r="E3" s="849"/>
      <c r="AB3" s="811" t="s">
        <v>731</v>
      </c>
      <c r="AC3" s="811"/>
      <c r="AD3" s="811"/>
    </row>
    <row r="4" spans="1:33" ht="15.75" customHeight="1" x14ac:dyDescent="0.3">
      <c r="A4" s="849"/>
      <c r="B4" s="849"/>
      <c r="C4" s="849"/>
      <c r="D4" s="849"/>
      <c r="E4" s="849"/>
      <c r="F4" s="2"/>
      <c r="G4" s="92" t="s">
        <v>131</v>
      </c>
      <c r="H4" s="5"/>
      <c r="I4" s="5"/>
      <c r="J4" s="92" t="s">
        <v>131</v>
      </c>
      <c r="K4" s="90"/>
      <c r="L4" s="5"/>
      <c r="M4" s="92" t="s">
        <v>131</v>
      </c>
      <c r="N4" s="90"/>
      <c r="O4" s="5"/>
      <c r="P4" s="92" t="s">
        <v>131</v>
      </c>
      <c r="Q4" s="90"/>
      <c r="R4" s="5"/>
      <c r="S4" s="262" t="str">
        <f>'Private Car Analysis &amp; Split'!P4</f>
        <v>Include</v>
      </c>
      <c r="T4" s="90"/>
      <c r="U4" s="5"/>
      <c r="V4" s="262" t="str">
        <f>'Private Car Analysis &amp; Split'!R4</f>
        <v>Include</v>
      </c>
      <c r="W4" s="90"/>
      <c r="X4" s="5"/>
      <c r="Y4" s="262" t="str">
        <f>'Private Car Analysis &amp; Split'!U4</f>
        <v>Include</v>
      </c>
      <c r="AB4" s="98" t="s">
        <v>263</v>
      </c>
      <c r="AC4" s="515">
        <f>'Modeshare URBAN'!$G$80</f>
        <v>0.14513944480504376</v>
      </c>
      <c r="AD4" s="124" t="s">
        <v>497</v>
      </c>
    </row>
    <row r="5" spans="1:33" ht="15.75" customHeight="1" x14ac:dyDescent="0.3">
      <c r="A5" s="4" t="s">
        <v>46</v>
      </c>
      <c r="B5" s="2"/>
      <c r="C5" s="2"/>
      <c r="D5" s="2"/>
      <c r="F5" s="2"/>
      <c r="G5" s="5"/>
      <c r="H5" s="5"/>
      <c r="I5" s="5"/>
      <c r="J5" s="5"/>
      <c r="K5" s="5"/>
      <c r="L5" s="5"/>
      <c r="M5" s="5"/>
      <c r="N5" s="5"/>
      <c r="O5" s="5"/>
      <c r="P5" s="5"/>
      <c r="Q5" s="5"/>
      <c r="R5" s="5"/>
      <c r="S5" s="5"/>
      <c r="T5" s="5"/>
      <c r="U5" s="5"/>
      <c r="V5" s="5"/>
      <c r="W5" s="2"/>
      <c r="X5" s="2"/>
      <c r="Y5" s="2"/>
    </row>
    <row r="6" spans="1:33" ht="45" customHeight="1" x14ac:dyDescent="0.3">
      <c r="A6" s="8" t="s">
        <v>128</v>
      </c>
      <c r="B6" s="9" t="s">
        <v>47</v>
      </c>
      <c r="C6" s="52" t="s">
        <v>48</v>
      </c>
      <c r="D6" s="52" t="s">
        <v>49</v>
      </c>
      <c r="E6" s="13"/>
      <c r="F6" s="14" t="s">
        <v>50</v>
      </c>
      <c r="G6" s="11" t="s">
        <v>1</v>
      </c>
      <c r="H6" s="11" t="s">
        <v>27</v>
      </c>
      <c r="I6" s="14" t="s">
        <v>51</v>
      </c>
      <c r="J6" s="11" t="s">
        <v>2</v>
      </c>
      <c r="K6" s="11" t="s">
        <v>27</v>
      </c>
      <c r="L6" s="14" t="s">
        <v>52</v>
      </c>
      <c r="M6" s="11" t="s">
        <v>3</v>
      </c>
      <c r="N6" s="11" t="s">
        <v>27</v>
      </c>
      <c r="O6" s="14" t="s">
        <v>53</v>
      </c>
      <c r="P6" s="11" t="s">
        <v>600</v>
      </c>
      <c r="Q6" s="11" t="s">
        <v>27</v>
      </c>
      <c r="R6" s="14" t="s">
        <v>54</v>
      </c>
      <c r="S6" s="121" t="s">
        <v>268</v>
      </c>
      <c r="T6" s="11" t="s">
        <v>27</v>
      </c>
      <c r="U6" s="14" t="s">
        <v>25</v>
      </c>
      <c r="V6" s="121" t="s">
        <v>740</v>
      </c>
      <c r="W6" s="11" t="s">
        <v>27</v>
      </c>
      <c r="X6" s="14" t="s">
        <v>26</v>
      </c>
      <c r="Y6" s="121" t="s">
        <v>741</v>
      </c>
      <c r="Z6" s="11" t="s">
        <v>27</v>
      </c>
      <c r="AA6" s="13"/>
      <c r="AB6" s="13"/>
      <c r="AC6" s="13"/>
      <c r="AD6" s="13"/>
      <c r="AE6" s="13"/>
      <c r="AF6" s="13"/>
    </row>
    <row r="7" spans="1:33" s="249" customFormat="1" ht="46.2" customHeight="1" x14ac:dyDescent="0.3">
      <c r="A7" s="16"/>
      <c r="B7" s="17"/>
      <c r="C7" s="749" t="s">
        <v>743</v>
      </c>
      <c r="D7" s="17"/>
      <c r="E7" s="122" t="s">
        <v>276</v>
      </c>
      <c r="F7" s="17"/>
      <c r="G7" s="265" t="s">
        <v>776</v>
      </c>
      <c r="H7" s="17" t="s">
        <v>30</v>
      </c>
      <c r="I7" s="17"/>
      <c r="J7" s="267" t="s">
        <v>776</v>
      </c>
      <c r="K7" s="17" t="s">
        <v>30</v>
      </c>
      <c r="L7" s="17"/>
      <c r="M7" s="267" t="s">
        <v>771</v>
      </c>
      <c r="N7" s="17" t="s">
        <v>30</v>
      </c>
      <c r="O7" s="17"/>
      <c r="P7" s="267" t="s">
        <v>782</v>
      </c>
      <c r="Q7" s="17" t="s">
        <v>30</v>
      </c>
      <c r="R7" s="17"/>
      <c r="S7" s="266" t="str">
        <f>'Private Car Analysis &amp; Split'!P8</f>
        <v>PDS1-38p2050-Oct21ComDat1</v>
      </c>
      <c r="T7" s="17" t="s">
        <v>30</v>
      </c>
      <c r="U7" s="17"/>
      <c r="V7" s="266" t="str">
        <f>'Private Car Analysis &amp; Split'!X8</f>
        <v>PDS1-20p2050-LRate at 11%</v>
      </c>
      <c r="W7" s="17" t="s">
        <v>30</v>
      </c>
      <c r="X7" s="17"/>
      <c r="Y7" s="266" t="str">
        <f>'Private Car Analysis &amp; Split'!AA8</f>
        <v>PDS1-8p2050-Oct21ComDat</v>
      </c>
      <c r="Z7" s="17" t="s">
        <v>30</v>
      </c>
      <c r="AA7" s="68"/>
      <c r="AE7" s="13"/>
      <c r="AF7" s="13"/>
    </row>
    <row r="8" spans="1:33" ht="14.4" x14ac:dyDescent="0.3">
      <c r="A8" s="831" t="s">
        <v>28</v>
      </c>
      <c r="B8" s="19">
        <f>AVERAGE('Passenger TAM Data'!C11:E11)</f>
        <v>26173.156853942612</v>
      </c>
      <c r="C8" s="756">
        <f>B8-$AC$4*B8-IF($G$4="Include",G8,0)-IF($J$4="Include",J8,0)-IF($M$4="Include",M8,0)-IF($P$4="Include",P8,0)-MAX(IF($S$4="Include",S8,0),SUM(IF($V$4="Include",V8,0),IF($Y$4="Include",Y8,0)))</f>
        <v>22374.399399366055</v>
      </c>
      <c r="D8" s="69">
        <f t="shared" ref="D8:D55" si="0">C8/B8</f>
        <v>0.85486055519495618</v>
      </c>
      <c r="E8" s="7">
        <v>2012</v>
      </c>
      <c r="F8" s="7"/>
      <c r="G8" s="25"/>
      <c r="H8" s="26">
        <f t="shared" ref="H8:H56" si="1">G8/$B8</f>
        <v>0</v>
      </c>
      <c r="I8" s="2"/>
      <c r="J8" s="25"/>
      <c r="K8" s="26">
        <f t="shared" ref="K8:K56" si="2">J8/$B8</f>
        <v>0</v>
      </c>
      <c r="L8" s="24"/>
      <c r="M8" s="25"/>
      <c r="N8" s="26">
        <f t="shared" ref="N8:N56" si="3">M8/$B8</f>
        <v>0</v>
      </c>
      <c r="O8" s="24"/>
      <c r="P8" s="25"/>
      <c r="Q8" s="26">
        <f t="shared" ref="Q8:Q56" si="4">P8/$B8</f>
        <v>0</v>
      </c>
      <c r="R8" s="24"/>
      <c r="S8" s="19">
        <f>'Private Car Analysis &amp; Split'!P9</f>
        <v>0</v>
      </c>
      <c r="T8" s="26">
        <f t="shared" ref="T8:T56" si="5">S8/$B8</f>
        <v>0</v>
      </c>
      <c r="U8" s="24"/>
      <c r="V8" s="19">
        <f>'Private Car Analysis &amp; Split'!X9</f>
        <v>0</v>
      </c>
      <c r="W8" s="26">
        <f t="shared" ref="W8:W56" si="6">V8/$B8</f>
        <v>0</v>
      </c>
      <c r="X8" s="24"/>
      <c r="Y8" s="19">
        <f>'Private Car Analysis &amp; Split'!AA9</f>
        <v>0</v>
      </c>
      <c r="Z8" s="26">
        <f t="shared" ref="Z8:Z56" si="7">Y8/$B8</f>
        <v>0</v>
      </c>
      <c r="AA8" s="13"/>
      <c r="AE8" s="13"/>
    </row>
    <row r="9" spans="1:33" ht="14.4" x14ac:dyDescent="0.3">
      <c r="A9" s="832"/>
      <c r="B9" s="19">
        <f>AVERAGE('Passenger TAM Data'!C12:E12)</f>
        <v>27210.974694761313</v>
      </c>
      <c r="C9" s="756">
        <f t="shared" ref="C9:C56" si="8">B9-$AC$4*B9-IF($G$4="Include",G9,0)-IF($J$4="Include",J9,0)-IF($M$4="Include",M9,0)-IF($P$4="Include",P9,0)-MAX(IF($S$4="Include",S9,0),SUM(IF($V$4="Include",V9,0),IF($Y$4="Include",Y9,0)))</f>
        <v>23261.58893495956</v>
      </c>
      <c r="D9" s="69">
        <f t="shared" si="0"/>
        <v>0.85486055519495618</v>
      </c>
      <c r="E9" s="7">
        <v>2013</v>
      </c>
      <c r="F9" s="7"/>
      <c r="G9" s="25"/>
      <c r="H9" s="26">
        <f t="shared" si="1"/>
        <v>0</v>
      </c>
      <c r="I9" s="2"/>
      <c r="J9" s="25"/>
      <c r="K9" s="26">
        <f t="shared" si="2"/>
        <v>0</v>
      </c>
      <c r="L9" s="24"/>
      <c r="M9" s="25"/>
      <c r="N9" s="26">
        <f t="shared" si="3"/>
        <v>0</v>
      </c>
      <c r="O9" s="24"/>
      <c r="P9" s="25"/>
      <c r="Q9" s="26">
        <f t="shared" si="4"/>
        <v>0</v>
      </c>
      <c r="R9" s="24"/>
      <c r="S9" s="19">
        <f>'Private Car Analysis &amp; Split'!P10</f>
        <v>0</v>
      </c>
      <c r="T9" s="26">
        <f t="shared" si="5"/>
        <v>0</v>
      </c>
      <c r="U9" s="24"/>
      <c r="V9" s="19">
        <f>'Private Car Analysis &amp; Split'!X10</f>
        <v>0</v>
      </c>
      <c r="W9" s="26">
        <f t="shared" si="6"/>
        <v>0</v>
      </c>
      <c r="X9" s="24"/>
      <c r="Y9" s="19">
        <f>'Private Car Analysis &amp; Split'!AA10</f>
        <v>0</v>
      </c>
      <c r="Z9" s="26">
        <f t="shared" si="7"/>
        <v>0</v>
      </c>
      <c r="AA9" s="13"/>
      <c r="AB9" s="13"/>
      <c r="AC9" s="13"/>
      <c r="AD9" s="13"/>
      <c r="AE9" s="13"/>
    </row>
    <row r="10" spans="1:33" ht="14.4" x14ac:dyDescent="0.3">
      <c r="A10" s="30"/>
      <c r="B10" s="19">
        <f>AVERAGE('Passenger TAM Data'!C13:E13)</f>
        <v>28440.833819984502</v>
      </c>
      <c r="C10" s="756">
        <f t="shared" si="8"/>
        <v>9486.3958589572285</v>
      </c>
      <c r="D10" s="69">
        <f t="shared" si="0"/>
        <v>0.33354844372711145</v>
      </c>
      <c r="E10" s="33">
        <v>2014</v>
      </c>
      <c r="F10" s="33"/>
      <c r="G10" s="35">
        <v>1133.5323623070581</v>
      </c>
      <c r="H10" s="26">
        <f t="shared" si="1"/>
        <v>3.9855806249624072E-2</v>
      </c>
      <c r="I10" s="30"/>
      <c r="J10" s="35">
        <v>713.67726016146844</v>
      </c>
      <c r="K10" s="26">
        <f t="shared" si="2"/>
        <v>2.5093401433961802E-2</v>
      </c>
      <c r="L10" s="34"/>
      <c r="M10" s="35">
        <v>264.30794551551298</v>
      </c>
      <c r="N10" s="26">
        <f t="shared" si="3"/>
        <v>9.2932558584056663E-3</v>
      </c>
      <c r="O10" s="34"/>
      <c r="P10" s="25">
        <v>9573.616099983481</v>
      </c>
      <c r="Q10" s="26">
        <f t="shared" si="4"/>
        <v>0.33661516960365606</v>
      </c>
      <c r="R10" s="34"/>
      <c r="S10" s="19">
        <f>'Private Car Analysis &amp; Split'!P11</f>
        <v>3141.4174626346876</v>
      </c>
      <c r="T10" s="26">
        <f t="shared" si="5"/>
        <v>0.11045447832219707</v>
      </c>
      <c r="U10" s="34"/>
      <c r="V10" s="19">
        <f>'Private Car Analysis &amp; Split'!X11</f>
        <v>116.38899289627807</v>
      </c>
      <c r="W10" s="26">
        <f t="shared" si="6"/>
        <v>4.0923199943067451E-3</v>
      </c>
      <c r="X10" s="34"/>
      <c r="Y10" s="19">
        <f>'Private Car Analysis &amp; Split'!AA11</f>
        <v>126.49797722107463</v>
      </c>
      <c r="Z10" s="26">
        <f t="shared" si="7"/>
        <v>4.4477590924984897E-3</v>
      </c>
      <c r="AA10" s="30"/>
      <c r="AC10" s="99"/>
      <c r="AD10" s="13"/>
      <c r="AF10" s="806">
        <f>AG10/10^9</f>
        <v>9573.616099983481</v>
      </c>
      <c r="AG10" s="807">
        <v>9573616099983.4805</v>
      </c>
    </row>
    <row r="11" spans="1:33" ht="14.4" x14ac:dyDescent="0.3">
      <c r="B11" s="19">
        <f>AVERAGE('Passenger TAM Data'!C14:E14)</f>
        <v>29511.157218679546</v>
      </c>
      <c r="C11" s="756">
        <f t="shared" si="8"/>
        <v>10199.732342670795</v>
      </c>
      <c r="D11" s="69">
        <f t="shared" si="0"/>
        <v>0.34562292041244375</v>
      </c>
      <c r="E11" s="7">
        <v>2015</v>
      </c>
      <c r="F11" s="7"/>
      <c r="G11" s="35">
        <v>1183.6492717302899</v>
      </c>
      <c r="H11" s="26">
        <f t="shared" si="1"/>
        <v>4.0108534645367303E-2</v>
      </c>
      <c r="I11" s="2"/>
      <c r="J11" s="35">
        <v>730.00794512110224</v>
      </c>
      <c r="K11" s="26">
        <f t="shared" si="2"/>
        <v>2.4736676359781391E-2</v>
      </c>
      <c r="L11" s="24"/>
      <c r="M11" s="35">
        <v>270.35595913663383</v>
      </c>
      <c r="N11" s="26">
        <f t="shared" si="3"/>
        <v>9.161143940689247E-3</v>
      </c>
      <c r="O11" s="24"/>
      <c r="P11" s="25">
        <v>9607.0706209386408</v>
      </c>
      <c r="Q11" s="26">
        <f t="shared" si="4"/>
        <v>0.32554028802563173</v>
      </c>
      <c r="R11" s="24"/>
      <c r="S11" s="19">
        <f>'Private Car Analysis &amp; Split'!P12</f>
        <v>3237.1081048085771</v>
      </c>
      <c r="T11" s="26">
        <f t="shared" si="5"/>
        <v>0.10969099181104289</v>
      </c>
      <c r="U11" s="24"/>
      <c r="V11" s="19">
        <f>'Private Car Analysis &amp; Split'!X12</f>
        <v>121.57668884867235</v>
      </c>
      <c r="W11" s="26">
        <f t="shared" si="6"/>
        <v>4.1196855801953602E-3</v>
      </c>
      <c r="X11" s="24"/>
      <c r="Y11" s="19">
        <f>'Private Car Analysis &amp; Split'!AA12</f>
        <v>145.72611314061396</v>
      </c>
      <c r="Z11" s="26">
        <f t="shared" si="7"/>
        <v>4.938000636870124E-3</v>
      </c>
      <c r="AC11" s="100"/>
      <c r="AD11" s="13"/>
      <c r="AE11" s="13"/>
      <c r="AF11" s="806">
        <f t="shared" ref="AF11:AF56" si="9">AG11/10^9</f>
        <v>9607.0706209386408</v>
      </c>
      <c r="AG11" s="807">
        <v>9607070620938.6406</v>
      </c>
    </row>
    <row r="12" spans="1:33" ht="14.4" x14ac:dyDescent="0.3">
      <c r="B12" s="19">
        <f>AVERAGE('Passenger TAM Data'!C15:E15)</f>
        <v>30522.249674036706</v>
      </c>
      <c r="C12" s="756">
        <f t="shared" si="8"/>
        <v>10865.187226054102</v>
      </c>
      <c r="D12" s="69">
        <f t="shared" si="0"/>
        <v>0.35597596317732799</v>
      </c>
      <c r="E12" s="7">
        <v>2016</v>
      </c>
      <c r="F12" s="7"/>
      <c r="G12" s="35">
        <v>1233.7661811535363</v>
      </c>
      <c r="H12" s="26">
        <f t="shared" si="1"/>
        <v>4.0421862553697049E-2</v>
      </c>
      <c r="I12" s="2"/>
      <c r="J12" s="35">
        <v>746.33863008073604</v>
      </c>
      <c r="K12" s="26">
        <f t="shared" si="2"/>
        <v>2.4452281140849123E-2</v>
      </c>
      <c r="L12" s="24"/>
      <c r="M12" s="35">
        <v>276.40397275775649</v>
      </c>
      <c r="N12" s="26">
        <f t="shared" si="3"/>
        <v>9.0558191388125427E-3</v>
      </c>
      <c r="O12" s="24"/>
      <c r="P12" s="25">
        <v>9640.5251418938005</v>
      </c>
      <c r="Q12" s="26">
        <f t="shared" si="4"/>
        <v>0.31585237801440202</v>
      </c>
      <c r="R12" s="24"/>
      <c r="S12" s="19">
        <f>'Private Car Analysis &amp; Split'!P13</f>
        <v>3330.0461502061598</v>
      </c>
      <c r="T12" s="26">
        <f t="shared" si="5"/>
        <v>0.10910225116986752</v>
      </c>
      <c r="U12" s="24"/>
      <c r="V12" s="19">
        <f>'Private Car Analysis &amp; Split'!X13</f>
        <v>126.76438480106481</v>
      </c>
      <c r="W12" s="26">
        <f t="shared" si="6"/>
        <v>4.1531796035629391E-3</v>
      </c>
      <c r="X12" s="24"/>
      <c r="Y12" s="19">
        <f>'Private Car Analysis &amp; Split'!AA13</f>
        <v>167.06546616404685</v>
      </c>
      <c r="Z12" s="26">
        <f t="shared" si="7"/>
        <v>5.4735633168664687E-3</v>
      </c>
      <c r="AC12" s="100"/>
      <c r="AD12" s="13"/>
      <c r="AE12" s="68"/>
      <c r="AF12" s="806">
        <f t="shared" si="9"/>
        <v>9640.5251418938005</v>
      </c>
      <c r="AG12" s="807">
        <v>9640525141893.8008</v>
      </c>
    </row>
    <row r="13" spans="1:33" ht="14.4" x14ac:dyDescent="0.3">
      <c r="B13" s="19">
        <f>AVERAGE('Passenger TAM Data'!C16:E16)</f>
        <v>31561.895718661261</v>
      </c>
      <c r="C13" s="756">
        <f>B13-$AC$4*B13-IF($G$4="Include",G13,0)-IF($J$4="Include",J13,0)-IF($M$4="Include",M13,0)-IF($P$4="Include",P13,0)-MAX(IF($S$4="Include",S13,0),SUM(IF($V$4="Include",V13,0),IF($Y$4="Include",Y13,0)))</f>
        <v>11555.30181883652</v>
      </c>
      <c r="D13" s="69">
        <f t="shared" si="0"/>
        <v>0.36611558196120464</v>
      </c>
      <c r="E13" s="7">
        <v>2017</v>
      </c>
      <c r="F13" s="7"/>
      <c r="G13" s="35">
        <v>1283.8830905767682</v>
      </c>
      <c r="H13" s="26">
        <f t="shared" si="1"/>
        <v>4.0678262865486259E-2</v>
      </c>
      <c r="I13" s="2"/>
      <c r="J13" s="35">
        <v>762.66931504036984</v>
      </c>
      <c r="K13" s="26">
        <f t="shared" si="2"/>
        <v>2.4164242916164081E-2</v>
      </c>
      <c r="L13" s="24"/>
      <c r="M13" s="35">
        <v>282.45198637887916</v>
      </c>
      <c r="N13" s="26">
        <f t="shared" si="3"/>
        <v>8.9491451621480662E-3</v>
      </c>
      <c r="O13" s="24"/>
      <c r="P13" s="25">
        <v>9673.9796628489603</v>
      </c>
      <c r="Q13" s="26">
        <f t="shared" si="4"/>
        <v>0.30650819421880071</v>
      </c>
      <c r="R13" s="24"/>
      <c r="S13" s="19">
        <f>'Private Car Analysis &amp; Split'!P14</f>
        <v>3422.7338233785767</v>
      </c>
      <c r="T13" s="26">
        <f t="shared" si="5"/>
        <v>0.10844512807115239</v>
      </c>
      <c r="U13" s="24"/>
      <c r="V13" s="19">
        <f>'Private Car Analysis &amp; Split'!X14</f>
        <v>131.95208075345909</v>
      </c>
      <c r="W13" s="26">
        <f t="shared" si="6"/>
        <v>4.1807400268242196E-3</v>
      </c>
      <c r="X13" s="24"/>
      <c r="Y13" s="19">
        <f>'Private Car Analysis &amp; Split'!AA14</f>
        <v>190.4373287900319</v>
      </c>
      <c r="Z13" s="26">
        <f t="shared" si="7"/>
        <v>6.0337734617580043E-3</v>
      </c>
      <c r="AC13" s="100"/>
      <c r="AD13" s="13"/>
      <c r="AE13" s="13"/>
      <c r="AF13" s="806">
        <f t="shared" si="9"/>
        <v>9673.9796628489603</v>
      </c>
      <c r="AG13" s="807">
        <v>9673979662848.9609</v>
      </c>
    </row>
    <row r="14" spans="1:33" ht="14.4" x14ac:dyDescent="0.3">
      <c r="B14" s="19">
        <f>AVERAGE('Passenger TAM Data'!C17:E17)</f>
        <v>32602.325167364055</v>
      </c>
      <c r="C14" s="756">
        <f t="shared" si="8"/>
        <v>12280.709949182476</v>
      </c>
      <c r="D14" s="69">
        <f t="shared" si="0"/>
        <v>0.3766820276204057</v>
      </c>
      <c r="E14" s="7">
        <v>2018</v>
      </c>
      <c r="F14" s="7"/>
      <c r="G14" s="35">
        <v>1334.0000000000146</v>
      </c>
      <c r="H14" s="26">
        <f t="shared" si="1"/>
        <v>4.0917327005111595E-2</v>
      </c>
      <c r="I14" s="2"/>
      <c r="J14" s="35">
        <v>779.00000000000364</v>
      </c>
      <c r="K14" s="26">
        <f t="shared" si="2"/>
        <v>2.3894001302085254E-2</v>
      </c>
      <c r="L14" s="24"/>
      <c r="M14" s="35">
        <v>288.5</v>
      </c>
      <c r="N14" s="26">
        <f t="shared" si="3"/>
        <v>8.8490620996810841E-3</v>
      </c>
      <c r="O14" s="24"/>
      <c r="P14" s="25">
        <v>9673.0101265840403</v>
      </c>
      <c r="Q14" s="26">
        <f t="shared" si="4"/>
        <v>0.29669694038470068</v>
      </c>
      <c r="R14" s="24"/>
      <c r="S14" s="19">
        <f>'Private Car Analysis &amp; Split'!P15</f>
        <v>3515.2217174527982</v>
      </c>
      <c r="T14" s="26">
        <f t="shared" si="5"/>
        <v>0.10782119678297193</v>
      </c>
      <c r="U14" s="24"/>
      <c r="V14" s="19">
        <f>'Private Car Analysis &amp; Split'!X15</f>
        <v>137.13977670585155</v>
      </c>
      <c r="W14" s="26">
        <f t="shared" si="6"/>
        <v>4.2064415958630074E-3</v>
      </c>
      <c r="X14" s="24"/>
      <c r="Y14" s="19">
        <f>'Private Car Analysis &amp; Split'!AA15</f>
        <v>250.04680519677979</v>
      </c>
      <c r="Z14" s="26">
        <f t="shared" si="7"/>
        <v>7.669600370929508E-3</v>
      </c>
      <c r="AC14" s="100"/>
      <c r="AD14" s="13"/>
      <c r="AE14" s="13"/>
      <c r="AF14" s="806">
        <f t="shared" si="9"/>
        <v>9673.0101265840403</v>
      </c>
      <c r="AG14" s="807">
        <v>9673010126584.041</v>
      </c>
    </row>
    <row r="15" spans="1:33" ht="14.4" x14ac:dyDescent="0.3">
      <c r="B15" s="19">
        <f>AVERAGE('Passenger TAM Data'!C18:E18)</f>
        <v>33644.353306078112</v>
      </c>
      <c r="C15" s="756">
        <f t="shared" si="8"/>
        <v>11470.78641445364</v>
      </c>
      <c r="D15" s="69">
        <f t="shared" si="0"/>
        <v>0.34094239559603462</v>
      </c>
      <c r="E15" s="7">
        <v>2019</v>
      </c>
      <c r="F15" s="7"/>
      <c r="G15" s="35">
        <v>1789.1845753406917</v>
      </c>
      <c r="H15" s="26">
        <f t="shared" si="1"/>
        <v>5.3179342133987804E-2</v>
      </c>
      <c r="I15" s="2"/>
      <c r="J15" s="35">
        <v>795.33068495963744</v>
      </c>
      <c r="K15" s="26">
        <f t="shared" si="2"/>
        <v>2.3639351237461734E-2</v>
      </c>
      <c r="L15" s="24"/>
      <c r="M15" s="35">
        <v>362.13070704827555</v>
      </c>
      <c r="N15" s="26">
        <f t="shared" si="3"/>
        <v>1.0763491387508817E-2</v>
      </c>
      <c r="O15" s="24"/>
      <c r="P15" s="25">
        <v>9708.1710089633289</v>
      </c>
      <c r="Q15" s="26">
        <f t="shared" si="4"/>
        <v>0.28855276012124964</v>
      </c>
      <c r="R15" s="24"/>
      <c r="S15" s="19">
        <f>'Private Car Analysis &amp; Split'!P16</f>
        <v>4635.6271556436213</v>
      </c>
      <c r="T15" s="26">
        <f t="shared" si="5"/>
        <v>0.13778321471871358</v>
      </c>
      <c r="U15" s="24"/>
      <c r="V15" s="19">
        <f>'Private Car Analysis &amp; Split'!X16</f>
        <v>180.48254382929443</v>
      </c>
      <c r="W15" s="26">
        <f t="shared" si="6"/>
        <v>5.3644230337067849E-3</v>
      </c>
      <c r="X15" s="24"/>
      <c r="Y15" s="19">
        <f>'Private Car Analysis &amp; Split'!AA16</f>
        <v>292.09634748581766</v>
      </c>
      <c r="Z15" s="26">
        <f t="shared" si="7"/>
        <v>8.681883251804046E-3</v>
      </c>
      <c r="AC15" s="100"/>
      <c r="AD15" s="13"/>
      <c r="AE15" s="99"/>
      <c r="AF15" s="806">
        <f t="shared" si="9"/>
        <v>9708.1710089633289</v>
      </c>
      <c r="AG15" s="807">
        <v>9708171008963.3281</v>
      </c>
    </row>
    <row r="16" spans="1:33" s="99" customFormat="1" ht="14.4" x14ac:dyDescent="0.3">
      <c r="A16" s="30"/>
      <c r="B16" s="19">
        <f>AVERAGE('Passenger TAM Data'!C19:E19)</f>
        <v>34697.510647161849</v>
      </c>
      <c r="C16" s="756">
        <f t="shared" si="8"/>
        <v>11804.726791802204</v>
      </c>
      <c r="D16" s="69">
        <f t="shared" si="0"/>
        <v>0.34021826268299726</v>
      </c>
      <c r="E16" s="33">
        <v>2020</v>
      </c>
      <c r="F16" s="33"/>
      <c r="G16" s="35">
        <v>1866.7293434570781</v>
      </c>
      <c r="H16" s="26">
        <f t="shared" si="1"/>
        <v>5.3800094261510688E-2</v>
      </c>
      <c r="I16" s="30"/>
      <c r="J16" s="35">
        <v>1006.38032019518</v>
      </c>
      <c r="K16" s="26">
        <f t="shared" si="2"/>
        <v>2.9004395457329413E-2</v>
      </c>
      <c r="L16" s="34"/>
      <c r="M16" s="35">
        <v>397.91276270432559</v>
      </c>
      <c r="N16" s="26">
        <f t="shared" si="3"/>
        <v>1.1468049300443796E-2</v>
      </c>
      <c r="O16" s="34"/>
      <c r="P16" s="25">
        <v>9749.4862370388182</v>
      </c>
      <c r="Q16" s="26">
        <f t="shared" si="4"/>
        <v>0.28098517891329755</v>
      </c>
      <c r="R16" s="34"/>
      <c r="S16" s="19">
        <f>'Private Car Analysis &amp; Split'!P17</f>
        <v>4836.297760518074</v>
      </c>
      <c r="T16" s="26">
        <f t="shared" si="5"/>
        <v>0.13938457457937745</v>
      </c>
      <c r="U16" s="34"/>
      <c r="V16" s="19">
        <f>'Private Car Analysis &amp; Split'!X17</f>
        <v>257.48953831087636</v>
      </c>
      <c r="W16" s="26">
        <f t="shared" si="6"/>
        <v>7.4209801656747445E-3</v>
      </c>
      <c r="X16" s="34"/>
      <c r="Y16" s="19">
        <f>'Private Car Analysis &amp; Split'!AA17</f>
        <v>330.18197511065273</v>
      </c>
      <c r="Z16" s="26">
        <f t="shared" si="7"/>
        <v>9.516013366730117E-3</v>
      </c>
      <c r="AA16" s="30"/>
      <c r="AC16" s="100"/>
      <c r="AD16" s="13"/>
      <c r="AF16" s="806">
        <f t="shared" si="9"/>
        <v>9749.4862370388182</v>
      </c>
      <c r="AG16" s="807">
        <v>9749486237038.8184</v>
      </c>
    </row>
    <row r="17" spans="2:33" ht="14.4" x14ac:dyDescent="0.3">
      <c r="B17" s="19">
        <f>AVERAGE('Passenger TAM Data'!C20:E20)</f>
        <v>35718.895175557307</v>
      </c>
      <c r="C17" s="756">
        <f t="shared" si="8"/>
        <v>12236.512936244646</v>
      </c>
      <c r="D17" s="69">
        <f t="shared" si="0"/>
        <v>0.34257814739516856</v>
      </c>
      <c r="E17" s="7">
        <v>2021</v>
      </c>
      <c r="F17" s="7"/>
      <c r="G17" s="35">
        <v>1942.8447401700732</v>
      </c>
      <c r="H17" s="26">
        <f t="shared" si="1"/>
        <v>5.4392632544233217E-2</v>
      </c>
      <c r="I17" s="2"/>
      <c r="J17" s="35">
        <v>1043.878869343609</v>
      </c>
      <c r="K17" s="26">
        <f t="shared" si="2"/>
        <v>2.9224836440572291E-2</v>
      </c>
      <c r="L17" s="24"/>
      <c r="M17" s="35">
        <v>433.17017925671087</v>
      </c>
      <c r="N17" s="26">
        <f t="shared" si="3"/>
        <v>1.2127199823166207E-2</v>
      </c>
      <c r="O17" s="24"/>
      <c r="P17" s="25">
        <v>9796.407752946423</v>
      </c>
      <c r="Q17" s="26">
        <f t="shared" si="4"/>
        <v>0.27426401922000582</v>
      </c>
      <c r="R17" s="24"/>
      <c r="S17" s="19">
        <f>'Private Car Analysis &amp; Split'!P18</f>
        <v>5081.8600827658993</v>
      </c>
      <c r="T17" s="26">
        <f t="shared" si="5"/>
        <v>0.14227371977181008</v>
      </c>
      <c r="U17" s="24"/>
      <c r="V17" s="19">
        <f>'Private Car Analysis &amp; Split'!X18</f>
        <v>333.18657752818729</v>
      </c>
      <c r="W17" s="26">
        <f t="shared" si="6"/>
        <v>9.3280202506428374E-3</v>
      </c>
      <c r="X17" s="24"/>
      <c r="Y17" s="19">
        <f>'Private Car Analysis &amp; Split'!AA18</f>
        <v>364.68351192694064</v>
      </c>
      <c r="Z17" s="26">
        <f t="shared" si="7"/>
        <v>1.0209820604319703E-2</v>
      </c>
      <c r="AC17" s="100"/>
      <c r="AD17" s="13"/>
      <c r="AE17" s="68"/>
      <c r="AF17" s="806">
        <f t="shared" si="9"/>
        <v>9796.407752946423</v>
      </c>
      <c r="AG17" s="807">
        <v>9796407752946.4238</v>
      </c>
    </row>
    <row r="18" spans="2:33" ht="14.4" x14ac:dyDescent="0.3">
      <c r="B18" s="19">
        <f>AVERAGE('Passenger TAM Data'!C21:E21)</f>
        <v>36748.653520328357</v>
      </c>
      <c r="C18" s="756">
        <f t="shared" si="8"/>
        <v>12538.478519282897</v>
      </c>
      <c r="D18" s="69">
        <f t="shared" si="0"/>
        <v>0.34119558999207822</v>
      </c>
      <c r="E18" s="7">
        <v>2022</v>
      </c>
      <c r="F18" s="7"/>
      <c r="G18" s="35">
        <v>2017.504254867988</v>
      </c>
      <c r="H18" s="26">
        <f t="shared" si="1"/>
        <v>5.4900086441315721E-2</v>
      </c>
      <c r="I18" s="2"/>
      <c r="J18" s="35">
        <v>1081.430076094</v>
      </c>
      <c r="K18" s="26">
        <f t="shared" si="2"/>
        <v>2.9427746937606362E-2</v>
      </c>
      <c r="L18" s="24"/>
      <c r="M18" s="35">
        <v>467.95105911373423</v>
      </c>
      <c r="N18" s="26">
        <f t="shared" si="3"/>
        <v>1.2733828706264745E-2</v>
      </c>
      <c r="O18" s="24"/>
      <c r="P18" s="25">
        <v>10031.423214218497</v>
      </c>
      <c r="Q18" s="26">
        <f t="shared" si="4"/>
        <v>0.27297389844962311</v>
      </c>
      <c r="R18" s="24"/>
      <c r="S18" s="19">
        <f>'Private Car Analysis &amp; Split'!P19</f>
        <v>5278.1872274778689</v>
      </c>
      <c r="T18" s="26">
        <f t="shared" si="5"/>
        <v>0.14362940466806814</v>
      </c>
      <c r="U18" s="24"/>
      <c r="V18" s="19">
        <f>'Private Car Analysis &amp; Split'!X19</f>
        <v>414.49506488115765</v>
      </c>
      <c r="W18" s="26">
        <f t="shared" si="6"/>
        <v>1.1279190532841434E-2</v>
      </c>
      <c r="X18" s="24"/>
      <c r="Y18" s="19">
        <f>'Private Car Analysis &amp; Split'!AA19</f>
        <v>395.98078179033718</v>
      </c>
      <c r="Z18" s="26">
        <f t="shared" si="7"/>
        <v>1.0775382057775024E-2</v>
      </c>
      <c r="AC18" s="100"/>
      <c r="AD18" s="13"/>
      <c r="AE18" s="13"/>
      <c r="AF18" s="806">
        <f t="shared" si="9"/>
        <v>11627.279466017459</v>
      </c>
      <c r="AG18" s="807">
        <v>11627279466017.459</v>
      </c>
    </row>
    <row r="19" spans="2:33" ht="14.4" x14ac:dyDescent="0.3">
      <c r="B19" s="19">
        <f>AVERAGE('Passenger TAM Data'!C22:E22)</f>
        <v>37781.871467732562</v>
      </c>
      <c r="C19" s="756">
        <f t="shared" si="8"/>
        <v>12842.173522348079</v>
      </c>
      <c r="D19" s="69">
        <f t="shared" si="0"/>
        <v>0.3399030546519084</v>
      </c>
      <c r="E19" s="7">
        <v>2023</v>
      </c>
      <c r="F19" s="7"/>
      <c r="G19" s="35">
        <v>2090.6813769391338</v>
      </c>
      <c r="H19" s="26">
        <f t="shared" si="1"/>
        <v>5.5335569566072731E-2</v>
      </c>
      <c r="I19" s="2"/>
      <c r="J19" s="35">
        <v>1119.1418645283245</v>
      </c>
      <c r="K19" s="26">
        <f t="shared" si="2"/>
        <v>2.9621133656233058E-2</v>
      </c>
      <c r="L19" s="24"/>
      <c r="M19" s="35">
        <v>502.30350468369886</v>
      </c>
      <c r="N19" s="26">
        <f t="shared" si="3"/>
        <v>1.3294828582345078E-2</v>
      </c>
      <c r="O19" s="24"/>
      <c r="P19" s="25">
        <v>10264.680320444895</v>
      </c>
      <c r="Q19" s="26">
        <f t="shared" si="4"/>
        <v>0.27168268594665562</v>
      </c>
      <c r="R19" s="24"/>
      <c r="S19" s="19">
        <f>'Private Car Analysis &amp; Split'!P20</f>
        <v>5479.251030266204</v>
      </c>
      <c r="T19" s="26">
        <f t="shared" si="5"/>
        <v>0.14502328279174137</v>
      </c>
      <c r="U19" s="24"/>
      <c r="V19" s="19">
        <f>'Private Car Analysis &amp; Split'!X20</f>
        <v>499.2386758520903</v>
      </c>
      <c r="W19" s="26">
        <f t="shared" si="6"/>
        <v>1.3213709550583349E-2</v>
      </c>
      <c r="X19" s="24"/>
      <c r="Y19" s="19">
        <f>'Private Car Analysis &amp; Split'!AA20</f>
        <v>424.45360855649824</v>
      </c>
      <c r="Z19" s="26">
        <f t="shared" si="7"/>
        <v>1.123431931949165E-2</v>
      </c>
      <c r="AC19" s="100"/>
      <c r="AD19" s="13"/>
      <c r="AE19" s="13"/>
      <c r="AF19" s="806">
        <f t="shared" si="9"/>
        <v>12012.856193915453</v>
      </c>
      <c r="AG19" s="807">
        <v>12012856193915.453</v>
      </c>
    </row>
    <row r="20" spans="2:33" ht="14.4" x14ac:dyDescent="0.3">
      <c r="B20" s="19">
        <f>AVERAGE('Passenger TAM Data'!C23:E23)</f>
        <v>38819.140722197262</v>
      </c>
      <c r="C20" s="756">
        <f t="shared" si="8"/>
        <v>13148.582956017526</v>
      </c>
      <c r="D20" s="69">
        <f t="shared" si="0"/>
        <v>0.33871391049361904</v>
      </c>
      <c r="E20" s="7">
        <v>2024</v>
      </c>
      <c r="F20" s="7"/>
      <c r="G20" s="35">
        <v>2162.3495957718228</v>
      </c>
      <c r="H20" s="26">
        <f t="shared" si="1"/>
        <v>5.5703180326589885E-2</v>
      </c>
      <c r="I20" s="2"/>
      <c r="J20" s="35">
        <v>1157.1221587285536</v>
      </c>
      <c r="K20" s="26">
        <f t="shared" si="2"/>
        <v>2.9808031223805449E-2</v>
      </c>
      <c r="L20" s="24"/>
      <c r="M20" s="35">
        <v>536.27561837490748</v>
      </c>
      <c r="N20" s="26">
        <f t="shared" si="3"/>
        <v>1.3814721511036913E-2</v>
      </c>
      <c r="O20" s="24"/>
      <c r="P20" s="25">
        <v>10495.066294597402</v>
      </c>
      <c r="Q20" s="26">
        <f t="shared" si="4"/>
        <v>0.27035802697704214</v>
      </c>
      <c r="R20" s="24"/>
      <c r="S20" s="19">
        <f>'Private Car Analysis &amp; Split'!P21</f>
        <v>5685.555566478477</v>
      </c>
      <c r="T20" s="26">
        <f t="shared" si="5"/>
        <v>0.14646268466286289</v>
      </c>
      <c r="U20" s="24"/>
      <c r="V20" s="19">
        <f>'Private Car Analysis &amp; Split'!X21</f>
        <v>585.16748519712553</v>
      </c>
      <c r="W20" s="26">
        <f t="shared" si="6"/>
        <v>1.5074199848594783E-2</v>
      </c>
      <c r="X20" s="24"/>
      <c r="Y20" s="19">
        <f>'Private Car Analysis &amp; Split'!AA21</f>
        <v>450.48181608107961</v>
      </c>
      <c r="Z20" s="26">
        <f t="shared" si="7"/>
        <v>1.1604631315898463E-2</v>
      </c>
      <c r="AC20" s="100"/>
      <c r="AD20" s="13"/>
      <c r="AE20" s="99"/>
      <c r="AF20" s="806">
        <f t="shared" si="9"/>
        <v>12419.822370408252</v>
      </c>
      <c r="AG20" s="807">
        <v>12419822370408.252</v>
      </c>
    </row>
    <row r="21" spans="2:33" ht="14.4" x14ac:dyDescent="0.3">
      <c r="B21" s="19">
        <f>AVERAGE('Passenger TAM Data'!C24:E24)</f>
        <v>39854.069973673031</v>
      </c>
      <c r="C21" s="756">
        <f t="shared" si="8"/>
        <v>13442.114090854635</v>
      </c>
      <c r="D21" s="69">
        <f t="shared" si="0"/>
        <v>0.33728334646208741</v>
      </c>
      <c r="E21" s="7">
        <v>2025</v>
      </c>
      <c r="F21" s="7"/>
      <c r="G21" s="35">
        <v>2232.4824007543657</v>
      </c>
      <c r="H21" s="26">
        <f t="shared" si="1"/>
        <v>5.6016421967169432E-2</v>
      </c>
      <c r="I21" s="2"/>
      <c r="J21" s="35">
        <v>1195.4788827766595</v>
      </c>
      <c r="K21" s="26">
        <f t="shared" si="2"/>
        <v>2.9996406479096713E-2</v>
      </c>
      <c r="L21" s="24"/>
      <c r="M21" s="35">
        <v>569.91550259566338</v>
      </c>
      <c r="N21" s="26">
        <f t="shared" si="3"/>
        <v>1.4300057760026531E-2</v>
      </c>
      <c r="O21" s="24"/>
      <c r="P21" s="25">
        <v>10739.316905880976</v>
      </c>
      <c r="Q21" s="26">
        <f t="shared" si="4"/>
        <v>0.26946600216678496</v>
      </c>
      <c r="R21" s="24"/>
      <c r="S21" s="19">
        <f>'Private Car Analysis &amp; Split'!P22</f>
        <v>5890.3646016104594</v>
      </c>
      <c r="T21" s="26">
        <f t="shared" si="5"/>
        <v>0.14779832035979112</v>
      </c>
      <c r="U21" s="24"/>
      <c r="V21" s="19">
        <f>'Private Car Analysis &amp; Split'!X22</f>
        <v>669.95796694624107</v>
      </c>
      <c r="W21" s="26">
        <f t="shared" si="6"/>
        <v>1.6810277278802511E-2</v>
      </c>
      <c r="X21" s="24"/>
      <c r="Y21" s="19">
        <f>'Private Car Analysis &amp; Split'!AA22</f>
        <v>474.44522821973715</v>
      </c>
      <c r="Z21" s="26">
        <f t="shared" si="7"/>
        <v>1.1904561529930273E-2</v>
      </c>
      <c r="AC21" s="100"/>
      <c r="AD21" s="13"/>
      <c r="AE21" s="13"/>
      <c r="AF21" s="806">
        <f t="shared" si="9"/>
        <v>12846.718481387034</v>
      </c>
      <c r="AG21" s="807">
        <v>12846718481387.033</v>
      </c>
    </row>
    <row r="22" spans="2:33" ht="14.4" x14ac:dyDescent="0.3">
      <c r="B22" s="19">
        <f>AVERAGE('Passenger TAM Data'!C25:E25)</f>
        <v>40909.376553962953</v>
      </c>
      <c r="C22" s="756">
        <f t="shared" si="8"/>
        <v>13770.130637173883</v>
      </c>
      <c r="D22" s="69">
        <f t="shared" si="0"/>
        <v>0.33660084306124555</v>
      </c>
      <c r="E22" s="7">
        <v>2026</v>
      </c>
      <c r="F22" s="7"/>
      <c r="G22" s="35">
        <v>2301.0532812750735</v>
      </c>
      <c r="H22" s="26">
        <f t="shared" si="1"/>
        <v>5.6247576353059013E-2</v>
      </c>
      <c r="I22" s="2"/>
      <c r="J22" s="35">
        <v>1234.3199607546132</v>
      </c>
      <c r="K22" s="26">
        <f t="shared" si="2"/>
        <v>3.0172055033066567E-2</v>
      </c>
      <c r="L22" s="24"/>
      <c r="M22" s="35">
        <v>603.27125975426929</v>
      </c>
      <c r="N22" s="26">
        <f t="shared" si="3"/>
        <v>1.4746527827391921E-2</v>
      </c>
      <c r="O22" s="24"/>
      <c r="P22" s="25">
        <v>10948.502671781849</v>
      </c>
      <c r="Q22" s="26">
        <f t="shared" si="4"/>
        <v>0.26762819661501908</v>
      </c>
      <c r="R22" s="24"/>
      <c r="S22" s="19">
        <f>'Private Car Analysis &amp; Split'!P23</f>
        <v>6114.5345428606097</v>
      </c>
      <c r="T22" s="26">
        <f t="shared" si="5"/>
        <v>0.14946535630517413</v>
      </c>
      <c r="U22" s="24"/>
      <c r="V22" s="19">
        <f>'Private Car Analysis &amp; Split'!X23</f>
        <v>751.2129944032522</v>
      </c>
      <c r="W22" s="26">
        <f t="shared" si="6"/>
        <v>1.8362856090274028E-2</v>
      </c>
      <c r="X22" s="24"/>
      <c r="Y22" s="19">
        <f>'Private Car Analysis &amp; Split'!AA23</f>
        <v>496.72366882812673</v>
      </c>
      <c r="Z22" s="26">
        <f t="shared" si="7"/>
        <v>1.2142049345897655E-2</v>
      </c>
      <c r="AC22" s="100"/>
      <c r="AD22" s="13"/>
      <c r="AE22" s="68"/>
      <c r="AF22" s="806">
        <f t="shared" si="9"/>
        <v>13292.04438006793</v>
      </c>
      <c r="AG22" s="807">
        <v>13292044380067.93</v>
      </c>
    </row>
    <row r="23" spans="2:33" ht="14.4" x14ac:dyDescent="0.3">
      <c r="B23" s="19">
        <f>AVERAGE('Passenger TAM Data'!C26:E26)</f>
        <v>41965.332801393772</v>
      </c>
      <c r="C23" s="756">
        <f t="shared" si="8"/>
        <v>14086.271072972628</v>
      </c>
      <c r="D23" s="69">
        <f t="shared" si="0"/>
        <v>0.33566446713618792</v>
      </c>
      <c r="E23" s="7">
        <v>2027</v>
      </c>
      <c r="F23" s="7"/>
      <c r="G23" s="35">
        <v>2368.0357267222585</v>
      </c>
      <c r="H23" s="26">
        <f t="shared" si="1"/>
        <v>5.6428379537207203E-2</v>
      </c>
      <c r="I23" s="2"/>
      <c r="J23" s="35">
        <v>1273.7533167443867</v>
      </c>
      <c r="K23" s="26">
        <f t="shared" si="2"/>
        <v>3.0352513174924284E-2</v>
      </c>
      <c r="L23" s="24"/>
      <c r="M23" s="35">
        <v>636.39099225902828</v>
      </c>
      <c r="N23" s="26">
        <f t="shared" si="3"/>
        <v>1.5164683556087327E-2</v>
      </c>
      <c r="O23" s="24"/>
      <c r="P23" s="25">
        <v>11172.19198736434</v>
      </c>
      <c r="Q23" s="26">
        <f t="shared" si="4"/>
        <v>0.26622431520412687</v>
      </c>
      <c r="R23" s="24"/>
      <c r="S23" s="19">
        <f>'Private Car Analysis &amp; Split'!P24</f>
        <v>6337.8646014779479</v>
      </c>
      <c r="T23" s="26">
        <f t="shared" si="5"/>
        <v>0.15102619658642269</v>
      </c>
      <c r="U23" s="24"/>
      <c r="V23" s="19">
        <f>'Private Car Analysis &amp; Split'!X24</f>
        <v>890.03582784933576</v>
      </c>
      <c r="W23" s="26">
        <f t="shared" si="6"/>
        <v>2.1208835208374077E-2</v>
      </c>
      <c r="X23" s="24"/>
      <c r="Y23" s="19">
        <f>'Private Car Analysis &amp; Split'!AA24</f>
        <v>517.69696176190382</v>
      </c>
      <c r="Z23" s="26">
        <f t="shared" si="7"/>
        <v>1.2336300636813008E-2</v>
      </c>
      <c r="AC23" s="100"/>
      <c r="AD23" s="13"/>
      <c r="AE23" s="13"/>
      <c r="AF23" s="806">
        <f t="shared" si="9"/>
        <v>13754.283705936179</v>
      </c>
      <c r="AG23" s="807">
        <v>13754283705936.18</v>
      </c>
    </row>
    <row r="24" spans="2:33" ht="14.4" x14ac:dyDescent="0.3">
      <c r="B24" s="19">
        <f>AVERAGE('Passenger TAM Data'!C27:E27)</f>
        <v>43030.378640550611</v>
      </c>
      <c r="C24" s="756">
        <f t="shared" si="8"/>
        <v>14406.566031338321</v>
      </c>
      <c r="D24" s="69">
        <f t="shared" si="0"/>
        <v>0.33479988990294363</v>
      </c>
      <c r="E24" s="7">
        <v>2028</v>
      </c>
      <c r="F24" s="7"/>
      <c r="G24" s="35">
        <v>2433.4032264842317</v>
      </c>
      <c r="H24" s="26">
        <f t="shared" si="1"/>
        <v>5.6550820684414367E-2</v>
      </c>
      <c r="I24" s="2"/>
      <c r="J24" s="35">
        <v>1313.886874827951</v>
      </c>
      <c r="K24" s="26">
        <f t="shared" si="2"/>
        <v>3.0533937100655238E-2</v>
      </c>
      <c r="L24" s="24"/>
      <c r="M24" s="35">
        <v>669.32280251824341</v>
      </c>
      <c r="N24" s="26">
        <f t="shared" si="3"/>
        <v>1.5554657515550945E-2</v>
      </c>
      <c r="O24" s="24"/>
      <c r="P24" s="25">
        <v>11394.287995974042</v>
      </c>
      <c r="Q24" s="26">
        <f t="shared" si="4"/>
        <v>0.26479636842508253</v>
      </c>
      <c r="R24" s="24"/>
      <c r="S24" s="19">
        <f>'Private Car Analysis &amp; Split'!P25</f>
        <v>6567.5064437674937</v>
      </c>
      <c r="T24" s="26">
        <f t="shared" si="5"/>
        <v>0.15262488156630957</v>
      </c>
      <c r="U24" s="24"/>
      <c r="V24" s="19">
        <f>'Private Car Analysis &amp; Split'!X25</f>
        <v>1042.0202053629775</v>
      </c>
      <c r="W24" s="26">
        <f t="shared" si="6"/>
        <v>2.4215919968247901E-2</v>
      </c>
      <c r="X24" s="24"/>
      <c r="Y24" s="19">
        <f>'Private Car Analysis &amp; Split'!AA25</f>
        <v>537.74493087672465</v>
      </c>
      <c r="Z24" s="26">
        <f t="shared" si="7"/>
        <v>1.2496867279944616E-2</v>
      </c>
      <c r="AC24" s="100"/>
      <c r="AD24" s="13"/>
      <c r="AE24" s="13"/>
      <c r="AF24" s="806">
        <f t="shared" si="9"/>
        <v>14231.948039200684</v>
      </c>
      <c r="AG24" s="807">
        <v>14231948039200.684</v>
      </c>
    </row>
    <row r="25" spans="2:33" ht="14.4" x14ac:dyDescent="0.3">
      <c r="B25" s="19">
        <f>AVERAGE('Passenger TAM Data'!C28:E28)</f>
        <v>44105.840131241697</v>
      </c>
      <c r="C25" s="756">
        <f t="shared" si="8"/>
        <v>14731.395528464927</v>
      </c>
      <c r="D25" s="69">
        <f t="shared" si="0"/>
        <v>0.33400101856420977</v>
      </c>
      <c r="E25" s="7">
        <v>2029</v>
      </c>
      <c r="F25" s="7"/>
      <c r="G25" s="35">
        <v>2497.1292699493042</v>
      </c>
      <c r="H25" s="26">
        <f t="shared" si="1"/>
        <v>5.66167487688439E-2</v>
      </c>
      <c r="I25" s="2"/>
      <c r="J25" s="35">
        <v>1354.8285590872783</v>
      </c>
      <c r="K25" s="26">
        <f t="shared" si="2"/>
        <v>3.0717668115057765E-2</v>
      </c>
      <c r="L25" s="24"/>
      <c r="M25" s="35">
        <v>702.1147929402174</v>
      </c>
      <c r="N25" s="26">
        <f t="shared" si="3"/>
        <v>1.5918862237993856E-2</v>
      </c>
      <c r="O25" s="24"/>
      <c r="P25" s="25">
        <v>11615.110153886235</v>
      </c>
      <c r="Q25" s="26">
        <f t="shared" si="4"/>
        <v>0.26334630786590207</v>
      </c>
      <c r="R25" s="24"/>
      <c r="S25" s="19">
        <f>'Private Car Analysis &amp; Split'!P26</f>
        <v>6803.7646776053007</v>
      </c>
      <c r="T25" s="26">
        <f t="shared" si="5"/>
        <v>0.15425994964294895</v>
      </c>
      <c r="U25" s="24"/>
      <c r="V25" s="19">
        <f>'Private Car Analysis &amp; Split'!X26</f>
        <v>1207.4237294857471</v>
      </c>
      <c r="W25" s="26">
        <f t="shared" si="6"/>
        <v>2.737559756016272E-2</v>
      </c>
      <c r="X25" s="24"/>
      <c r="Y25" s="19">
        <f>'Private Car Analysis &amp; Split'!AA26</f>
        <v>557.24740002824478</v>
      </c>
      <c r="Z25" s="26">
        <f t="shared" si="7"/>
        <v>1.2634322311287912E-2</v>
      </c>
      <c r="AC25" s="100"/>
      <c r="AD25" s="13"/>
      <c r="AE25" s="99"/>
      <c r="AF25" s="806">
        <f t="shared" si="9"/>
        <v>14723.552686713268</v>
      </c>
      <c r="AG25" s="807">
        <v>14723552686713.268</v>
      </c>
    </row>
    <row r="26" spans="2:33" ht="14.4" x14ac:dyDescent="0.3">
      <c r="B26" s="19">
        <f>AVERAGE('Passenger TAM Data'!C29:E29)</f>
        <v>45179.177847550411</v>
      </c>
      <c r="C26" s="756">
        <f t="shared" si="8"/>
        <v>15040.843510856157</v>
      </c>
      <c r="D26" s="69">
        <f t="shared" si="0"/>
        <v>0.33291538773921409</v>
      </c>
      <c r="E26" s="7">
        <v>2030</v>
      </c>
      <c r="F26" s="7"/>
      <c r="G26" s="35">
        <v>2559.1873465057874</v>
      </c>
      <c r="H26" s="26">
        <f t="shared" si="1"/>
        <v>5.6645283699967665E-2</v>
      </c>
      <c r="I26" s="2"/>
      <c r="J26" s="35">
        <v>1396.6862936043399</v>
      </c>
      <c r="K26" s="26">
        <f t="shared" si="2"/>
        <v>3.0914380476714836E-2</v>
      </c>
      <c r="L26" s="24"/>
      <c r="M26" s="35">
        <v>734.81506593325344</v>
      </c>
      <c r="N26" s="26">
        <f t="shared" si="3"/>
        <v>1.6264462988077474E-2</v>
      </c>
      <c r="O26" s="24"/>
      <c r="P26" s="25">
        <v>11852.905950708493</v>
      </c>
      <c r="Q26" s="26">
        <f t="shared" si="4"/>
        <v>0.26235329006437752</v>
      </c>
      <c r="R26" s="24"/>
      <c r="S26" s="19">
        <f>'Private Car Analysis &amp; Split'!P27</f>
        <v>7037.4588904005795</v>
      </c>
      <c r="T26" s="26">
        <f t="shared" si="5"/>
        <v>0.15576775022660458</v>
      </c>
      <c r="U26" s="24"/>
      <c r="V26" s="19">
        <f>'Private Car Analysis &amp; Split'!X27</f>
        <v>1386.5040027592129</v>
      </c>
      <c r="W26" s="26">
        <f t="shared" si="6"/>
        <v>3.0689004732174167E-2</v>
      </c>
      <c r="X26" s="24"/>
      <c r="Y26" s="19">
        <f>'Private Car Analysis &amp; Split'!AA27</f>
        <v>576.58419307212</v>
      </c>
      <c r="Z26" s="26">
        <f t="shared" si="7"/>
        <v>1.2762166567477324E-2</v>
      </c>
      <c r="AC26" s="100"/>
      <c r="AD26" s="13"/>
      <c r="AE26" s="13"/>
      <c r="AF26" s="806">
        <f t="shared" si="9"/>
        <v>15227.611873723567</v>
      </c>
      <c r="AG26" s="807">
        <v>15227611873723.566</v>
      </c>
    </row>
    <row r="27" spans="2:33" ht="14.4" x14ac:dyDescent="0.3">
      <c r="B27" s="19">
        <f>AVERAGE('Passenger TAM Data'!C30:E30)</f>
        <v>46293.203311531608</v>
      </c>
      <c r="C27" s="756">
        <f t="shared" si="8"/>
        <v>15396.075320004846</v>
      </c>
      <c r="D27" s="69">
        <f t="shared" si="0"/>
        <v>0.33257744590272698</v>
      </c>
      <c r="E27" s="7">
        <v>2031</v>
      </c>
      <c r="F27" s="7"/>
      <c r="G27" s="35">
        <v>2619.5509455419933</v>
      </c>
      <c r="H27" s="26">
        <f t="shared" si="1"/>
        <v>5.6586080853244063E-2</v>
      </c>
      <c r="I27" s="2"/>
      <c r="J27" s="35">
        <v>1439.5680024611074</v>
      </c>
      <c r="K27" s="26">
        <f t="shared" si="2"/>
        <v>3.1096746379236019E-2</v>
      </c>
      <c r="L27" s="24"/>
      <c r="M27" s="35">
        <v>767.47172390565447</v>
      </c>
      <c r="N27" s="26">
        <f t="shared" si="3"/>
        <v>1.6578496820384814E-2</v>
      </c>
      <c r="O27" s="24"/>
      <c r="P27" s="25">
        <v>12054.21074271918</v>
      </c>
      <c r="Q27" s="26">
        <f t="shared" si="4"/>
        <v>0.26038834819012158</v>
      </c>
      <c r="R27" s="24"/>
      <c r="S27" s="19">
        <f>'Private Car Analysis &amp; Split'!P28</f>
        <v>7297.3567500161116</v>
      </c>
      <c r="T27" s="26">
        <f t="shared" si="5"/>
        <v>0.15763343704924271</v>
      </c>
      <c r="U27" s="24"/>
      <c r="V27" s="19">
        <f>'Private Car Analysis &amp; Split'!X28</f>
        <v>1579.5186277249447</v>
      </c>
      <c r="W27" s="26">
        <f t="shared" si="6"/>
        <v>3.4119881855993482E-2</v>
      </c>
      <c r="X27" s="24"/>
      <c r="Y27" s="19">
        <f>'Private Car Analysis &amp; Split'!AA28</f>
        <v>596.13513386400621</v>
      </c>
      <c r="Z27" s="26">
        <f t="shared" si="7"/>
        <v>1.2877379209476941E-2</v>
      </c>
      <c r="AC27" s="100"/>
      <c r="AD27" s="13"/>
      <c r="AE27" s="13"/>
      <c r="AF27" s="806">
        <f t="shared" si="9"/>
        <v>15742.62973435658</v>
      </c>
      <c r="AG27" s="807">
        <v>15742629734356.58</v>
      </c>
    </row>
    <row r="28" spans="2:33" ht="14.4" x14ac:dyDescent="0.3">
      <c r="B28" s="19">
        <f>AVERAGE('Passenger TAM Data'!C31:E31)</f>
        <v>47407.816241047607</v>
      </c>
      <c r="C28" s="756">
        <f t="shared" si="8"/>
        <v>15736.681816257515</v>
      </c>
      <c r="D28" s="69">
        <f t="shared" si="0"/>
        <v>0.33194276944214229</v>
      </c>
      <c r="E28" s="7">
        <v>2032</v>
      </c>
      <c r="F28" s="7"/>
      <c r="G28" s="35">
        <v>2678.1935564462319</v>
      </c>
      <c r="H28" s="26">
        <f t="shared" si="1"/>
        <v>5.6492658147947836E-2</v>
      </c>
      <c r="I28" s="2"/>
      <c r="J28" s="35">
        <v>1483.5816097395523</v>
      </c>
      <c r="K28" s="26">
        <f t="shared" si="2"/>
        <v>3.129402970590759E-2</v>
      </c>
      <c r="L28" s="24"/>
      <c r="M28" s="35">
        <v>800.13286926572357</v>
      </c>
      <c r="N28" s="26">
        <f t="shared" si="3"/>
        <v>1.6877657160950098E-2</v>
      </c>
      <c r="O28" s="24"/>
      <c r="P28" s="25">
        <v>12273.128086190482</v>
      </c>
      <c r="Q28" s="26">
        <f t="shared" si="4"/>
        <v>0.25888406299474115</v>
      </c>
      <c r="R28" s="24"/>
      <c r="S28" s="19">
        <f>'Private Car Analysis &amp; Split'!P29</f>
        <v>7555.3541745029142</v>
      </c>
      <c r="T28" s="26">
        <f t="shared" si="5"/>
        <v>0.1593693777432672</v>
      </c>
      <c r="U28" s="24"/>
      <c r="V28" s="19">
        <f>'Private Car Analysis &amp; Split'!X29</f>
        <v>1786.7252069245108</v>
      </c>
      <c r="W28" s="26">
        <f t="shared" si="6"/>
        <v>3.7688409814951397E-2</v>
      </c>
      <c r="X28" s="24"/>
      <c r="Y28" s="19">
        <f>'Private Car Analysis &amp; Split'!AA29</f>
        <v>616.28004625955941</v>
      </c>
      <c r="Z28" s="26">
        <f t="shared" si="7"/>
        <v>1.2999545119860619E-2</v>
      </c>
      <c r="AC28" s="100"/>
      <c r="AD28" s="13"/>
      <c r="AE28" s="68"/>
      <c r="AF28" s="806">
        <f t="shared" si="9"/>
        <v>16267.112356351709</v>
      </c>
      <c r="AG28" s="807">
        <v>16267112356351.709</v>
      </c>
    </row>
    <row r="29" spans="2:33" ht="14.4" x14ac:dyDescent="0.3">
      <c r="B29" s="19">
        <f>AVERAGE('Passenger TAM Data'!C32:E32)</f>
        <v>48538.588788213543</v>
      </c>
      <c r="C29" s="756">
        <f t="shared" si="8"/>
        <v>16083.51905897838</v>
      </c>
      <c r="D29" s="69">
        <f t="shared" si="0"/>
        <v>0.33135530843624122</v>
      </c>
      <c r="E29" s="7">
        <v>2033</v>
      </c>
      <c r="F29" s="7"/>
      <c r="G29" s="35">
        <v>2735.0886686068161</v>
      </c>
      <c r="H29" s="26">
        <f t="shared" si="1"/>
        <v>5.6348747190420337E-2</v>
      </c>
      <c r="I29" s="2"/>
      <c r="J29" s="35">
        <v>1528.8350395216457</v>
      </c>
      <c r="K29" s="26">
        <f t="shared" si="2"/>
        <v>3.1497311266966366E-2</v>
      </c>
      <c r="L29" s="24"/>
      <c r="M29" s="35">
        <v>832.84660442176346</v>
      </c>
      <c r="N29" s="26">
        <f t="shared" si="3"/>
        <v>1.7158442905204543E-2</v>
      </c>
      <c r="O29" s="24"/>
      <c r="P29" s="25">
        <v>12492.049404065376</v>
      </c>
      <c r="Q29" s="26">
        <f t="shared" si="4"/>
        <v>0.25736325912917307</v>
      </c>
      <c r="R29" s="24"/>
      <c r="S29" s="19">
        <f>'Private Car Analysis &amp; Split'!P30</f>
        <v>7821.3861842779206</v>
      </c>
      <c r="T29" s="26">
        <f t="shared" si="5"/>
        <v>0.16113748626695057</v>
      </c>
      <c r="U29" s="24"/>
      <c r="V29" s="19">
        <f>'Private Car Analysis &amp; Split'!X30</f>
        <v>2008.3813428994808</v>
      </c>
      <c r="W29" s="26">
        <f t="shared" si="6"/>
        <v>4.1377003185291805E-2</v>
      </c>
      <c r="X29" s="24"/>
      <c r="Y29" s="19">
        <f>'Private Car Analysis &amp; Split'!AA30</f>
        <v>637.39875411443506</v>
      </c>
      <c r="Z29" s="26">
        <f t="shared" si="7"/>
        <v>1.3131794105007279E-2</v>
      </c>
      <c r="AC29" s="100"/>
      <c r="AD29" s="13"/>
      <c r="AE29" s="13"/>
      <c r="AF29" s="806">
        <f t="shared" si="9"/>
        <v>16799.579305227424</v>
      </c>
      <c r="AG29" s="807">
        <v>16799579305227.424</v>
      </c>
    </row>
    <row r="30" spans="2:33" ht="14.4" x14ac:dyDescent="0.3">
      <c r="B30" s="19">
        <f>AVERAGE('Passenger TAM Data'!C33:E33)</f>
        <v>49687.414462031556</v>
      </c>
      <c r="C30" s="756">
        <f t="shared" si="8"/>
        <v>16437.250392812748</v>
      </c>
      <c r="D30" s="69">
        <f t="shared" si="0"/>
        <v>0.3308131560231054</v>
      </c>
      <c r="E30" s="7">
        <v>2034</v>
      </c>
      <c r="F30" s="7"/>
      <c r="G30" s="35">
        <v>2790.2097714120569</v>
      </c>
      <c r="H30" s="26">
        <f t="shared" si="1"/>
        <v>5.615526188315121E-2</v>
      </c>
      <c r="I30" s="2"/>
      <c r="J30" s="35">
        <v>1575.43621588936</v>
      </c>
      <c r="K30" s="26">
        <f t="shared" si="2"/>
        <v>3.1706946979364832E-2</v>
      </c>
      <c r="L30" s="24"/>
      <c r="M30" s="35">
        <v>865.66103178207732</v>
      </c>
      <c r="N30" s="26">
        <f t="shared" si="3"/>
        <v>1.7422138808280491E-2</v>
      </c>
      <c r="O30" s="24"/>
      <c r="P30" s="25">
        <v>12711.294152619133</v>
      </c>
      <c r="Q30" s="26">
        <f t="shared" si="4"/>
        <v>0.25582522838519639</v>
      </c>
      <c r="R30" s="24"/>
      <c r="S30" s="19">
        <f>'Private Car Analysis &amp; Split'!P31</f>
        <v>8095.9591486988202</v>
      </c>
      <c r="T30" s="26">
        <f t="shared" si="5"/>
        <v>0.16293782311585794</v>
      </c>
      <c r="U30" s="24"/>
      <c r="V30" s="19">
        <f>'Private Car Analysis &amp; Split'!X31</f>
        <v>2244.7446381914237</v>
      </c>
      <c r="W30" s="26">
        <f t="shared" si="6"/>
        <v>4.5177328353576067E-2</v>
      </c>
      <c r="X30" s="24"/>
      <c r="Y30" s="19">
        <f>'Private Car Analysis &amp; Split'!AA31</f>
        <v>659.87108128428906</v>
      </c>
      <c r="Z30" s="26">
        <f t="shared" si="7"/>
        <v>1.3280447139959899E-2</v>
      </c>
      <c r="AC30" s="100"/>
      <c r="AD30" s="13"/>
      <c r="AE30" s="13"/>
      <c r="AF30" s="806">
        <f t="shared" si="9"/>
        <v>17338.555365861655</v>
      </c>
      <c r="AG30" s="807">
        <v>17338555365861.654</v>
      </c>
    </row>
    <row r="31" spans="2:33" ht="14.4" x14ac:dyDescent="0.3">
      <c r="B31" s="19">
        <f>AVERAGE('Passenger TAM Data'!C34:E34)</f>
        <v>50841.012954346224</v>
      </c>
      <c r="C31" s="756">
        <f t="shared" si="8"/>
        <v>16780.072079475009</v>
      </c>
      <c r="D31" s="69">
        <f t="shared" si="0"/>
        <v>0.33004991648264431</v>
      </c>
      <c r="E31" s="7">
        <v>2035</v>
      </c>
      <c r="F31" s="7"/>
      <c r="G31" s="35">
        <v>2843.5303542502652</v>
      </c>
      <c r="H31" s="26">
        <f t="shared" si="1"/>
        <v>5.5929852475671053E-2</v>
      </c>
      <c r="I31" s="2"/>
      <c r="J31" s="35">
        <v>1623.4930629246662</v>
      </c>
      <c r="K31" s="26">
        <f t="shared" si="2"/>
        <v>3.1932744227234744E-2</v>
      </c>
      <c r="L31" s="24"/>
      <c r="M31" s="35">
        <v>898.62425375496809</v>
      </c>
      <c r="N31" s="26">
        <f t="shared" si="3"/>
        <v>1.7675183902451097E-2</v>
      </c>
      <c r="O31" s="24"/>
      <c r="P31" s="25">
        <v>12945.869567029946</v>
      </c>
      <c r="Q31" s="26">
        <f t="shared" si="4"/>
        <v>0.25463437517767329</v>
      </c>
      <c r="R31" s="24"/>
      <c r="S31" s="19">
        <f>'Private Car Analysis &amp; Split'!P32</f>
        <v>8370.3872433915203</v>
      </c>
      <c r="T31" s="26">
        <f t="shared" si="5"/>
        <v>0.16463848292928168</v>
      </c>
      <c r="U31" s="24"/>
      <c r="V31" s="19">
        <f>'Private Car Analysis &amp; Split'!X32</f>
        <v>2496.0726953419085</v>
      </c>
      <c r="W31" s="26">
        <f t="shared" si="6"/>
        <v>4.9095652314860648E-2</v>
      </c>
      <c r="X31" s="24"/>
      <c r="Y31" s="19">
        <f>'Private Car Analysis &amp; Split'!AA32</f>
        <v>684.07685162477742</v>
      </c>
      <c r="Z31" s="26">
        <f t="shared" si="7"/>
        <v>1.3455216799851311E-2</v>
      </c>
      <c r="AC31" s="100"/>
      <c r="AD31" s="13"/>
      <c r="AE31" s="99"/>
      <c r="AF31" s="806">
        <f t="shared" si="9"/>
        <v>17882.559377427391</v>
      </c>
      <c r="AG31" s="807">
        <v>17882559377427.391</v>
      </c>
    </row>
    <row r="32" spans="2:33" ht="14.4" x14ac:dyDescent="0.3">
      <c r="B32" s="19">
        <f>AVERAGE('Passenger TAM Data'!C35:E35)</f>
        <v>52046.039805783817</v>
      </c>
      <c r="C32" s="756">
        <f t="shared" si="8"/>
        <v>17167.551605020526</v>
      </c>
      <c r="D32" s="69">
        <f t="shared" si="0"/>
        <v>0.32985317747677539</v>
      </c>
      <c r="E32" s="7">
        <v>2036</v>
      </c>
      <c r="F32" s="7"/>
      <c r="G32" s="35">
        <v>2895.0239065097521</v>
      </c>
      <c r="H32" s="26">
        <f t="shared" si="1"/>
        <v>5.5624287982580213E-2</v>
      </c>
      <c r="I32" s="2"/>
      <c r="J32" s="35">
        <v>1673.1135047095361</v>
      </c>
      <c r="K32" s="26">
        <f t="shared" si="2"/>
        <v>3.2146797546037401E-2</v>
      </c>
      <c r="L32" s="24"/>
      <c r="M32" s="35">
        <v>931.78437274873863</v>
      </c>
      <c r="N32" s="26">
        <f t="shared" si="3"/>
        <v>1.7903079201142032E-2</v>
      </c>
      <c r="O32" s="24"/>
      <c r="P32" s="25">
        <v>13152.031766864337</v>
      </c>
      <c r="Q32" s="26">
        <f t="shared" si="4"/>
        <v>0.25269995211821605</v>
      </c>
      <c r="R32" s="24"/>
      <c r="S32" s="19">
        <f>'Private Car Analysis &amp; Split'!P33</f>
        <v>8672.6013282182521</v>
      </c>
      <c r="T32" s="26">
        <f t="shared" si="5"/>
        <v>0.16663326087020508</v>
      </c>
      <c r="U32" s="24"/>
      <c r="V32" s="19">
        <f>'Private Car Analysis &amp; Split'!X33</f>
        <v>2762.6231168925033</v>
      </c>
      <c r="W32" s="26">
        <f t="shared" si="6"/>
        <v>5.3080371286683296E-2</v>
      </c>
      <c r="X32" s="24"/>
      <c r="Y32" s="19">
        <f>'Private Car Analysis &amp; Split'!AA33</f>
        <v>710.39588899155581</v>
      </c>
      <c r="Z32" s="26">
        <f t="shared" si="7"/>
        <v>1.3649374508463761E-2</v>
      </c>
      <c r="AC32" s="100"/>
      <c r="AD32" s="13"/>
      <c r="AE32" s="13"/>
      <c r="AF32" s="806">
        <f t="shared" si="9"/>
        <v>18430.088666374559</v>
      </c>
      <c r="AG32" s="807">
        <v>18430088666374.559</v>
      </c>
    </row>
    <row r="33" spans="1:33" ht="14.4" x14ac:dyDescent="0.3">
      <c r="B33" s="19">
        <f>AVERAGE('Passenger TAM Data'!C36:E36)</f>
        <v>53258.618900917121</v>
      </c>
      <c r="C33" s="756">
        <f t="shared" si="8"/>
        <v>17544.816190261918</v>
      </c>
      <c r="D33" s="69">
        <f t="shared" si="0"/>
        <v>0.32942679611918724</v>
      </c>
      <c r="E33" s="7">
        <v>2037</v>
      </c>
      <c r="F33" s="7"/>
      <c r="G33" s="35">
        <v>2944.6639175788296</v>
      </c>
      <c r="H33" s="26">
        <f t="shared" si="1"/>
        <v>5.5289903838045676E-2</v>
      </c>
      <c r="I33" s="2"/>
      <c r="J33" s="35">
        <v>1724.4054653259411</v>
      </c>
      <c r="K33" s="26">
        <f t="shared" si="2"/>
        <v>3.2377960617680356E-2</v>
      </c>
      <c r="L33" s="24"/>
      <c r="M33" s="35">
        <v>965.18949117169211</v>
      </c>
      <c r="N33" s="26">
        <f t="shared" si="3"/>
        <v>1.8122690957633365E-2</v>
      </c>
      <c r="O33" s="24"/>
      <c r="P33" s="25">
        <v>13374.163545106336</v>
      </c>
      <c r="Q33" s="26">
        <f t="shared" si="4"/>
        <v>0.25111735567134713</v>
      </c>
      <c r="R33" s="24"/>
      <c r="S33" s="19">
        <f>'Private Car Analysis &amp; Split'!P34</f>
        <v>8975.4539131098791</v>
      </c>
      <c r="T33" s="26">
        <f t="shared" si="5"/>
        <v>0.16852584799106235</v>
      </c>
      <c r="U33" s="24"/>
      <c r="V33" s="19">
        <f>'Private Car Analysis &amp; Split'!X34</f>
        <v>3044.6535053847788</v>
      </c>
      <c r="W33" s="26">
        <f t="shared" si="6"/>
        <v>5.7167338699658794E-2</v>
      </c>
      <c r="X33" s="24"/>
      <c r="Y33" s="19">
        <f>'Private Car Analysis &amp; Split'!AA34</f>
        <v>739.20801724028013</v>
      </c>
      <c r="Z33" s="26">
        <f t="shared" si="7"/>
        <v>1.3879594185788225E-2</v>
      </c>
      <c r="AC33" s="100"/>
      <c r="AD33" s="13"/>
      <c r="AE33" s="68"/>
      <c r="AF33" s="806">
        <f t="shared" si="9"/>
        <v>18979.636417037538</v>
      </c>
      <c r="AG33" s="807">
        <v>18979636417037.539</v>
      </c>
    </row>
    <row r="34" spans="1:33" ht="14.4" x14ac:dyDescent="0.3">
      <c r="B34" s="19">
        <f>AVERAGE('Passenger TAM Data'!C37:E37)</f>
        <v>54494.926096628529</v>
      </c>
      <c r="C34" s="756">
        <f t="shared" si="8"/>
        <v>17930.435712549021</v>
      </c>
      <c r="D34" s="69">
        <f t="shared" si="0"/>
        <v>0.32902945277428924</v>
      </c>
      <c r="E34" s="7">
        <v>2038</v>
      </c>
      <c r="F34" s="7"/>
      <c r="G34" s="35">
        <v>2992.4238768458094</v>
      </c>
      <c r="H34" s="26">
        <f t="shared" si="1"/>
        <v>5.4911972383259067E-2</v>
      </c>
      <c r="I34" s="2"/>
      <c r="J34" s="35">
        <v>1777.4768688558529</v>
      </c>
      <c r="K34" s="26">
        <f t="shared" si="2"/>
        <v>3.2617291116315894E-2</v>
      </c>
      <c r="L34" s="24"/>
      <c r="M34" s="35">
        <v>998.88771143213148</v>
      </c>
      <c r="N34" s="26">
        <f t="shared" si="3"/>
        <v>1.832992138866173E-2</v>
      </c>
      <c r="O34" s="24"/>
      <c r="P34" s="25">
        <v>13597.896579128301</v>
      </c>
      <c r="Q34" s="26">
        <f t="shared" si="4"/>
        <v>0.24952592017497149</v>
      </c>
      <c r="R34" s="24"/>
      <c r="S34" s="19">
        <f>'Private Car Analysis &amp; Split'!P35</f>
        <v>9288.4420294608608</v>
      </c>
      <c r="T34" s="26">
        <f t="shared" si="5"/>
        <v>0.17044599735745883</v>
      </c>
      <c r="U34" s="24"/>
      <c r="V34" s="19">
        <f>'Private Car Analysis &amp; Split'!X35</f>
        <v>3342.4214633603033</v>
      </c>
      <c r="W34" s="26">
        <f t="shared" si="6"/>
        <v>6.1334544383703477E-2</v>
      </c>
      <c r="X34" s="24"/>
      <c r="Y34" s="19">
        <f>'Private Car Analysis &amp; Split'!AA35</f>
        <v>770.89306022660617</v>
      </c>
      <c r="Z34" s="26">
        <f t="shared" si="7"/>
        <v>1.4146143787032302E-2</v>
      </c>
      <c r="AC34" s="100"/>
      <c r="AD34" s="13"/>
      <c r="AE34" s="13"/>
      <c r="AF34" s="806">
        <f t="shared" si="9"/>
        <v>19529.711193805098</v>
      </c>
      <c r="AG34" s="807">
        <v>19529711193805.098</v>
      </c>
    </row>
    <row r="35" spans="1:33" ht="14.4" x14ac:dyDescent="0.3">
      <c r="B35" s="19">
        <f>AVERAGE('Passenger TAM Data'!C38:E38)</f>
        <v>55755.934649449395</v>
      </c>
      <c r="C35" s="756">
        <f t="shared" si="8"/>
        <v>18324.505399975624</v>
      </c>
      <c r="D35" s="69">
        <f t="shared" si="0"/>
        <v>0.32865569405635608</v>
      </c>
      <c r="E35" s="7">
        <v>2039</v>
      </c>
      <c r="F35" s="7"/>
      <c r="G35" s="35">
        <v>3038.2772736990019</v>
      </c>
      <c r="H35" s="26">
        <f t="shared" si="1"/>
        <v>5.4492446280406955E-2</v>
      </c>
      <c r="I35" s="2"/>
      <c r="J35" s="35">
        <v>1832.4356393812427</v>
      </c>
      <c r="K35" s="26">
        <f t="shared" si="2"/>
        <v>3.2865302158455317E-2</v>
      </c>
      <c r="L35" s="24"/>
      <c r="M35" s="35">
        <v>1032.9271359383597</v>
      </c>
      <c r="N35" s="26">
        <f t="shared" si="3"/>
        <v>1.8525868904047869E-2</v>
      </c>
      <c r="O35" s="24"/>
      <c r="P35" s="25">
        <v>13823.550325205504</v>
      </c>
      <c r="Q35" s="26">
        <f t="shared" si="4"/>
        <v>0.24792966725636292</v>
      </c>
      <c r="R35" s="24"/>
      <c r="S35" s="19">
        <f>'Private Car Analysis &amp; Split'!P36</f>
        <v>9611.8534756422778</v>
      </c>
      <c r="T35" s="26">
        <f t="shared" si="5"/>
        <v>0.17239157653932716</v>
      </c>
      <c r="U35" s="24"/>
      <c r="V35" s="19">
        <f>'Private Car Analysis &amp; Split'!X36</f>
        <v>3656.1845933606455</v>
      </c>
      <c r="W35" s="26">
        <f t="shared" si="6"/>
        <v>6.5574805917037057E-2</v>
      </c>
      <c r="X35" s="24"/>
      <c r="Y35" s="19">
        <f>'Private Car Analysis &amp; Split'!AA36</f>
        <v>805.8308418061896</v>
      </c>
      <c r="Z35" s="26">
        <f t="shared" si="7"/>
        <v>1.445282635602177E-2</v>
      </c>
      <c r="AC35" s="100"/>
      <c r="AD35" s="13"/>
      <c r="AE35" s="13"/>
      <c r="AF35" s="806">
        <f t="shared" si="9"/>
        <v>20078.822415895214</v>
      </c>
      <c r="AG35" s="807">
        <v>20078822415895.215</v>
      </c>
    </row>
    <row r="36" spans="1:33" ht="14.4" x14ac:dyDescent="0.3">
      <c r="B36" s="19">
        <f>AVERAGE('Passenger TAM Data'!C39:E39)</f>
        <v>57039.963217901495</v>
      </c>
      <c r="C36" s="756">
        <f t="shared" si="8"/>
        <v>18737.92844440302</v>
      </c>
      <c r="D36" s="69">
        <f t="shared" si="0"/>
        <v>0.3285052687152204</v>
      </c>
      <c r="E36" s="7">
        <v>2040</v>
      </c>
      <c r="F36" s="7"/>
      <c r="G36" s="35">
        <v>3082.1975975267196</v>
      </c>
      <c r="H36" s="26">
        <f t="shared" si="1"/>
        <v>5.4035757101599934E-2</v>
      </c>
      <c r="I36" s="2"/>
      <c r="J36" s="35">
        <v>1889.3897009840828</v>
      </c>
      <c r="K36" s="26">
        <f t="shared" si="2"/>
        <v>3.3123964224281169E-2</v>
      </c>
      <c r="L36" s="24"/>
      <c r="M36" s="35">
        <v>1067.3558670986795</v>
      </c>
      <c r="N36" s="26">
        <f t="shared" si="3"/>
        <v>1.8712422078906586E-2</v>
      </c>
      <c r="O36" s="24"/>
      <c r="P36" s="25">
        <v>14032.620252404218</v>
      </c>
      <c r="Q36" s="26">
        <f t="shared" si="4"/>
        <v>0.24601383768074034</v>
      </c>
      <c r="R36" s="24"/>
      <c r="S36" s="19">
        <f>'Private Car Analysis &amp; Split'!P37</f>
        <v>9951.722762338437</v>
      </c>
      <c r="T36" s="26">
        <f t="shared" si="5"/>
        <v>0.17446930539420782</v>
      </c>
      <c r="U36" s="24"/>
      <c r="V36" s="19">
        <f>'Private Car Analysis &amp; Split'!X37</f>
        <v>3986.2004979273743</v>
      </c>
      <c r="W36" s="26">
        <f t="shared" si="6"/>
        <v>6.9884345519289182E-2</v>
      </c>
      <c r="X36" s="24"/>
      <c r="Y36" s="19">
        <f>'Private Car Analysis &amp; Split'!AA37</f>
        <v>844.40118583468609</v>
      </c>
      <c r="Z36" s="26">
        <f t="shared" si="7"/>
        <v>1.4803676899456312E-2</v>
      </c>
      <c r="AC36" s="100"/>
      <c r="AD36" s="13"/>
      <c r="AE36" s="99"/>
      <c r="AF36" s="806">
        <f t="shared" si="9"/>
        <v>20625.465174529145</v>
      </c>
      <c r="AG36" s="807">
        <v>20625465174529.145</v>
      </c>
    </row>
    <row r="37" spans="1:33" ht="14.4" x14ac:dyDescent="0.3">
      <c r="B37" s="19">
        <f>AVERAGE('Passenger TAM Data'!C40:E40)</f>
        <v>58356.304790103561</v>
      </c>
      <c r="C37" s="756">
        <f t="shared" si="8"/>
        <v>19138.552512506776</v>
      </c>
      <c r="D37" s="69">
        <f t="shared" si="0"/>
        <v>0.32796032204822562</v>
      </c>
      <c r="E37" s="7">
        <v>2041</v>
      </c>
      <c r="F37" s="7"/>
      <c r="G37" s="35">
        <v>3124.1583377172724</v>
      </c>
      <c r="H37" s="26">
        <f t="shared" si="1"/>
        <v>5.3535917823348669E-2</v>
      </c>
      <c r="I37" s="2"/>
      <c r="J37" s="35">
        <v>1948.4469777463439</v>
      </c>
      <c r="K37" s="26">
        <f t="shared" si="2"/>
        <v>3.3388799800716205E-2</v>
      </c>
      <c r="L37" s="24"/>
      <c r="M37" s="35">
        <v>1102.2220073213941</v>
      </c>
      <c r="N37" s="26">
        <f t="shared" si="3"/>
        <v>1.8887796464938541E-2</v>
      </c>
      <c r="O37" s="24"/>
      <c r="P37" s="25">
        <v>14281.897778626735</v>
      </c>
      <c r="Q37" s="26">
        <f t="shared" si="4"/>
        <v>0.24473615712982486</v>
      </c>
      <c r="R37" s="24"/>
      <c r="S37" s="19">
        <f>'Private Car Analysis &amp; Split'!P38</f>
        <v>10291.225498075484</v>
      </c>
      <c r="T37" s="26">
        <f t="shared" si="5"/>
        <v>0.17635156192790222</v>
      </c>
      <c r="U37" s="24"/>
      <c r="V37" s="19">
        <f>'Private Car Analysis &amp; Split'!X38</f>
        <v>4332.7267796020597</v>
      </c>
      <c r="W37" s="26">
        <f t="shared" si="6"/>
        <v>7.4246078383236352E-2</v>
      </c>
      <c r="X37" s="24"/>
      <c r="Y37" s="19">
        <f>'Private Car Analysis &amp; Split'!AA38</f>
        <v>886.98391616775166</v>
      </c>
      <c r="Z37" s="26">
        <f t="shared" si="7"/>
        <v>1.5199453072946664E-2</v>
      </c>
      <c r="AC37" s="100"/>
      <c r="AD37" s="13"/>
      <c r="AE37" s="13"/>
      <c r="AF37" s="806">
        <f t="shared" si="9"/>
        <v>21168.12021139621</v>
      </c>
      <c r="AG37" s="807">
        <v>21168120211396.211</v>
      </c>
    </row>
    <row r="38" spans="1:33" ht="14.4" x14ac:dyDescent="0.3">
      <c r="B38" s="19">
        <f>AVERAGE('Passenger TAM Data'!C41:E41)</f>
        <v>59698.163966034866</v>
      </c>
      <c r="C38" s="756">
        <f t="shared" si="8"/>
        <v>19559.002169273401</v>
      </c>
      <c r="D38" s="69">
        <f t="shared" si="0"/>
        <v>0.32763155296369667</v>
      </c>
      <c r="E38" s="7">
        <v>2042</v>
      </c>
      <c r="F38" s="7"/>
      <c r="G38" s="35">
        <v>3164.132983658973</v>
      </c>
      <c r="H38" s="26">
        <f t="shared" si="1"/>
        <v>5.3002182537124576E-2</v>
      </c>
      <c r="I38" s="2"/>
      <c r="J38" s="35">
        <v>2009.7153937499979</v>
      </c>
      <c r="K38" s="26">
        <f t="shared" si="2"/>
        <v>3.3664609767453162E-2</v>
      </c>
      <c r="L38" s="24"/>
      <c r="M38" s="35">
        <v>1137.5736590148065</v>
      </c>
      <c r="N38" s="26">
        <f t="shared" si="3"/>
        <v>1.9055421196236898E-2</v>
      </c>
      <c r="O38" s="24"/>
      <c r="P38" s="25">
        <v>14515.230398521313</v>
      </c>
      <c r="Q38" s="26">
        <f t="shared" si="4"/>
        <v>0.24314366530233192</v>
      </c>
      <c r="R38" s="24"/>
      <c r="S38" s="19">
        <f>'Private Car Analysis &amp; Split'!P39</f>
        <v>10647.950987905604</v>
      </c>
      <c r="T38" s="26">
        <f t="shared" si="5"/>
        <v>0.17836312342811297</v>
      </c>
      <c r="U38" s="24"/>
      <c r="V38" s="19">
        <f>'Private Car Analysis &amp; Split'!X39</f>
        <v>4696.0210409262709</v>
      </c>
      <c r="W38" s="26">
        <f t="shared" si="6"/>
        <v>7.8662738163908383E-2</v>
      </c>
      <c r="X38" s="24"/>
      <c r="Y38" s="19">
        <f>'Private Car Analysis &amp; Split'!AA39</f>
        <v>933.9588566610422</v>
      </c>
      <c r="Z38" s="26">
        <f t="shared" si="7"/>
        <v>1.5644683095989619E-2</v>
      </c>
      <c r="AC38" s="100"/>
      <c r="AD38" s="13"/>
      <c r="AE38" s="68"/>
      <c r="AF38" s="806">
        <f t="shared" si="9"/>
        <v>21705.240478192489</v>
      </c>
      <c r="AG38" s="807">
        <v>21705240478192.488</v>
      </c>
    </row>
    <row r="39" spans="1:33" ht="14.4" x14ac:dyDescent="0.3">
      <c r="B39" s="19">
        <f>AVERAGE('Passenger TAM Data'!C42:E42)</f>
        <v>61069.375601501466</v>
      </c>
      <c r="C39" s="756">
        <f t="shared" si="8"/>
        <v>19988.653241054635</v>
      </c>
      <c r="D39" s="69">
        <f t="shared" si="0"/>
        <v>0.32731058806769903</v>
      </c>
      <c r="E39" s="7">
        <v>2043</v>
      </c>
      <c r="F39" s="7"/>
      <c r="G39" s="35">
        <v>3202.095024740132</v>
      </c>
      <c r="H39" s="26">
        <f t="shared" si="1"/>
        <v>5.2433727923384965E-2</v>
      </c>
      <c r="I39" s="2"/>
      <c r="J39" s="35">
        <v>2073.3028730770166</v>
      </c>
      <c r="K39" s="26">
        <f t="shared" si="2"/>
        <v>3.3949960232212396E-2</v>
      </c>
      <c r="L39" s="24"/>
      <c r="M39" s="35">
        <v>1173.4589245872194</v>
      </c>
      <c r="N39" s="26">
        <f t="shared" si="3"/>
        <v>1.9215178033658631E-2</v>
      </c>
      <c r="O39" s="24"/>
      <c r="P39" s="25">
        <v>14751.761555572231</v>
      </c>
      <c r="Q39" s="26">
        <f t="shared" si="4"/>
        <v>0.24155743218716552</v>
      </c>
      <c r="R39" s="24"/>
      <c r="S39" s="19">
        <f>'Private Car Analysis &amp; Split'!P40</f>
        <v>11016.528713077625</v>
      </c>
      <c r="T39" s="26">
        <f t="shared" si="5"/>
        <v>0.18039366875083573</v>
      </c>
      <c r="U39" s="24"/>
      <c r="V39" s="19">
        <f>'Private Car Analysis &amp; Split'!X40</f>
        <v>5076.3408844415753</v>
      </c>
      <c r="W39" s="26">
        <f t="shared" si="6"/>
        <v>8.3124165499356556E-2</v>
      </c>
      <c r="X39" s="24"/>
      <c r="Y39" s="19">
        <f>'Private Car Analysis &amp; Split'!AA40</f>
        <v>985.70583117021363</v>
      </c>
      <c r="Z39" s="26">
        <f t="shared" si="7"/>
        <v>1.6140755025927902E-2</v>
      </c>
      <c r="AC39" s="100"/>
      <c r="AD39" s="13"/>
      <c r="AE39" s="13"/>
      <c r="AF39" s="806">
        <f t="shared" si="9"/>
        <v>22235.251833664446</v>
      </c>
      <c r="AG39" s="807">
        <v>22235251833664.445</v>
      </c>
    </row>
    <row r="40" spans="1:33" ht="14.4" x14ac:dyDescent="0.3">
      <c r="B40" s="19">
        <f>AVERAGE('Passenger TAM Data'!C43:E43)</f>
        <v>62471.060353448425</v>
      </c>
      <c r="C40" s="756">
        <f t="shared" si="8"/>
        <v>20427.654823402198</v>
      </c>
      <c r="D40" s="69">
        <f t="shared" si="0"/>
        <v>0.32699388657446699</v>
      </c>
      <c r="E40" s="7">
        <v>2044</v>
      </c>
      <c r="F40" s="7"/>
      <c r="G40" s="35">
        <v>3238.0179503490608</v>
      </c>
      <c r="H40" s="26">
        <f t="shared" si="1"/>
        <v>5.1832287334791831E-2</v>
      </c>
      <c r="I40" s="2"/>
      <c r="J40" s="35">
        <v>2139.3173398093713</v>
      </c>
      <c r="K40" s="26">
        <f t="shared" si="2"/>
        <v>3.4244934017536331E-2</v>
      </c>
      <c r="L40" s="24"/>
      <c r="M40" s="35">
        <v>1209.9259064469363</v>
      </c>
      <c r="N40" s="26">
        <f t="shared" si="3"/>
        <v>1.9367782451609181E-2</v>
      </c>
      <c r="O40" s="24"/>
      <c r="P40" s="25">
        <v>14991.810706054765</v>
      </c>
      <c r="Q40" s="26">
        <f t="shared" si="4"/>
        <v>0.239980090320769</v>
      </c>
      <c r="R40" s="24"/>
      <c r="S40" s="19">
        <f>'Private Car Analysis &amp; Split'!P41</f>
        <v>11397.31861130421</v>
      </c>
      <c r="T40" s="26">
        <f t="shared" si="5"/>
        <v>0.18244157449578288</v>
      </c>
      <c r="U40" s="24"/>
      <c r="V40" s="19">
        <f>'Private Car Analysis &amp; Split'!X41</f>
        <v>5473.9439126895431</v>
      </c>
      <c r="W40" s="26">
        <f t="shared" si="6"/>
        <v>8.7623675374150736E-2</v>
      </c>
      <c r="X40" s="24"/>
      <c r="Y40" s="19">
        <f>'Private Car Analysis &amp; Split'!AA41</f>
        <v>1042.6046635509215</v>
      </c>
      <c r="Z40" s="26">
        <f t="shared" si="7"/>
        <v>1.6689402383312825E-2</v>
      </c>
      <c r="AC40" s="100"/>
      <c r="AD40" s="13"/>
      <c r="AE40" s="13"/>
      <c r="AF40" s="806">
        <f t="shared" si="9"/>
        <v>22756.557037662657</v>
      </c>
      <c r="AG40" s="807">
        <v>22756557037662.656</v>
      </c>
    </row>
    <row r="41" spans="1:33" ht="14.4" x14ac:dyDescent="0.3">
      <c r="B41" s="19">
        <f>AVERAGE('Passenger TAM Data'!C44:E44)</f>
        <v>63948.823995163955</v>
      </c>
      <c r="C41" s="756">
        <f t="shared" si="8"/>
        <v>20908.339727441333</v>
      </c>
      <c r="D41" s="69">
        <f t="shared" si="0"/>
        <v>0.32695424905737902</v>
      </c>
      <c r="E41" s="7">
        <v>2045</v>
      </c>
      <c r="F41" s="7"/>
      <c r="G41" s="35">
        <v>3271.8752498740714</v>
      </c>
      <c r="H41" s="26">
        <f t="shared" si="1"/>
        <v>5.1163962766875945E-2</v>
      </c>
      <c r="I41" s="2"/>
      <c r="J41" s="35">
        <v>2207.8667180290336</v>
      </c>
      <c r="K41" s="26">
        <f t="shared" si="2"/>
        <v>3.4525524944696413E-2</v>
      </c>
      <c r="L41" s="24"/>
      <c r="M41" s="35">
        <v>1247.0227070022595</v>
      </c>
      <c r="N41" s="26">
        <f t="shared" si="3"/>
        <v>1.9500322743957948E-2</v>
      </c>
      <c r="O41" s="24"/>
      <c r="P41" s="25">
        <v>15223.356090196959</v>
      </c>
      <c r="Q41" s="26">
        <f t="shared" si="4"/>
        <v>0.23805529389169386</v>
      </c>
      <c r="R41" s="24"/>
      <c r="S41" s="19">
        <f>'Private Car Analysis &amp; Split'!P42</f>
        <v>11808.866692026739</v>
      </c>
      <c r="T41" s="26">
        <f t="shared" si="5"/>
        <v>0.184661201790353</v>
      </c>
      <c r="U41" s="24"/>
      <c r="V41" s="19">
        <f>'Private Car Analysis &amp; Split'!X42</f>
        <v>5889.0877282117426</v>
      </c>
      <c r="W41" s="26">
        <f t="shared" si="6"/>
        <v>9.2090633733266106E-2</v>
      </c>
      <c r="X41" s="24"/>
      <c r="Y41" s="19">
        <f>'Private Car Analysis &amp; Split'!AA42</f>
        <v>1105.0351776588216</v>
      </c>
      <c r="Z41" s="26">
        <f t="shared" si="7"/>
        <v>1.7279992165960524E-2</v>
      </c>
      <c r="AC41" s="100"/>
      <c r="AD41" s="13"/>
      <c r="AE41" s="99"/>
      <c r="AF41" s="806">
        <f t="shared" si="9"/>
        <v>23267.556704314582</v>
      </c>
      <c r="AG41" s="807">
        <v>23267556704314.582</v>
      </c>
    </row>
    <row r="42" spans="1:33" ht="14.4" x14ac:dyDescent="0.3">
      <c r="B42" s="19">
        <f>AVERAGE('Passenger TAM Data'!C45:E45)</f>
        <v>65370.246987819992</v>
      </c>
      <c r="C42" s="756">
        <f t="shared" si="8"/>
        <v>21334.231120311277</v>
      </c>
      <c r="D42" s="69">
        <f t="shared" si="0"/>
        <v>0.32635995890127728</v>
      </c>
      <c r="E42" s="7">
        <v>2046</v>
      </c>
      <c r="F42" s="7"/>
      <c r="G42" s="35">
        <v>3303.6404127034748</v>
      </c>
      <c r="H42" s="26">
        <f t="shared" si="1"/>
        <v>5.0537370821300713E-2</v>
      </c>
      <c r="I42" s="2"/>
      <c r="J42" s="35">
        <v>2279.0589318179746</v>
      </c>
      <c r="K42" s="26">
        <f t="shared" si="2"/>
        <v>3.486385682836133E-2</v>
      </c>
      <c r="L42" s="24"/>
      <c r="M42" s="35">
        <v>1284.7974286614926</v>
      </c>
      <c r="N42" s="26">
        <f t="shared" si="3"/>
        <v>1.9654162067046808E-2</v>
      </c>
      <c r="O42" s="24"/>
      <c r="P42" s="25">
        <v>15483.740812415783</v>
      </c>
      <c r="Q42" s="26">
        <f t="shared" si="4"/>
        <v>0.23686220453321472</v>
      </c>
      <c r="R42" s="24"/>
      <c r="S42" s="19">
        <f>'Private Car Analysis &amp; Split'!P43</f>
        <v>12196.976927329213</v>
      </c>
      <c r="T42" s="26">
        <f t="shared" si="5"/>
        <v>0.18658300204375541</v>
      </c>
      <c r="U42" s="24"/>
      <c r="V42" s="19">
        <f>'Private Car Analysis &amp; Split'!X43</f>
        <v>6322.0299335497457</v>
      </c>
      <c r="W42" s="26">
        <f t="shared" si="6"/>
        <v>9.6711122029685584E-2</v>
      </c>
      <c r="X42" s="24"/>
      <c r="Y42" s="19">
        <f>'Private Car Analysis &amp; Split'!AA43</f>
        <v>1173.3771973495698</v>
      </c>
      <c r="Z42" s="26">
        <f t="shared" si="7"/>
        <v>1.7949713385176553E-2</v>
      </c>
      <c r="AC42" s="100"/>
      <c r="AD42" s="13"/>
      <c r="AE42" s="13"/>
      <c r="AF42" s="806">
        <f t="shared" si="9"/>
        <v>23766.664838546625</v>
      </c>
      <c r="AG42" s="807">
        <v>23766664838546.625</v>
      </c>
    </row>
    <row r="43" spans="1:33" ht="14.4" x14ac:dyDescent="0.3">
      <c r="B43" s="19">
        <f>AVERAGE('Passenger TAM Data'!C46:E46)</f>
        <v>66869.928517970024</v>
      </c>
      <c r="C43" s="756">
        <f t="shared" si="8"/>
        <v>21802.042408574947</v>
      </c>
      <c r="D43" s="69">
        <f t="shared" si="0"/>
        <v>0.32603657416376725</v>
      </c>
      <c r="E43" s="7">
        <v>2047</v>
      </c>
      <c r="F43" s="7"/>
      <c r="G43" s="35">
        <v>3333.2869282255824</v>
      </c>
      <c r="H43" s="26">
        <f t="shared" si="1"/>
        <v>4.9847323035941707E-2</v>
      </c>
      <c r="I43" s="2"/>
      <c r="J43" s="35">
        <v>2353.001905258167</v>
      </c>
      <c r="K43" s="26">
        <f t="shared" si="2"/>
        <v>3.5187743689988282E-2</v>
      </c>
      <c r="L43" s="24"/>
      <c r="M43" s="35">
        <v>1323.2981738329386</v>
      </c>
      <c r="N43" s="26">
        <f t="shared" si="3"/>
        <v>1.9789136958286522E-2</v>
      </c>
      <c r="O43" s="24"/>
      <c r="P43" s="25">
        <v>15736.26068084482</v>
      </c>
      <c r="Q43" s="26">
        <f t="shared" si="4"/>
        <v>0.23532641696507869</v>
      </c>
      <c r="R43" s="24"/>
      <c r="S43" s="19">
        <f>'Private Car Analysis &amp; Split'!P44</f>
        <v>12616.574121982429</v>
      </c>
      <c r="T43" s="26">
        <f t="shared" si="5"/>
        <v>0.1886733603818937</v>
      </c>
      <c r="U43" s="24"/>
      <c r="V43" s="19">
        <f>'Private Car Analysis &amp; Split'!X44</f>
        <v>6773.0281312451179</v>
      </c>
      <c r="W43" s="26">
        <f t="shared" si="6"/>
        <v>0.10128660642167421</v>
      </c>
      <c r="X43" s="24"/>
      <c r="Y43" s="19">
        <f>'Private Car Analysis &amp; Split'!AA44</f>
        <v>1248.0105464788221</v>
      </c>
      <c r="Z43" s="26">
        <f t="shared" si="7"/>
        <v>1.8663255279889272E-2</v>
      </c>
      <c r="AC43" s="100"/>
      <c r="AD43" s="13"/>
      <c r="AE43" s="68"/>
      <c r="AF43" s="806">
        <f t="shared" si="9"/>
        <v>24252.29775592927</v>
      </c>
      <c r="AG43" s="807">
        <v>24252297755929.27</v>
      </c>
    </row>
    <row r="44" spans="1:33" ht="14.4" x14ac:dyDescent="0.3">
      <c r="B44" s="19">
        <f>AVERAGE('Passenger TAM Data'!C47:E47)</f>
        <v>68404.362797849724</v>
      </c>
      <c r="C44" s="756">
        <f t="shared" si="8"/>
        <v>22279.634594261555</v>
      </c>
      <c r="D44" s="69">
        <f t="shared" si="0"/>
        <v>0.32570487733513265</v>
      </c>
      <c r="E44" s="7">
        <v>2048</v>
      </c>
      <c r="F44" s="7"/>
      <c r="G44" s="35">
        <v>3360.7882858287053</v>
      </c>
      <c r="H44" s="26">
        <f t="shared" si="1"/>
        <v>4.9131197899768331E-2</v>
      </c>
      <c r="I44" s="2"/>
      <c r="J44" s="35">
        <v>2429.8035624315817</v>
      </c>
      <c r="K44" s="26">
        <f t="shared" si="2"/>
        <v>3.5521178226777694E-2</v>
      </c>
      <c r="L44" s="24"/>
      <c r="M44" s="35">
        <v>1362.5730449248997</v>
      </c>
      <c r="N44" s="26">
        <f t="shared" si="3"/>
        <v>1.9919388021369479E-2</v>
      </c>
      <c r="O44" s="24"/>
      <c r="P44" s="25">
        <v>15993.576367806574</v>
      </c>
      <c r="Q44" s="26">
        <f t="shared" si="4"/>
        <v>0.23380930270589889</v>
      </c>
      <c r="R44" s="24"/>
      <c r="S44" s="19">
        <f>'Private Car Analysis &amp; Split'!P45</f>
        <v>13049.815703873701</v>
      </c>
      <c r="T44" s="26">
        <f t="shared" si="5"/>
        <v>0.19077461100600909</v>
      </c>
      <c r="U44" s="24"/>
      <c r="V44" s="19">
        <f>'Private Car Analysis &amp; Split'!X45</f>
        <v>7242.3399238394277</v>
      </c>
      <c r="W44" s="26">
        <f t="shared" si="6"/>
        <v>0.10587540951506516</v>
      </c>
      <c r="X44" s="24"/>
      <c r="Y44" s="19">
        <f>'Private Car Analysis &amp; Split'!AA45</f>
        <v>1329.3150489022337</v>
      </c>
      <c r="Z44" s="26">
        <f t="shared" si="7"/>
        <v>1.943319102073443E-2</v>
      </c>
      <c r="AC44" s="100"/>
      <c r="AD44" s="13"/>
      <c r="AE44" s="13"/>
      <c r="AF44" s="806">
        <f t="shared" si="9"/>
        <v>24722.852028394034</v>
      </c>
      <c r="AG44" s="807">
        <v>24722852028394.035</v>
      </c>
    </row>
    <row r="45" spans="1:33" ht="14.4" x14ac:dyDescent="0.3">
      <c r="B45" s="19">
        <f>AVERAGE('Passenger TAM Data'!C48:E48)</f>
        <v>69974.512495007628</v>
      </c>
      <c r="C45" s="756">
        <f t="shared" si="8"/>
        <v>22767.044812310374</v>
      </c>
      <c r="D45" s="69">
        <f t="shared" si="0"/>
        <v>0.32536196395701511</v>
      </c>
      <c r="E45" s="7">
        <v>2049</v>
      </c>
      <c r="F45" s="7"/>
      <c r="G45" s="35">
        <v>3386.1179749011549</v>
      </c>
      <c r="H45" s="26">
        <f t="shared" si="1"/>
        <v>4.839073334226858E-2</v>
      </c>
      <c r="I45" s="2"/>
      <c r="J45" s="35">
        <v>2509.5718274201899</v>
      </c>
      <c r="K45" s="26">
        <f t="shared" si="2"/>
        <v>3.586408447789096E-2</v>
      </c>
      <c r="L45" s="24"/>
      <c r="M45" s="35">
        <v>1402.6701443456795</v>
      </c>
      <c r="N45" s="26">
        <f t="shared" si="3"/>
        <v>2.0045443609853716E-2</v>
      </c>
      <c r="O45" s="24"/>
      <c r="P45" s="25">
        <v>16256.00732957632</v>
      </c>
      <c r="Q45" s="26">
        <f t="shared" si="4"/>
        <v>0.23231326307183797</v>
      </c>
      <c r="R45" s="24"/>
      <c r="S45" s="19">
        <f>'Private Car Analysis &amp; Split'!P46</f>
        <v>13497.038512424911</v>
      </c>
      <c r="T45" s="26">
        <f t="shared" si="5"/>
        <v>0.19288506673609002</v>
      </c>
      <c r="U45" s="24"/>
      <c r="V45" s="19">
        <f>'Private Car Analysis &amp; Split'!X46</f>
        <v>7730.2229138742468</v>
      </c>
      <c r="W45" s="26">
        <f t="shared" si="6"/>
        <v>0.1104719795572104</v>
      </c>
      <c r="X45" s="24"/>
      <c r="Y45" s="19">
        <f>'Private Car Analysis &amp; Split'!AA46</f>
        <v>1417.6705284754617</v>
      </c>
      <c r="Z45" s="26">
        <f t="shared" si="7"/>
        <v>2.0259812865100077E-2</v>
      </c>
      <c r="AC45" s="100"/>
      <c r="AD45" s="13"/>
      <c r="AE45" s="13"/>
      <c r="AF45" s="806">
        <f t="shared" si="9"/>
        <v>25176.716617745777</v>
      </c>
      <c r="AG45" s="807">
        <v>25176716617745.777</v>
      </c>
    </row>
    <row r="46" spans="1:33" ht="14.4" x14ac:dyDescent="0.3">
      <c r="A46" s="30"/>
      <c r="B46" s="19">
        <f>AVERAGE('Passenger TAM Data'!C49:E49)</f>
        <v>71558.277761309873</v>
      </c>
      <c r="C46" s="756">
        <f t="shared" si="8"/>
        <v>23245.584235668641</v>
      </c>
      <c r="D46" s="69">
        <f t="shared" si="0"/>
        <v>0.32484829097210416</v>
      </c>
      <c r="E46" s="33">
        <v>2050</v>
      </c>
      <c r="F46" s="33"/>
      <c r="G46" s="35">
        <v>3409.2494848312431</v>
      </c>
      <c r="H46" s="26">
        <f t="shared" si="1"/>
        <v>4.7642978443432522E-2</v>
      </c>
      <c r="I46" s="30"/>
      <c r="J46" s="35">
        <v>2592.4146243059631</v>
      </c>
      <c r="K46" s="26">
        <f t="shared" si="2"/>
        <v>3.6228018692026569E-2</v>
      </c>
      <c r="L46" s="34"/>
      <c r="M46" s="35">
        <v>1443.6375745035812</v>
      </c>
      <c r="N46" s="26">
        <f t="shared" si="3"/>
        <v>2.0174291775425134E-2</v>
      </c>
      <c r="O46" s="34"/>
      <c r="P46" s="25">
        <v>16534.11259511764</v>
      </c>
      <c r="Q46" s="26">
        <f t="shared" si="4"/>
        <v>0.23105800072870539</v>
      </c>
      <c r="R46" s="34"/>
      <c r="S46" s="19">
        <f>'Private Car Analysis &amp; Split'!P47</f>
        <v>13947.350541401183</v>
      </c>
      <c r="T46" s="26">
        <f t="shared" si="5"/>
        <v>0.19490897458326248</v>
      </c>
      <c r="U46" s="34"/>
      <c r="V46" s="19">
        <f>'Private Car Analysis &amp; Split'!X47</f>
        <v>8236.9347038911455</v>
      </c>
      <c r="W46" s="26">
        <f t="shared" si="6"/>
        <v>0.11510806242942716</v>
      </c>
      <c r="X46" s="34"/>
      <c r="Y46" s="19">
        <f>'Private Car Analysis &amp; Split'!AA47</f>
        <v>1513.4568090541609</v>
      </c>
      <c r="Z46" s="26">
        <f t="shared" si="7"/>
        <v>2.1149989301062478E-2</v>
      </c>
      <c r="AA46" s="30"/>
      <c r="AC46" s="100"/>
      <c r="AD46" s="13"/>
      <c r="AE46" s="99"/>
      <c r="AF46" s="806">
        <f t="shared" si="9"/>
        <v>25612.272629216735</v>
      </c>
      <c r="AG46" s="807">
        <v>25612272629216.734</v>
      </c>
    </row>
    <row r="47" spans="1:33" ht="14.4" x14ac:dyDescent="0.3">
      <c r="B47" s="19">
        <f>AVERAGE('Passenger TAM Data'!C50:E50)</f>
        <v>73225.821335686545</v>
      </c>
      <c r="C47" s="756">
        <f t="shared" si="8"/>
        <v>23771.453510681367</v>
      </c>
      <c r="D47" s="69">
        <f t="shared" si="0"/>
        <v>0.32463211852150803</v>
      </c>
      <c r="E47" s="7">
        <v>2051</v>
      </c>
      <c r="F47" s="7"/>
      <c r="G47" s="35">
        <v>3430.1563050072805</v>
      </c>
      <c r="H47" s="26">
        <f t="shared" si="1"/>
        <v>4.6843534731860995E-2</v>
      </c>
      <c r="I47" s="2"/>
      <c r="J47" s="35">
        <v>2678.4398771708738</v>
      </c>
      <c r="K47" s="26">
        <f t="shared" si="2"/>
        <v>3.657780586566857E-2</v>
      </c>
      <c r="L47" s="24"/>
      <c r="M47" s="35">
        <v>1485.5234378069072</v>
      </c>
      <c r="N47" s="26">
        <f t="shared" si="3"/>
        <v>2.0286879828863572E-2</v>
      </c>
      <c r="O47" s="24"/>
      <c r="P47" s="25">
        <v>16797.492902640894</v>
      </c>
      <c r="Q47" s="26">
        <f t="shared" si="4"/>
        <v>0.22939302825483843</v>
      </c>
      <c r="R47" s="24"/>
      <c r="S47" s="19">
        <f>'Private Car Analysis &amp; Split'!P48</f>
        <v>14434.800248324351</v>
      </c>
      <c r="T47" s="26">
        <f t="shared" si="5"/>
        <v>0.19712718799221665</v>
      </c>
      <c r="U47" s="24"/>
      <c r="V47" s="19">
        <f>'Private Car Analysis &amp; Split'!X48</f>
        <v>8762.7328964316894</v>
      </c>
      <c r="W47" s="26">
        <f t="shared" si="6"/>
        <v>0.11966725311637001</v>
      </c>
      <c r="X47" s="24"/>
      <c r="Y47" s="19">
        <f>'Private Car Analysis &amp; Split'!AA48</f>
        <v>1617.0537144939865</v>
      </c>
      <c r="Z47" s="26">
        <f t="shared" si="7"/>
        <v>2.2083107911906982E-2</v>
      </c>
      <c r="AC47" s="100"/>
      <c r="AD47" s="13"/>
      <c r="AE47" s="13"/>
      <c r="AF47" s="806">
        <f t="shared" si="9"/>
        <v>26027.924485350042</v>
      </c>
      <c r="AG47" s="807">
        <v>26027924485350.043</v>
      </c>
    </row>
    <row r="48" spans="1:33" ht="14.4" x14ac:dyDescent="0.3">
      <c r="B48" s="19">
        <f>AVERAGE('Passenger TAM Data'!C51:E51)</f>
        <v>74908.974819260009</v>
      </c>
      <c r="C48" s="756">
        <f t="shared" si="8"/>
        <v>24288.541701292361</v>
      </c>
      <c r="D48" s="69">
        <f t="shared" si="0"/>
        <v>0.32424074364781563</v>
      </c>
      <c r="E48" s="7">
        <v>2052</v>
      </c>
      <c r="F48" s="7"/>
      <c r="G48" s="35">
        <v>3448.811924817579</v>
      </c>
      <c r="H48" s="26">
        <f t="shared" si="1"/>
        <v>4.604003636598758E-2</v>
      </c>
      <c r="I48" s="2"/>
      <c r="J48" s="35">
        <v>2767.755510096893</v>
      </c>
      <c r="K48" s="26">
        <f t="shared" si="2"/>
        <v>3.6948249749444835E-2</v>
      </c>
      <c r="L48" s="24"/>
      <c r="M48" s="35">
        <v>1528.3758366639604</v>
      </c>
      <c r="N48" s="26">
        <f t="shared" si="3"/>
        <v>2.0403107109016213E-2</v>
      </c>
      <c r="O48" s="24"/>
      <c r="P48" s="25">
        <v>17077.186426486271</v>
      </c>
      <c r="Q48" s="26">
        <f t="shared" si="4"/>
        <v>0.22797250219603216</v>
      </c>
      <c r="R48" s="24"/>
      <c r="S48" s="19">
        <f>'Private Car Analysis &amp; Split'!P49</f>
        <v>14926.056403720544</v>
      </c>
      <c r="T48" s="26">
        <f t="shared" si="5"/>
        <v>0.1992559161266598</v>
      </c>
      <c r="U48" s="24"/>
      <c r="V48" s="19">
        <f>'Private Car Analysis &amp; Split'!X49</f>
        <v>9307.8750940374466</v>
      </c>
      <c r="W48" s="26">
        <f t="shared" si="6"/>
        <v>0.12425580668398466</v>
      </c>
      <c r="X48" s="24"/>
      <c r="Y48" s="19">
        <f>'Private Car Analysis &amp; Split'!AA49</f>
        <v>1728.8410686505954</v>
      </c>
      <c r="Z48" s="26">
        <f t="shared" si="7"/>
        <v>2.3079224790112724E-2</v>
      </c>
      <c r="AC48" s="100"/>
      <c r="AD48" s="13"/>
      <c r="AE48" s="13"/>
      <c r="AF48" s="806">
        <f t="shared" si="9"/>
        <v>26422.04610812094</v>
      </c>
      <c r="AG48" s="807">
        <v>26422046108120.941</v>
      </c>
    </row>
    <row r="49" spans="1:34" ht="14.4" x14ac:dyDescent="0.3">
      <c r="B49" s="19">
        <f>AVERAGE('Passenger TAM Data'!C52:E52)</f>
        <v>76631.7011544056</v>
      </c>
      <c r="C49" s="756">
        <f t="shared" si="8"/>
        <v>24815.557565053736</v>
      </c>
      <c r="D49" s="69">
        <f t="shared" si="0"/>
        <v>0.32382887488107231</v>
      </c>
      <c r="E49" s="7">
        <v>2053</v>
      </c>
      <c r="F49" s="7"/>
      <c r="G49" s="35">
        <v>3465.1898336504501</v>
      </c>
      <c r="H49" s="26">
        <f t="shared" si="1"/>
        <v>4.5218751266769108E-2</v>
      </c>
      <c r="I49" s="2"/>
      <c r="J49" s="35">
        <v>2860.4694471659923</v>
      </c>
      <c r="K49" s="26">
        <f t="shared" si="2"/>
        <v>3.7327495071555541E-2</v>
      </c>
      <c r="L49" s="24"/>
      <c r="M49" s="35">
        <v>1572.2428734830446</v>
      </c>
      <c r="N49" s="26">
        <f t="shared" si="3"/>
        <v>2.0516872910274098E-2</v>
      </c>
      <c r="O49" s="24"/>
      <c r="P49" s="25">
        <v>17363.273050240743</v>
      </c>
      <c r="Q49" s="26">
        <f t="shared" si="4"/>
        <v>0.2265808117094438</v>
      </c>
      <c r="R49" s="24"/>
      <c r="S49" s="19">
        <f>'Private Car Analysis &amp; Split'!P50</f>
        <v>15432.685824795173</v>
      </c>
      <c r="T49" s="26">
        <f t="shared" si="5"/>
        <v>0.20138774935584136</v>
      </c>
      <c r="U49" s="24"/>
      <c r="V49" s="19">
        <f>'Private Car Analysis &amp; Split'!X50</f>
        <v>9872.6188992499938</v>
      </c>
      <c r="W49" s="26">
        <f t="shared" si="6"/>
        <v>0.12883204666639991</v>
      </c>
      <c r="X49" s="24"/>
      <c r="Y49" s="19">
        <f>'Private Car Analysis &amp; Split'!AA50</f>
        <v>1849.1986953796434</v>
      </c>
      <c r="Z49" s="26">
        <f t="shared" si="7"/>
        <v>2.4130988448940779E-2</v>
      </c>
      <c r="AC49" s="100"/>
      <c r="AD49" s="13"/>
      <c r="AE49" s="68"/>
      <c r="AF49" s="806">
        <f t="shared" si="9"/>
        <v>26792.947462559827</v>
      </c>
      <c r="AG49" s="807">
        <v>26792947462559.828</v>
      </c>
    </row>
    <row r="50" spans="1:34" ht="14.4" x14ac:dyDescent="0.3">
      <c r="B50" s="19">
        <f>AVERAGE('Passenger TAM Data'!C53:E53)</f>
        <v>78394.871508776298</v>
      </c>
      <c r="C50" s="756">
        <f t="shared" si="8"/>
        <v>25352.469144747112</v>
      </c>
      <c r="D50" s="69">
        <f t="shared" si="0"/>
        <v>0.32339448559347284</v>
      </c>
      <c r="E50" s="7">
        <v>2054</v>
      </c>
      <c r="F50" s="7"/>
      <c r="G50" s="35">
        <v>3479.2635208942047</v>
      </c>
      <c r="H50" s="26">
        <f t="shared" si="1"/>
        <v>4.4381264410959603E-2</v>
      </c>
      <c r="I50" s="2"/>
      <c r="J50" s="35">
        <v>2956.6896124601426</v>
      </c>
      <c r="K50" s="26">
        <f t="shared" si="2"/>
        <v>3.7715344837693135E-2</v>
      </c>
      <c r="L50" s="24"/>
      <c r="M50" s="35">
        <v>1617.1726506724617</v>
      </c>
      <c r="N50" s="26">
        <f t="shared" si="3"/>
        <v>2.0628551581864885E-2</v>
      </c>
      <c r="O50" s="24"/>
      <c r="P50" s="25">
        <v>17656.072230179583</v>
      </c>
      <c r="Q50" s="26">
        <f t="shared" si="4"/>
        <v>0.22521973555633659</v>
      </c>
      <c r="R50" s="24"/>
      <c r="S50" s="19">
        <f>'Private Car Analysis &amp; Split'!P51</f>
        <v>15955.016223476259</v>
      </c>
      <c r="T50" s="26">
        <f t="shared" si="5"/>
        <v>0.20352117321462918</v>
      </c>
      <c r="U50" s="24"/>
      <c r="V50" s="19">
        <f>'Private Car Analysis &amp; Split'!X51</f>
        <v>10457.221914610889</v>
      </c>
      <c r="W50" s="26">
        <f t="shared" si="6"/>
        <v>0.13339165832346833</v>
      </c>
      <c r="X50" s="24"/>
      <c r="Y50" s="19">
        <f>'Private Car Analysis &amp; Split'!AA51</f>
        <v>1978.506418536786</v>
      </c>
      <c r="Z50" s="26">
        <f t="shared" si="7"/>
        <v>2.5237702166720083E-2</v>
      </c>
      <c r="AC50" s="100"/>
      <c r="AD50" s="13"/>
      <c r="AE50" s="13"/>
      <c r="AF50" s="806">
        <f t="shared" si="9"/>
        <v>27138.910097773871</v>
      </c>
      <c r="AG50" s="807">
        <v>27138910097773.871</v>
      </c>
    </row>
    <row r="51" spans="1:34" ht="14.4" x14ac:dyDescent="0.3">
      <c r="B51" s="19">
        <f>AVERAGE('Passenger TAM Data'!C54:E54)</f>
        <v>80199.363048847197</v>
      </c>
      <c r="C51" s="756">
        <f t="shared" si="8"/>
        <v>25899.244288896753</v>
      </c>
      <c r="D51" s="69">
        <f t="shared" si="0"/>
        <v>0.32293578532690148</v>
      </c>
      <c r="E51" s="7">
        <v>2055</v>
      </c>
      <c r="F51" s="7"/>
      <c r="G51" s="35">
        <v>3491.0064759371548</v>
      </c>
      <c r="H51" s="26">
        <f t="shared" si="1"/>
        <v>4.3529104761229585E-2</v>
      </c>
      <c r="I51" s="2"/>
      <c r="J51" s="35">
        <v>3056.5239300613166</v>
      </c>
      <c r="K51" s="26">
        <f t="shared" si="2"/>
        <v>3.8111573631821404E-2</v>
      </c>
      <c r="L51" s="24"/>
      <c r="M51" s="35">
        <v>1663.2132706405159</v>
      </c>
      <c r="N51" s="26">
        <f t="shared" si="3"/>
        <v>2.0738484788557474E-2</v>
      </c>
      <c r="O51" s="24"/>
      <c r="P51" s="25">
        <v>17955.903422578067</v>
      </c>
      <c r="Q51" s="26">
        <f t="shared" si="4"/>
        <v>0.22389084825576017</v>
      </c>
      <c r="R51" s="24"/>
      <c r="S51" s="19">
        <f>'Private Car Analysis &amp; Split'!P52</f>
        <v>16493.380634105572</v>
      </c>
      <c r="T51" s="26">
        <f t="shared" si="5"/>
        <v>0.2056547584306862</v>
      </c>
      <c r="U51" s="24"/>
      <c r="V51" s="19">
        <f>'Private Car Analysis &amp; Split'!X52</f>
        <v>11061.941742661709</v>
      </c>
      <c r="W51" s="26">
        <f t="shared" si="6"/>
        <v>0.13793054361197593</v>
      </c>
      <c r="X51" s="24"/>
      <c r="Y51" s="19">
        <f>'Private Car Analysis &amp; Split'!AA52</f>
        <v>2117.144061977679</v>
      </c>
      <c r="Z51" s="26">
        <f t="shared" si="7"/>
        <v>2.639851467010013E-2</v>
      </c>
      <c r="AC51" s="100"/>
      <c r="AD51" s="13"/>
      <c r="AE51" s="13"/>
      <c r="AF51" s="806">
        <f t="shared" si="9"/>
        <v>27458.246972333556</v>
      </c>
      <c r="AG51" s="807">
        <v>27458246972333.555</v>
      </c>
    </row>
    <row r="52" spans="1:34" ht="14.4" x14ac:dyDescent="0.3">
      <c r="B52" s="19">
        <f>AVERAGE('Passenger TAM Data'!C55:E55)</f>
        <v>82046.057137846408</v>
      </c>
      <c r="C52" s="756">
        <f t="shared" si="8"/>
        <v>26455.849642827365</v>
      </c>
      <c r="D52" s="69">
        <f t="shared" si="0"/>
        <v>0.32245120077347073</v>
      </c>
      <c r="E52" s="7">
        <v>2056</v>
      </c>
      <c r="F52" s="7"/>
      <c r="G52" s="35">
        <v>3500.392188167611</v>
      </c>
      <c r="H52" s="26">
        <f t="shared" si="1"/>
        <v>4.2663746562331045E-2</v>
      </c>
      <c r="I52" s="2"/>
      <c r="J52" s="35">
        <v>3160.0803240514851</v>
      </c>
      <c r="K52" s="26">
        <f t="shared" si="2"/>
        <v>3.8515931591230547E-2</v>
      </c>
      <c r="L52" s="24"/>
      <c r="M52" s="35">
        <v>1710.412835795509</v>
      </c>
      <c r="N52" s="26">
        <f t="shared" si="3"/>
        <v>2.0846983943686986E-2</v>
      </c>
      <c r="O52" s="24"/>
      <c r="P52" s="25">
        <v>18263.086083711474</v>
      </c>
      <c r="Q52" s="26">
        <f t="shared" si="4"/>
        <v>0.22259553622458028</v>
      </c>
      <c r="R52" s="24"/>
      <c r="S52" s="19">
        <f>'Private Car Analysis &amp; Split'!P53</f>
        <v>17048.116881863039</v>
      </c>
      <c r="T52" s="26">
        <f t="shared" si="5"/>
        <v>0.20778715609965664</v>
      </c>
      <c r="U52" s="24"/>
      <c r="V52" s="19">
        <f>'Private Car Analysis &amp; Split'!X53</f>
        <v>11687.035985944023</v>
      </c>
      <c r="W52" s="26">
        <f t="shared" si="6"/>
        <v>0.14244482177014936</v>
      </c>
      <c r="X52" s="24"/>
      <c r="Y52" s="19">
        <f>'Private Car Analysis &amp; Split'!AA53</f>
        <v>2265.4914495579787</v>
      </c>
      <c r="Z52" s="26">
        <f t="shared" si="7"/>
        <v>2.7612435363611729E-2</v>
      </c>
      <c r="AC52" s="100"/>
      <c r="AD52" s="13"/>
      <c r="AE52" s="99"/>
      <c r="AF52" s="806">
        <f t="shared" si="9"/>
        <v>27749.330413229887</v>
      </c>
      <c r="AG52" s="807">
        <v>27749330413229.887</v>
      </c>
    </row>
    <row r="53" spans="1:34" ht="14.4" x14ac:dyDescent="0.3">
      <c r="B53" s="19">
        <f>AVERAGE('Passenger TAM Data'!C56:E56)</f>
        <v>83935.880917157803</v>
      </c>
      <c r="C53" s="756">
        <f t="shared" si="8"/>
        <v>27022.272114833377</v>
      </c>
      <c r="D53" s="69">
        <f t="shared" si="0"/>
        <v>0.32193945925823486</v>
      </c>
      <c r="E53" s="7">
        <v>2057</v>
      </c>
      <c r="F53" s="7"/>
      <c r="G53" s="35">
        <v>3507.3941469738847</v>
      </c>
      <c r="H53" s="26">
        <f t="shared" si="1"/>
        <v>4.1786588865798377E-2</v>
      </c>
      <c r="I53" s="2"/>
      <c r="J53" s="35">
        <v>3267.46671851262</v>
      </c>
      <c r="K53" s="26">
        <f t="shared" si="2"/>
        <v>3.8928128028316182E-2</v>
      </c>
      <c r="L53" s="24"/>
      <c r="M53" s="35">
        <v>1758.8194485457448</v>
      </c>
      <c r="N53" s="26">
        <f t="shared" si="3"/>
        <v>2.0954321671820503E-2</v>
      </c>
      <c r="O53" s="24"/>
      <c r="P53" s="25">
        <v>18577.939669855074</v>
      </c>
      <c r="Q53" s="26">
        <f t="shared" si="4"/>
        <v>0.22133489833973319</v>
      </c>
      <c r="R53" s="24"/>
      <c r="S53" s="19">
        <f>'Private Car Analysis &amp; Split'!P54</f>
        <v>17619.581662898567</v>
      </c>
      <c r="T53" s="26">
        <f t="shared" si="5"/>
        <v>0.20991715903105329</v>
      </c>
      <c r="U53" s="24"/>
      <c r="V53" s="19">
        <f>'Private Car Analysis &amp; Split'!X54</f>
        <v>12332.762246999397</v>
      </c>
      <c r="W53" s="26">
        <f t="shared" si="6"/>
        <v>0.1469307537162976</v>
      </c>
      <c r="X53" s="24"/>
      <c r="Y53" s="19">
        <f>'Private Car Analysis &amp; Split'!AA54</f>
        <v>2423.9284051333389</v>
      </c>
      <c r="Z53" s="26">
        <f t="shared" si="7"/>
        <v>2.8878334016958534E-2</v>
      </c>
      <c r="AC53" s="100"/>
      <c r="AD53" s="13"/>
      <c r="AE53" s="13"/>
      <c r="AF53" s="806">
        <f t="shared" si="9"/>
        <v>28010.584208832086</v>
      </c>
      <c r="AG53" s="807">
        <v>28010584208832.086</v>
      </c>
    </row>
    <row r="54" spans="1:34" ht="14.4" x14ac:dyDescent="0.3">
      <c r="B54" s="19">
        <f>AVERAGE('Passenger TAM Data'!C57:E57)</f>
        <v>85869.80992729323</v>
      </c>
      <c r="C54" s="756">
        <f t="shared" si="8"/>
        <v>27598.519675798656</v>
      </c>
      <c r="D54" s="69">
        <f t="shared" si="0"/>
        <v>0.32139956638039119</v>
      </c>
      <c r="E54" s="7">
        <v>2058</v>
      </c>
      <c r="F54" s="7"/>
      <c r="G54" s="35">
        <v>3511.9858417442879</v>
      </c>
      <c r="H54" s="26">
        <f t="shared" si="1"/>
        <v>4.0898959072087376E-2</v>
      </c>
      <c r="I54" s="2"/>
      <c r="J54" s="35">
        <v>3378.7910375266929</v>
      </c>
      <c r="K54" s="26">
        <f t="shared" si="2"/>
        <v>3.9347834126889844E-2</v>
      </c>
      <c r="L54" s="24"/>
      <c r="M54" s="35">
        <v>1808.4812112995255</v>
      </c>
      <c r="N54" s="26">
        <f t="shared" si="3"/>
        <v>2.1060733834519764E-2</v>
      </c>
      <c r="O54" s="24"/>
      <c r="P54" s="25">
        <v>18900.783637284145</v>
      </c>
      <c r="Q54" s="26">
        <f t="shared" si="4"/>
        <v>0.22010976445956518</v>
      </c>
      <c r="R54" s="24"/>
      <c r="S54" s="19">
        <f>'Private Car Analysis &amp; Split'!P55</f>
        <v>18208.151985277946</v>
      </c>
      <c r="T54" s="26">
        <f t="shared" si="5"/>
        <v>0.21204369732150283</v>
      </c>
      <c r="U54" s="24"/>
      <c r="V54" s="19">
        <f>'Private Car Analysis &amp; Split'!X55</f>
        <v>12999.378128369397</v>
      </c>
      <c r="W54" s="26">
        <f t="shared" si="6"/>
        <v>0.15138473159980315</v>
      </c>
      <c r="X54" s="24"/>
      <c r="Y54" s="19">
        <f>'Private Car Analysis &amp; Split'!AA55</f>
        <v>2592.834752559419</v>
      </c>
      <c r="Z54" s="26">
        <f t="shared" si="7"/>
        <v>3.0194951575586302E-2</v>
      </c>
      <c r="AC54" s="100"/>
      <c r="AD54" s="13"/>
      <c r="AE54" s="68"/>
      <c r="AF54" s="806">
        <f t="shared" si="9"/>
        <v>28240.440958158208</v>
      </c>
      <c r="AG54" s="807">
        <v>28240440958158.207</v>
      </c>
    </row>
    <row r="55" spans="1:34" ht="14.4" x14ac:dyDescent="0.3">
      <c r="B55" s="19">
        <f>AVERAGE('Passenger TAM Data'!C58:E58)</f>
        <v>87848.859904726341</v>
      </c>
      <c r="C55" s="756">
        <f t="shared" si="8"/>
        <v>28184.616572021187</v>
      </c>
      <c r="D55" s="69">
        <f t="shared" si="0"/>
        <v>0.3208307609522526</v>
      </c>
      <c r="E55" s="7">
        <v>2059</v>
      </c>
      <c r="F55" s="7"/>
      <c r="G55" s="35">
        <v>3514.1407618671319</v>
      </c>
      <c r="H55" s="26">
        <f t="shared" si="1"/>
        <v>4.0002121435363878E-2</v>
      </c>
      <c r="I55" s="2"/>
      <c r="J55" s="35">
        <v>3494.1612051756747</v>
      </c>
      <c r="K55" s="26">
        <f t="shared" si="2"/>
        <v>3.9774690405375263E-2</v>
      </c>
      <c r="L55" s="24"/>
      <c r="M55" s="35">
        <v>1859.4462264651552</v>
      </c>
      <c r="N55" s="26">
        <f t="shared" si="3"/>
        <v>2.1166424111613489E-2</v>
      </c>
      <c r="O55" s="24"/>
      <c r="P55" s="25">
        <v>19231.937442273964</v>
      </c>
      <c r="Q55" s="26">
        <f t="shared" si="4"/>
        <v>0.21892074027063463</v>
      </c>
      <c r="R55" s="24"/>
      <c r="S55" s="19">
        <f>'Private Car Analysis &amp; Split'!P56</f>
        <v>18814.222943595174</v>
      </c>
      <c r="T55" s="26">
        <f t="shared" si="5"/>
        <v>0.21416581801971632</v>
      </c>
      <c r="U55" s="24"/>
      <c r="V55" s="19">
        <f>'Private Car Analysis &amp; Split'!X56</f>
        <v>13687.141232595599</v>
      </c>
      <c r="W55" s="26">
        <f t="shared" si="6"/>
        <v>0.15580328814101341</v>
      </c>
      <c r="X55" s="24"/>
      <c r="Y55" s="19">
        <f>'Private Car Analysis &amp; Split'!AA56</f>
        <v>2772.5903156918721</v>
      </c>
      <c r="Z55" s="26">
        <f t="shared" si="7"/>
        <v>3.1560914036890132E-2</v>
      </c>
      <c r="AC55" s="100"/>
      <c r="AD55" s="13"/>
      <c r="AE55" s="13"/>
      <c r="AF55" s="806">
        <f t="shared" si="9"/>
        <v>28437.359039488267</v>
      </c>
      <c r="AG55" s="807">
        <v>28437359039488.266</v>
      </c>
    </row>
    <row r="56" spans="1:34" ht="14.4" x14ac:dyDescent="0.3">
      <c r="B56" s="19">
        <f>AVERAGE('Passenger TAM Data'!C59:E59)</f>
        <v>89874.026138251153</v>
      </c>
      <c r="C56" s="756">
        <f t="shared" si="8"/>
        <v>28780.571898889753</v>
      </c>
      <c r="D56" s="69">
        <f t="shared" ref="D56" si="10">C56/B56</f>
        <v>0.32023236451672099</v>
      </c>
      <c r="E56" s="7">
        <v>2060</v>
      </c>
      <c r="F56" s="7"/>
      <c r="G56" s="35">
        <v>3513.8323967307274</v>
      </c>
      <c r="H56" s="26">
        <f t="shared" si="1"/>
        <v>3.9097307060946392E-2</v>
      </c>
      <c r="I56" s="2"/>
      <c r="J56" s="35">
        <v>3613.6851455415372</v>
      </c>
      <c r="K56" s="26">
        <f t="shared" si="2"/>
        <v>4.0208337167211006E-2</v>
      </c>
      <c r="L56" s="24"/>
      <c r="M56" s="35">
        <v>1911.7625964509359</v>
      </c>
      <c r="N56" s="26">
        <f t="shared" si="3"/>
        <v>2.1271580662360842E-2</v>
      </c>
      <c r="O56" s="24"/>
      <c r="P56" s="25">
        <v>19571.720541099799</v>
      </c>
      <c r="Q56" s="26">
        <f t="shared" si="4"/>
        <v>0.2177683740460572</v>
      </c>
      <c r="R56" s="24"/>
      <c r="S56" s="19">
        <f>'Private Car Analysis &amp; Split'!P57</f>
        <v>19438.187303438641</v>
      </c>
      <c r="T56" s="26">
        <f t="shared" si="5"/>
        <v>0.21628259174165987</v>
      </c>
      <c r="U56" s="24"/>
      <c r="V56" s="19">
        <f>'Private Car Analysis &amp; Split'!X57</f>
        <v>14396.30916221957</v>
      </c>
      <c r="W56" s="26">
        <f t="shared" si="6"/>
        <v>0.16018320065103189</v>
      </c>
      <c r="X56" s="24"/>
      <c r="Y56" s="19">
        <f>'Private Car Analysis &amp; Split'!AA57</f>
        <v>2963.5749183863545</v>
      </c>
      <c r="Z56" s="26">
        <f t="shared" si="7"/>
        <v>3.2974765299014816E-2</v>
      </c>
      <c r="AC56" s="100"/>
      <c r="AD56" s="13"/>
      <c r="AE56" s="13"/>
      <c r="AF56" s="806">
        <f t="shared" si="9"/>
        <v>28599.798783893475</v>
      </c>
      <c r="AG56" s="807">
        <v>28599798783893.477</v>
      </c>
    </row>
    <row r="57" spans="1:34" ht="14.4" x14ac:dyDescent="0.3">
      <c r="B57" s="2"/>
      <c r="C57" s="2"/>
      <c r="D57" s="2"/>
      <c r="F57" s="2"/>
      <c r="G57" s="2"/>
      <c r="H57" s="2"/>
      <c r="I57" s="2"/>
      <c r="J57" s="2"/>
      <c r="L57" s="2"/>
      <c r="M57" s="2"/>
      <c r="O57" s="2"/>
      <c r="P57" s="2"/>
      <c r="R57" s="2"/>
      <c r="S57" s="2"/>
      <c r="U57" s="2"/>
      <c r="V57" s="2"/>
      <c r="X57" s="2"/>
      <c r="Y57" s="2"/>
      <c r="AC57" s="99"/>
      <c r="AD57" s="99"/>
      <c r="AE57" s="99"/>
      <c r="AF57" s="760"/>
      <c r="AG57" s="760"/>
      <c r="AH57" s="760"/>
    </row>
    <row r="58" spans="1:34" ht="14.4" x14ac:dyDescent="0.3">
      <c r="B58" s="2"/>
      <c r="C58" s="2"/>
      <c r="D58" s="2"/>
      <c r="F58" s="2"/>
      <c r="G58" s="2"/>
      <c r="H58" s="2"/>
      <c r="I58" s="2"/>
      <c r="J58" s="2"/>
      <c r="L58" s="2"/>
      <c r="M58" s="2"/>
      <c r="O58" s="2"/>
      <c r="P58" s="2"/>
      <c r="R58" s="2"/>
      <c r="S58" s="2"/>
      <c r="U58" s="2"/>
      <c r="V58" s="2"/>
      <c r="X58" s="2"/>
      <c r="Y58" s="2"/>
      <c r="AA58" s="750"/>
      <c r="AB58" s="811" t="s">
        <v>731</v>
      </c>
      <c r="AC58" s="811"/>
      <c r="AD58" s="811"/>
      <c r="AE58" s="13"/>
      <c r="AF58" s="13"/>
      <c r="AG58" s="13"/>
      <c r="AH58" s="13"/>
    </row>
    <row r="59" spans="1:34" s="90" customFormat="1" ht="18.75" customHeight="1" x14ac:dyDescent="0.3">
      <c r="A59" s="5"/>
      <c r="B59" s="5"/>
      <c r="C59" s="5"/>
      <c r="D59" s="5"/>
      <c r="E59" s="5"/>
      <c r="F59" s="5"/>
      <c r="G59" s="92" t="s">
        <v>131</v>
      </c>
      <c r="H59" s="5"/>
      <c r="I59" s="5"/>
      <c r="J59" s="92" t="s">
        <v>131</v>
      </c>
      <c r="L59" s="5"/>
      <c r="M59" s="92" t="s">
        <v>131</v>
      </c>
      <c r="O59" s="5"/>
      <c r="P59" s="92" t="s">
        <v>131</v>
      </c>
      <c r="R59" s="5"/>
      <c r="S59" s="262" t="str">
        <f>'Private Car Analysis &amp; Split'!P62</f>
        <v>Include</v>
      </c>
      <c r="U59" s="5"/>
      <c r="V59" s="262" t="str">
        <f>'Private Car Analysis &amp; Split'!R62</f>
        <v>Include</v>
      </c>
      <c r="X59" s="5"/>
      <c r="Y59" s="262" t="str">
        <f>'Private Car Analysis &amp; Split'!U62</f>
        <v>Include</v>
      </c>
      <c r="AA59" s="750"/>
      <c r="AB59" s="98" t="s">
        <v>263</v>
      </c>
      <c r="AC59" s="515">
        <f>$AC$4</f>
        <v>0.14513944480504376</v>
      </c>
      <c r="AD59" s="124" t="s">
        <v>497</v>
      </c>
      <c r="AE59" s="68"/>
    </row>
    <row r="60" spans="1:34" ht="15.75" customHeight="1" x14ac:dyDescent="0.3">
      <c r="A60" s="4" t="s">
        <v>65</v>
      </c>
      <c r="B60" s="2"/>
      <c r="C60" s="2"/>
      <c r="D60" s="2"/>
      <c r="F60" s="2"/>
      <c r="G60" s="5"/>
      <c r="H60" s="5"/>
      <c r="I60" s="5"/>
      <c r="J60" s="5"/>
      <c r="K60" s="5"/>
      <c r="L60" s="5"/>
      <c r="M60" s="5"/>
      <c r="N60" s="5"/>
      <c r="O60" s="5"/>
      <c r="P60" s="5"/>
      <c r="Q60" s="5"/>
      <c r="R60" s="5"/>
      <c r="S60" s="5"/>
      <c r="T60" s="5"/>
      <c r="U60" s="5"/>
      <c r="V60" s="2"/>
      <c r="W60" s="2"/>
      <c r="X60" s="2"/>
      <c r="Y60" s="2"/>
      <c r="AC60" s="13"/>
      <c r="AD60" s="13"/>
      <c r="AE60" s="13"/>
    </row>
    <row r="61" spans="1:34" ht="45" customHeight="1" x14ac:dyDescent="0.3">
      <c r="A61" s="8" t="s">
        <v>129</v>
      </c>
      <c r="B61" s="9" t="s">
        <v>47</v>
      </c>
      <c r="C61" s="52" t="s">
        <v>66</v>
      </c>
      <c r="D61" s="52" t="s">
        <v>67</v>
      </c>
      <c r="E61" s="13"/>
      <c r="F61" s="14" t="s">
        <v>50</v>
      </c>
      <c r="G61" s="11" t="s">
        <v>1</v>
      </c>
      <c r="H61" s="11" t="s">
        <v>27</v>
      </c>
      <c r="I61" s="14" t="s">
        <v>51</v>
      </c>
      <c r="J61" s="11" t="s">
        <v>2</v>
      </c>
      <c r="K61" s="11" t="s">
        <v>27</v>
      </c>
      <c r="L61" s="14" t="s">
        <v>52</v>
      </c>
      <c r="M61" s="11" t="s">
        <v>3</v>
      </c>
      <c r="N61" s="11" t="s">
        <v>27</v>
      </c>
      <c r="O61" s="14" t="s">
        <v>53</v>
      </c>
      <c r="P61" s="11" t="s">
        <v>600</v>
      </c>
      <c r="Q61" s="11" t="s">
        <v>27</v>
      </c>
      <c r="R61" s="14" t="s">
        <v>54</v>
      </c>
      <c r="S61" s="121" t="s">
        <v>268</v>
      </c>
      <c r="T61" s="11" t="s">
        <v>27</v>
      </c>
      <c r="U61" s="14" t="s">
        <v>25</v>
      </c>
      <c r="V61" s="121" t="s">
        <v>740</v>
      </c>
      <c r="W61" s="11" t="s">
        <v>27</v>
      </c>
      <c r="X61" s="14" t="s">
        <v>26</v>
      </c>
      <c r="Y61" s="121" t="s">
        <v>742</v>
      </c>
      <c r="Z61" s="11" t="s">
        <v>27</v>
      </c>
      <c r="AA61" s="13"/>
      <c r="AB61" s="13"/>
      <c r="AC61" s="13"/>
      <c r="AD61" s="13"/>
      <c r="AE61" s="13"/>
      <c r="AF61" s="13"/>
    </row>
    <row r="62" spans="1:34" s="249" customFormat="1" ht="46.2" customHeight="1" x14ac:dyDescent="0.3">
      <c r="A62" s="16"/>
      <c r="B62" s="17"/>
      <c r="C62" s="749" t="s">
        <v>743</v>
      </c>
      <c r="D62" s="17"/>
      <c r="E62" s="122" t="s">
        <v>276</v>
      </c>
      <c r="F62" s="17"/>
      <c r="G62" s="265" t="s">
        <v>777</v>
      </c>
      <c r="H62" s="17"/>
      <c r="I62" s="17"/>
      <c r="J62" s="267" t="s">
        <v>779</v>
      </c>
      <c r="K62" s="17" t="s">
        <v>30</v>
      </c>
      <c r="L62" s="17"/>
      <c r="M62" s="267" t="s">
        <v>780</v>
      </c>
      <c r="N62" s="17" t="s">
        <v>30</v>
      </c>
      <c r="O62" s="17"/>
      <c r="P62" s="267" t="s">
        <v>783</v>
      </c>
      <c r="Q62" s="17" t="s">
        <v>30</v>
      </c>
      <c r="R62" s="17"/>
      <c r="S62" s="266" t="str">
        <f>'Private Car Analysis &amp; Split'!P66</f>
        <v>PDS2-50p2050-Oct21ComDat2</v>
      </c>
      <c r="T62" s="17" t="s">
        <v>30</v>
      </c>
      <c r="U62" s="17"/>
      <c r="V62" s="266" t="str">
        <f>'Private Car Analysis &amp; Split'!X66</f>
        <v>PDS2-33p2050-LRate at 11%</v>
      </c>
      <c r="W62" s="17" t="s">
        <v>30</v>
      </c>
      <c r="X62" s="17"/>
      <c r="Y62" s="266" t="str">
        <f>'Private Car Analysis &amp; Split'!AA66</f>
        <v>PDS2-31p2050-Oct21ComDat-Conservative</v>
      </c>
      <c r="Z62" s="17" t="s">
        <v>30</v>
      </c>
      <c r="AA62" s="68"/>
      <c r="AB62" s="13"/>
      <c r="AC62" s="13"/>
      <c r="AD62" s="13"/>
      <c r="AE62" s="13"/>
      <c r="AF62" s="13"/>
    </row>
    <row r="63" spans="1:34" ht="14.4" x14ac:dyDescent="0.3">
      <c r="A63" s="831" t="s">
        <v>28</v>
      </c>
      <c r="B63" s="19">
        <f t="shared" ref="B63:B111" si="11">B8</f>
        <v>26173.156853942612</v>
      </c>
      <c r="C63" s="756">
        <f>B63-$AC$59*B63-IF($G$59="Include",G63,0)-IF($J$59="Include",J63,0)-IF($M$59="Include",M63,0)-IF($P$59="Include",P63,0)-MAX(IF($S$59="Include",S63,0),SUM(IF($V$59="Include",V63,0),IF($Y$59="Include",Y63,0)))</f>
        <v>22374.399399366055</v>
      </c>
      <c r="D63" s="69">
        <f t="shared" ref="D63:D111" si="12">C63/B63</f>
        <v>0.85486055519495618</v>
      </c>
      <c r="E63" s="7">
        <v>2012</v>
      </c>
      <c r="F63" s="7"/>
      <c r="G63" s="25"/>
      <c r="H63" s="26">
        <f t="shared" ref="H63:H111" si="13">G63/$B63</f>
        <v>0</v>
      </c>
      <c r="I63" s="2"/>
      <c r="J63" s="25"/>
      <c r="K63" s="26">
        <f t="shared" ref="K63:K111" si="14">J63/$B63</f>
        <v>0</v>
      </c>
      <c r="L63" s="24"/>
      <c r="M63" s="25"/>
      <c r="N63" s="26">
        <f t="shared" ref="N63:N111" si="15">M63/$B63</f>
        <v>0</v>
      </c>
      <c r="O63" s="24"/>
      <c r="P63" s="25"/>
      <c r="Q63" s="26">
        <f t="shared" ref="Q63:Q111" si="16">P63/$B63</f>
        <v>0</v>
      </c>
      <c r="R63" s="24"/>
      <c r="S63" s="19">
        <f>'Private Car Analysis &amp; Split'!P67</f>
        <v>0</v>
      </c>
      <c r="T63" s="26">
        <f t="shared" ref="T63:T111" si="17">S63/$B63</f>
        <v>0</v>
      </c>
      <c r="U63" s="24"/>
      <c r="V63" s="19">
        <f>'Private Car Analysis &amp; Split'!X67</f>
        <v>0</v>
      </c>
      <c r="W63" s="26">
        <f t="shared" ref="W63:W111" si="18">V63/$B63</f>
        <v>0</v>
      </c>
      <c r="X63" s="24"/>
      <c r="Y63" s="19">
        <f>'Private Car Analysis &amp; Split'!AA67</f>
        <v>0</v>
      </c>
      <c r="Z63" s="26">
        <f t="shared" ref="Z63:Z111" si="19">Y63/$B63</f>
        <v>0</v>
      </c>
      <c r="AA63" s="13"/>
      <c r="AB63" s="13"/>
      <c r="AC63" s="13"/>
      <c r="AD63" s="13"/>
      <c r="AE63" s="13"/>
      <c r="AF63" s="13"/>
    </row>
    <row r="64" spans="1:34" ht="14.4" x14ac:dyDescent="0.3">
      <c r="A64" s="832"/>
      <c r="B64" s="19">
        <f t="shared" si="11"/>
        <v>27210.974694761313</v>
      </c>
      <c r="C64" s="756">
        <f t="shared" ref="C64:C111" si="20">B64-$AC$59*B64-IF($G$59="Include",G64,0)-IF($J$59="Include",J64,0)-IF($M$59="Include",M64,0)-IF($P$59="Include",P64,0)-MAX(IF($S$59="Include",S64,0),SUM(IF($V$59="Include",V64,0),IF($Y$59="Include",Y64,0)))</f>
        <v>23261.58893495956</v>
      </c>
      <c r="D64" s="69">
        <f t="shared" si="12"/>
        <v>0.85486055519495618</v>
      </c>
      <c r="E64" s="7">
        <v>2013</v>
      </c>
      <c r="F64" s="7"/>
      <c r="G64" s="25"/>
      <c r="H64" s="26">
        <f t="shared" si="13"/>
        <v>0</v>
      </c>
      <c r="I64" s="2"/>
      <c r="J64" s="25"/>
      <c r="K64" s="26">
        <f t="shared" si="14"/>
        <v>0</v>
      </c>
      <c r="L64" s="24"/>
      <c r="M64" s="25"/>
      <c r="N64" s="26">
        <f t="shared" si="15"/>
        <v>0</v>
      </c>
      <c r="O64" s="24"/>
      <c r="P64" s="25"/>
      <c r="Q64" s="26">
        <f t="shared" si="16"/>
        <v>0</v>
      </c>
      <c r="R64" s="24"/>
      <c r="S64" s="19">
        <f>'Private Car Analysis &amp; Split'!P68</f>
        <v>0</v>
      </c>
      <c r="T64" s="26">
        <f t="shared" si="17"/>
        <v>0</v>
      </c>
      <c r="U64" s="24"/>
      <c r="V64" s="19">
        <f>'Private Car Analysis &amp; Split'!X68</f>
        <v>0</v>
      </c>
      <c r="W64" s="26">
        <f t="shared" si="18"/>
        <v>0</v>
      </c>
      <c r="X64" s="24"/>
      <c r="Y64" s="19">
        <f>'Private Car Analysis &amp; Split'!AA68</f>
        <v>0</v>
      </c>
      <c r="Z64" s="26">
        <f t="shared" si="19"/>
        <v>0</v>
      </c>
      <c r="AA64" s="13"/>
      <c r="AB64" s="13"/>
      <c r="AC64" s="68"/>
      <c r="AD64" s="68"/>
      <c r="AE64" s="68"/>
      <c r="AF64" s="13"/>
      <c r="AG64" s="91"/>
    </row>
    <row r="65" spans="1:33" ht="14.4" x14ac:dyDescent="0.3">
      <c r="A65" s="30"/>
      <c r="B65" s="19">
        <f t="shared" si="11"/>
        <v>28440.833819984502</v>
      </c>
      <c r="C65" s="756">
        <f t="shared" si="20"/>
        <v>9486.3958589572285</v>
      </c>
      <c r="D65" s="69">
        <f t="shared" si="12"/>
        <v>0.33354844372711145</v>
      </c>
      <c r="E65" s="33">
        <v>2014</v>
      </c>
      <c r="F65" s="33"/>
      <c r="G65" s="35">
        <v>1133.5323623070581</v>
      </c>
      <c r="H65" s="26">
        <f t="shared" si="13"/>
        <v>3.9855806249624072E-2</v>
      </c>
      <c r="I65" s="30"/>
      <c r="J65" s="35">
        <v>713.67726016146844</v>
      </c>
      <c r="K65" s="26">
        <f t="shared" si="14"/>
        <v>2.5093401433961802E-2</v>
      </c>
      <c r="L65" s="34"/>
      <c r="M65" s="35">
        <v>264.30794551551298</v>
      </c>
      <c r="N65" s="26">
        <f t="shared" si="15"/>
        <v>9.2932558584056663E-3</v>
      </c>
      <c r="O65" s="34"/>
      <c r="P65" s="25">
        <v>9573.616099983481</v>
      </c>
      <c r="Q65" s="26">
        <f t="shared" si="16"/>
        <v>0.33661516960365606</v>
      </c>
      <c r="R65" s="34"/>
      <c r="S65" s="19">
        <f>'Private Car Analysis &amp; Split'!P69</f>
        <v>3141.4174626346876</v>
      </c>
      <c r="T65" s="26">
        <f t="shared" si="17"/>
        <v>0.11045447832219707</v>
      </c>
      <c r="U65" s="34"/>
      <c r="V65" s="19">
        <f>'Private Car Analysis &amp; Split'!X69</f>
        <v>116.38899289627807</v>
      </c>
      <c r="W65" s="26">
        <f t="shared" si="18"/>
        <v>4.0923199943067451E-3</v>
      </c>
      <c r="X65" s="34"/>
      <c r="Y65" s="19">
        <f>'Private Car Analysis &amp; Split'!AA69</f>
        <v>126.49797722107463</v>
      </c>
      <c r="Z65" s="26">
        <f t="shared" si="19"/>
        <v>4.4477590924984897E-3</v>
      </c>
      <c r="AA65" s="30"/>
      <c r="AC65" s="13"/>
      <c r="AD65" s="13"/>
      <c r="AE65" s="13"/>
      <c r="AF65" s="13"/>
      <c r="AG65" s="91"/>
    </row>
    <row r="66" spans="1:33" ht="14.4" x14ac:dyDescent="0.3">
      <c r="B66" s="19">
        <f t="shared" si="11"/>
        <v>29511.157218679546</v>
      </c>
      <c r="C66" s="756">
        <f t="shared" si="20"/>
        <v>10199.732342670795</v>
      </c>
      <c r="D66" s="69">
        <f t="shared" si="12"/>
        <v>0.34562292041244375</v>
      </c>
      <c r="E66" s="7">
        <v>2015</v>
      </c>
      <c r="F66" s="7"/>
      <c r="G66" s="35">
        <v>1183.6492717302899</v>
      </c>
      <c r="H66" s="26">
        <f t="shared" si="13"/>
        <v>4.0108534645367303E-2</v>
      </c>
      <c r="I66" s="2"/>
      <c r="J66" s="35">
        <v>730.00794512110224</v>
      </c>
      <c r="K66" s="26">
        <f t="shared" si="14"/>
        <v>2.4736676359781391E-2</v>
      </c>
      <c r="L66" s="24"/>
      <c r="M66" s="35">
        <v>270.35595913663383</v>
      </c>
      <c r="N66" s="26">
        <f t="shared" si="15"/>
        <v>9.161143940689247E-3</v>
      </c>
      <c r="O66" s="24"/>
      <c r="P66" s="25">
        <v>9607.0706209386408</v>
      </c>
      <c r="Q66" s="26">
        <f t="shared" si="16"/>
        <v>0.32554028802563173</v>
      </c>
      <c r="R66" s="24"/>
      <c r="S66" s="19">
        <f>'Private Car Analysis &amp; Split'!P70</f>
        <v>3237.1081048085771</v>
      </c>
      <c r="T66" s="26">
        <f t="shared" si="17"/>
        <v>0.10969099181104289</v>
      </c>
      <c r="U66" s="24"/>
      <c r="V66" s="19">
        <f>'Private Car Analysis &amp; Split'!X70</f>
        <v>121.57668884867235</v>
      </c>
      <c r="W66" s="26">
        <f t="shared" si="18"/>
        <v>4.1196855801953602E-3</v>
      </c>
      <c r="X66" s="24"/>
      <c r="Y66" s="19">
        <f>'Private Car Analysis &amp; Split'!AA70</f>
        <v>145.72611314061396</v>
      </c>
      <c r="Z66" s="26">
        <f t="shared" si="19"/>
        <v>4.938000636870124E-3</v>
      </c>
      <c r="AC66" s="13"/>
      <c r="AD66" s="13"/>
      <c r="AE66" s="13"/>
      <c r="AF66" s="13"/>
      <c r="AG66" s="91"/>
    </row>
    <row r="67" spans="1:33" ht="14.4" x14ac:dyDescent="0.3">
      <c r="B67" s="19">
        <f t="shared" si="11"/>
        <v>30522.249674036706</v>
      </c>
      <c r="C67" s="756">
        <f t="shared" si="20"/>
        <v>10865.187226054102</v>
      </c>
      <c r="D67" s="69">
        <f t="shared" si="12"/>
        <v>0.35597596317732799</v>
      </c>
      <c r="E67" s="7">
        <v>2016</v>
      </c>
      <c r="F67" s="7"/>
      <c r="G67" s="35">
        <v>1233.7661811535363</v>
      </c>
      <c r="H67" s="26">
        <f t="shared" si="13"/>
        <v>4.0421862553697049E-2</v>
      </c>
      <c r="I67" s="2"/>
      <c r="J67" s="35">
        <v>746.33863008073604</v>
      </c>
      <c r="K67" s="26">
        <f t="shared" si="14"/>
        <v>2.4452281140849123E-2</v>
      </c>
      <c r="L67" s="24"/>
      <c r="M67" s="35">
        <v>276.40397275775649</v>
      </c>
      <c r="N67" s="26">
        <f t="shared" si="15"/>
        <v>9.0558191388125427E-3</v>
      </c>
      <c r="O67" s="24"/>
      <c r="P67" s="25">
        <v>9640.5251418938005</v>
      </c>
      <c r="Q67" s="26">
        <f t="shared" si="16"/>
        <v>0.31585237801440202</v>
      </c>
      <c r="R67" s="24"/>
      <c r="S67" s="19">
        <f>'Private Car Analysis &amp; Split'!P71</f>
        <v>3330.0461502061598</v>
      </c>
      <c r="T67" s="26">
        <f t="shared" si="17"/>
        <v>0.10910225116986752</v>
      </c>
      <c r="U67" s="24"/>
      <c r="V67" s="19">
        <f>'Private Car Analysis &amp; Split'!X71</f>
        <v>126.76438480106481</v>
      </c>
      <c r="W67" s="26">
        <f t="shared" si="18"/>
        <v>4.1531796035629391E-3</v>
      </c>
      <c r="X67" s="24"/>
      <c r="Y67" s="19">
        <f>'Private Car Analysis &amp; Split'!AA71</f>
        <v>167.06546616404685</v>
      </c>
      <c r="Z67" s="26">
        <f t="shared" si="19"/>
        <v>5.4735633168664687E-3</v>
      </c>
      <c r="AB67" s="13"/>
      <c r="AC67" s="68"/>
      <c r="AD67" s="99"/>
      <c r="AE67" s="99"/>
      <c r="AF67" s="13"/>
      <c r="AG67" s="91"/>
    </row>
    <row r="68" spans="1:33" ht="14.4" x14ac:dyDescent="0.3">
      <c r="B68" s="19">
        <f t="shared" si="11"/>
        <v>31561.895718661261</v>
      </c>
      <c r="C68" s="756">
        <f t="shared" si="20"/>
        <v>11555.30181883652</v>
      </c>
      <c r="D68" s="69">
        <f t="shared" si="12"/>
        <v>0.36611558196120464</v>
      </c>
      <c r="E68" s="7">
        <v>2017</v>
      </c>
      <c r="F68" s="7"/>
      <c r="G68" s="35">
        <v>1283.8830905767682</v>
      </c>
      <c r="H68" s="26">
        <f t="shared" si="13"/>
        <v>4.0678262865486259E-2</v>
      </c>
      <c r="I68" s="2"/>
      <c r="J68" s="35">
        <v>762.66931504036984</v>
      </c>
      <c r="K68" s="26">
        <f t="shared" si="14"/>
        <v>2.4164242916164081E-2</v>
      </c>
      <c r="L68" s="24"/>
      <c r="M68" s="35">
        <v>282.45198637887916</v>
      </c>
      <c r="N68" s="26">
        <f t="shared" si="15"/>
        <v>8.9491451621480662E-3</v>
      </c>
      <c r="O68" s="24"/>
      <c r="P68" s="25">
        <v>9673.9796628489603</v>
      </c>
      <c r="Q68" s="26">
        <f t="shared" si="16"/>
        <v>0.30650819421880071</v>
      </c>
      <c r="R68" s="24"/>
      <c r="S68" s="19">
        <f>'Private Car Analysis &amp; Split'!P72</f>
        <v>3422.7338233785767</v>
      </c>
      <c r="T68" s="26">
        <f t="shared" si="17"/>
        <v>0.10844512807115239</v>
      </c>
      <c r="U68" s="24"/>
      <c r="V68" s="19">
        <f>'Private Car Analysis &amp; Split'!X72</f>
        <v>131.95208075345909</v>
      </c>
      <c r="W68" s="26">
        <f t="shared" si="18"/>
        <v>4.1807400268242196E-3</v>
      </c>
      <c r="X68" s="24"/>
      <c r="Y68" s="19">
        <f>'Private Car Analysis &amp; Split'!AA72</f>
        <v>190.4373287900319</v>
      </c>
      <c r="Z68" s="26">
        <f t="shared" si="19"/>
        <v>6.0337734617580043E-3</v>
      </c>
      <c r="AB68" s="100"/>
      <c r="AC68" s="13"/>
      <c r="AD68" s="13"/>
      <c r="AE68" s="13"/>
      <c r="AF68" s="13"/>
      <c r="AG68" s="91"/>
    </row>
    <row r="69" spans="1:33" ht="14.4" x14ac:dyDescent="0.3">
      <c r="B69" s="19">
        <f t="shared" si="11"/>
        <v>32602.325167364055</v>
      </c>
      <c r="C69" s="756">
        <f t="shared" si="20"/>
        <v>12280.709949182476</v>
      </c>
      <c r="D69" s="69">
        <f t="shared" si="12"/>
        <v>0.3766820276204057</v>
      </c>
      <c r="E69" s="7">
        <v>2018</v>
      </c>
      <c r="F69" s="7"/>
      <c r="G69" s="35">
        <v>1334.0000000000146</v>
      </c>
      <c r="H69" s="26">
        <f t="shared" si="13"/>
        <v>4.0917327005111595E-2</v>
      </c>
      <c r="I69" s="2"/>
      <c r="J69" s="35">
        <v>779.00000000000364</v>
      </c>
      <c r="K69" s="26">
        <f t="shared" si="14"/>
        <v>2.3894001302085254E-2</v>
      </c>
      <c r="L69" s="24"/>
      <c r="M69" s="35">
        <v>288.5</v>
      </c>
      <c r="N69" s="26">
        <f t="shared" si="15"/>
        <v>8.8490620996810841E-3</v>
      </c>
      <c r="O69" s="24"/>
      <c r="P69" s="25">
        <v>9673.0101265840403</v>
      </c>
      <c r="Q69" s="26">
        <f t="shared" si="16"/>
        <v>0.29669694038470068</v>
      </c>
      <c r="R69" s="24"/>
      <c r="S69" s="19">
        <f>'Private Car Analysis &amp; Split'!P73</f>
        <v>3515.2217174527982</v>
      </c>
      <c r="T69" s="26">
        <f t="shared" si="17"/>
        <v>0.10782119678297193</v>
      </c>
      <c r="U69" s="24"/>
      <c r="V69" s="19">
        <f>'Private Car Analysis &amp; Split'!X73</f>
        <v>137.13977670585155</v>
      </c>
      <c r="W69" s="26">
        <f t="shared" si="18"/>
        <v>4.2064415958630074E-3</v>
      </c>
      <c r="X69" s="24"/>
      <c r="Y69" s="19">
        <f>'Private Car Analysis &amp; Split'!AA73</f>
        <v>202.26518733513092</v>
      </c>
      <c r="Z69" s="26">
        <f t="shared" si="19"/>
        <v>6.2040111034045104E-3</v>
      </c>
      <c r="AB69" s="100"/>
      <c r="AC69" s="13"/>
      <c r="AD69" s="13"/>
      <c r="AE69" s="13"/>
      <c r="AF69" s="13"/>
      <c r="AG69" s="91"/>
    </row>
    <row r="70" spans="1:33" ht="14.4" x14ac:dyDescent="0.3">
      <c r="B70" s="19">
        <f t="shared" si="11"/>
        <v>33644.353306078112</v>
      </c>
      <c r="C70" s="756">
        <f t="shared" si="20"/>
        <v>11424.544447506767</v>
      </c>
      <c r="D70" s="69">
        <f t="shared" si="12"/>
        <v>0.33956796088700075</v>
      </c>
      <c r="E70" s="7">
        <v>2019</v>
      </c>
      <c r="F70" s="7"/>
      <c r="G70" s="35">
        <v>1797.3007899192203</v>
      </c>
      <c r="H70" s="26">
        <f t="shared" si="13"/>
        <v>5.3420577698978212E-2</v>
      </c>
      <c r="I70" s="2"/>
      <c r="J70" s="35">
        <v>795.33068495963744</v>
      </c>
      <c r="K70" s="26">
        <f t="shared" si="14"/>
        <v>2.3639351237461734E-2</v>
      </c>
      <c r="L70" s="24"/>
      <c r="M70" s="35">
        <v>330.47340471498489</v>
      </c>
      <c r="N70" s="26">
        <f t="shared" si="15"/>
        <v>9.8225518472153939E-3</v>
      </c>
      <c r="O70" s="24"/>
      <c r="P70" s="25">
        <v>9708.1710089633289</v>
      </c>
      <c r="Q70" s="26">
        <f t="shared" si="16"/>
        <v>0.28855276012124964</v>
      </c>
      <c r="R70" s="24"/>
      <c r="S70" s="19">
        <f>'Private Car Analysis &amp; Split'!P74</f>
        <v>4705.4102103452597</v>
      </c>
      <c r="T70" s="26">
        <f t="shared" si="17"/>
        <v>0.13985735340305058</v>
      </c>
      <c r="U70" s="24"/>
      <c r="V70" s="19">
        <f>'Private Car Analysis &amp; Split'!X74</f>
        <v>100.95610393109587</v>
      </c>
      <c r="W70" s="26">
        <f t="shared" si="18"/>
        <v>3.000684929582444E-3</v>
      </c>
      <c r="X70" s="24"/>
      <c r="Y70" s="19">
        <f>'Private Car Analysis &amp; Split'!AA74</f>
        <v>236.80133889119634</v>
      </c>
      <c r="Z70" s="26">
        <f t="shared" si="19"/>
        <v>7.0383679762516449E-3</v>
      </c>
      <c r="AB70" s="13"/>
      <c r="AC70" s="68"/>
      <c r="AD70" s="68"/>
      <c r="AE70" s="68"/>
      <c r="AF70" s="13"/>
      <c r="AG70" s="91"/>
    </row>
    <row r="71" spans="1:33" s="99" customFormat="1" ht="14.4" x14ac:dyDescent="0.3">
      <c r="A71" s="30"/>
      <c r="B71" s="19">
        <f t="shared" si="11"/>
        <v>34697.510647161849</v>
      </c>
      <c r="C71" s="756">
        <f t="shared" si="20"/>
        <v>11557.784872510243</v>
      </c>
      <c r="D71" s="69">
        <f t="shared" si="12"/>
        <v>0.33310127029114794</v>
      </c>
      <c r="E71" s="33">
        <v>2020</v>
      </c>
      <c r="F71" s="33"/>
      <c r="G71" s="35">
        <v>1878.9074055774972</v>
      </c>
      <c r="H71" s="26">
        <f t="shared" si="13"/>
        <v>5.4151072239275649E-2</v>
      </c>
      <c r="I71" s="30"/>
      <c r="J71" s="35">
        <v>1195.3454260349342</v>
      </c>
      <c r="K71" s="26">
        <f t="shared" si="14"/>
        <v>3.4450466438078892E-2</v>
      </c>
      <c r="L71" s="34"/>
      <c r="M71" s="35">
        <v>363.4459991656384</v>
      </c>
      <c r="N71" s="26">
        <f t="shared" si="15"/>
        <v>1.0474699550106404E-2</v>
      </c>
      <c r="O71" s="34"/>
      <c r="P71" s="25">
        <v>9749.4862370388182</v>
      </c>
      <c r="Q71" s="26">
        <f t="shared" si="16"/>
        <v>0.28098517891329755</v>
      </c>
      <c r="R71" s="34"/>
      <c r="S71" s="19">
        <f>'Private Car Analysis &amp; Split'!P75</f>
        <v>4916.5632753885529</v>
      </c>
      <c r="T71" s="26">
        <f t="shared" si="17"/>
        <v>0.14169786776304982</v>
      </c>
      <c r="U71" s="34"/>
      <c r="V71" s="19">
        <f>'Private Car Analysis &amp; Split'!X75</f>
        <v>183.94918774375452</v>
      </c>
      <c r="W71" s="26">
        <f t="shared" si="18"/>
        <v>5.3015096562496773E-3</v>
      </c>
      <c r="X71" s="34"/>
      <c r="Y71" s="19">
        <f>'Private Car Analysis &amp; Split'!AA75</f>
        <v>275.05157674226717</v>
      </c>
      <c r="Z71" s="26">
        <f t="shared" si="19"/>
        <v>7.927127093907688E-3</v>
      </c>
      <c r="AA71" s="30"/>
      <c r="AB71" s="100"/>
      <c r="AC71" s="13"/>
      <c r="AD71" s="13"/>
      <c r="AE71" s="13"/>
      <c r="AF71" s="13"/>
    </row>
    <row r="72" spans="1:33" ht="14.4" x14ac:dyDescent="0.3">
      <c r="B72" s="19">
        <f t="shared" si="11"/>
        <v>35718.895175557307</v>
      </c>
      <c r="C72" s="756">
        <f t="shared" si="20"/>
        <v>11893.117844128104</v>
      </c>
      <c r="D72" s="69">
        <f t="shared" si="12"/>
        <v>0.33296432562300105</v>
      </c>
      <c r="E72" s="7">
        <v>2021</v>
      </c>
      <c r="F72" s="7"/>
      <c r="G72" s="35">
        <v>1959.8086521002074</v>
      </c>
      <c r="H72" s="26">
        <f t="shared" si="13"/>
        <v>5.4867560781704086E-2</v>
      </c>
      <c r="I72" s="2"/>
      <c r="J72" s="35">
        <v>1265.0444465469695</v>
      </c>
      <c r="K72" s="26">
        <f t="shared" si="14"/>
        <v>3.5416673453344892E-2</v>
      </c>
      <c r="L72" s="24"/>
      <c r="M72" s="35">
        <v>397.16585610479069</v>
      </c>
      <c r="N72" s="26">
        <f t="shared" si="15"/>
        <v>1.111920887117959E-2</v>
      </c>
      <c r="O72" s="24"/>
      <c r="P72" s="25">
        <v>9796.407752946423</v>
      </c>
      <c r="Q72" s="26">
        <f t="shared" si="16"/>
        <v>0.27426401922000582</v>
      </c>
      <c r="R72" s="24"/>
      <c r="S72" s="19">
        <f>'Private Car Analysis &amp; Split'!P76</f>
        <v>5223.1300089008655</v>
      </c>
      <c r="T72" s="26">
        <f t="shared" si="17"/>
        <v>0.1462287672457207</v>
      </c>
      <c r="U72" s="24"/>
      <c r="V72" s="19">
        <f>'Private Car Analysis &amp; Split'!X76</f>
        <v>275.91427911087641</v>
      </c>
      <c r="W72" s="26">
        <f t="shared" si="18"/>
        <v>7.7246028398909299E-3</v>
      </c>
      <c r="X72" s="24"/>
      <c r="Y72" s="19">
        <f>'Private Car Analysis &amp; Split'!AA76</f>
        <v>317.14774072656041</v>
      </c>
      <c r="Z72" s="26">
        <f t="shared" si="19"/>
        <v>8.8789907741487727E-3</v>
      </c>
      <c r="AB72" s="100"/>
      <c r="AC72" s="13"/>
      <c r="AD72" s="13"/>
      <c r="AE72" s="13"/>
      <c r="AF72" s="13"/>
      <c r="AG72" s="91"/>
    </row>
    <row r="73" spans="1:33" ht="14.4" x14ac:dyDescent="0.3">
      <c r="B73" s="19">
        <f t="shared" si="11"/>
        <v>36748.653520328357</v>
      </c>
      <c r="C73" s="756">
        <f t="shared" si="20"/>
        <v>12427.421209297278</v>
      </c>
      <c r="D73" s="69">
        <f t="shared" si="12"/>
        <v>0.33817351164778775</v>
      </c>
      <c r="E73" s="7">
        <v>2022</v>
      </c>
      <c r="F73" s="7"/>
      <c r="G73" s="35">
        <v>2039.9372303391337</v>
      </c>
      <c r="H73" s="26">
        <f t="shared" si="13"/>
        <v>5.5510529908550141E-2</v>
      </c>
      <c r="I73" s="2"/>
      <c r="J73" s="35">
        <v>1333.6247707868076</v>
      </c>
      <c r="K73" s="26">
        <f t="shared" si="14"/>
        <v>3.6290439051027613E-2</v>
      </c>
      <c r="L73" s="24"/>
      <c r="M73" s="35">
        <v>431.6248027175767</v>
      </c>
      <c r="N73" s="26">
        <f t="shared" si="15"/>
        <v>1.1745322926697534E-2</v>
      </c>
      <c r="O73" s="24"/>
      <c r="P73" s="25">
        <v>9549.9565436913363</v>
      </c>
      <c r="Q73" s="26">
        <f t="shared" si="16"/>
        <v>0.25987228452897082</v>
      </c>
      <c r="R73" s="24"/>
      <c r="S73" s="19">
        <f>'Private Car Analysis &amp; Split'!P77</f>
        <v>5632.4097942228518</v>
      </c>
      <c r="T73" s="26">
        <f t="shared" si="17"/>
        <v>0.15326846713192241</v>
      </c>
      <c r="U73" s="24"/>
      <c r="V73" s="19">
        <f>'Private Car Analysis &amp; Split'!X77</f>
        <v>378.97236270527947</v>
      </c>
      <c r="W73" s="26">
        <f t="shared" si="18"/>
        <v>1.0312550975388588E-2</v>
      </c>
      <c r="X73" s="24"/>
      <c r="Y73" s="19">
        <f>'Private Car Analysis &amp; Split'!AA77</f>
        <v>363.22167068229345</v>
      </c>
      <c r="Z73" s="26">
        <f t="shared" si="19"/>
        <v>9.8839450126075798E-3</v>
      </c>
      <c r="AB73" s="13"/>
      <c r="AC73" s="68"/>
      <c r="AD73" s="99"/>
      <c r="AE73" s="99"/>
      <c r="AF73" s="13"/>
      <c r="AG73" s="91"/>
    </row>
    <row r="74" spans="1:33" ht="14.4" x14ac:dyDescent="0.3">
      <c r="B74" s="19">
        <f t="shared" si="11"/>
        <v>37781.871467732562</v>
      </c>
      <c r="C74" s="756">
        <f t="shared" si="20"/>
        <v>12500.699509719621</v>
      </c>
      <c r="D74" s="69">
        <f t="shared" si="12"/>
        <v>0.3308650160539503</v>
      </c>
      <c r="E74" s="7">
        <v>2023</v>
      </c>
      <c r="F74" s="7"/>
      <c r="G74" s="35">
        <v>2119.2258411460607</v>
      </c>
      <c r="H74" s="26">
        <f t="shared" si="13"/>
        <v>5.6091076455965817E-2</v>
      </c>
      <c r="I74" s="2"/>
      <c r="J74" s="35">
        <v>1401.129998827842</v>
      </c>
      <c r="K74" s="26">
        <f t="shared" si="14"/>
        <v>3.7084716674886546E-2</v>
      </c>
      <c r="L74" s="24"/>
      <c r="M74" s="35">
        <v>466.81466618913163</v>
      </c>
      <c r="N74" s="26">
        <f t="shared" si="15"/>
        <v>1.2355519937327948E-2</v>
      </c>
      <c r="O74" s="24"/>
      <c r="P74" s="25">
        <v>9965.6181269877852</v>
      </c>
      <c r="Q74" s="26">
        <f t="shared" si="16"/>
        <v>0.26376719150873396</v>
      </c>
      <c r="R74" s="24"/>
      <c r="S74" s="19">
        <f>'Private Car Analysis &amp; Split'!P78</f>
        <v>5844.7434763398942</v>
      </c>
      <c r="T74" s="26">
        <f t="shared" si="17"/>
        <v>0.1546970345640917</v>
      </c>
      <c r="U74" s="24"/>
      <c r="V74" s="19">
        <f>'Private Car Analysis &amp; Split'!X78</f>
        <v>490.06389550678392</v>
      </c>
      <c r="W74" s="26">
        <f t="shared" si="18"/>
        <v>1.2970874032148482E-2</v>
      </c>
      <c r="X74" s="24"/>
      <c r="Y74" s="19">
        <f>'Private Car Analysis &amp; Split'!AA78</f>
        <v>413.40520644768333</v>
      </c>
      <c r="Z74" s="26">
        <f t="shared" si="19"/>
        <v>1.0941893304590541E-2</v>
      </c>
      <c r="AB74" s="100"/>
      <c r="AC74" s="13"/>
      <c r="AD74" s="13"/>
      <c r="AF74" s="13"/>
      <c r="AG74" s="91"/>
    </row>
    <row r="75" spans="1:33" ht="14.4" x14ac:dyDescent="0.3">
      <c r="B75" s="19">
        <f t="shared" si="11"/>
        <v>38819.140722197262</v>
      </c>
      <c r="C75" s="756">
        <f t="shared" si="20"/>
        <v>12576.484737112387</v>
      </c>
      <c r="D75" s="69">
        <f t="shared" si="12"/>
        <v>0.3239763813195638</v>
      </c>
      <c r="E75" s="7">
        <v>2024</v>
      </c>
      <c r="F75" s="7"/>
      <c r="G75" s="35">
        <v>2197.6071853727703</v>
      </c>
      <c r="H75" s="26">
        <f t="shared" si="13"/>
        <v>5.6611433032471827E-2</v>
      </c>
      <c r="I75" s="2"/>
      <c r="J75" s="35">
        <v>1467.6037307434663</v>
      </c>
      <c r="K75" s="26">
        <f t="shared" si="14"/>
        <v>3.780618796397707E-2</v>
      </c>
      <c r="L75" s="24"/>
      <c r="M75" s="35">
        <v>502.72727370459057</v>
      </c>
      <c r="N75" s="26">
        <f t="shared" si="15"/>
        <v>1.2950499788294514E-2</v>
      </c>
      <c r="O75" s="24"/>
      <c r="P75" s="25">
        <v>10376.554917813648</v>
      </c>
      <c r="Q75" s="26">
        <f t="shared" si="16"/>
        <v>0.26730511610423685</v>
      </c>
      <c r="R75" s="24"/>
      <c r="S75" s="19">
        <f>'Private Car Analysis &amp; Split'!P79</f>
        <v>6063.974345221829</v>
      </c>
      <c r="T75" s="26">
        <f t="shared" si="17"/>
        <v>0.15621093698641231</v>
      </c>
      <c r="U75" s="24"/>
      <c r="V75" s="19">
        <f>'Private Car Analysis &amp; Split'!X79</f>
        <v>605.99661199876732</v>
      </c>
      <c r="W75" s="26">
        <f t="shared" si="18"/>
        <v>1.5610768314926946E-2</v>
      </c>
      <c r="X75" s="24"/>
      <c r="Y75" s="19">
        <f>'Private Car Analysis &amp; Split'!AA79</f>
        <v>467.83018786094738</v>
      </c>
      <c r="Z75" s="26">
        <f t="shared" si="19"/>
        <v>1.2051533835045357E-2</v>
      </c>
      <c r="AB75" s="100"/>
      <c r="AC75" s="13"/>
      <c r="AD75" s="13"/>
      <c r="AF75" s="13"/>
      <c r="AG75" s="91"/>
    </row>
    <row r="76" spans="1:33" ht="14.4" x14ac:dyDescent="0.3">
      <c r="B76" s="19">
        <f t="shared" si="11"/>
        <v>39854.069973673031</v>
      </c>
      <c r="C76" s="756">
        <f t="shared" si="20"/>
        <v>12651.108565191786</v>
      </c>
      <c r="D76" s="69">
        <f t="shared" si="12"/>
        <v>0.31743579949422751</v>
      </c>
      <c r="E76" s="7">
        <v>2025</v>
      </c>
      <c r="F76" s="7"/>
      <c r="G76" s="35">
        <v>2275.0139638710466</v>
      </c>
      <c r="H76" s="26">
        <f t="shared" si="13"/>
        <v>5.7083604394077815E-2</v>
      </c>
      <c r="I76" s="2"/>
      <c r="J76" s="35">
        <v>1533.0895666070742</v>
      </c>
      <c r="K76" s="26">
        <f t="shared" si="14"/>
        <v>3.8467578533881455E-2</v>
      </c>
      <c r="L76" s="24"/>
      <c r="M76" s="35">
        <v>539.35445244908851</v>
      </c>
      <c r="N76" s="26">
        <f t="shared" si="15"/>
        <v>1.3533233940859177E-2</v>
      </c>
      <c r="O76" s="24"/>
      <c r="P76" s="25">
        <v>10782.543099270131</v>
      </c>
      <c r="Q76" s="26">
        <f t="shared" si="16"/>
        <v>0.27055061393711882</v>
      </c>
      <c r="R76" s="24"/>
      <c r="S76" s="19">
        <f>'Private Car Analysis &amp; Split'!P80</f>
        <v>6288.5627370836346</v>
      </c>
      <c r="T76" s="26">
        <f t="shared" si="17"/>
        <v>0.15778972489479143</v>
      </c>
      <c r="U76" s="24"/>
      <c r="V76" s="19">
        <f>'Private Car Analysis &amp; Split'!X80</f>
        <v>723.44552416816475</v>
      </c>
      <c r="W76" s="26">
        <f t="shared" si="18"/>
        <v>1.8152362472541986E-2</v>
      </c>
      <c r="X76" s="24"/>
      <c r="Y76" s="19">
        <f>'Private Car Analysis &amp; Split'!AA80</f>
        <v>526.6284547603027</v>
      </c>
      <c r="Z76" s="26">
        <f t="shared" si="19"/>
        <v>1.321391905790764E-2</v>
      </c>
      <c r="AB76" s="13"/>
      <c r="AC76" s="68"/>
      <c r="AD76" s="13"/>
      <c r="AF76" s="13"/>
      <c r="AG76" s="91"/>
    </row>
    <row r="77" spans="1:33" ht="14.4" x14ac:dyDescent="0.3">
      <c r="B77" s="19">
        <f t="shared" si="11"/>
        <v>40909.376553962953</v>
      </c>
      <c r="C77" s="756">
        <f t="shared" si="20"/>
        <v>12737.351857387668</v>
      </c>
      <c r="D77" s="69">
        <f t="shared" si="12"/>
        <v>0.3113553158304922</v>
      </c>
      <c r="E77" s="7">
        <v>2026</v>
      </c>
      <c r="F77" s="7"/>
      <c r="G77" s="35">
        <v>2351.3788774926729</v>
      </c>
      <c r="H77" s="26">
        <f t="shared" si="13"/>
        <v>5.7477749004338989E-2</v>
      </c>
      <c r="I77" s="2"/>
      <c r="J77" s="35">
        <v>1597.6311064920596</v>
      </c>
      <c r="K77" s="26">
        <f t="shared" si="14"/>
        <v>3.9052932140988462E-2</v>
      </c>
      <c r="L77" s="24"/>
      <c r="M77" s="35">
        <v>576.68802960776088</v>
      </c>
      <c r="N77" s="26">
        <f t="shared" si="15"/>
        <v>1.4096720072159013E-2</v>
      </c>
      <c r="O77" s="24"/>
      <c r="P77" s="25">
        <v>11183.578449818533</v>
      </c>
      <c r="Q77" s="26">
        <f t="shared" si="16"/>
        <v>0.27337445328863519</v>
      </c>
      <c r="R77" s="24"/>
      <c r="S77" s="19">
        <f>'Private Car Analysis &amp; Split'!P81</f>
        <v>6525.1840328015996</v>
      </c>
      <c r="T77" s="26">
        <f t="shared" si="17"/>
        <v>0.15950338485834234</v>
      </c>
      <c r="U77" s="24"/>
      <c r="V77" s="19">
        <f>'Private Car Analysis &amp; Split'!X81</f>
        <v>838.95292150546845</v>
      </c>
      <c r="W77" s="26">
        <f t="shared" si="18"/>
        <v>2.0507594888394792E-2</v>
      </c>
      <c r="X77" s="24"/>
      <c r="Y77" s="19">
        <f>'Private Car Analysis &amp; Split'!AA81</f>
        <v>589.93184698396647</v>
      </c>
      <c r="Z77" s="26">
        <f t="shared" si="19"/>
        <v>1.4420455569783521E-2</v>
      </c>
      <c r="AB77" s="100"/>
      <c r="AC77" s="13"/>
      <c r="AD77" s="13"/>
      <c r="AF77" s="13"/>
      <c r="AG77" s="91"/>
    </row>
    <row r="78" spans="1:33" ht="14.4" x14ac:dyDescent="0.3">
      <c r="B78" s="19">
        <f t="shared" si="11"/>
        <v>41965.332801393772</v>
      </c>
      <c r="C78" s="756">
        <f t="shared" si="20"/>
        <v>12823.637489670506</v>
      </c>
      <c r="D78" s="69">
        <f t="shared" si="12"/>
        <v>0.30557692823169036</v>
      </c>
      <c r="E78" s="7">
        <v>2027</v>
      </c>
      <c r="F78" s="7"/>
      <c r="G78" s="35">
        <v>2426.6346270894328</v>
      </c>
      <c r="H78" s="26">
        <f t="shared" si="13"/>
        <v>5.7824744023210473E-2</v>
      </c>
      <c r="I78" s="2"/>
      <c r="J78" s="35">
        <v>1661.2719504718161</v>
      </c>
      <c r="K78" s="26">
        <f t="shared" si="14"/>
        <v>3.95867693539807E-2</v>
      </c>
      <c r="L78" s="24"/>
      <c r="M78" s="35">
        <v>614.71983236574238</v>
      </c>
      <c r="N78" s="26">
        <f t="shared" si="15"/>
        <v>1.4648277312013264E-2</v>
      </c>
      <c r="O78" s="24"/>
      <c r="P78" s="25">
        <v>11579.787724975431</v>
      </c>
      <c r="Q78" s="26">
        <f t="shared" si="16"/>
        <v>0.27593699255950704</v>
      </c>
      <c r="R78" s="24"/>
      <c r="S78" s="19">
        <f>'Private Car Analysis &amp; Split'!P82</f>
        <v>6768.4560729676596</v>
      </c>
      <c r="T78" s="26">
        <f t="shared" si="17"/>
        <v>0.16128684371455437</v>
      </c>
      <c r="U78" s="24"/>
      <c r="V78" s="19">
        <f>'Private Car Analysis &amp; Split'!X82</f>
        <v>948.92837100472798</v>
      </c>
      <c r="W78" s="26">
        <f t="shared" si="18"/>
        <v>2.2612196964948452E-2</v>
      </c>
      <c r="X78" s="24"/>
      <c r="Y78" s="19">
        <f>'Private Car Analysis &amp; Split'!AA82</f>
        <v>657.87220437015571</v>
      </c>
      <c r="Z78" s="26">
        <f t="shared" si="19"/>
        <v>1.5676563497866652E-2</v>
      </c>
      <c r="AB78" s="100"/>
      <c r="AC78" s="13"/>
      <c r="AD78" s="13"/>
      <c r="AF78" s="13"/>
      <c r="AG78" s="91"/>
    </row>
    <row r="79" spans="1:33" ht="14.4" x14ac:dyDescent="0.3">
      <c r="B79" s="19">
        <f t="shared" si="11"/>
        <v>43030.378640550611</v>
      </c>
      <c r="C79" s="756">
        <f t="shared" si="20"/>
        <v>12914.514371652764</v>
      </c>
      <c r="D79" s="69">
        <f t="shared" si="12"/>
        <v>0.30012551085205863</v>
      </c>
      <c r="E79" s="7">
        <v>2028</v>
      </c>
      <c r="F79" s="7"/>
      <c r="G79" s="35">
        <v>2500.7139135131092</v>
      </c>
      <c r="H79" s="26">
        <f t="shared" si="13"/>
        <v>5.8115080380829076E-2</v>
      </c>
      <c r="I79" s="2"/>
      <c r="J79" s="35">
        <v>1724.0556986197378</v>
      </c>
      <c r="K79" s="26">
        <f t="shared" si="14"/>
        <v>4.0066012735361721E-2</v>
      </c>
      <c r="L79" s="24"/>
      <c r="M79" s="35">
        <v>653.44168790816832</v>
      </c>
      <c r="N79" s="26">
        <f t="shared" si="15"/>
        <v>1.518559000762274E-2</v>
      </c>
      <c r="O79" s="24"/>
      <c r="P79" s="25">
        <v>11971.187550369123</v>
      </c>
      <c r="Q79" s="26">
        <f t="shared" si="16"/>
        <v>0.27820316549777729</v>
      </c>
      <c r="R79" s="24"/>
      <c r="S79" s="19">
        <f>'Private Car Analysis &amp; Split'!P83</f>
        <v>7021.0601528473817</v>
      </c>
      <c r="T79" s="26">
        <f t="shared" si="17"/>
        <v>0.16316519572130683</v>
      </c>
      <c r="U79" s="24"/>
      <c r="V79" s="19">
        <f>'Private Car Analysis &amp; Split'!X83</f>
        <v>1049.6487171635501</v>
      </c>
      <c r="W79" s="26">
        <f t="shared" si="18"/>
        <v>2.439320197323086E-2</v>
      </c>
      <c r="X79" s="24"/>
      <c r="Y79" s="19">
        <f>'Private Car Analysis &amp; Split'!AA83</f>
        <v>730.58136675708784</v>
      </c>
      <c r="Z79" s="26">
        <f t="shared" si="19"/>
        <v>1.697826953510952E-2</v>
      </c>
      <c r="AB79" s="13"/>
      <c r="AC79" s="68"/>
      <c r="AD79" s="13"/>
      <c r="AF79" s="13"/>
      <c r="AG79" s="91"/>
    </row>
    <row r="80" spans="1:33" ht="14.4" x14ac:dyDescent="0.3">
      <c r="B80" s="19">
        <f t="shared" si="11"/>
        <v>44105.840131241697</v>
      </c>
      <c r="C80" s="756">
        <f t="shared" si="20"/>
        <v>13010.427879407271</v>
      </c>
      <c r="D80" s="69">
        <f t="shared" si="12"/>
        <v>0.29498197609870563</v>
      </c>
      <c r="E80" s="7">
        <v>2029</v>
      </c>
      <c r="F80" s="7"/>
      <c r="G80" s="35">
        <v>2573.5494376154857</v>
      </c>
      <c r="H80" s="26">
        <f t="shared" si="13"/>
        <v>5.8349402935248734E-2</v>
      </c>
      <c r="I80" s="2"/>
      <c r="J80" s="35">
        <v>1786.025951009218</v>
      </c>
      <c r="K80" s="26">
        <f t="shared" si="14"/>
        <v>4.0494092067959814E-2</v>
      </c>
      <c r="L80" s="24"/>
      <c r="M80" s="35">
        <v>692.8454234201738</v>
      </c>
      <c r="N80" s="26">
        <f t="shared" si="15"/>
        <v>1.5708700284555E-2</v>
      </c>
      <c r="O80" s="24"/>
      <c r="P80" s="25">
        <v>12357.810927332541</v>
      </c>
      <c r="Q80" s="26">
        <f t="shared" si="16"/>
        <v>0.28018536526139254</v>
      </c>
      <c r="R80" s="24"/>
      <c r="S80" s="19">
        <f>'Private Car Analysis &amp; Split'!P84</f>
        <v>7283.683363148567</v>
      </c>
      <c r="T80" s="26">
        <f t="shared" si="17"/>
        <v>0.16514101854709443</v>
      </c>
      <c r="U80" s="24"/>
      <c r="V80" s="19">
        <f>'Private Car Analysis &amp; Split'!X84</f>
        <v>1137.2580819830994</v>
      </c>
      <c r="W80" s="26">
        <f t="shared" si="18"/>
        <v>2.5784750468397493E-2</v>
      </c>
      <c r="X80" s="24"/>
      <c r="Y80" s="19">
        <f>'Private Car Analysis &amp; Split'!AA84</f>
        <v>808.1911739829801</v>
      </c>
      <c r="Z80" s="26">
        <f t="shared" si="19"/>
        <v>1.8323903854412928E-2</v>
      </c>
      <c r="AB80" s="100"/>
      <c r="AC80" s="13"/>
      <c r="AD80" s="13"/>
      <c r="AF80" s="13"/>
      <c r="AG80" s="91"/>
    </row>
    <row r="81" spans="2:33" ht="14.4" x14ac:dyDescent="0.3">
      <c r="B81" s="19">
        <f t="shared" si="11"/>
        <v>45179.177847550411</v>
      </c>
      <c r="C81" s="756">
        <f t="shared" si="20"/>
        <v>13104.273235102854</v>
      </c>
      <c r="D81" s="69">
        <f t="shared" si="12"/>
        <v>0.29005116647587159</v>
      </c>
      <c r="E81" s="7">
        <v>2030</v>
      </c>
      <c r="F81" s="7"/>
      <c r="G81" s="35">
        <v>2645.0739002483451</v>
      </c>
      <c r="H81" s="26">
        <f t="shared" si="13"/>
        <v>5.8546304431959899E-2</v>
      </c>
      <c r="I81" s="2"/>
      <c r="J81" s="35">
        <v>1847.2263077136508</v>
      </c>
      <c r="K81" s="26">
        <f t="shared" si="14"/>
        <v>4.0886673811258968E-2</v>
      </c>
      <c r="L81" s="24"/>
      <c r="M81" s="35">
        <v>732.92286608689381</v>
      </c>
      <c r="N81" s="26">
        <f t="shared" si="15"/>
        <v>1.6222580865902864E-2</v>
      </c>
      <c r="O81" s="24"/>
      <c r="P81" s="25">
        <v>12739.69154438873</v>
      </c>
      <c r="Q81" s="26">
        <f t="shared" si="16"/>
        <v>0.28198148242928839</v>
      </c>
      <c r="R81" s="24"/>
      <c r="S81" s="19">
        <f>'Private Car Analysis &amp; Split'!P85</f>
        <v>7552.7092044681376</v>
      </c>
      <c r="T81" s="26">
        <f t="shared" si="17"/>
        <v>0.16717234718067453</v>
      </c>
      <c r="U81" s="24"/>
      <c r="V81" s="19">
        <f>'Private Car Analysis &amp; Split'!X85</f>
        <v>1207.7678649680975</v>
      </c>
      <c r="W81" s="26">
        <f t="shared" si="18"/>
        <v>2.6732842926967561E-2</v>
      </c>
      <c r="X81" s="24"/>
      <c r="Y81" s="19">
        <f>'Private Car Analysis &amp; Split'!AA85</f>
        <v>801.75011929744448</v>
      </c>
      <c r="Z81" s="26">
        <f t="shared" si="19"/>
        <v>1.774600950027945E-2</v>
      </c>
      <c r="AB81" s="100"/>
      <c r="AC81" s="13"/>
      <c r="AD81" s="13"/>
      <c r="AF81" s="13"/>
      <c r="AG81" s="91"/>
    </row>
    <row r="82" spans="2:33" ht="14.4" x14ac:dyDescent="0.3">
      <c r="B82" s="19">
        <f t="shared" si="11"/>
        <v>46293.203311531608</v>
      </c>
      <c r="C82" s="756">
        <f t="shared" si="20"/>
        <v>13218.946771090876</v>
      </c>
      <c r="D82" s="69">
        <f t="shared" si="12"/>
        <v>0.28554832730268298</v>
      </c>
      <c r="E82" s="7">
        <v>2031</v>
      </c>
      <c r="F82" s="7"/>
      <c r="G82" s="35">
        <v>2715.2200022634715</v>
      </c>
      <c r="H82" s="26">
        <f t="shared" si="13"/>
        <v>5.8652670544125256E-2</v>
      </c>
      <c r="I82" s="2"/>
      <c r="J82" s="35">
        <v>1907.7003688064297</v>
      </c>
      <c r="K82" s="26">
        <f t="shared" si="14"/>
        <v>4.1209081081913866E-2</v>
      </c>
      <c r="L82" s="24"/>
      <c r="M82" s="35">
        <v>773.66584309346365</v>
      </c>
      <c r="N82" s="26">
        <f t="shared" si="15"/>
        <v>1.6712298733942744E-2</v>
      </c>
      <c r="O82" s="24"/>
      <c r="P82" s="25">
        <v>13116.840863967875</v>
      </c>
      <c r="Q82" s="26">
        <f t="shared" si="16"/>
        <v>0.28334269235372783</v>
      </c>
      <c r="R82" s="24"/>
      <c r="S82" s="19">
        <f>'Private Car Analysis &amp; Split'!P86</f>
        <v>7841.8596354267829</v>
      </c>
      <c r="T82" s="26">
        <f t="shared" si="17"/>
        <v>0.16939548517856359</v>
      </c>
      <c r="U82" s="24"/>
      <c r="V82" s="19">
        <f>'Private Car Analysis &amp; Split'!X86</f>
        <v>1396.729714585359</v>
      </c>
      <c r="W82" s="26">
        <f t="shared" si="18"/>
        <v>3.0171377538642578E-2</v>
      </c>
      <c r="X82" s="24"/>
      <c r="Y82" s="19">
        <f>'Private Car Analysis &amp; Split'!AA86</f>
        <v>880.77607407406197</v>
      </c>
      <c r="Z82" s="26">
        <f t="shared" si="19"/>
        <v>1.9026034300258957E-2</v>
      </c>
      <c r="AB82" s="13"/>
      <c r="AC82" s="68"/>
      <c r="AD82" s="13"/>
      <c r="AF82" s="13"/>
      <c r="AG82" s="91"/>
    </row>
    <row r="83" spans="2:33" ht="14.4" x14ac:dyDescent="0.3">
      <c r="B83" s="19">
        <f t="shared" si="11"/>
        <v>47407.816241047607</v>
      </c>
      <c r="C83" s="756">
        <f t="shared" si="20"/>
        <v>13332.310181238296</v>
      </c>
      <c r="D83" s="69">
        <f t="shared" si="12"/>
        <v>0.28122599263905013</v>
      </c>
      <c r="E83" s="7">
        <v>2032</v>
      </c>
      <c r="F83" s="7"/>
      <c r="G83" s="35">
        <v>2783.9204445126488</v>
      </c>
      <c r="H83" s="26">
        <f t="shared" si="13"/>
        <v>5.8722815460591028E-2</v>
      </c>
      <c r="I83" s="2"/>
      <c r="J83" s="35">
        <v>1967.4917343609484</v>
      </c>
      <c r="K83" s="26">
        <f t="shared" si="14"/>
        <v>4.150142087028709E-2</v>
      </c>
      <c r="L83" s="24"/>
      <c r="M83" s="35">
        <v>815.0661816250182</v>
      </c>
      <c r="N83" s="26">
        <f t="shared" si="15"/>
        <v>1.7192654002048315E-2</v>
      </c>
      <c r="O83" s="24"/>
      <c r="P83" s="25">
        <v>13489.334275324771</v>
      </c>
      <c r="Q83" s="26">
        <f t="shared" si="16"/>
        <v>0.28453819105983535</v>
      </c>
      <c r="R83" s="24"/>
      <c r="S83" s="19">
        <f>'Private Car Analysis &amp; Split'!P87</f>
        <v>8138.9492953407389</v>
      </c>
      <c r="T83" s="26">
        <f t="shared" si="17"/>
        <v>0.1716794811631443</v>
      </c>
      <c r="U83" s="24"/>
      <c r="V83" s="19">
        <f>'Private Car Analysis &amp; Split'!X87</f>
        <v>1601.0883387138911</v>
      </c>
      <c r="W83" s="26">
        <f t="shared" si="18"/>
        <v>3.3772665894861532E-2</v>
      </c>
      <c r="X83" s="24"/>
      <c r="Y83" s="19">
        <f>'Private Car Analysis &amp; Split'!AA87</f>
        <v>964.56857676892969</v>
      </c>
      <c r="Z83" s="26">
        <f t="shared" si="19"/>
        <v>2.0346192954016878E-2</v>
      </c>
      <c r="AB83" s="100"/>
      <c r="AC83" s="13"/>
      <c r="AD83" s="13"/>
      <c r="AF83" s="13"/>
      <c r="AG83" s="91"/>
    </row>
    <row r="84" spans="2:33" ht="14.4" x14ac:dyDescent="0.3">
      <c r="B84" s="19">
        <f t="shared" si="11"/>
        <v>48538.588788213543</v>
      </c>
      <c r="C84" s="756">
        <f t="shared" si="20"/>
        <v>13452.288848826463</v>
      </c>
      <c r="D84" s="69">
        <f t="shared" si="12"/>
        <v>0.27714627031128347</v>
      </c>
      <c r="E84" s="7">
        <v>2033</v>
      </c>
      <c r="F84" s="7"/>
      <c r="G84" s="35">
        <v>2851.1079278476591</v>
      </c>
      <c r="H84" s="26">
        <f t="shared" si="13"/>
        <v>5.8738995076428421E-2</v>
      </c>
      <c r="I84" s="2"/>
      <c r="J84" s="35">
        <v>2026.6440044506005</v>
      </c>
      <c r="K84" s="26">
        <f t="shared" si="14"/>
        <v>4.1753253546232549E-2</v>
      </c>
      <c r="L84" s="24"/>
      <c r="M84" s="35">
        <v>857.11570886669278</v>
      </c>
      <c r="N84" s="26">
        <f t="shared" si="15"/>
        <v>1.7658438991840306E-2</v>
      </c>
      <c r="O84" s="24"/>
      <c r="P84" s="25">
        <v>13857.394934456308</v>
      </c>
      <c r="Q84" s="26">
        <f t="shared" si="16"/>
        <v>0.28549233260405898</v>
      </c>
      <c r="R84" s="24"/>
      <c r="S84" s="19">
        <f>'Private Car Analysis &amp; Split'!P88</f>
        <v>8449.1735354241773</v>
      </c>
      <c r="T84" s="26">
        <f t="shared" si="17"/>
        <v>0.17407126466511241</v>
      </c>
      <c r="U84" s="24"/>
      <c r="V84" s="19">
        <f>'Private Car Analysis &amp; Split'!X88</f>
        <v>1821.1755435947996</v>
      </c>
      <c r="W84" s="26">
        <f t="shared" si="18"/>
        <v>3.7520158477228518E-2</v>
      </c>
      <c r="X84" s="24"/>
      <c r="Y84" s="19">
        <f>'Private Car Analysis &amp; Split'!AA88</f>
        <v>1053.2462832364433</v>
      </c>
      <c r="Z84" s="26">
        <f t="shared" si="19"/>
        <v>2.1699153385608926E-2</v>
      </c>
      <c r="AB84" s="100"/>
      <c r="AC84" s="13"/>
      <c r="AD84" s="13"/>
      <c r="AF84" s="13"/>
      <c r="AG84" s="91"/>
    </row>
    <row r="85" spans="2:33" ht="14.4" x14ac:dyDescent="0.3">
      <c r="B85" s="19">
        <f t="shared" si="11"/>
        <v>49687.414462031556</v>
      </c>
      <c r="C85" s="756">
        <f t="shared" si="20"/>
        <v>13579.305155584105</v>
      </c>
      <c r="D85" s="69">
        <f t="shared" si="12"/>
        <v>0.27329466229241367</v>
      </c>
      <c r="E85" s="7">
        <v>2034</v>
      </c>
      <c r="F85" s="7"/>
      <c r="G85" s="35">
        <v>2916.7151531202853</v>
      </c>
      <c r="H85" s="26">
        <f t="shared" si="13"/>
        <v>5.8701286526975191E-2</v>
      </c>
      <c r="I85" s="2"/>
      <c r="J85" s="35">
        <v>2085.2007791487804</v>
      </c>
      <c r="K85" s="26">
        <f t="shared" si="14"/>
        <v>4.1966377235067812E-2</v>
      </c>
      <c r="L85" s="24"/>
      <c r="M85" s="35">
        <v>899.80625200362238</v>
      </c>
      <c r="N85" s="26">
        <f t="shared" si="15"/>
        <v>1.8109339391994442E-2</v>
      </c>
      <c r="O85" s="24"/>
      <c r="P85" s="25">
        <v>14221.322840737213</v>
      </c>
      <c r="Q85" s="26">
        <f t="shared" si="16"/>
        <v>0.28621579518097851</v>
      </c>
      <c r="R85" s="24"/>
      <c r="S85" s="19">
        <f>'Private Car Analysis &amp; Split'!P89</f>
        <v>8773.460532620189</v>
      </c>
      <c r="T85" s="26">
        <f t="shared" si="17"/>
        <v>0.17657309456752665</v>
      </c>
      <c r="U85" s="24"/>
      <c r="V85" s="19">
        <f>'Private Car Analysis &amp; Split'!X89</f>
        <v>2057.3231354691916</v>
      </c>
      <c r="W85" s="26">
        <f t="shared" si="18"/>
        <v>4.1405316773753385E-2</v>
      </c>
      <c r="X85" s="24"/>
      <c r="Y85" s="19">
        <f>'Private Car Analysis &amp; Split'!AA89</f>
        <v>1146.9278493309982</v>
      </c>
      <c r="Z85" s="26">
        <f t="shared" si="19"/>
        <v>2.3082864378210274E-2</v>
      </c>
      <c r="AB85" s="13"/>
      <c r="AC85" s="68"/>
      <c r="AD85" s="13"/>
      <c r="AF85" s="13"/>
      <c r="AG85" s="91"/>
    </row>
    <row r="86" spans="2:33" ht="14.4" x14ac:dyDescent="0.3">
      <c r="B86" s="19">
        <f t="shared" si="11"/>
        <v>50841.012954346224</v>
      </c>
      <c r="C86" s="756">
        <f t="shared" si="20"/>
        <v>13705.987554024776</v>
      </c>
      <c r="D86" s="69">
        <f t="shared" si="12"/>
        <v>0.26958525720823778</v>
      </c>
      <c r="E86" s="7">
        <v>2035</v>
      </c>
      <c r="F86" s="7"/>
      <c r="G86" s="35">
        <v>2980.6748211823124</v>
      </c>
      <c r="H86" s="26">
        <f t="shared" si="13"/>
        <v>5.8627368889342807E-2</v>
      </c>
      <c r="I86" s="2"/>
      <c r="J86" s="35">
        <v>2143.205658528881</v>
      </c>
      <c r="K86" s="26">
        <f t="shared" si="14"/>
        <v>4.2155054236496396E-2</v>
      </c>
      <c r="L86" s="24"/>
      <c r="M86" s="35">
        <v>943.12963822094207</v>
      </c>
      <c r="N86" s="26">
        <f t="shared" si="15"/>
        <v>1.8550567414300841E-2</v>
      </c>
      <c r="O86" s="24"/>
      <c r="P86" s="25">
        <v>14581.359070785407</v>
      </c>
      <c r="Q86" s="26">
        <f t="shared" si="16"/>
        <v>0.286803079314707</v>
      </c>
      <c r="R86" s="24"/>
      <c r="S86" s="19">
        <f>'Private Car Analysis &amp; Split'!P90</f>
        <v>9107.6198180840565</v>
      </c>
      <c r="T86" s="26">
        <f t="shared" si="17"/>
        <v>0.17913922813187139</v>
      </c>
      <c r="U86" s="24"/>
      <c r="V86" s="19">
        <f>'Private Car Analysis &amp; Split'!X90</f>
        <v>2309.8629205781745</v>
      </c>
      <c r="W86" s="26">
        <f t="shared" si="18"/>
        <v>4.543306252871801E-2</v>
      </c>
      <c r="X86" s="24"/>
      <c r="Y86" s="19">
        <f>'Private Car Analysis &amp; Split'!AA90</f>
        <v>1245.7319309069903</v>
      </c>
      <c r="Z86" s="26">
        <f t="shared" si="19"/>
        <v>2.4502500216225472E-2</v>
      </c>
      <c r="AB86" s="100"/>
      <c r="AC86" s="13"/>
      <c r="AD86" s="13"/>
      <c r="AF86" s="13"/>
      <c r="AG86" s="91"/>
    </row>
    <row r="87" spans="2:33" ht="14.4" x14ac:dyDescent="0.3">
      <c r="B87" s="19">
        <f t="shared" si="11"/>
        <v>52046.039805783817</v>
      </c>
      <c r="C87" s="756">
        <f t="shared" si="20"/>
        <v>13855.773687868925</v>
      </c>
      <c r="D87" s="69">
        <f t="shared" si="12"/>
        <v>0.26622147889778824</v>
      </c>
      <c r="E87" s="7">
        <v>2036</v>
      </c>
      <c r="F87" s="7"/>
      <c r="G87" s="35">
        <v>3042.9196328855232</v>
      </c>
      <c r="H87" s="26">
        <f t="shared" si="13"/>
        <v>5.8465920639505932E-2</v>
      </c>
      <c r="I87" s="2"/>
      <c r="J87" s="35">
        <v>2200.7022426642961</v>
      </c>
      <c r="K87" s="26">
        <f t="shared" si="14"/>
        <v>4.2283759741884044E-2</v>
      </c>
      <c r="L87" s="24"/>
      <c r="M87" s="35">
        <v>987.07769470378685</v>
      </c>
      <c r="N87" s="26">
        <f t="shared" si="15"/>
        <v>1.8965471693661771E-2</v>
      </c>
      <c r="O87" s="24"/>
      <c r="P87" s="25">
        <v>14937.642683843538</v>
      </c>
      <c r="Q87" s="26">
        <f t="shared" si="16"/>
        <v>0.28700824768964528</v>
      </c>
      <c r="R87" s="24"/>
      <c r="S87" s="19">
        <f>'Private Car Analysis &amp; Split'!P91</f>
        <v>9467.9905421050789</v>
      </c>
      <c r="T87" s="26">
        <f t="shared" si="17"/>
        <v>0.18191567653247101</v>
      </c>
      <c r="U87" s="24"/>
      <c r="V87" s="19">
        <f>'Private Car Analysis &amp; Split'!X91</f>
        <v>2579.1267051628538</v>
      </c>
      <c r="W87" s="26">
        <f t="shared" si="18"/>
        <v>4.9554715686096033E-2</v>
      </c>
      <c r="X87" s="24"/>
      <c r="Y87" s="19">
        <f>'Private Car Analysis &amp; Split'!AA91</f>
        <v>1349.7771838188141</v>
      </c>
      <c r="Z87" s="26">
        <f t="shared" si="19"/>
        <v>2.593429180886141E-2</v>
      </c>
      <c r="AB87" s="100"/>
      <c r="AC87" s="13"/>
      <c r="AD87" s="13"/>
      <c r="AF87" s="13"/>
      <c r="AG87" s="91"/>
    </row>
    <row r="88" spans="2:33" ht="14.4" x14ac:dyDescent="0.3">
      <c r="B88" s="19">
        <f t="shared" si="11"/>
        <v>53258.618900917121</v>
      </c>
      <c r="C88" s="756">
        <f t="shared" si="20"/>
        <v>14005.654118728407</v>
      </c>
      <c r="D88" s="69">
        <f t="shared" si="12"/>
        <v>0.26297441442829506</v>
      </c>
      <c r="E88" s="7">
        <v>2037</v>
      </c>
      <c r="F88" s="7"/>
      <c r="G88" s="35">
        <v>3103.3822890817005</v>
      </c>
      <c r="H88" s="26">
        <f t="shared" si="13"/>
        <v>5.8270048174836539E-2</v>
      </c>
      <c r="I88" s="2"/>
      <c r="J88" s="35">
        <v>2257.7341316284201</v>
      </c>
      <c r="K88" s="26">
        <f t="shared" si="14"/>
        <v>4.2391901596786276E-2</v>
      </c>
      <c r="L88" s="24"/>
      <c r="M88" s="35">
        <v>1031.6422486372921</v>
      </c>
      <c r="N88" s="26">
        <f t="shared" si="15"/>
        <v>1.9370428109609261E-2</v>
      </c>
      <c r="O88" s="24"/>
      <c r="P88" s="25">
        <v>15290.180631642479</v>
      </c>
      <c r="Q88" s="26">
        <f t="shared" si="16"/>
        <v>0.28709307427007236</v>
      </c>
      <c r="R88" s="24"/>
      <c r="S88" s="19">
        <f>'Private Car Analysis &amp; Split'!P92</f>
        <v>9840.0991028363005</v>
      </c>
      <c r="T88" s="26">
        <f t="shared" si="17"/>
        <v>0.18476068861535672</v>
      </c>
      <c r="U88" s="24"/>
      <c r="V88" s="19">
        <f>'Private Car Analysis &amp; Split'!X92</f>
        <v>2865.4462954643373</v>
      </c>
      <c r="W88" s="26">
        <f t="shared" si="18"/>
        <v>5.3802489711482056E-2</v>
      </c>
      <c r="X88" s="24"/>
      <c r="Y88" s="19">
        <f>'Private Car Analysis &amp; Split'!AA92</f>
        <v>1459.1822639208658</v>
      </c>
      <c r="Z88" s="26">
        <f t="shared" si="19"/>
        <v>2.7398049255380492E-2</v>
      </c>
      <c r="AB88" s="13"/>
      <c r="AC88" s="68"/>
      <c r="AD88" s="13"/>
      <c r="AF88" s="13"/>
      <c r="AG88" s="91"/>
    </row>
    <row r="89" spans="2:33" ht="14.4" x14ac:dyDescent="0.3">
      <c r="B89" s="19">
        <f t="shared" si="11"/>
        <v>54494.926096628529</v>
      </c>
      <c r="C89" s="756">
        <f t="shared" si="20"/>
        <v>14163.470715763578</v>
      </c>
      <c r="D89" s="69">
        <f t="shared" si="12"/>
        <v>0.25990439349618344</v>
      </c>
      <c r="E89" s="7">
        <v>2038</v>
      </c>
      <c r="F89" s="7"/>
      <c r="G89" s="35">
        <v>3161.9954906226276</v>
      </c>
      <c r="H89" s="26">
        <f t="shared" si="13"/>
        <v>5.8023667836816326E-2</v>
      </c>
      <c r="I89" s="2"/>
      <c r="J89" s="35">
        <v>2314.3449254946468</v>
      </c>
      <c r="K89" s="26">
        <f t="shared" si="14"/>
        <v>4.2468998331898461E-2</v>
      </c>
      <c r="L89" s="24"/>
      <c r="M89" s="35">
        <v>1076.8151272065929</v>
      </c>
      <c r="N89" s="26">
        <f t="shared" si="15"/>
        <v>1.9759915359775355E-2</v>
      </c>
      <c r="O89" s="24"/>
      <c r="P89" s="25">
        <v>15638.916228250859</v>
      </c>
      <c r="Q89" s="26">
        <f t="shared" si="16"/>
        <v>0.28697930887217776</v>
      </c>
      <c r="R89" s="24"/>
      <c r="S89" s="19">
        <f>'Private Car Analysis &amp; Split'!P93</f>
        <v>10230.020290933669</v>
      </c>
      <c r="T89" s="26">
        <f t="shared" si="17"/>
        <v>0.18772427129810487</v>
      </c>
      <c r="U89" s="24"/>
      <c r="V89" s="19">
        <f>'Private Car Analysis &amp; Split'!X93</f>
        <v>3169.1534977237311</v>
      </c>
      <c r="W89" s="26">
        <f t="shared" si="18"/>
        <v>5.8155019645394088E-2</v>
      </c>
      <c r="X89" s="24"/>
      <c r="Y89" s="19">
        <f>'Private Car Analysis &amp; Split'!AA93</f>
        <v>1574.065827067541</v>
      </c>
      <c r="Z89" s="26">
        <f t="shared" si="19"/>
        <v>2.8884630915481223E-2</v>
      </c>
      <c r="AB89" s="100"/>
      <c r="AC89" s="13"/>
      <c r="AD89" s="99"/>
      <c r="AE89" s="99"/>
      <c r="AF89" s="13"/>
      <c r="AG89" s="99"/>
    </row>
    <row r="90" spans="2:33" ht="14.4" x14ac:dyDescent="0.3">
      <c r="B90" s="19">
        <f t="shared" si="11"/>
        <v>55755.934649449395</v>
      </c>
      <c r="C90" s="756">
        <f t="shared" si="20"/>
        <v>14329.278105998834</v>
      </c>
      <c r="D90" s="69">
        <f t="shared" si="12"/>
        <v>0.25700005203195603</v>
      </c>
      <c r="E90" s="7">
        <v>2039</v>
      </c>
      <c r="F90" s="7"/>
      <c r="G90" s="35">
        <v>3218.6919383600889</v>
      </c>
      <c r="H90" s="26">
        <f t="shared" si="13"/>
        <v>5.7728239309353488E-2</v>
      </c>
      <c r="I90" s="2"/>
      <c r="J90" s="35">
        <v>2370.5782243363692</v>
      </c>
      <c r="K90" s="26">
        <f t="shared" si="14"/>
        <v>4.2517056511396485E-2</v>
      </c>
      <c r="L90" s="24"/>
      <c r="M90" s="35">
        <v>1122.588157596824</v>
      </c>
      <c r="N90" s="26">
        <f t="shared" si="15"/>
        <v>2.0133967166989456E-2</v>
      </c>
      <c r="O90" s="24"/>
      <c r="P90" s="25">
        <v>15983.713832246103</v>
      </c>
      <c r="Q90" s="26">
        <f t="shared" si="16"/>
        <v>0.28667287047987722</v>
      </c>
      <c r="R90" s="24"/>
      <c r="S90" s="19">
        <f>'Private Car Analysis &amp; Split'!P94</f>
        <v>10638.698991303783</v>
      </c>
      <c r="T90" s="26">
        <f t="shared" si="17"/>
        <v>0.19080836969538351</v>
      </c>
      <c r="U90" s="24"/>
      <c r="V90" s="19">
        <f>'Private Car Analysis &amp; Split'!X94</f>
        <v>3490.5801181821416</v>
      </c>
      <c r="W90" s="26">
        <f t="shared" si="18"/>
        <v>6.2604638234983148E-2</v>
      </c>
      <c r="X90" s="24"/>
      <c r="Y90" s="19">
        <f>'Private Car Analysis &amp; Split'!AA94</f>
        <v>1769.8597081849341</v>
      </c>
      <c r="Z90" s="26">
        <f t="shared" si="19"/>
        <v>3.1742983402797499E-2</v>
      </c>
      <c r="AB90" s="100"/>
      <c r="AC90" s="13"/>
      <c r="AD90" s="13"/>
      <c r="AE90" s="13"/>
      <c r="AF90" s="13"/>
      <c r="AG90" s="99"/>
    </row>
    <row r="91" spans="2:33" ht="14.4" x14ac:dyDescent="0.3">
      <c r="B91" s="19">
        <f t="shared" si="11"/>
        <v>57039.963217901495</v>
      </c>
      <c r="C91" s="756">
        <f t="shared" si="20"/>
        <v>14501.802442217493</v>
      </c>
      <c r="D91" s="69">
        <f t="shared" si="12"/>
        <v>0.25423933719624542</v>
      </c>
      <c r="E91" s="7">
        <v>2040</v>
      </c>
      <c r="F91" s="7"/>
      <c r="G91" s="35">
        <v>3273.404333145867</v>
      </c>
      <c r="H91" s="26">
        <f t="shared" si="13"/>
        <v>5.7387911009706569E-2</v>
      </c>
      <c r="I91" s="2"/>
      <c r="J91" s="35">
        <v>2426.4776282269813</v>
      </c>
      <c r="K91" s="26">
        <f t="shared" si="14"/>
        <v>4.2539957800418998E-2</v>
      </c>
      <c r="L91" s="24"/>
      <c r="M91" s="35">
        <v>1168.9531669931209</v>
      </c>
      <c r="N91" s="26">
        <f t="shared" si="15"/>
        <v>2.0493582061537081E-2</v>
      </c>
      <c r="O91" s="24"/>
      <c r="P91" s="25">
        <v>16324.463344821199</v>
      </c>
      <c r="Q91" s="26">
        <f t="shared" si="16"/>
        <v>0.28619344094699395</v>
      </c>
      <c r="R91" s="24"/>
      <c r="S91" s="19">
        <f>'Private Car Analysis &amp; Split'!P95</f>
        <v>11066.113709350495</v>
      </c>
      <c r="T91" s="26">
        <f t="shared" si="17"/>
        <v>0.19400632618005426</v>
      </c>
      <c r="U91" s="24"/>
      <c r="V91" s="19">
        <f>'Private Car Analysis &amp; Split'!X95</f>
        <v>3830.0579630806756</v>
      </c>
      <c r="W91" s="26">
        <f t="shared" si="18"/>
        <v>6.7146922035157361E-2</v>
      </c>
      <c r="X91" s="24"/>
      <c r="Y91" s="19">
        <f>'Private Car Analysis &amp; Split'!AA95</f>
        <v>1982.5868504378839</v>
      </c>
      <c r="Z91" s="26">
        <f t="shared" si="19"/>
        <v>3.4757856397348907E-2</v>
      </c>
      <c r="AB91" s="13"/>
      <c r="AC91" s="68"/>
      <c r="AD91" s="68"/>
      <c r="AE91" s="68"/>
      <c r="AF91" s="13"/>
      <c r="AG91" s="99"/>
    </row>
    <row r="92" spans="2:33" ht="14.4" x14ac:dyDescent="0.3">
      <c r="B92" s="19">
        <f t="shared" si="11"/>
        <v>58356.304790103561</v>
      </c>
      <c r="C92" s="756">
        <f t="shared" si="20"/>
        <v>14685.005135797159</v>
      </c>
      <c r="D92" s="69">
        <f t="shared" si="12"/>
        <v>0.25164384874293028</v>
      </c>
      <c r="E92" s="7">
        <v>2041</v>
      </c>
      <c r="F92" s="7"/>
      <c r="G92" s="35">
        <v>3326.0653758317458</v>
      </c>
      <c r="H92" s="26">
        <f t="shared" si="13"/>
        <v>5.6995818837312695E-2</v>
      </c>
      <c r="I92" s="2"/>
      <c r="J92" s="35">
        <v>2482.0867372398761</v>
      </c>
      <c r="K92" s="26">
        <f t="shared" si="14"/>
        <v>4.2533308888687629E-2</v>
      </c>
      <c r="L92" s="24"/>
      <c r="M92" s="35">
        <v>1215.9019825806186</v>
      </c>
      <c r="N92" s="26">
        <f t="shared" si="15"/>
        <v>2.0835828912642514E-2</v>
      </c>
      <c r="O92" s="24"/>
      <c r="P92" s="25">
        <v>16661.157444247587</v>
      </c>
      <c r="Q92" s="26">
        <f t="shared" si="16"/>
        <v>0.28550741011060543</v>
      </c>
      <c r="R92" s="24"/>
      <c r="S92" s="19">
        <f>'Private Car Analysis &amp; Split'!P96</f>
        <v>11516.286436297019</v>
      </c>
      <c r="T92" s="26">
        <f t="shared" si="17"/>
        <v>0.19734433970277751</v>
      </c>
      <c r="U92" s="24"/>
      <c r="V92" s="19">
        <f>'Private Car Analysis &amp; Split'!X96</f>
        <v>4187.9188386604401</v>
      </c>
      <c r="W92" s="26">
        <f t="shared" si="18"/>
        <v>7.176463372250147E-2</v>
      </c>
      <c r="X92" s="24"/>
      <c r="Y92" s="19">
        <f>'Private Car Analysis &amp; Split'!AA96</f>
        <v>2213.1438364284941</v>
      </c>
      <c r="Z92" s="26">
        <f t="shared" si="19"/>
        <v>3.7924674024319191E-2</v>
      </c>
      <c r="AB92" s="100"/>
      <c r="AC92" s="13"/>
      <c r="AD92" s="13"/>
      <c r="AE92" s="13"/>
      <c r="AF92" s="13"/>
      <c r="AG92" s="99"/>
    </row>
    <row r="93" spans="2:33" ht="14.4" x14ac:dyDescent="0.3">
      <c r="B93" s="19">
        <f t="shared" si="11"/>
        <v>59698.163966034866</v>
      </c>
      <c r="C93" s="756">
        <f t="shared" si="20"/>
        <v>14874.994245481879</v>
      </c>
      <c r="D93" s="69">
        <f t="shared" si="12"/>
        <v>0.24917004573113793</v>
      </c>
      <c r="E93" s="7">
        <v>2042</v>
      </c>
      <c r="F93" s="7"/>
      <c r="G93" s="35">
        <v>3376.6077672695073</v>
      </c>
      <c r="H93" s="26">
        <f t="shared" si="13"/>
        <v>5.656133359797498E-2</v>
      </c>
      <c r="I93" s="2"/>
      <c r="J93" s="35">
        <v>2537.4491514484494</v>
      </c>
      <c r="K93" s="26">
        <f t="shared" si="14"/>
        <v>4.2504643072308307E-2</v>
      </c>
      <c r="L93" s="24"/>
      <c r="M93" s="35">
        <v>1263.4264315444518</v>
      </c>
      <c r="N93" s="26">
        <f t="shared" si="15"/>
        <v>2.1163572673077106E-2</v>
      </c>
      <c r="O93" s="24"/>
      <c r="P93" s="25">
        <v>16993.830150698068</v>
      </c>
      <c r="Q93" s="26">
        <f t="shared" si="16"/>
        <v>0.28466252597595243</v>
      </c>
      <c r="R93" s="24"/>
      <c r="S93" s="19">
        <f>'Private Car Analysis &amp; Split'!P97</f>
        <v>11987.297845681742</v>
      </c>
      <c r="T93" s="26">
        <f t="shared" si="17"/>
        <v>0.20079843414450546</v>
      </c>
      <c r="U93" s="24"/>
      <c r="V93" s="19">
        <f>'Private Car Analysis &amp; Split'!X97</f>
        <v>4564.494551162541</v>
      </c>
      <c r="W93" s="26">
        <f t="shared" si="18"/>
        <v>7.6459546624574576E-2</v>
      </c>
      <c r="X93" s="24"/>
      <c r="Y93" s="19">
        <f>'Private Car Analysis &amp; Split'!AA97</f>
        <v>2462.4483431329832</v>
      </c>
      <c r="Z93" s="26">
        <f t="shared" si="19"/>
        <v>4.1248309487943169E-2</v>
      </c>
      <c r="AB93" s="100"/>
      <c r="AC93" s="13"/>
      <c r="AD93" s="13"/>
      <c r="AE93" s="13"/>
      <c r="AF93" s="13"/>
      <c r="AG93" s="99"/>
    </row>
    <row r="94" spans="2:33" ht="14.4" x14ac:dyDescent="0.3">
      <c r="B94" s="19">
        <f t="shared" si="11"/>
        <v>61069.375601501466</v>
      </c>
      <c r="C94" s="756">
        <f t="shared" si="20"/>
        <v>15073.044410159362</v>
      </c>
      <c r="D94" s="69">
        <f t="shared" si="12"/>
        <v>0.24681838092657316</v>
      </c>
      <c r="E94" s="7">
        <v>2043</v>
      </c>
      <c r="F94" s="7"/>
      <c r="G94" s="35">
        <v>3424.9642083109361</v>
      </c>
      <c r="H94" s="26">
        <f t="shared" si="13"/>
        <v>5.6083170567519755E-2</v>
      </c>
      <c r="I94" s="2"/>
      <c r="J94" s="35">
        <v>2592.6084709260931</v>
      </c>
      <c r="K94" s="26">
        <f t="shared" si="14"/>
        <v>4.2453495641477469E-2</v>
      </c>
      <c r="L94" s="24"/>
      <c r="M94" s="35">
        <v>1311.5183410697562</v>
      </c>
      <c r="N94" s="26">
        <f t="shared" si="15"/>
        <v>2.1475876053291609E-2</v>
      </c>
      <c r="O94" s="24"/>
      <c r="P94" s="25">
        <v>17322.443609140006</v>
      </c>
      <c r="Q94" s="26">
        <f t="shared" si="16"/>
        <v>0.28365188670299935</v>
      </c>
      <c r="R94" s="24"/>
      <c r="S94" s="19">
        <f>'Private Car Analysis &amp; Split'!P98</f>
        <v>12481.221292502711</v>
      </c>
      <c r="T94" s="26">
        <f t="shared" si="17"/>
        <v>0.20437774530309499</v>
      </c>
      <c r="U94" s="24"/>
      <c r="V94" s="19">
        <f>'Private Car Analysis &amp; Split'!X98</f>
        <v>4960.116906828086</v>
      </c>
      <c r="W94" s="26">
        <f t="shared" si="18"/>
        <v>8.1221018849030699E-2</v>
      </c>
      <c r="X94" s="24"/>
      <c r="Y94" s="19">
        <f>'Private Car Analysis &amp; Split'!AA98</f>
        <v>4966.2529852757889</v>
      </c>
      <c r="Z94" s="26">
        <f t="shared" si="19"/>
        <v>8.1321496025803269E-2</v>
      </c>
      <c r="AB94" s="13"/>
      <c r="AC94" s="68"/>
      <c r="AD94" s="99"/>
      <c r="AE94" s="99"/>
      <c r="AF94" s="13"/>
      <c r="AG94" s="99"/>
    </row>
    <row r="95" spans="2:33" ht="14.4" x14ac:dyDescent="0.3">
      <c r="B95" s="19">
        <f t="shared" si="11"/>
        <v>62471.060353448425</v>
      </c>
      <c r="C95" s="756">
        <f t="shared" si="20"/>
        <v>15279.090421069954</v>
      </c>
      <c r="D95" s="69">
        <f t="shared" si="12"/>
        <v>0.24457869507295057</v>
      </c>
      <c r="E95" s="7">
        <v>2044</v>
      </c>
      <c r="F95" s="7"/>
      <c r="G95" s="35">
        <v>3471.0673998078155</v>
      </c>
      <c r="H95" s="26">
        <f t="shared" si="13"/>
        <v>5.5562805884344355E-2</v>
      </c>
      <c r="I95" s="2"/>
      <c r="J95" s="35">
        <v>2647.6082957462008</v>
      </c>
      <c r="K95" s="26">
        <f t="shared" si="14"/>
        <v>4.2381356755697389E-2</v>
      </c>
      <c r="L95" s="24"/>
      <c r="M95" s="35">
        <v>1360.1695383416668</v>
      </c>
      <c r="N95" s="26">
        <f t="shared" si="15"/>
        <v>2.1772794164947849E-2</v>
      </c>
      <c r="O95" s="24"/>
      <c r="P95" s="25">
        <v>17646.95293896896</v>
      </c>
      <c r="Q95" s="26">
        <f t="shared" si="16"/>
        <v>0.28248204591255738</v>
      </c>
      <c r="R95" s="24"/>
      <c r="S95" s="19">
        <f>'Private Car Analysis &amp; Split'!P99</f>
        <v>12999.156743431946</v>
      </c>
      <c r="T95" s="26">
        <f t="shared" si="17"/>
        <v>0.20808285740445875</v>
      </c>
      <c r="U95" s="24"/>
      <c r="V95" s="19">
        <f>'Private Car Analysis &amp; Split'!X99</f>
        <v>5375.1177118981814</v>
      </c>
      <c r="W95" s="26">
        <f t="shared" si="18"/>
        <v>8.6041723663515063E-2</v>
      </c>
      <c r="X95" s="24"/>
      <c r="Y95" s="19">
        <f>'Private Car Analysis &amp; Split'!AA99</f>
        <v>5300.1335060684978</v>
      </c>
      <c r="Z95" s="26">
        <f t="shared" si="19"/>
        <v>8.484142058869229E-2</v>
      </c>
      <c r="AB95" s="100"/>
      <c r="AC95" s="13"/>
      <c r="AD95" s="13"/>
      <c r="AE95" s="13"/>
      <c r="AF95" s="13"/>
      <c r="AG95" s="99"/>
    </row>
    <row r="96" spans="2:33" ht="14.4" x14ac:dyDescent="0.3">
      <c r="B96" s="19">
        <f t="shared" si="11"/>
        <v>63948.823995163955</v>
      </c>
      <c r="C96" s="756">
        <f t="shared" si="20"/>
        <v>15513.330771265255</v>
      </c>
      <c r="D96" s="69">
        <f t="shared" si="12"/>
        <v>0.24258977416751917</v>
      </c>
      <c r="E96" s="7">
        <v>2045</v>
      </c>
      <c r="F96" s="7"/>
      <c r="G96" s="35">
        <v>3514.8500426119281</v>
      </c>
      <c r="H96" s="26">
        <f t="shared" si="13"/>
        <v>5.4963482094334278E-2</v>
      </c>
      <c r="I96" s="2"/>
      <c r="J96" s="35">
        <v>2702.4922259821678</v>
      </c>
      <c r="K96" s="26">
        <f t="shared" si="14"/>
        <v>4.2260233373275793E-2</v>
      </c>
      <c r="L96" s="24"/>
      <c r="M96" s="35">
        <v>1409.3718505453182</v>
      </c>
      <c r="N96" s="26">
        <f t="shared" si="15"/>
        <v>2.203905814830778E-2</v>
      </c>
      <c r="O96" s="24"/>
      <c r="P96" s="25">
        <v>17967.313816207643</v>
      </c>
      <c r="Q96" s="26">
        <f t="shared" si="16"/>
        <v>0.28096394419335058</v>
      </c>
      <c r="R96" s="24"/>
      <c r="S96" s="19">
        <f>'Private Car Analysis &amp; Split'!P100</f>
        <v>13559.968477958084</v>
      </c>
      <c r="T96" s="26">
        <f t="shared" si="17"/>
        <v>0.21204406321816863</v>
      </c>
      <c r="U96" s="24"/>
      <c r="V96" s="19">
        <f>'Private Car Analysis &amp; Split'!X100</f>
        <v>5809.8287726139333</v>
      </c>
      <c r="W96" s="26">
        <f t="shared" si="18"/>
        <v>9.0851221486939207E-2</v>
      </c>
      <c r="X96" s="24"/>
      <c r="Y96" s="19">
        <f>'Private Car Analysis &amp; Split'!AA100</f>
        <v>5648.0341913620759</v>
      </c>
      <c r="Z96" s="26">
        <f t="shared" si="19"/>
        <v>8.8321158052714163E-2</v>
      </c>
      <c r="AB96" s="100"/>
      <c r="AC96" s="13"/>
      <c r="AD96" s="13"/>
      <c r="AE96" s="13"/>
      <c r="AF96" s="13"/>
      <c r="AG96" s="99"/>
    </row>
    <row r="97" spans="1:33" ht="14.4" x14ac:dyDescent="0.3">
      <c r="B97" s="19">
        <f t="shared" si="11"/>
        <v>65370.246987819992</v>
      </c>
      <c r="C97" s="756">
        <f t="shared" si="20"/>
        <v>15714.722227846421</v>
      </c>
      <c r="D97" s="69">
        <f t="shared" si="12"/>
        <v>0.24039563795398297</v>
      </c>
      <c r="E97" s="7">
        <v>2046</v>
      </c>
      <c r="F97" s="7"/>
      <c r="G97" s="35">
        <v>3556.2448375750582</v>
      </c>
      <c r="H97" s="26">
        <f t="shared" si="13"/>
        <v>5.4401581781351842E-2</v>
      </c>
      <c r="I97" s="2"/>
      <c r="J97" s="35">
        <v>2757.3038617073867</v>
      </c>
      <c r="K97" s="26">
        <f t="shared" si="14"/>
        <v>4.2179798742708392E-2</v>
      </c>
      <c r="L97" s="24"/>
      <c r="M97" s="35">
        <v>1459.1171048658462</v>
      </c>
      <c r="N97" s="26">
        <f t="shared" si="15"/>
        <v>2.2320813705013442E-2</v>
      </c>
      <c r="O97" s="24"/>
      <c r="P97" s="25">
        <v>18283.498020604271</v>
      </c>
      <c r="Q97" s="26">
        <f t="shared" si="16"/>
        <v>0.27969143246484773</v>
      </c>
      <c r="R97" s="24"/>
      <c r="S97" s="19">
        <f>'Private Car Analysis &amp; Split'!P101</f>
        <v>14111.559580640234</v>
      </c>
      <c r="T97" s="26">
        <f t="shared" si="17"/>
        <v>0.2158712905470519</v>
      </c>
      <c r="U97" s="24"/>
      <c r="V97" s="19">
        <f>'Private Car Analysis &amp; Split'!X101</f>
        <v>6264.58189521645</v>
      </c>
      <c r="W97" s="26">
        <f t="shared" si="18"/>
        <v>9.5832311852572447E-2</v>
      </c>
      <c r="X97" s="24"/>
      <c r="Y97" s="19">
        <f>'Private Car Analysis &amp; Split'!AA101</f>
        <v>6010.2187208329588</v>
      </c>
      <c r="Z97" s="26">
        <f t="shared" si="19"/>
        <v>9.1941196458272575E-2</v>
      </c>
      <c r="AB97" s="13"/>
      <c r="AC97" s="68"/>
      <c r="AD97" s="68"/>
      <c r="AE97" s="68"/>
      <c r="AF97" s="13"/>
      <c r="AG97" s="99"/>
    </row>
    <row r="98" spans="1:33" ht="14.4" x14ac:dyDescent="0.3">
      <c r="B98" s="19">
        <f t="shared" si="11"/>
        <v>66869.928517970024</v>
      </c>
      <c r="C98" s="756">
        <f t="shared" si="20"/>
        <v>15943.996015045097</v>
      </c>
      <c r="D98" s="69">
        <f t="shared" si="12"/>
        <v>0.2384329753060892</v>
      </c>
      <c r="E98" s="7">
        <v>2047</v>
      </c>
      <c r="F98" s="7"/>
      <c r="G98" s="35">
        <v>3595.1844855489881</v>
      </c>
      <c r="H98" s="26">
        <f t="shared" si="13"/>
        <v>5.376384520259881E-2</v>
      </c>
      <c r="I98" s="2"/>
      <c r="J98" s="35">
        <v>2812.0868029952512</v>
      </c>
      <c r="K98" s="26">
        <f t="shared" si="14"/>
        <v>4.2053085225589204E-2</v>
      </c>
      <c r="L98" s="24"/>
      <c r="M98" s="35">
        <v>1509.3971284883853</v>
      </c>
      <c r="N98" s="26">
        <f t="shared" si="15"/>
        <v>2.2572136114707576E-2</v>
      </c>
      <c r="O98" s="24"/>
      <c r="P98" s="25">
        <v>18595.475436324639</v>
      </c>
      <c r="Q98" s="26">
        <f t="shared" si="16"/>
        <v>0.2780842726836093</v>
      </c>
      <c r="R98" s="24"/>
      <c r="S98" s="19">
        <f>'Private Car Analysis &amp; Split'!P102</f>
        <v>14708.324350316518</v>
      </c>
      <c r="T98" s="26">
        <f t="shared" si="17"/>
        <v>0.21995424066236194</v>
      </c>
      <c r="U98" s="24"/>
      <c r="V98" s="19">
        <f>'Private Car Analysis &amp; Split'!X102</f>
        <v>6739.7088859468358</v>
      </c>
      <c r="W98" s="26">
        <f t="shared" si="18"/>
        <v>0.1007883369298902</v>
      </c>
      <c r="X98" s="24"/>
      <c r="Y98" s="19">
        <f>'Private Car Analysis &amp; Split'!AA102</f>
        <v>6386.9507741575808</v>
      </c>
      <c r="Z98" s="26">
        <f t="shared" si="19"/>
        <v>9.5513049224229526E-2</v>
      </c>
      <c r="AB98" s="100"/>
      <c r="AC98" s="13"/>
      <c r="AD98" s="13"/>
      <c r="AE98" s="13"/>
      <c r="AF98" s="13"/>
      <c r="AG98" s="99"/>
    </row>
    <row r="99" spans="1:33" ht="14.4" x14ac:dyDescent="0.3">
      <c r="B99" s="19">
        <f t="shared" si="11"/>
        <v>68404.362797849724</v>
      </c>
      <c r="C99" s="756">
        <f t="shared" si="20"/>
        <v>16180.624794365694</v>
      </c>
      <c r="D99" s="69">
        <f t="shared" si="12"/>
        <v>0.23654375441202602</v>
      </c>
      <c r="E99" s="7">
        <v>2048</v>
      </c>
      <c r="F99" s="7"/>
      <c r="G99" s="35">
        <v>3631.6016873855024</v>
      </c>
      <c r="H99" s="26">
        <f t="shared" si="13"/>
        <v>5.3090205636703351E-2</v>
      </c>
      <c r="I99" s="2"/>
      <c r="J99" s="35">
        <v>2866.8846499191559</v>
      </c>
      <c r="K99" s="26">
        <f t="shared" si="14"/>
        <v>4.1910845049334712E-2</v>
      </c>
      <c r="L99" s="24"/>
      <c r="M99" s="35">
        <v>1560.2037485980709</v>
      </c>
      <c r="N99" s="26">
        <f t="shared" si="15"/>
        <v>2.2808541513774844E-2</v>
      </c>
      <c r="O99" s="24"/>
      <c r="P99" s="25">
        <v>18903.19876965143</v>
      </c>
      <c r="Q99" s="26">
        <f t="shared" si="16"/>
        <v>0.27634492883903666</v>
      </c>
      <c r="R99" s="24"/>
      <c r="S99" s="19">
        <f>'Private Car Analysis &amp; Split'!P103</f>
        <v>15333.677909207168</v>
      </c>
      <c r="T99" s="26">
        <f t="shared" si="17"/>
        <v>0.22416227974408057</v>
      </c>
      <c r="U99" s="24"/>
      <c r="V99" s="19">
        <f>'Private Car Analysis &amp; Split'!X103</f>
        <v>7235.5415510461989</v>
      </c>
      <c r="W99" s="26">
        <f t="shared" si="18"/>
        <v>0.10577602443909684</v>
      </c>
      <c r="X99" s="24"/>
      <c r="Y99" s="19">
        <f>'Private Car Analysis &amp; Split'!AA103</f>
        <v>6778.4940310123757</v>
      </c>
      <c r="Z99" s="26">
        <f t="shared" si="19"/>
        <v>9.9094469325653245E-2</v>
      </c>
      <c r="AB99" s="100"/>
      <c r="AC99" s="13"/>
      <c r="AD99" s="13"/>
      <c r="AE99" s="13"/>
      <c r="AF99" s="13"/>
      <c r="AG99" s="99"/>
    </row>
    <row r="100" spans="1:33" ht="14.4" x14ac:dyDescent="0.3">
      <c r="B100" s="19">
        <f t="shared" si="11"/>
        <v>69974.512495007628</v>
      </c>
      <c r="C100" s="756">
        <f t="shared" si="20"/>
        <v>16424.343655788405</v>
      </c>
      <c r="D100" s="69">
        <f t="shared" si="12"/>
        <v>0.23471894365766691</v>
      </c>
      <c r="E100" s="7">
        <v>2049</v>
      </c>
      <c r="F100" s="7"/>
      <c r="G100" s="35">
        <v>3665.4291439363833</v>
      </c>
      <c r="H100" s="26">
        <f t="shared" si="13"/>
        <v>5.2382346274979702E-2</v>
      </c>
      <c r="I100" s="2"/>
      <c r="J100" s="35">
        <v>2921.7410025524932</v>
      </c>
      <c r="K100" s="26">
        <f t="shared" si="14"/>
        <v>4.1754360243109183E-2</v>
      </c>
      <c r="L100" s="24"/>
      <c r="M100" s="35">
        <v>1611.5287923800381</v>
      </c>
      <c r="N100" s="26">
        <f t="shared" si="15"/>
        <v>2.3030225362341946E-2</v>
      </c>
      <c r="O100" s="24"/>
      <c r="P100" s="25">
        <v>19206.615862835726</v>
      </c>
      <c r="Q100" s="26">
        <f t="shared" si="16"/>
        <v>0.27448016682082682</v>
      </c>
      <c r="R100" s="24"/>
      <c r="S100" s="19">
        <f>'Private Car Analysis &amp; Split'!P104</f>
        <v>15988.792143485587</v>
      </c>
      <c r="T100" s="26">
        <f t="shared" si="17"/>
        <v>0.22849451283603178</v>
      </c>
      <c r="U100" s="24"/>
      <c r="V100" s="19">
        <f>'Private Car Analysis &amp; Split'!X104</f>
        <v>7752.4116967556465</v>
      </c>
      <c r="W100" s="26">
        <f t="shared" si="18"/>
        <v>0.11078907762749682</v>
      </c>
      <c r="X100" s="24"/>
      <c r="Y100" s="19">
        <f>'Private Car Analysis &amp; Split'!AA104</f>
        <v>7185.1121710737771</v>
      </c>
      <c r="Z100" s="26">
        <f t="shared" si="19"/>
        <v>0.10268184678794873</v>
      </c>
      <c r="AB100" s="13"/>
      <c r="AC100" s="68"/>
      <c r="AD100" s="99"/>
      <c r="AE100" s="99"/>
      <c r="AF100" s="13"/>
      <c r="AG100" s="99"/>
    </row>
    <row r="101" spans="1:33" ht="14.4" x14ac:dyDescent="0.3">
      <c r="A101" s="30"/>
      <c r="B101" s="19">
        <f t="shared" si="11"/>
        <v>71558.277761309873</v>
      </c>
      <c r="C101" s="756">
        <f t="shared" si="20"/>
        <v>16665.002030071722</v>
      </c>
      <c r="D101" s="69">
        <f t="shared" si="12"/>
        <v>0.23288713132056618</v>
      </c>
      <c r="E101" s="33">
        <v>2050</v>
      </c>
      <c r="F101" s="33"/>
      <c r="G101" s="35">
        <v>3696.5995560534147</v>
      </c>
      <c r="H101" s="26">
        <f t="shared" si="13"/>
        <v>5.1658587541525379E-2</v>
      </c>
      <c r="I101" s="30"/>
      <c r="J101" s="35">
        <v>2976.6994609686576</v>
      </c>
      <c r="K101" s="26">
        <f t="shared" si="14"/>
        <v>4.1598254654727024E-2</v>
      </c>
      <c r="L101" s="34"/>
      <c r="M101" s="35">
        <v>1663.364087019422</v>
      </c>
      <c r="N101" s="26">
        <f t="shared" si="15"/>
        <v>2.3244887091438213E-2</v>
      </c>
      <c r="O101" s="34"/>
      <c r="P101" s="25">
        <v>19505.681891643311</v>
      </c>
      <c r="Q101" s="26">
        <f t="shared" si="16"/>
        <v>0.27258456326613328</v>
      </c>
      <c r="R101" s="34"/>
      <c r="S101" s="19">
        <f>'Private Car Analysis &amp; Split'!P105</f>
        <v>16665.002030071722</v>
      </c>
      <c r="T101" s="26">
        <f t="shared" si="17"/>
        <v>0.23288713132056618</v>
      </c>
      <c r="U101" s="34"/>
      <c r="V101" s="19">
        <f>'Private Car Analysis &amp; Split'!X105</f>
        <v>8539.3706631957702</v>
      </c>
      <c r="W101" s="26">
        <f>V101/$B101</f>
        <v>0.11933449113573884</v>
      </c>
      <c r="X101" s="34"/>
      <c r="Y101" s="19">
        <f>'Private Car Analysis &amp; Split'!AA105</f>
        <v>7607.0688740182213</v>
      </c>
      <c r="Z101" s="26">
        <f t="shared" si="19"/>
        <v>0.10630592451361666</v>
      </c>
      <c r="AA101" s="30"/>
      <c r="AB101" s="100"/>
      <c r="AC101" s="13"/>
      <c r="AD101" s="13"/>
      <c r="AE101" s="99"/>
      <c r="AF101" s="13"/>
      <c r="AG101" s="99"/>
    </row>
    <row r="102" spans="1:33" ht="14.4" x14ac:dyDescent="0.3">
      <c r="B102" s="19">
        <f t="shared" si="11"/>
        <v>73225.821335686545</v>
      </c>
      <c r="C102" s="756">
        <f t="shared" si="20"/>
        <v>16898.690967264884</v>
      </c>
      <c r="D102" s="69">
        <f t="shared" si="12"/>
        <v>0.23077502797540245</v>
      </c>
      <c r="E102" s="7">
        <v>2051</v>
      </c>
      <c r="F102" s="7"/>
      <c r="G102" s="35">
        <v>3725.0456245883806</v>
      </c>
      <c r="H102" s="26">
        <f t="shared" si="13"/>
        <v>5.0870656779823414E-2</v>
      </c>
      <c r="I102" s="2"/>
      <c r="J102" s="35">
        <v>3031.8036252410429</v>
      </c>
      <c r="K102" s="26">
        <f t="shared" si="14"/>
        <v>4.140347721526335E-2</v>
      </c>
      <c r="L102" s="24"/>
      <c r="M102" s="35">
        <v>1715.7014597013576</v>
      </c>
      <c r="N102" s="26">
        <f t="shared" si="15"/>
        <v>2.3430279488926838E-2</v>
      </c>
      <c r="O102" s="24"/>
      <c r="P102" s="25">
        <v>19800.369631046498</v>
      </c>
      <c r="Q102" s="26">
        <f t="shared" si="16"/>
        <v>0.27040146863326209</v>
      </c>
      <c r="R102" s="24"/>
      <c r="S102" s="19">
        <f>'Private Car Analysis &amp; Split'!P106</f>
        <v>17393.093701068628</v>
      </c>
      <c r="T102" s="26">
        <f t="shared" si="17"/>
        <v>0.23752678199858057</v>
      </c>
      <c r="U102" s="24"/>
      <c r="V102" s="19">
        <f>'Private Car Analysis &amp; Split'!X106</f>
        <v>9381.6271542673694</v>
      </c>
      <c r="W102" s="26">
        <f t="shared" si="18"/>
        <v>0.12811911130719186</v>
      </c>
      <c r="X102" s="24"/>
      <c r="Y102" s="19">
        <f>'Private Car Analysis &amp; Split'!AA106</f>
        <v>8044.6278195221403</v>
      </c>
      <c r="Z102" s="26">
        <f t="shared" si="19"/>
        <v>0.10986053379508626</v>
      </c>
      <c r="AB102" s="100"/>
      <c r="AC102" s="13"/>
      <c r="AD102" s="13"/>
      <c r="AE102" s="99"/>
      <c r="AF102" s="13"/>
      <c r="AG102" s="99"/>
    </row>
    <row r="103" spans="1:33" ht="14.4" x14ac:dyDescent="0.3">
      <c r="B103" s="19">
        <f t="shared" si="11"/>
        <v>74908.974819260009</v>
      </c>
      <c r="C103" s="756">
        <f t="shared" si="20"/>
        <v>16918.856179358037</v>
      </c>
      <c r="D103" s="69">
        <f t="shared" si="12"/>
        <v>0.22585886698062238</v>
      </c>
      <c r="E103" s="7">
        <v>2052</v>
      </c>
      <c r="F103" s="7"/>
      <c r="G103" s="35">
        <v>3750.7000503930631</v>
      </c>
      <c r="H103" s="26">
        <f t="shared" si="13"/>
        <v>5.0070102540352913E-2</v>
      </c>
      <c r="I103" s="2"/>
      <c r="J103" s="35">
        <v>3087.0970954430427</v>
      </c>
      <c r="K103" s="26">
        <f t="shared" si="14"/>
        <v>4.12113115002785E-2</v>
      </c>
      <c r="L103" s="24"/>
      <c r="M103" s="35">
        <v>1768.5327376109801</v>
      </c>
      <c r="N103" s="26">
        <f t="shared" si="15"/>
        <v>2.3609090124088426E-2</v>
      </c>
      <c r="O103" s="24"/>
      <c r="P103" s="25">
        <v>20090.661725632639</v>
      </c>
      <c r="Q103" s="26">
        <f t="shared" si="16"/>
        <v>0.26820099693137284</v>
      </c>
      <c r="R103" s="24"/>
      <c r="S103" s="19">
        <f>'Private Car Analysis &amp; Split'!P107</f>
        <v>18144.745802105797</v>
      </c>
      <c r="T103" s="26">
        <f t="shared" si="17"/>
        <v>0.24222392371388538</v>
      </c>
      <c r="U103" s="24"/>
      <c r="V103" s="19">
        <f>'Private Car Analysis &amp; Split'!X107</f>
        <v>10281.495937151556</v>
      </c>
      <c r="W103" s="26">
        <f t="shared" si="18"/>
        <v>0.13725319245068693</v>
      </c>
      <c r="X103" s="24"/>
      <c r="Y103" s="19">
        <f>'Private Car Analysis &amp; Split'!AA107</f>
        <v>8139.384077488292</v>
      </c>
      <c r="Z103" s="26">
        <f t="shared" si="19"/>
        <v>0.10865699466755427</v>
      </c>
      <c r="AB103" s="13"/>
      <c r="AC103" s="68"/>
      <c r="AD103" s="13"/>
      <c r="AE103" s="99"/>
      <c r="AF103" s="13"/>
      <c r="AG103" s="99"/>
    </row>
    <row r="104" spans="1:33" ht="14.4" x14ac:dyDescent="0.3">
      <c r="B104" s="19">
        <f t="shared" si="11"/>
        <v>76631.7011544056</v>
      </c>
      <c r="C104" s="756">
        <f t="shared" si="20"/>
        <v>16824.99620100078</v>
      </c>
      <c r="D104" s="69">
        <f t="shared" si="12"/>
        <v>0.21955660578511771</v>
      </c>
      <c r="E104" s="7">
        <v>2053</v>
      </c>
      <c r="F104" s="7"/>
      <c r="G104" s="35">
        <v>3773.495534319246</v>
      </c>
      <c r="H104" s="26">
        <f t="shared" si="13"/>
        <v>4.9241964845802011E-2</v>
      </c>
      <c r="I104" s="2"/>
      <c r="J104" s="35">
        <v>3142.6234716480512</v>
      </c>
      <c r="K104" s="26">
        <f t="shared" si="14"/>
        <v>4.1009444189630651E-2</v>
      </c>
      <c r="L104" s="24"/>
      <c r="M104" s="35">
        <v>1821.8497479334246</v>
      </c>
      <c r="N104" s="26">
        <f t="shared" si="15"/>
        <v>2.3774100280803769E-2</v>
      </c>
      <c r="O104" s="24"/>
      <c r="P104" s="25">
        <v>20376.536988755313</v>
      </c>
      <c r="Q104" s="26">
        <f t="shared" si="16"/>
        <v>0.26590218776036989</v>
      </c>
      <c r="R104" s="24"/>
      <c r="S104" s="19">
        <f>'Private Car Analysis &amp; Split'!P108</f>
        <v>18931.041388034278</v>
      </c>
      <c r="T104" s="26">
        <f t="shared" si="17"/>
        <v>0.24703929448062267</v>
      </c>
      <c r="U104" s="24"/>
      <c r="V104" s="19">
        <f>'Private Car Analysis &amp; Split'!X108</f>
        <v>11241.331595778373</v>
      </c>
      <c r="W104" s="26">
        <f t="shared" si="18"/>
        <v>0.14669296683272315</v>
      </c>
      <c r="X104" s="24"/>
      <c r="Y104" s="19">
        <f>'Private Car Analysis &amp; Split'!AA108</f>
        <v>8328.5850549539464</v>
      </c>
      <c r="Z104" s="26">
        <f t="shared" si="19"/>
        <v>0.10868328550050897</v>
      </c>
      <c r="AB104" s="100"/>
      <c r="AC104" s="13"/>
      <c r="AD104" s="13"/>
      <c r="AE104" s="99"/>
      <c r="AF104" s="13"/>
      <c r="AG104" s="99"/>
    </row>
    <row r="105" spans="1:33" ht="14.4" x14ac:dyDescent="0.3">
      <c r="B105" s="19">
        <f t="shared" si="11"/>
        <v>78394.871508776298</v>
      </c>
      <c r="C105" s="756">
        <f t="shared" si="20"/>
        <v>16906.94815196401</v>
      </c>
      <c r="D105" s="69">
        <f t="shared" si="12"/>
        <v>0.21566395641162928</v>
      </c>
      <c r="E105" s="7">
        <v>2054</v>
      </c>
      <c r="F105" s="7"/>
      <c r="G105" s="35">
        <v>3793.3647772187132</v>
      </c>
      <c r="H105" s="26">
        <f t="shared" si="13"/>
        <v>4.8387920079619576E-2</v>
      </c>
      <c r="I105" s="2"/>
      <c r="J105" s="35">
        <v>3198.4263539294616</v>
      </c>
      <c r="K105" s="26">
        <f t="shared" si="14"/>
        <v>4.0798923352676174E-2</v>
      </c>
      <c r="L105" s="24"/>
      <c r="M105" s="35">
        <v>1875.6443178538261</v>
      </c>
      <c r="N105" s="26">
        <f t="shared" si="15"/>
        <v>2.3925599745945728E-2</v>
      </c>
      <c r="O105" s="24"/>
      <c r="P105" s="25">
        <v>20657.980497576547</v>
      </c>
      <c r="Q105" s="26">
        <f t="shared" si="16"/>
        <v>0.26351188668335135</v>
      </c>
      <c r="R105" s="24"/>
      <c r="S105" s="19">
        <f>'Private Car Analysis &amp; Split'!P109</f>
        <v>19753.211530264121</v>
      </c>
      <c r="T105" s="26">
        <f t="shared" si="17"/>
        <v>0.25197071122251602</v>
      </c>
      <c r="U105" s="24"/>
      <c r="V105" s="19">
        <f>'Private Car Analysis &amp; Split'!X109</f>
        <v>12263.528530826801</v>
      </c>
      <c r="W105" s="26">
        <f t="shared" si="18"/>
        <v>0.1564327907528224</v>
      </c>
      <c r="X105" s="24"/>
      <c r="Y105" s="19">
        <f>'Private Car Analysis &amp; Split'!AA109</f>
        <v>8320.7907530604025</v>
      </c>
      <c r="Z105" s="26">
        <f t="shared" si="19"/>
        <v>0.10613947816891174</v>
      </c>
      <c r="AB105" s="100"/>
      <c r="AC105" s="13"/>
      <c r="AD105" s="13"/>
      <c r="AE105" s="99"/>
      <c r="AF105" s="13"/>
      <c r="AG105" s="99"/>
    </row>
    <row r="106" spans="1:33" ht="14.4" x14ac:dyDescent="0.3">
      <c r="B106" s="19">
        <f t="shared" si="11"/>
        <v>80199.363048847197</v>
      </c>
      <c r="C106" s="756">
        <f t="shared" si="20"/>
        <v>17298.879281866699</v>
      </c>
      <c r="D106" s="69">
        <f t="shared" si="12"/>
        <v>0.21569846223504835</v>
      </c>
      <c r="E106" s="7">
        <v>2055</v>
      </c>
      <c r="F106" s="7"/>
      <c r="G106" s="35">
        <v>3810.240479943247</v>
      </c>
      <c r="H106" s="26">
        <f t="shared" si="13"/>
        <v>4.750961023995335E-2</v>
      </c>
      <c r="I106" s="2"/>
      <c r="J106" s="35">
        <v>3254.5493423606672</v>
      </c>
      <c r="K106" s="26">
        <f t="shared" si="14"/>
        <v>4.0580738033772309E-2</v>
      </c>
      <c r="L106" s="24"/>
      <c r="M106" s="35">
        <v>1929.9082745573198</v>
      </c>
      <c r="N106" s="26">
        <f t="shared" si="15"/>
        <v>2.4063885312678435E-2</v>
      </c>
      <c r="O106" s="24"/>
      <c r="P106" s="25">
        <v>20934.982320470641</v>
      </c>
      <c r="Q106" s="26">
        <f t="shared" si="16"/>
        <v>0.26103676543814602</v>
      </c>
      <c r="R106" s="24"/>
      <c r="S106" s="19">
        <f>'Private Car Analysis &amp; Split'!P110</f>
        <v>20612.508645420425</v>
      </c>
      <c r="T106" s="26">
        <f t="shared" si="17"/>
        <v>0.25701586473780247</v>
      </c>
      <c r="U106" s="24"/>
      <c r="V106" s="19">
        <f>'Private Car Analysis &amp; Split'!X110</f>
        <v>13350.52095972475</v>
      </c>
      <c r="W106" s="26">
        <f t="shared" si="18"/>
        <v>0.1664666707090095</v>
      </c>
      <c r="X106" s="24"/>
      <c r="Y106" s="19">
        <f>'Private Car Analysis &amp; Split'!AA110</f>
        <v>7980.1913632960504</v>
      </c>
      <c r="Z106" s="26">
        <f t="shared" si="19"/>
        <v>9.9504423226348296E-2</v>
      </c>
      <c r="AB106" s="13"/>
      <c r="AC106" s="68"/>
      <c r="AD106" s="13"/>
      <c r="AE106" s="99"/>
      <c r="AF106" s="13"/>
      <c r="AG106" s="99"/>
    </row>
    <row r="107" spans="1:33" ht="14.4" x14ac:dyDescent="0.3">
      <c r="B107" s="19">
        <f t="shared" si="11"/>
        <v>82046.057137846408</v>
      </c>
      <c r="C107" s="756">
        <f t="shared" si="20"/>
        <v>18245.229232522641</v>
      </c>
      <c r="D107" s="69">
        <f t="shared" si="12"/>
        <v>0.22237789199142924</v>
      </c>
      <c r="E107" s="7">
        <v>2056</v>
      </c>
      <c r="F107" s="7"/>
      <c r="G107" s="35">
        <v>3824.0553433446312</v>
      </c>
      <c r="H107" s="26">
        <f t="shared" si="13"/>
        <v>4.6608642471627826E-2</v>
      </c>
      <c r="I107" s="2"/>
      <c r="J107" s="35">
        <v>3311.0360370150629</v>
      </c>
      <c r="K107" s="26">
        <f t="shared" si="14"/>
        <v>4.0355821504647782E-2</v>
      </c>
      <c r="L107" s="24"/>
      <c r="M107" s="35">
        <v>1984.6334452290407</v>
      </c>
      <c r="N107" s="26">
        <f t="shared" si="15"/>
        <v>2.4189260452755677E-2</v>
      </c>
      <c r="O107" s="24"/>
      <c r="P107" s="25">
        <v>21207.535018116807</v>
      </c>
      <c r="Q107" s="26">
        <f t="shared" si="16"/>
        <v>0.25848329289591349</v>
      </c>
      <c r="R107" s="24"/>
      <c r="S107" s="19">
        <f>'Private Car Analysis &amp; Split'!P111</f>
        <v>21510.207017774152</v>
      </c>
      <c r="T107" s="26">
        <f t="shared" si="17"/>
        <v>0.26217234280539081</v>
      </c>
      <c r="U107" s="24"/>
      <c r="V107" s="19">
        <f>'Private Car Analysis &amp; Split'!X111</f>
        <v>14504.782916649066</v>
      </c>
      <c r="W107" s="26">
        <f t="shared" si="18"/>
        <v>0.17678829943380989</v>
      </c>
      <c r="X107" s="24"/>
      <c r="Y107" s="19">
        <f>'Private Car Analysis &amp; Split'!AA111</f>
        <v>7060.6659635392352</v>
      </c>
      <c r="Z107" s="26">
        <f t="shared" si="19"/>
        <v>8.6057346444772351E-2</v>
      </c>
      <c r="AB107" s="100"/>
      <c r="AC107" s="13"/>
      <c r="AD107" s="13"/>
      <c r="AE107" s="99"/>
      <c r="AF107" s="13"/>
      <c r="AG107" s="99"/>
    </row>
    <row r="108" spans="1:33" ht="14.4" x14ac:dyDescent="0.3">
      <c r="B108" s="19">
        <f t="shared" si="11"/>
        <v>83935.880917157803</v>
      </c>
      <c r="C108" s="756">
        <f t="shared" si="20"/>
        <v>18587.729889992439</v>
      </c>
      <c r="D108" s="69">
        <f t="shared" si="12"/>
        <v>0.22145153761283534</v>
      </c>
      <c r="E108" s="7">
        <v>2057</v>
      </c>
      <c r="F108" s="7"/>
      <c r="G108" s="35">
        <v>3834.7420682746506</v>
      </c>
      <c r="H108" s="26">
        <f t="shared" si="13"/>
        <v>4.568656486800235E-2</v>
      </c>
      <c r="I108" s="2"/>
      <c r="J108" s="35">
        <v>3367.9300379660408</v>
      </c>
      <c r="K108" s="26">
        <f t="shared" si="14"/>
        <v>4.0125033551385331E-2</v>
      </c>
      <c r="L108" s="24"/>
      <c r="M108" s="35">
        <v>2039.8116570541242</v>
      </c>
      <c r="N108" s="26">
        <f t="shared" si="15"/>
        <v>2.430202238619926E-2</v>
      </c>
      <c r="O108" s="24"/>
      <c r="P108" s="25">
        <v>21475.642880024498</v>
      </c>
      <c r="Q108" s="26">
        <f t="shared" si="16"/>
        <v>0.25585771716889838</v>
      </c>
      <c r="R108" s="24"/>
      <c r="S108" s="19">
        <f>'Private Car Analysis &amp; Split'!P112</f>
        <v>22447.61722830751</v>
      </c>
      <c r="T108" s="26">
        <f t="shared" si="17"/>
        <v>0.2674376796076357</v>
      </c>
      <c r="U108" s="24"/>
      <c r="V108" s="19">
        <f>'Private Car Analysis &amp; Split'!X112</f>
        <v>15728.828252525525</v>
      </c>
      <c r="W108" s="26">
        <f t="shared" si="18"/>
        <v>0.18739099513412394</v>
      </c>
      <c r="X108" s="24"/>
      <c r="Y108" s="19">
        <f>'Private Car Analysis &amp; Split'!AA112</f>
        <v>5074.2035304871652</v>
      </c>
      <c r="Z108" s="26">
        <f t="shared" si="19"/>
        <v>6.0453330268794722E-2</v>
      </c>
      <c r="AB108" s="100"/>
      <c r="AC108" s="13"/>
      <c r="AD108" s="13"/>
      <c r="AE108" s="99"/>
      <c r="AF108" s="13"/>
      <c r="AG108" s="99"/>
    </row>
    <row r="109" spans="1:33" ht="14.4" x14ac:dyDescent="0.3">
      <c r="B109" s="19">
        <f t="shared" si="11"/>
        <v>85869.80992729323</v>
      </c>
      <c r="C109" s="756">
        <f t="shared" si="20"/>
        <v>18878.355035472829</v>
      </c>
      <c r="D109" s="69">
        <f t="shared" si="12"/>
        <v>0.21984857136003105</v>
      </c>
      <c r="E109" s="7">
        <v>2058</v>
      </c>
      <c r="F109" s="7"/>
      <c r="G109" s="35">
        <v>3842.2333555850855</v>
      </c>
      <c r="H109" s="26">
        <f t="shared" si="13"/>
        <v>4.4744868526416216E-2</v>
      </c>
      <c r="I109" s="2"/>
      <c r="J109" s="35">
        <v>3425.2749452869966</v>
      </c>
      <c r="K109" s="26">
        <f t="shared" si="14"/>
        <v>3.9889164168259009E-2</v>
      </c>
      <c r="L109" s="24"/>
      <c r="M109" s="35">
        <v>2095.4347372177049</v>
      </c>
      <c r="N109" s="26">
        <f t="shared" si="15"/>
        <v>2.4402461575167442E-2</v>
      </c>
      <c r="O109" s="24"/>
      <c r="P109" s="25">
        <v>21739.333296560701</v>
      </c>
      <c r="Q109" s="26">
        <f t="shared" si="16"/>
        <v>0.2531661979334483</v>
      </c>
      <c r="R109" s="24"/>
      <c r="S109" s="19">
        <f>'Private Car Analysis &amp; Split'!P113</f>
        <v>23426.082018807931</v>
      </c>
      <c r="T109" s="26">
        <f t="shared" si="17"/>
        <v>0.27280929163163414</v>
      </c>
      <c r="U109" s="24"/>
      <c r="V109" s="19">
        <f>'Private Car Analysis &amp; Split'!X113</f>
        <v>17025.210635028838</v>
      </c>
      <c r="W109" s="26">
        <f t="shared" si="18"/>
        <v>0.19826771072911706</v>
      </c>
      <c r="X109" s="24"/>
      <c r="Y109" s="19">
        <f>'Private Car Analysis &amp; Split'!AA113</f>
        <v>4626.6209290141596</v>
      </c>
      <c r="Z109" s="26">
        <f t="shared" si="19"/>
        <v>5.3879482590348839E-2</v>
      </c>
      <c r="AB109" s="13"/>
      <c r="AC109" s="68"/>
      <c r="AD109" s="13"/>
      <c r="AE109" s="99"/>
      <c r="AF109" s="13"/>
      <c r="AG109" s="99"/>
    </row>
    <row r="110" spans="1:33" ht="14.4" x14ac:dyDescent="0.3">
      <c r="B110" s="19">
        <f t="shared" si="11"/>
        <v>87848.859904726341</v>
      </c>
      <c r="C110" s="756">
        <f t="shared" si="20"/>
        <v>19171.829554037413</v>
      </c>
      <c r="D110" s="69">
        <f t="shared" si="12"/>
        <v>0.21823652093868498</v>
      </c>
      <c r="E110" s="7">
        <v>2059</v>
      </c>
      <c r="F110" s="7"/>
      <c r="G110" s="35">
        <v>3846.4619061277226</v>
      </c>
      <c r="H110" s="26">
        <f t="shared" si="13"/>
        <v>4.3784995164413962E-2</v>
      </c>
      <c r="I110" s="2"/>
      <c r="J110" s="35">
        <v>3483.1143590513229</v>
      </c>
      <c r="K110" s="26">
        <f t="shared" si="14"/>
        <v>3.9648942090185608E-2</v>
      </c>
      <c r="L110" s="24"/>
      <c r="M110" s="35">
        <v>2151.4945129049183</v>
      </c>
      <c r="N110" s="26">
        <f t="shared" si="15"/>
        <v>2.449086436907949E-2</v>
      </c>
      <c r="O110" s="24"/>
      <c r="P110" s="25">
        <v>21998.645576357565</v>
      </c>
      <c r="Q110" s="26">
        <f t="shared" si="16"/>
        <v>0.25041469633431201</v>
      </c>
      <c r="R110" s="24"/>
      <c r="S110" s="19">
        <f>'Private Car Analysis &amp; Split'!P114</f>
        <v>24446.979242919359</v>
      </c>
      <c r="T110" s="26">
        <f t="shared" si="17"/>
        <v>0.27828453629828032</v>
      </c>
      <c r="U110" s="24"/>
      <c r="V110" s="19">
        <f>'Private Car Analysis &amp; Split'!X114</f>
        <v>17971.988389769198</v>
      </c>
      <c r="W110" s="26">
        <f t="shared" si="18"/>
        <v>0.20457850459596336</v>
      </c>
      <c r="X110" s="24"/>
      <c r="Y110" s="19">
        <f>'Private Car Analysis &amp; Split'!AA114</f>
        <v>4855.3686707467059</v>
      </c>
      <c r="Z110" s="26">
        <f t="shared" si="19"/>
        <v>5.5269569531265855E-2</v>
      </c>
      <c r="AB110" s="100"/>
      <c r="AC110" s="13"/>
      <c r="AD110" s="13"/>
      <c r="AE110" s="99"/>
      <c r="AF110" s="13"/>
      <c r="AG110" s="99"/>
    </row>
    <row r="111" spans="1:33" ht="14.4" x14ac:dyDescent="0.3">
      <c r="B111" s="19">
        <f t="shared" si="11"/>
        <v>89874.026138251153</v>
      </c>
      <c r="C111" s="756">
        <f t="shared" si="20"/>
        <v>19467.605299331259</v>
      </c>
      <c r="D111" s="69">
        <f t="shared" si="12"/>
        <v>0.21660991652231856</v>
      </c>
      <c r="E111" s="7">
        <v>2060</v>
      </c>
      <c r="F111" s="7"/>
      <c r="G111" s="35">
        <v>3847.3604207543431</v>
      </c>
      <c r="H111" s="26">
        <f t="shared" si="13"/>
        <v>4.2808368402635452E-2</v>
      </c>
      <c r="I111" s="2"/>
      <c r="J111" s="35">
        <v>3541.4918793324127</v>
      </c>
      <c r="K111" s="26">
        <f t="shared" si="14"/>
        <v>3.9405065417728334E-2</v>
      </c>
      <c r="L111" s="24"/>
      <c r="M111" s="35">
        <v>2207.9828113008994</v>
      </c>
      <c r="N111" s="26">
        <f t="shared" si="15"/>
        <v>2.4567529754418813E-2</v>
      </c>
      <c r="O111" s="24"/>
      <c r="P111" s="25">
        <v>22253.62010804897</v>
      </c>
      <c r="Q111" s="26">
        <f t="shared" si="16"/>
        <v>0.24760902637005197</v>
      </c>
      <c r="R111" s="24"/>
      <c r="S111" s="19">
        <f>'Private Car Analysis &amp; Split'!P115</f>
        <v>25511.699363383497</v>
      </c>
      <c r="T111" s="26">
        <f t="shared" si="17"/>
        <v>0.28386064872780303</v>
      </c>
      <c r="U111" s="24"/>
      <c r="V111" s="19">
        <f>'Private Car Analysis &amp; Split'!X115</f>
        <v>18950.119078072628</v>
      </c>
      <c r="W111" s="26">
        <f t="shared" si="18"/>
        <v>0.21085201022286568</v>
      </c>
      <c r="X111" s="24"/>
      <c r="Y111" s="19">
        <f>'Private Car Analysis &amp; Split'!AA115</f>
        <v>5091.306556338207</v>
      </c>
      <c r="Z111" s="26">
        <f t="shared" si="19"/>
        <v>5.6649365507520123E-2</v>
      </c>
      <c r="AB111" s="100"/>
      <c r="AC111" s="13"/>
      <c r="AD111" s="13"/>
      <c r="AE111" s="99"/>
      <c r="AF111" s="13"/>
      <c r="AG111" s="99"/>
    </row>
    <row r="112" spans="1:33" ht="14.4" x14ac:dyDescent="0.3">
      <c r="B112" s="2"/>
      <c r="C112" s="2"/>
      <c r="D112" s="2"/>
      <c r="F112" s="2"/>
      <c r="G112" s="2"/>
      <c r="H112" s="2"/>
      <c r="I112" s="2"/>
      <c r="J112" s="2"/>
      <c r="L112" s="2"/>
      <c r="M112" s="2"/>
      <c r="O112" s="2"/>
      <c r="P112" s="2"/>
      <c r="R112" s="2"/>
      <c r="S112" s="2"/>
      <c r="U112" s="2"/>
      <c r="V112" s="2"/>
      <c r="X112" s="2"/>
      <c r="Y112" s="2"/>
      <c r="AB112" s="99"/>
      <c r="AC112" s="64"/>
      <c r="AD112" s="13"/>
      <c r="AE112" s="99"/>
      <c r="AF112" s="13"/>
      <c r="AG112" s="99"/>
    </row>
    <row r="113" spans="1:33" ht="14.4" x14ac:dyDescent="0.3">
      <c r="B113" s="2"/>
      <c r="C113" s="2"/>
      <c r="D113" s="2"/>
      <c r="F113" s="2"/>
      <c r="G113" s="2"/>
      <c r="H113" s="2"/>
      <c r="I113" s="2"/>
      <c r="J113" s="2"/>
      <c r="L113" s="2"/>
      <c r="M113" s="2"/>
      <c r="O113" s="2"/>
      <c r="P113" s="2"/>
      <c r="R113" s="2"/>
      <c r="S113" s="2"/>
      <c r="U113" s="2"/>
      <c r="V113" s="2"/>
      <c r="X113" s="2"/>
      <c r="Y113" s="2"/>
      <c r="AB113" s="811" t="s">
        <v>731</v>
      </c>
      <c r="AC113" s="811"/>
      <c r="AD113" s="811"/>
      <c r="AE113" s="99"/>
      <c r="AF113" s="13"/>
      <c r="AG113" s="99"/>
    </row>
    <row r="114" spans="1:33" ht="18.75" customHeight="1" x14ac:dyDescent="0.3">
      <c r="A114" s="2"/>
      <c r="B114" s="2"/>
      <c r="C114" s="2"/>
      <c r="D114" s="2"/>
      <c r="E114" s="2"/>
      <c r="F114" s="2"/>
      <c r="G114" s="92" t="s">
        <v>131</v>
      </c>
      <c r="H114" s="2"/>
      <c r="I114" s="2"/>
      <c r="J114" s="92" t="s">
        <v>131</v>
      </c>
      <c r="L114" s="2"/>
      <c r="M114" s="92" t="s">
        <v>131</v>
      </c>
      <c r="O114" s="2"/>
      <c r="P114" s="92" t="s">
        <v>131</v>
      </c>
      <c r="R114" s="2"/>
      <c r="S114" s="262" t="str">
        <f>'Private Car Analysis &amp; Split'!P120</f>
        <v>Include</v>
      </c>
      <c r="U114" s="2"/>
      <c r="V114" s="262" t="str">
        <f>'Private Car Analysis &amp; Split'!R120</f>
        <v>Include</v>
      </c>
      <c r="X114" s="2"/>
      <c r="Y114" s="262" t="str">
        <f>'Private Car Analysis &amp; Split'!U120</f>
        <v>Include</v>
      </c>
      <c r="AB114" s="98" t="s">
        <v>263</v>
      </c>
      <c r="AC114" s="515">
        <f>$AC$4</f>
        <v>0.14513944480504376</v>
      </c>
      <c r="AD114" s="124" t="s">
        <v>497</v>
      </c>
      <c r="AE114" s="99"/>
      <c r="AF114" s="13"/>
      <c r="AG114" s="99"/>
    </row>
    <row r="115" spans="1:33" ht="15.75" customHeight="1" x14ac:dyDescent="0.3">
      <c r="A115" s="65" t="s">
        <v>68</v>
      </c>
      <c r="B115" s="2"/>
      <c r="C115" s="2"/>
      <c r="D115" s="2"/>
      <c r="F115" s="2"/>
      <c r="G115" s="5"/>
      <c r="H115" s="5"/>
      <c r="I115" s="5"/>
      <c r="J115" s="5"/>
      <c r="K115" s="5"/>
      <c r="L115" s="5"/>
      <c r="M115" s="5"/>
      <c r="N115" s="5"/>
      <c r="O115" s="5"/>
      <c r="P115" s="5"/>
      <c r="Q115" s="5"/>
      <c r="R115" s="5"/>
      <c r="S115" s="5"/>
      <c r="T115" s="5"/>
      <c r="U115" s="5"/>
      <c r="V115" s="2"/>
      <c r="W115" s="2"/>
      <c r="X115" s="2"/>
      <c r="Y115" s="2"/>
      <c r="Z115" s="2"/>
      <c r="AA115" s="2"/>
      <c r="AB115" s="99"/>
      <c r="AC115" s="64"/>
      <c r="AD115" s="13"/>
      <c r="AE115" s="99"/>
      <c r="AF115" s="13"/>
      <c r="AG115" s="99"/>
    </row>
    <row r="116" spans="1:33" ht="45" customHeight="1" x14ac:dyDescent="0.3">
      <c r="A116" s="8" t="s">
        <v>130</v>
      </c>
      <c r="B116" s="66" t="s">
        <v>69</v>
      </c>
      <c r="C116" s="52" t="s">
        <v>66</v>
      </c>
      <c r="D116" s="52" t="s">
        <v>67</v>
      </c>
      <c r="E116" s="13"/>
      <c r="F116" s="14" t="s">
        <v>50</v>
      </c>
      <c r="G116" s="11" t="s">
        <v>1</v>
      </c>
      <c r="H116" s="11" t="s">
        <v>27</v>
      </c>
      <c r="I116" s="14" t="s">
        <v>51</v>
      </c>
      <c r="J116" s="11" t="s">
        <v>2</v>
      </c>
      <c r="K116" s="11" t="s">
        <v>27</v>
      </c>
      <c r="L116" s="14" t="s">
        <v>52</v>
      </c>
      <c r="M116" s="11" t="s">
        <v>3</v>
      </c>
      <c r="N116" s="11" t="s">
        <v>27</v>
      </c>
      <c r="O116" s="14" t="s">
        <v>53</v>
      </c>
      <c r="P116" s="11" t="s">
        <v>600</v>
      </c>
      <c r="Q116" s="11" t="s">
        <v>27</v>
      </c>
      <c r="R116" s="14" t="s">
        <v>54</v>
      </c>
      <c r="S116" s="121" t="s">
        <v>268</v>
      </c>
      <c r="T116" s="11" t="s">
        <v>27</v>
      </c>
      <c r="U116" s="14" t="s">
        <v>25</v>
      </c>
      <c r="V116" s="121" t="s">
        <v>740</v>
      </c>
      <c r="W116" s="11" t="s">
        <v>27</v>
      </c>
      <c r="X116" s="14" t="s">
        <v>26</v>
      </c>
      <c r="Y116" s="121" t="s">
        <v>741</v>
      </c>
      <c r="Z116" s="11" t="s">
        <v>27</v>
      </c>
      <c r="AA116" s="13"/>
      <c r="AB116" s="68"/>
      <c r="AC116" s="99"/>
      <c r="AD116" s="99"/>
      <c r="AE116" s="99"/>
      <c r="AF116" s="13"/>
      <c r="AG116" s="99"/>
    </row>
    <row r="117" spans="1:33" ht="46.2" customHeight="1" x14ac:dyDescent="0.3">
      <c r="A117" s="16"/>
      <c r="B117" s="17"/>
      <c r="C117" s="749" t="s">
        <v>743</v>
      </c>
      <c r="D117" s="17"/>
      <c r="E117" s="122" t="s">
        <v>276</v>
      </c>
      <c r="F117" s="17"/>
      <c r="G117" s="267" t="s">
        <v>778</v>
      </c>
      <c r="H117" s="17" t="s">
        <v>30</v>
      </c>
      <c r="I117" s="17"/>
      <c r="J117" s="267" t="s">
        <v>770</v>
      </c>
      <c r="K117" s="17" t="s">
        <v>30</v>
      </c>
      <c r="L117" s="17"/>
      <c r="M117" s="267" t="s">
        <v>781</v>
      </c>
      <c r="N117" s="17" t="s">
        <v>30</v>
      </c>
      <c r="O117" s="17"/>
      <c r="P117" s="267" t="s">
        <v>784</v>
      </c>
      <c r="Q117" s="17" t="s">
        <v>30</v>
      </c>
      <c r="R117" s="17"/>
      <c r="S117" s="266" t="str">
        <f>'Private Car Analysis &amp; Split'!P124</f>
        <v>PDS3-100p2050-3.0 Veh Occupancy</v>
      </c>
      <c r="T117" s="17" t="s">
        <v>30</v>
      </c>
      <c r="U117" s="17"/>
      <c r="V117" s="266" t="str">
        <f>'Private Car Analysis &amp; Split'!R124</f>
        <v>PDS3-100p2050-LRate at 11%</v>
      </c>
      <c r="W117" s="17" t="s">
        <v>30</v>
      </c>
      <c r="X117" s="17"/>
      <c r="Y117" s="266" t="str">
        <f>'Private Car Analysis &amp; Split'!U124</f>
        <v>PDS3-0p2050-Oct21ComDat-PeakandDecline</v>
      </c>
      <c r="Z117" s="17" t="s">
        <v>30</v>
      </c>
      <c r="AA117" s="53"/>
      <c r="AB117" s="13"/>
      <c r="AC117" s="13"/>
      <c r="AD117" s="13"/>
      <c r="AE117" s="13"/>
      <c r="AF117" s="13"/>
      <c r="AG117" s="99"/>
    </row>
    <row r="118" spans="1:33" ht="18.75" customHeight="1" x14ac:dyDescent="0.3">
      <c r="A118" s="8"/>
      <c r="B118" s="19">
        <f t="shared" ref="B118:B149" si="21">B63</f>
        <v>26173.156853942612</v>
      </c>
      <c r="C118" s="756">
        <f>B118-$AC$114*B118-IF($G$114="Include",G118,0)-IF($J$114="Include",J118,0)-IF($M$114="Include",M118,0)-IF($P$114="Include",P118,0)-MAX(IF($S$114="Include",S118,0),SUM(IF($V$114="Include",V118,0),IF($Y$114="Include",Y118,0)))</f>
        <v>22374.399399366055</v>
      </c>
      <c r="D118" s="69">
        <f t="shared" ref="D118:D159" si="22">C118/B118</f>
        <v>0.85486055519495618</v>
      </c>
      <c r="E118" s="7">
        <v>2012</v>
      </c>
      <c r="F118" s="7"/>
      <c r="G118" s="35"/>
      <c r="H118" s="26">
        <f t="shared" ref="H118:H166" si="23">G118/$B118</f>
        <v>0</v>
      </c>
      <c r="I118" s="2"/>
      <c r="J118" s="35"/>
      <c r="K118" s="26">
        <f t="shared" ref="K118:K166" si="24">J118/$B118</f>
        <v>0</v>
      </c>
      <c r="L118" s="24"/>
      <c r="M118" s="25"/>
      <c r="N118" s="26">
        <f t="shared" ref="N118:N166" si="25">M118/$B118</f>
        <v>0</v>
      </c>
      <c r="O118" s="24"/>
      <c r="P118" s="25"/>
      <c r="Q118" s="26">
        <f t="shared" ref="Q118:Q166" si="26">P118/$B118</f>
        <v>0</v>
      </c>
      <c r="R118" s="24"/>
      <c r="S118" s="67">
        <f>'Private Car Analysis &amp; Split'!P125</f>
        <v>0</v>
      </c>
      <c r="T118" s="26">
        <f t="shared" ref="T118:T166" si="27">S118/$B118</f>
        <v>0</v>
      </c>
      <c r="U118" s="24"/>
      <c r="V118" s="67">
        <f>'Private Car Analysis &amp; Split'!X125</f>
        <v>0</v>
      </c>
      <c r="W118" s="26">
        <f t="shared" ref="W118:W166" si="28">V118/$B118</f>
        <v>0</v>
      </c>
      <c r="X118" s="24"/>
      <c r="Y118" s="67">
        <f>'Private Car Analysis &amp; Split'!AA125</f>
        <v>0</v>
      </c>
      <c r="Z118" s="26">
        <f t="shared" ref="Z118:Z166" si="29">Y118/$B118</f>
        <v>0</v>
      </c>
      <c r="AA118" s="13"/>
      <c r="AB118" s="13"/>
      <c r="AC118" s="68"/>
      <c r="AD118" s="68"/>
      <c r="AE118" s="68"/>
      <c r="AF118" s="13"/>
      <c r="AG118" s="99"/>
    </row>
    <row r="119" spans="1:33" ht="18.75" customHeight="1" x14ac:dyDescent="0.3">
      <c r="A119" s="8"/>
      <c r="B119" s="19">
        <f t="shared" si="21"/>
        <v>27210.974694761313</v>
      </c>
      <c r="C119" s="756">
        <f t="shared" ref="C119:C159" si="30">B119-$AC$114*B119-IF($G$114="Include",G119,0)-IF($J$114="Include",J119,0)-IF($M$114="Include",M119,0)-IF($P$114="Include",P119,0)-MAX(IF($S$114="Include",S119,0),SUM(IF($V$114="Include",V119,0),IF($Y$114="Include",Y119,0)))</f>
        <v>23261.58893495956</v>
      </c>
      <c r="D119" s="69">
        <f t="shared" si="22"/>
        <v>0.85486055519495618</v>
      </c>
      <c r="E119" s="7">
        <v>2013</v>
      </c>
      <c r="F119" s="7"/>
      <c r="G119" s="35"/>
      <c r="H119" s="26">
        <f t="shared" si="23"/>
        <v>0</v>
      </c>
      <c r="I119" s="2"/>
      <c r="J119" s="35"/>
      <c r="K119" s="26">
        <f t="shared" si="24"/>
        <v>0</v>
      </c>
      <c r="L119" s="24"/>
      <c r="M119" s="25"/>
      <c r="N119" s="26">
        <f t="shared" si="25"/>
        <v>0</v>
      </c>
      <c r="O119" s="24"/>
      <c r="P119" s="25"/>
      <c r="Q119" s="26">
        <f t="shared" si="26"/>
        <v>0</v>
      </c>
      <c r="R119" s="24"/>
      <c r="S119" s="67">
        <f>'Private Car Analysis &amp; Split'!P126</f>
        <v>0</v>
      </c>
      <c r="T119" s="26">
        <f t="shared" si="27"/>
        <v>0</v>
      </c>
      <c r="U119" s="24"/>
      <c r="V119" s="67">
        <f>'Private Car Analysis &amp; Split'!X126</f>
        <v>0</v>
      </c>
      <c r="W119" s="26">
        <f t="shared" si="28"/>
        <v>0</v>
      </c>
      <c r="X119" s="24"/>
      <c r="Y119" s="67">
        <f>'Private Car Analysis &amp; Split'!AA126</f>
        <v>0</v>
      </c>
      <c r="Z119" s="26">
        <f t="shared" si="29"/>
        <v>0</v>
      </c>
      <c r="AA119" s="13"/>
      <c r="AB119" s="13"/>
      <c r="AC119" s="68"/>
      <c r="AD119" s="13"/>
      <c r="AE119" s="13"/>
      <c r="AF119" s="13"/>
      <c r="AG119" s="99"/>
    </row>
    <row r="120" spans="1:33" ht="14.4" x14ac:dyDescent="0.3">
      <c r="A120" s="847" t="s">
        <v>28</v>
      </c>
      <c r="B120" s="19">
        <f t="shared" si="21"/>
        <v>28440.833819984502</v>
      </c>
      <c r="C120" s="756">
        <f t="shared" si="30"/>
        <v>9486.3958589572285</v>
      </c>
      <c r="D120" s="69">
        <f t="shared" si="22"/>
        <v>0.33354844372711145</v>
      </c>
      <c r="E120" s="117">
        <v>2014</v>
      </c>
      <c r="F120" s="117"/>
      <c r="G120" s="35">
        <v>1133.5323623070581</v>
      </c>
      <c r="H120" s="26">
        <f t="shared" si="23"/>
        <v>3.9855806249624072E-2</v>
      </c>
      <c r="I120" s="114"/>
      <c r="J120" s="35">
        <v>713.67726016146844</v>
      </c>
      <c r="K120" s="26">
        <f t="shared" si="24"/>
        <v>2.5093401433961802E-2</v>
      </c>
      <c r="L120" s="118"/>
      <c r="M120" s="35">
        <v>264.30794551551298</v>
      </c>
      <c r="N120" s="26">
        <f t="shared" si="25"/>
        <v>9.2932558584056663E-3</v>
      </c>
      <c r="O120" s="118"/>
      <c r="P120" s="25">
        <v>9573.616099983481</v>
      </c>
      <c r="Q120" s="26">
        <f t="shared" si="26"/>
        <v>0.33661516960365606</v>
      </c>
      <c r="R120" s="118"/>
      <c r="S120" s="67">
        <f>'Private Car Analysis &amp; Split'!P127</f>
        <v>3141.4174626346876</v>
      </c>
      <c r="T120" s="26">
        <f t="shared" si="27"/>
        <v>0.11045447832219707</v>
      </c>
      <c r="U120" s="118"/>
      <c r="V120" s="67">
        <f>'Private Car Analysis &amp; Split'!X127</f>
        <v>116.38899289627807</v>
      </c>
      <c r="W120" s="26">
        <f t="shared" si="28"/>
        <v>4.0923199943067451E-3</v>
      </c>
      <c r="X120" s="118"/>
      <c r="Y120" s="67">
        <f>'Private Car Analysis &amp; Split'!AA127</f>
        <v>126.49797722107463</v>
      </c>
      <c r="Z120" s="26">
        <f t="shared" si="29"/>
        <v>4.4477590924984897E-3</v>
      </c>
      <c r="AA120" s="119"/>
      <c r="AB120" s="13"/>
      <c r="AC120" s="68"/>
      <c r="AD120" s="13"/>
      <c r="AE120" s="13"/>
      <c r="AF120" s="13"/>
      <c r="AG120" s="99"/>
    </row>
    <row r="121" spans="1:33" ht="14.4" x14ac:dyDescent="0.3">
      <c r="A121" s="848"/>
      <c r="B121" s="19">
        <f t="shared" si="21"/>
        <v>29511.157218679546</v>
      </c>
      <c r="C121" s="756">
        <f t="shared" si="30"/>
        <v>10199.732342670795</v>
      </c>
      <c r="D121" s="69">
        <f t="shared" si="22"/>
        <v>0.34562292041244375</v>
      </c>
      <c r="E121" s="7">
        <v>2015</v>
      </c>
      <c r="F121" s="7"/>
      <c r="G121" s="35">
        <v>1183.6492717302899</v>
      </c>
      <c r="H121" s="26">
        <f t="shared" si="23"/>
        <v>4.0108534645367303E-2</v>
      </c>
      <c r="I121" s="2"/>
      <c r="J121" s="35">
        <v>730.00794512110224</v>
      </c>
      <c r="K121" s="26">
        <f t="shared" si="24"/>
        <v>2.4736676359781391E-2</v>
      </c>
      <c r="L121" s="24"/>
      <c r="M121" s="35">
        <v>270.35595913663383</v>
      </c>
      <c r="N121" s="26">
        <f t="shared" si="25"/>
        <v>9.161143940689247E-3</v>
      </c>
      <c r="O121" s="24"/>
      <c r="P121" s="25">
        <v>9607.0706209386408</v>
      </c>
      <c r="Q121" s="26">
        <f t="shared" si="26"/>
        <v>0.32554028802563173</v>
      </c>
      <c r="R121" s="24"/>
      <c r="S121" s="67">
        <f>'Private Car Analysis &amp; Split'!P128</f>
        <v>3237.1081048085771</v>
      </c>
      <c r="T121" s="26">
        <f t="shared" si="27"/>
        <v>0.10969099181104289</v>
      </c>
      <c r="U121" s="24"/>
      <c r="V121" s="67">
        <f>'Private Car Analysis &amp; Split'!X128</f>
        <v>121.57668884867235</v>
      </c>
      <c r="W121" s="26">
        <f t="shared" si="28"/>
        <v>4.1196855801953602E-3</v>
      </c>
      <c r="X121" s="24"/>
      <c r="Y121" s="67">
        <f>'Private Car Analysis &amp; Split'!AA128</f>
        <v>145.72611314061396</v>
      </c>
      <c r="Z121" s="26">
        <f t="shared" si="29"/>
        <v>4.938000636870124E-3</v>
      </c>
      <c r="AB121" s="13"/>
      <c r="AC121" s="68"/>
      <c r="AD121" s="13"/>
      <c r="AE121" s="99"/>
      <c r="AF121" s="13"/>
      <c r="AG121" s="99"/>
    </row>
    <row r="122" spans="1:33" ht="14.4" x14ac:dyDescent="0.3">
      <c r="B122" s="19">
        <f t="shared" si="21"/>
        <v>30522.249674036706</v>
      </c>
      <c r="C122" s="756">
        <f t="shared" si="30"/>
        <v>10865.187226054102</v>
      </c>
      <c r="D122" s="69">
        <f t="shared" si="22"/>
        <v>0.35597596317732799</v>
      </c>
      <c r="E122" s="7">
        <v>2016</v>
      </c>
      <c r="F122" s="7"/>
      <c r="G122" s="35">
        <v>1233.7661811535363</v>
      </c>
      <c r="H122" s="26">
        <f t="shared" si="23"/>
        <v>4.0421862553697049E-2</v>
      </c>
      <c r="I122" s="2"/>
      <c r="J122" s="35">
        <v>746.33863008073604</v>
      </c>
      <c r="K122" s="26">
        <f t="shared" si="24"/>
        <v>2.4452281140849123E-2</v>
      </c>
      <c r="L122" s="24"/>
      <c r="M122" s="35">
        <v>276.40397275775649</v>
      </c>
      <c r="N122" s="26">
        <f t="shared" si="25"/>
        <v>9.0558191388125427E-3</v>
      </c>
      <c r="O122" s="24"/>
      <c r="P122" s="25">
        <v>9640.5251418938005</v>
      </c>
      <c r="Q122" s="26">
        <f t="shared" si="26"/>
        <v>0.31585237801440202</v>
      </c>
      <c r="R122" s="24"/>
      <c r="S122" s="67">
        <f>'Private Car Analysis &amp; Split'!P129</f>
        <v>3330.0461502061598</v>
      </c>
      <c r="T122" s="26">
        <f t="shared" si="27"/>
        <v>0.10910225116986752</v>
      </c>
      <c r="U122" s="24"/>
      <c r="V122" s="67">
        <f>'Private Car Analysis &amp; Split'!X129</f>
        <v>126.76438480106481</v>
      </c>
      <c r="W122" s="26">
        <f t="shared" si="28"/>
        <v>4.1531796035629391E-3</v>
      </c>
      <c r="X122" s="24"/>
      <c r="Y122" s="67">
        <f>'Private Car Analysis &amp; Split'!AA129</f>
        <v>167.06546616404685</v>
      </c>
      <c r="Z122" s="26">
        <f t="shared" si="29"/>
        <v>5.4735633168664687E-3</v>
      </c>
      <c r="AB122" s="13"/>
      <c r="AC122" s="68"/>
      <c r="AD122" s="13"/>
      <c r="AE122" s="13"/>
      <c r="AF122" s="13"/>
      <c r="AG122" s="99"/>
    </row>
    <row r="123" spans="1:33" ht="14.4" x14ac:dyDescent="0.3">
      <c r="B123" s="19">
        <f t="shared" si="21"/>
        <v>31561.895718661261</v>
      </c>
      <c r="C123" s="756">
        <f t="shared" si="30"/>
        <v>11555.30181883652</v>
      </c>
      <c r="D123" s="69">
        <f t="shared" si="22"/>
        <v>0.36611558196120464</v>
      </c>
      <c r="E123" s="7">
        <v>2017</v>
      </c>
      <c r="F123" s="7"/>
      <c r="G123" s="35">
        <v>1283.8830905767682</v>
      </c>
      <c r="H123" s="26">
        <f t="shared" si="23"/>
        <v>4.0678262865486259E-2</v>
      </c>
      <c r="I123" s="2"/>
      <c r="J123" s="35">
        <v>762.66931504036984</v>
      </c>
      <c r="K123" s="26">
        <f t="shared" si="24"/>
        <v>2.4164242916164081E-2</v>
      </c>
      <c r="L123" s="24"/>
      <c r="M123" s="35">
        <v>282.45198637887916</v>
      </c>
      <c r="N123" s="26">
        <f t="shared" si="25"/>
        <v>8.9491451621480662E-3</v>
      </c>
      <c r="O123" s="24"/>
      <c r="P123" s="25">
        <v>9673.9796628489603</v>
      </c>
      <c r="Q123" s="26">
        <f t="shared" si="26"/>
        <v>0.30650819421880071</v>
      </c>
      <c r="R123" s="24"/>
      <c r="S123" s="67">
        <f>'Private Car Analysis &amp; Split'!P130</f>
        <v>3422.7338233785767</v>
      </c>
      <c r="T123" s="26">
        <f t="shared" si="27"/>
        <v>0.10844512807115239</v>
      </c>
      <c r="U123" s="24"/>
      <c r="V123" s="67">
        <f>'Private Car Analysis &amp; Split'!X130</f>
        <v>131.95208075345909</v>
      </c>
      <c r="W123" s="26">
        <f t="shared" si="28"/>
        <v>4.1807400268242196E-3</v>
      </c>
      <c r="X123" s="24"/>
      <c r="Y123" s="67">
        <f>'Private Car Analysis &amp; Split'!AA130</f>
        <v>190.4373287900319</v>
      </c>
      <c r="Z123" s="26">
        <f t="shared" si="29"/>
        <v>6.0337734617580043E-3</v>
      </c>
      <c r="AB123" s="13"/>
      <c r="AC123" s="68"/>
      <c r="AD123" s="13"/>
      <c r="AE123" s="13"/>
      <c r="AF123" s="13"/>
      <c r="AG123" s="99"/>
    </row>
    <row r="124" spans="1:33" ht="14.4" x14ac:dyDescent="0.3">
      <c r="B124" s="19">
        <f t="shared" si="21"/>
        <v>32602.325167364055</v>
      </c>
      <c r="C124" s="756">
        <f t="shared" si="30"/>
        <v>12280.709949182476</v>
      </c>
      <c r="D124" s="69">
        <f t="shared" si="22"/>
        <v>0.3766820276204057</v>
      </c>
      <c r="E124" s="7">
        <v>2018</v>
      </c>
      <c r="F124" s="7"/>
      <c r="G124" s="35">
        <v>1334.0000000000146</v>
      </c>
      <c r="H124" s="26">
        <f t="shared" si="23"/>
        <v>4.0917327005111595E-2</v>
      </c>
      <c r="I124" s="2"/>
      <c r="J124" s="35">
        <v>779.00000000000364</v>
      </c>
      <c r="K124" s="26">
        <f t="shared" si="24"/>
        <v>2.3894001302085254E-2</v>
      </c>
      <c r="L124" s="24"/>
      <c r="M124" s="35">
        <v>288.5</v>
      </c>
      <c r="N124" s="26">
        <f t="shared" si="25"/>
        <v>8.8490620996810841E-3</v>
      </c>
      <c r="O124" s="24"/>
      <c r="P124" s="25">
        <v>9673.0101265840403</v>
      </c>
      <c r="Q124" s="26">
        <f t="shared" si="26"/>
        <v>0.29669694038470068</v>
      </c>
      <c r="R124" s="24"/>
      <c r="S124" s="67">
        <f>'Private Car Analysis &amp; Split'!P131</f>
        <v>3515.2217174527982</v>
      </c>
      <c r="T124" s="26">
        <f t="shared" si="27"/>
        <v>0.10782119678297193</v>
      </c>
      <c r="U124" s="24"/>
      <c r="V124" s="67">
        <f>'Private Car Analysis &amp; Split'!X131</f>
        <v>137.13977670585155</v>
      </c>
      <c r="W124" s="26">
        <f t="shared" si="28"/>
        <v>4.2064415958630074E-3</v>
      </c>
      <c r="X124" s="24"/>
      <c r="Y124" s="67">
        <f>'Private Car Analysis &amp; Split'!AA131</f>
        <v>191.57679185964</v>
      </c>
      <c r="Z124" s="26">
        <f t="shared" si="29"/>
        <v>5.8761695945359852E-3</v>
      </c>
      <c r="AB124" s="13"/>
      <c r="AC124" s="68"/>
      <c r="AD124" s="13"/>
      <c r="AE124" s="68"/>
      <c r="AF124" s="13"/>
      <c r="AG124" s="99"/>
    </row>
    <row r="125" spans="1:33" ht="14.4" x14ac:dyDescent="0.3">
      <c r="B125" s="19">
        <f t="shared" si="21"/>
        <v>33644.353306078112</v>
      </c>
      <c r="C125" s="756">
        <f t="shared" si="30"/>
        <v>11036.968240513088</v>
      </c>
      <c r="D125" s="69">
        <f t="shared" si="22"/>
        <v>0.32804816130970704</v>
      </c>
      <c r="E125" s="7">
        <v>2019</v>
      </c>
      <c r="F125" s="7"/>
      <c r="G125" s="35">
        <v>1972.6830099777953</v>
      </c>
      <c r="H125" s="26">
        <f t="shared" si="23"/>
        <v>5.8633405493973785E-2</v>
      </c>
      <c r="I125" s="2"/>
      <c r="J125" s="35">
        <v>795.33068495963744</v>
      </c>
      <c r="K125" s="26">
        <f t="shared" si="24"/>
        <v>2.3639351237461734E-2</v>
      </c>
      <c r="L125" s="24"/>
      <c r="M125" s="35">
        <v>350.78084379788152</v>
      </c>
      <c r="N125" s="26">
        <f t="shared" si="25"/>
        <v>1.0426143151175096E-2</v>
      </c>
      <c r="O125" s="24"/>
      <c r="P125" s="25">
        <v>9708.1710089633289</v>
      </c>
      <c r="Q125" s="26">
        <f t="shared" si="26"/>
        <v>0.28855276012124964</v>
      </c>
      <c r="R125" s="24"/>
      <c r="S125" s="67">
        <f>'Private Car Analysis &amp; Split'!P132</f>
        <v>4897.2967581974644</v>
      </c>
      <c r="T125" s="26">
        <f t="shared" si="27"/>
        <v>0.14556073388138896</v>
      </c>
      <c r="U125" s="24"/>
      <c r="V125" s="67">
        <f>'Private Car Analysis &amp; Split'!X132</f>
        <v>296.83399761980957</v>
      </c>
      <c r="W125" s="26">
        <f t="shared" si="28"/>
        <v>8.822698861808238E-3</v>
      </c>
      <c r="X125" s="24"/>
      <c r="Y125" s="67">
        <f>'Private Car Analysis &amp; Split'!AA132</f>
        <v>243.91724158047521</v>
      </c>
      <c r="Z125" s="26">
        <f t="shared" si="29"/>
        <v>7.249871601378341E-3</v>
      </c>
      <c r="AB125" s="13"/>
      <c r="AC125" s="68"/>
      <c r="AD125" s="13"/>
      <c r="AE125" s="13"/>
      <c r="AF125" s="13"/>
      <c r="AG125" s="99"/>
    </row>
    <row r="126" spans="1:33" s="99" customFormat="1" ht="14.4" x14ac:dyDescent="0.3">
      <c r="A126" s="30"/>
      <c r="B126" s="19">
        <f t="shared" si="21"/>
        <v>34697.510647161849</v>
      </c>
      <c r="C126" s="756">
        <f t="shared" si="30"/>
        <v>10992.226243294768</v>
      </c>
      <c r="D126" s="69">
        <f t="shared" si="22"/>
        <v>0.31680158138935244</v>
      </c>
      <c r="E126" s="33">
        <v>2020</v>
      </c>
      <c r="F126" s="33"/>
      <c r="G126" s="35">
        <v>2082.4144903693159</v>
      </c>
      <c r="H126" s="26">
        <f t="shared" si="23"/>
        <v>6.0016250489706269E-2</v>
      </c>
      <c r="I126" s="30"/>
      <c r="J126" s="35">
        <v>1044.7173210092587</v>
      </c>
      <c r="K126" s="26">
        <f t="shared" si="24"/>
        <v>3.0109287425053748E-2</v>
      </c>
      <c r="L126" s="34"/>
      <c r="M126" s="35">
        <v>386.2559698422632</v>
      </c>
      <c r="N126" s="26">
        <f t="shared" si="25"/>
        <v>1.1132094569264374E-2</v>
      </c>
      <c r="O126" s="34"/>
      <c r="P126" s="25">
        <v>9749.4862370388182</v>
      </c>
      <c r="Q126" s="26">
        <f t="shared" si="26"/>
        <v>0.28098517891329755</v>
      </c>
      <c r="R126" s="34"/>
      <c r="S126" s="19">
        <f>'Private Car Analysis &amp; Split'!P133</f>
        <v>5406.4329541612615</v>
      </c>
      <c r="T126" s="26">
        <f t="shared" si="27"/>
        <v>0.15581616240828192</v>
      </c>
      <c r="U126" s="34"/>
      <c r="V126" s="19">
        <f>'Private Car Analysis &amp; Split'!X133</f>
        <v>450.81365153839374</v>
      </c>
      <c r="W126" s="26">
        <f t="shared" si="28"/>
        <v>1.2992679968390439E-2</v>
      </c>
      <c r="X126" s="34"/>
      <c r="Y126" s="19">
        <f>'Private Car Analysis &amp; Split'!AA133</f>
        <v>300.92424591583767</v>
      </c>
      <c r="Z126" s="26">
        <f t="shared" si="29"/>
        <v>8.6727906499094159E-3</v>
      </c>
      <c r="AA126" s="30"/>
      <c r="AB126" s="13"/>
      <c r="AC126" s="68"/>
      <c r="AD126" s="13"/>
      <c r="AF126" s="13"/>
    </row>
    <row r="127" spans="1:33" ht="14.4" x14ac:dyDescent="0.3">
      <c r="B127" s="19">
        <f t="shared" si="21"/>
        <v>35718.895175557307</v>
      </c>
      <c r="C127" s="756">
        <f t="shared" si="30"/>
        <v>10982.085888351512</v>
      </c>
      <c r="D127" s="69">
        <f t="shared" si="22"/>
        <v>0.30745872273974001</v>
      </c>
      <c r="E127" s="7">
        <v>2021</v>
      </c>
      <c r="F127" s="7"/>
      <c r="G127" s="35">
        <v>2190.307327019997</v>
      </c>
      <c r="H127" s="26">
        <f t="shared" si="23"/>
        <v>6.1320690806776122E-2</v>
      </c>
      <c r="I127" s="2"/>
      <c r="J127" s="35">
        <v>1177.5759815138881</v>
      </c>
      <c r="K127" s="26">
        <f t="shared" si="24"/>
        <v>3.296787248670871E-2</v>
      </c>
      <c r="L127" s="24"/>
      <c r="M127" s="35">
        <v>421.90274558193664</v>
      </c>
      <c r="N127" s="26">
        <f t="shared" si="25"/>
        <v>1.1811752393468421E-2</v>
      </c>
      <c r="O127" s="24"/>
      <c r="P127" s="25">
        <v>9796.407752946423</v>
      </c>
      <c r="Q127" s="26">
        <f t="shared" si="26"/>
        <v>0.27426401922000582</v>
      </c>
      <c r="R127" s="24"/>
      <c r="S127" s="67">
        <f>'Private Car Analysis &amp; Split'!P134</f>
        <v>5966.3948653136049</v>
      </c>
      <c r="T127" s="26">
        <f t="shared" si="27"/>
        <v>0.16703749754825706</v>
      </c>
      <c r="U127" s="24"/>
      <c r="V127" s="67">
        <f>'Private Car Analysis &amp; Split'!X134</f>
        <v>611.76019005627518</v>
      </c>
      <c r="W127" s="26">
        <f t="shared" si="28"/>
        <v>1.7127074817109882E-2</v>
      </c>
      <c r="X127" s="24"/>
      <c r="Y127" s="67">
        <f>'Private Car Analysis &amp; Split'!AA134</f>
        <v>366.58447654535217</v>
      </c>
      <c r="Z127" s="26">
        <f t="shared" si="29"/>
        <v>1.0263040744782289E-2</v>
      </c>
      <c r="AB127" s="13"/>
      <c r="AC127" s="68"/>
      <c r="AD127" s="13"/>
      <c r="AE127" s="99"/>
      <c r="AF127" s="13"/>
      <c r="AG127" s="99"/>
    </row>
    <row r="128" spans="1:33" ht="14.4" x14ac:dyDescent="0.3">
      <c r="B128" s="19">
        <f t="shared" si="21"/>
        <v>36748.653520328357</v>
      </c>
      <c r="C128" s="756">
        <f t="shared" si="30"/>
        <v>9836.7480365646989</v>
      </c>
      <c r="D128" s="69">
        <f t="shared" si="22"/>
        <v>0.26767642061016678</v>
      </c>
      <c r="E128" s="7">
        <v>2022</v>
      </c>
      <c r="F128" s="7"/>
      <c r="G128" s="35">
        <v>2296.428881634838</v>
      </c>
      <c r="H128" s="26">
        <f t="shared" si="23"/>
        <v>6.2490150295289489E-2</v>
      </c>
      <c r="I128" s="2"/>
      <c r="J128" s="35">
        <v>1310.4346420185175</v>
      </c>
      <c r="K128" s="26">
        <f t="shared" si="24"/>
        <v>3.5659392018094503E-2</v>
      </c>
      <c r="L128" s="24"/>
      <c r="M128" s="35">
        <v>457.75757666535378</v>
      </c>
      <c r="N128" s="26">
        <f t="shared" si="25"/>
        <v>1.2456444871160646E-2</v>
      </c>
      <c r="O128" s="24"/>
      <c r="P128" s="25">
        <v>11627.279466017459</v>
      </c>
      <c r="Q128" s="26">
        <f t="shared" si="26"/>
        <v>0.31640014945270206</v>
      </c>
      <c r="R128" s="24"/>
      <c r="S128" s="67">
        <f>'Private Car Analysis &amp; Split'!P135</f>
        <v>5886.3257481541159</v>
      </c>
      <c r="T128" s="26">
        <f t="shared" si="27"/>
        <v>0.16017799794754278</v>
      </c>
      <c r="U128" s="24"/>
      <c r="V128" s="67">
        <f>'Private Car Analysis &amp; Split'!X135</f>
        <v>790.9322293104849</v>
      </c>
      <c r="W128" s="26">
        <f t="shared" si="28"/>
        <v>2.1522753993502446E-2</v>
      </c>
      <c r="X128" s="24"/>
      <c r="Y128" s="67">
        <f>'Private Car Analysis &amp; Split'!AA135</f>
        <v>440.77974308008828</v>
      </c>
      <c r="Z128" s="26">
        <f t="shared" si="29"/>
        <v>1.1994446077766112E-2</v>
      </c>
      <c r="AB128" s="13"/>
      <c r="AC128" s="68"/>
      <c r="AD128" s="13"/>
      <c r="AE128" s="99"/>
      <c r="AF128" s="13"/>
      <c r="AG128" s="99"/>
    </row>
    <row r="129" spans="2:33" ht="14.4" x14ac:dyDescent="0.3">
      <c r="B129" s="19">
        <f t="shared" si="21"/>
        <v>37781.871467732562</v>
      </c>
      <c r="C129" s="756">
        <f t="shared" si="30"/>
        <v>9620.7545793516183</v>
      </c>
      <c r="D129" s="69">
        <f t="shared" si="22"/>
        <v>0.25463943964682056</v>
      </c>
      <c r="E129" s="7">
        <v>2023</v>
      </c>
      <c r="F129" s="7"/>
      <c r="G129" s="35">
        <v>2400.8465159188386</v>
      </c>
      <c r="H129" s="26">
        <f t="shared" si="23"/>
        <v>6.3544933658706421E-2</v>
      </c>
      <c r="I129" s="2"/>
      <c r="J129" s="35">
        <v>1443.2933025231468</v>
      </c>
      <c r="K129" s="26">
        <f t="shared" si="24"/>
        <v>3.8200683196855004E-2</v>
      </c>
      <c r="L129" s="24"/>
      <c r="M129" s="35">
        <v>493.85686874096689</v>
      </c>
      <c r="N129" s="26">
        <f t="shared" si="25"/>
        <v>1.307126538617186E-2</v>
      </c>
      <c r="O129" s="24"/>
      <c r="P129" s="25">
        <v>12012.856193915453</v>
      </c>
      <c r="Q129" s="26">
        <f t="shared" si="26"/>
        <v>0.31795291570389728</v>
      </c>
      <c r="R129" s="24"/>
      <c r="S129" s="67">
        <f>'Private Car Analysis &amp; Split'!P136</f>
        <v>6326.6241587603117</v>
      </c>
      <c r="T129" s="26">
        <f t="shared" si="27"/>
        <v>0.16745131760250512</v>
      </c>
      <c r="U129" s="24"/>
      <c r="V129" s="67">
        <f>'Private Car Analysis &amp; Split'!X136</f>
        <v>984.23743341108491</v>
      </c>
      <c r="W129" s="26">
        <f t="shared" si="28"/>
        <v>2.6050520929109307E-2</v>
      </c>
      <c r="X129" s="24"/>
      <c r="Y129" s="67">
        <f>'Private Car Analysis &amp; Split'!AA136</f>
        <v>523.39185513111511</v>
      </c>
      <c r="Z129" s="26">
        <f t="shared" si="29"/>
        <v>1.3852989139993119E-2</v>
      </c>
      <c r="AB129" s="13"/>
      <c r="AC129" s="68"/>
      <c r="AD129" s="13"/>
      <c r="AE129" s="99"/>
      <c r="AF129" s="13"/>
      <c r="AG129" s="99"/>
    </row>
    <row r="130" spans="2:33" ht="14.4" x14ac:dyDescent="0.3">
      <c r="B130" s="19">
        <f t="shared" si="21"/>
        <v>38819.140722197262</v>
      </c>
      <c r="C130" s="756">
        <f t="shared" si="30"/>
        <v>9385.1110964093205</v>
      </c>
      <c r="D130" s="69">
        <f t="shared" si="22"/>
        <v>0.24176503966361107</v>
      </c>
      <c r="E130" s="7">
        <v>2024</v>
      </c>
      <c r="F130" s="7"/>
      <c r="G130" s="35">
        <v>2503.6275915769975</v>
      </c>
      <c r="H130" s="26">
        <f t="shared" si="23"/>
        <v>6.4494667965316207E-2</v>
      </c>
      <c r="I130" s="2"/>
      <c r="J130" s="35">
        <v>1576.1519630277762</v>
      </c>
      <c r="K130" s="26">
        <f t="shared" si="24"/>
        <v>4.0602443374706469E-2</v>
      </c>
      <c r="L130" s="24"/>
      <c r="M130" s="35">
        <v>530.23702745722812</v>
      </c>
      <c r="N130" s="26">
        <f t="shared" si="25"/>
        <v>1.3659164463525388E-2</v>
      </c>
      <c r="O130" s="24"/>
      <c r="P130" s="25">
        <v>12419.822370408252</v>
      </c>
      <c r="Q130" s="26">
        <f t="shared" si="26"/>
        <v>0.31994068233732037</v>
      </c>
      <c r="R130" s="24"/>
      <c r="S130" s="67">
        <f>'Private Car Analysis &amp; Split'!P137</f>
        <v>6770.002141089114</v>
      </c>
      <c r="T130" s="26">
        <f t="shared" si="27"/>
        <v>0.1743985573904768</v>
      </c>
      <c r="U130" s="24"/>
      <c r="V130" s="67">
        <f>'Private Car Analysis &amp; Split'!X137</f>
        <v>1187.0742143221576</v>
      </c>
      <c r="W130" s="26">
        <f t="shared" si="28"/>
        <v>3.0579610785752758E-2</v>
      </c>
      <c r="X130" s="24"/>
      <c r="Y130" s="67">
        <f>'Private Car Analysis &amp; Split'!AA137</f>
        <v>614.30262230950211</v>
      </c>
      <c r="Z130" s="26">
        <f t="shared" si="29"/>
        <v>1.5824735191993476E-2</v>
      </c>
      <c r="AB130" s="13"/>
      <c r="AC130" s="68"/>
      <c r="AD130" s="13"/>
      <c r="AE130" s="99"/>
      <c r="AF130" s="13"/>
      <c r="AG130" s="99"/>
    </row>
    <row r="131" spans="2:33" ht="14.4" x14ac:dyDescent="0.3">
      <c r="B131" s="19">
        <f t="shared" si="21"/>
        <v>39854.069973673031</v>
      </c>
      <c r="C131" s="756">
        <f>B131-$AC$114*B131-IF($G$114="Include",G131,0)-IF($J$114="Include",J131,0)-IF($M$114="Include",M131,0)-IF($P$114="Include",P131,0)-MAX(IF($S$114="Include",S131,0),SUM(IF($V$114="Include",V131,0),IF($Y$114="Include",Y131,0)))</f>
        <v>9128.6336607852609</v>
      </c>
      <c r="D131" s="69">
        <f t="shared" si="22"/>
        <v>0.22905147872765547</v>
      </c>
      <c r="E131" s="7">
        <v>2025</v>
      </c>
      <c r="F131" s="7"/>
      <c r="G131" s="35">
        <v>2604.8394703143135</v>
      </c>
      <c r="H131" s="26">
        <f t="shared" si="23"/>
        <v>6.5359434357269638E-2</v>
      </c>
      <c r="I131" s="2"/>
      <c r="J131" s="35">
        <v>1709.0106235324056</v>
      </c>
      <c r="K131" s="26">
        <f t="shared" si="24"/>
        <v>4.2881708810702419E-2</v>
      </c>
      <c r="L131" s="24"/>
      <c r="M131" s="35">
        <v>566.93445846258942</v>
      </c>
      <c r="N131" s="26">
        <f t="shared" si="25"/>
        <v>1.422525877123961E-2</v>
      </c>
      <c r="O131" s="24"/>
      <c r="P131" s="25">
        <v>12846.718481387034</v>
      </c>
      <c r="Q131" s="26">
        <f t="shared" si="26"/>
        <v>0.32234395357546602</v>
      </c>
      <c r="R131" s="24"/>
      <c r="S131" s="67">
        <f>'Private Car Analysis &amp; Split'!P138</f>
        <v>7213.5356899911567</v>
      </c>
      <c r="T131" s="26">
        <f t="shared" si="27"/>
        <v>0.18099872095262301</v>
      </c>
      <c r="U131" s="24"/>
      <c r="V131" s="67">
        <f>'Private Car Analysis &amp; Split'!X138</f>
        <v>1394.3317318618062</v>
      </c>
      <c r="W131" s="26">
        <f t="shared" si="28"/>
        <v>3.4985930741399301E-2</v>
      </c>
      <c r="X131" s="24"/>
      <c r="Y131" s="67">
        <f>'Private Car Analysis &amp; Split'!AA138</f>
        <v>713.39385422631835</v>
      </c>
      <c r="Z131" s="26">
        <f t="shared" si="29"/>
        <v>1.7900150591836042E-2</v>
      </c>
      <c r="AB131" s="13"/>
      <c r="AC131" s="68"/>
      <c r="AD131" s="13"/>
      <c r="AE131" s="13"/>
      <c r="AF131" s="13"/>
      <c r="AG131" s="99"/>
    </row>
    <row r="132" spans="2:33" ht="14.4" x14ac:dyDescent="0.3">
      <c r="B132" s="19">
        <f t="shared" si="21"/>
        <v>40909.376553962953</v>
      </c>
      <c r="C132" s="756">
        <f t="shared" si="30"/>
        <v>8863.8712349262387</v>
      </c>
      <c r="D132" s="69">
        <f t="shared" si="22"/>
        <v>0.21667089507546117</v>
      </c>
      <c r="E132" s="7">
        <v>2026</v>
      </c>
      <c r="F132" s="7"/>
      <c r="G132" s="35">
        <v>2704.5495138357869</v>
      </c>
      <c r="H132" s="26">
        <f t="shared" si="23"/>
        <v>6.6110748724519316E-2</v>
      </c>
      <c r="I132" s="2"/>
      <c r="J132" s="35">
        <v>1841.8692840370932</v>
      </c>
      <c r="K132" s="26">
        <f t="shared" si="24"/>
        <v>4.5023157016521889E-2</v>
      </c>
      <c r="L132" s="24"/>
      <c r="M132" s="35">
        <v>603.98556740550305</v>
      </c>
      <c r="N132" s="26">
        <f t="shared" si="25"/>
        <v>1.4763988559170405E-2</v>
      </c>
      <c r="O132" s="24"/>
      <c r="P132" s="25">
        <v>13292.04438006793</v>
      </c>
      <c r="Q132" s="26">
        <f t="shared" si="26"/>
        <v>0.32491437170973725</v>
      </c>
      <c r="R132" s="24"/>
      <c r="S132" s="67">
        <f>'Private Car Analysis &amp; Split'!P139</f>
        <v>7665.4923733277428</v>
      </c>
      <c r="T132" s="26">
        <f t="shared" si="27"/>
        <v>0.18737739410954615</v>
      </c>
      <c r="U132" s="24"/>
      <c r="V132" s="67">
        <f>'Private Car Analysis &amp; Split'!X139</f>
        <v>1600.3898937021561</v>
      </c>
      <c r="W132" s="26">
        <f t="shared" si="28"/>
        <v>3.9120368690808704E-2</v>
      </c>
      <c r="X132" s="24"/>
      <c r="Y132" s="67">
        <f>'Private Car Analysis &amp; Split'!AA139</f>
        <v>820.54736049263352</v>
      </c>
      <c r="Z132" s="26">
        <f t="shared" si="29"/>
        <v>2.0057684316216885E-2</v>
      </c>
      <c r="AB132" s="13"/>
      <c r="AC132" s="68"/>
      <c r="AD132" s="13"/>
      <c r="AE132" s="68"/>
      <c r="AF132" s="13"/>
      <c r="AG132" s="99"/>
    </row>
    <row r="133" spans="2:33" ht="14.4" x14ac:dyDescent="0.3">
      <c r="B133" s="19">
        <f t="shared" si="21"/>
        <v>41965.332801393772</v>
      </c>
      <c r="C133" s="756">
        <f t="shared" si="30"/>
        <v>8582.8737788428989</v>
      </c>
      <c r="D133" s="69">
        <f t="shared" si="22"/>
        <v>0.20452295277777091</v>
      </c>
      <c r="E133" s="7">
        <v>2027</v>
      </c>
      <c r="F133" s="7"/>
      <c r="G133" s="35">
        <v>2802.8250838464164</v>
      </c>
      <c r="H133" s="26">
        <f t="shared" si="23"/>
        <v>6.6789058890850211E-2</v>
      </c>
      <c r="I133" s="2"/>
      <c r="J133" s="35">
        <v>1974.7279445417225</v>
      </c>
      <c r="K133" s="26">
        <f t="shared" si="24"/>
        <v>4.7056172624374781E-2</v>
      </c>
      <c r="L133" s="24"/>
      <c r="M133" s="35">
        <v>641.42675993442117</v>
      </c>
      <c r="N133" s="26">
        <f t="shared" si="25"/>
        <v>1.5284681834171414E-2</v>
      </c>
      <c r="O133" s="24"/>
      <c r="P133" s="25">
        <v>13754.283705936179</v>
      </c>
      <c r="Q133" s="26">
        <f t="shared" si="26"/>
        <v>0.32775347620928114</v>
      </c>
      <c r="R133" s="24"/>
      <c r="S133" s="67">
        <f>'Private Car Analysis &amp; Split'!P140</f>
        <v>8118.3704244389519</v>
      </c>
      <c r="T133" s="26">
        <f t="shared" si="27"/>
        <v>0.19345421285850783</v>
      </c>
      <c r="U133" s="24"/>
      <c r="V133" s="67">
        <f>'Private Car Analysis &amp; Split'!X140</f>
        <v>1799.1193553693513</v>
      </c>
      <c r="W133" s="26">
        <f t="shared" si="28"/>
        <v>4.2871561721764734E-2</v>
      </c>
      <c r="X133" s="24"/>
      <c r="Y133" s="67">
        <f>'Private Car Analysis &amp; Split'!AA140</f>
        <v>935.64495071951649</v>
      </c>
      <c r="Z133" s="26">
        <f t="shared" si="29"/>
        <v>2.2295663783904067E-2</v>
      </c>
      <c r="AB133" s="13"/>
      <c r="AC133" s="68"/>
      <c r="AD133" s="13"/>
      <c r="AE133" s="13"/>
      <c r="AF133" s="13"/>
      <c r="AG133" s="99"/>
    </row>
    <row r="134" spans="2:33" ht="14.4" x14ac:dyDescent="0.3">
      <c r="B134" s="19">
        <f t="shared" si="21"/>
        <v>43030.378640550611</v>
      </c>
      <c r="C134" s="756">
        <f t="shared" si="30"/>
        <v>8290.8950327800412</v>
      </c>
      <c r="D134" s="69">
        <f t="shared" si="22"/>
        <v>0.19267539107747791</v>
      </c>
      <c r="E134" s="7">
        <v>2028</v>
      </c>
      <c r="F134" s="7"/>
      <c r="G134" s="35">
        <v>2899.7335420512009</v>
      </c>
      <c r="H134" s="26">
        <f t="shared" si="23"/>
        <v>6.7388055454352294E-2</v>
      </c>
      <c r="I134" s="2"/>
      <c r="J134" s="35">
        <v>2107.5866050463519</v>
      </c>
      <c r="K134" s="26">
        <f t="shared" si="24"/>
        <v>4.8979039265534652E-2</v>
      </c>
      <c r="L134" s="24"/>
      <c r="M134" s="35">
        <v>679.29444169779595</v>
      </c>
      <c r="N134" s="26">
        <f t="shared" si="25"/>
        <v>1.5786392385068349E-2</v>
      </c>
      <c r="O134" s="24"/>
      <c r="P134" s="25">
        <v>14231.948039200684</v>
      </c>
      <c r="Q134" s="26">
        <f t="shared" si="26"/>
        <v>0.3307418732725001</v>
      </c>
      <c r="R134" s="24"/>
      <c r="S134" s="67">
        <f>'Private Car Analysis &amp; Split'!P141</f>
        <v>8575.5157141342061</v>
      </c>
      <c r="T134" s="26">
        <f t="shared" si="27"/>
        <v>0.19928980374002295</v>
      </c>
      <c r="U134" s="24"/>
      <c r="V134" s="67">
        <f>'Private Car Analysis &amp; Split'!X141</f>
        <v>1983.8815202435585</v>
      </c>
      <c r="W134" s="26">
        <f t="shared" si="28"/>
        <v>4.6104207839203271E-2</v>
      </c>
      <c r="X134" s="24"/>
      <c r="Y134" s="67">
        <f>'Private Car Analysis &amp; Split'!AA141</f>
        <v>1058.5684345180366</v>
      </c>
      <c r="Z134" s="26">
        <f t="shared" si="29"/>
        <v>2.4600490815120824E-2</v>
      </c>
      <c r="AB134" s="13"/>
      <c r="AC134" s="68"/>
      <c r="AD134" s="13"/>
      <c r="AE134" s="13"/>
      <c r="AF134" s="13"/>
      <c r="AG134" s="99"/>
    </row>
    <row r="135" spans="2:33" ht="14.4" x14ac:dyDescent="0.3">
      <c r="B135" s="19">
        <f t="shared" si="21"/>
        <v>44105.840131241697</v>
      </c>
      <c r="C135" s="756">
        <f t="shared" si="30"/>
        <v>7989.564908873941</v>
      </c>
      <c r="D135" s="69">
        <f t="shared" si="22"/>
        <v>0.1811452833706404</v>
      </c>
      <c r="E135" s="7">
        <v>2029</v>
      </c>
      <c r="F135" s="7"/>
      <c r="G135" s="35">
        <v>2995.3422501551404</v>
      </c>
      <c r="H135" s="26">
        <f t="shared" si="23"/>
        <v>6.7912599357413339E-2</v>
      </c>
      <c r="I135" s="2"/>
      <c r="J135" s="35">
        <v>2240.4452655509813</v>
      </c>
      <c r="K135" s="26">
        <f t="shared" si="24"/>
        <v>5.0797020505318438E-2</v>
      </c>
      <c r="L135" s="24"/>
      <c r="M135" s="35">
        <v>717.62501834407942</v>
      </c>
      <c r="N135" s="26">
        <f t="shared" si="25"/>
        <v>1.6270521459487191E-2</v>
      </c>
      <c r="O135" s="24"/>
      <c r="P135" s="25">
        <v>14723.552686713268</v>
      </c>
      <c r="Q135" s="26">
        <f t="shared" si="26"/>
        <v>0.33382319989601705</v>
      </c>
      <c r="R135" s="24"/>
      <c r="S135" s="67">
        <f>'Private Car Analysis &amp; Split'!P142</f>
        <v>9037.8128522958505</v>
      </c>
      <c r="T135" s="26">
        <f t="shared" si="27"/>
        <v>0.20491193060607985</v>
      </c>
      <c r="U135" s="24"/>
      <c r="V135" s="67">
        <f>'Private Car Analysis &amp; Split'!X142</f>
        <v>2147.5285395589653</v>
      </c>
      <c r="W135" s="26">
        <f t="shared" si="28"/>
        <v>4.8690344253023224E-2</v>
      </c>
      <c r="X135" s="24"/>
      <c r="Y135" s="67">
        <f>'Private Car Analysis &amp; Split'!AA142</f>
        <v>1189.1996214992637</v>
      </c>
      <c r="Z135" s="26">
        <f t="shared" si="29"/>
        <v>2.696240719960603E-2</v>
      </c>
      <c r="AB135" s="13"/>
      <c r="AC135" s="68"/>
      <c r="AD135" s="13"/>
      <c r="AE135" s="99"/>
      <c r="AF135" s="13"/>
      <c r="AG135" s="99"/>
    </row>
    <row r="136" spans="2:33" ht="14.4" x14ac:dyDescent="0.3">
      <c r="B136" s="19">
        <f t="shared" si="21"/>
        <v>45179.177847550411</v>
      </c>
      <c r="C136" s="756">
        <f t="shared" si="30"/>
        <v>7674.9922324273502</v>
      </c>
      <c r="D136" s="69">
        <f t="shared" si="22"/>
        <v>0.16987897075784181</v>
      </c>
      <c r="E136" s="7">
        <v>2030</v>
      </c>
      <c r="F136" s="7"/>
      <c r="G136" s="35">
        <v>3089.7185698632338</v>
      </c>
      <c r="H136" s="26">
        <f t="shared" si="23"/>
        <v>6.8388109679396403E-2</v>
      </c>
      <c r="I136" s="2"/>
      <c r="J136" s="35">
        <v>2373.3039260556106</v>
      </c>
      <c r="K136" s="26">
        <f t="shared" si="24"/>
        <v>5.2530923295327069E-2</v>
      </c>
      <c r="L136" s="24"/>
      <c r="M136" s="35">
        <v>756.45489552172364</v>
      </c>
      <c r="N136" s="26">
        <f t="shared" si="25"/>
        <v>1.6743440929231919E-2</v>
      </c>
      <c r="O136" s="24"/>
      <c r="P136" s="25">
        <v>15227.611873723567</v>
      </c>
      <c r="Q136" s="26">
        <f t="shared" si="26"/>
        <v>0.33704933553918576</v>
      </c>
      <c r="R136" s="24"/>
      <c r="S136" s="67">
        <f>'Private Car Analysis &amp; Split'!P143</f>
        <v>9499.8155604171261</v>
      </c>
      <c r="T136" s="26">
        <f t="shared" si="27"/>
        <v>0.21026977499397326</v>
      </c>
      <c r="U136" s="24"/>
      <c r="V136" s="67">
        <f>'Private Car Analysis &amp; Split'!X143</f>
        <v>2282.4033124037792</v>
      </c>
      <c r="W136" s="26">
        <f t="shared" si="28"/>
        <v>5.0518920908772795E-2</v>
      </c>
      <c r="X136" s="24"/>
      <c r="Y136" s="67">
        <f>'Private Car Analysis &amp; Split'!AA143</f>
        <v>1194.6782891468399</v>
      </c>
      <c r="Z136" s="26">
        <f t="shared" si="29"/>
        <v>2.6443117074376216E-2</v>
      </c>
      <c r="AB136" s="13"/>
      <c r="AC136" s="68"/>
      <c r="AD136" s="13"/>
      <c r="AE136" s="13"/>
      <c r="AF136" s="13"/>
      <c r="AG136" s="99"/>
    </row>
    <row r="137" spans="2:33" ht="14.4" x14ac:dyDescent="0.3">
      <c r="B137" s="19">
        <f t="shared" si="21"/>
        <v>46293.203311531608</v>
      </c>
      <c r="C137" s="756">
        <f t="shared" si="30"/>
        <v>7364.2123380154953</v>
      </c>
      <c r="D137" s="69">
        <f t="shared" si="22"/>
        <v>0.1590776142332988</v>
      </c>
      <c r="E137" s="7">
        <v>2031</v>
      </c>
      <c r="F137" s="7"/>
      <c r="G137" s="35">
        <v>3182.92986288048</v>
      </c>
      <c r="H137" s="26">
        <f t="shared" si="23"/>
        <v>6.8755878513328414E-2</v>
      </c>
      <c r="I137" s="2"/>
      <c r="J137" s="35">
        <v>2506.16258656024</v>
      </c>
      <c r="K137" s="26">
        <f t="shared" si="24"/>
        <v>5.4136728661763542E-2</v>
      </c>
      <c r="L137" s="24"/>
      <c r="M137" s="35">
        <v>795.82047887918088</v>
      </c>
      <c r="N137" s="26">
        <f t="shared" si="25"/>
        <v>1.7190870839584836E-2</v>
      </c>
      <c r="O137" s="24"/>
      <c r="P137" s="25">
        <v>15742.62973435658</v>
      </c>
      <c r="Q137" s="26">
        <f t="shared" si="26"/>
        <v>0.34006352138598067</v>
      </c>
      <c r="R137" s="24"/>
      <c r="S137" s="67">
        <f>'Private Car Analysis &amp; Split'!P144</f>
        <v>9982.4784839569184</v>
      </c>
      <c r="T137" s="26">
        <f t="shared" si="27"/>
        <v>0.21563594156099994</v>
      </c>
      <c r="U137" s="24"/>
      <c r="V137" s="67">
        <f>'Private Car Analysis &amp; Split'!X144</f>
        <v>2644.8216508002547</v>
      </c>
      <c r="W137" s="26">
        <f t="shared" si="28"/>
        <v>5.7131964556478017E-2</v>
      </c>
      <c r="X137" s="24"/>
      <c r="Y137" s="67">
        <f>'Private Car Analysis &amp; Split'!AA144</f>
        <v>1325.801109108703</v>
      </c>
      <c r="Z137" s="26">
        <f t="shared" si="29"/>
        <v>2.8639217299064004E-2</v>
      </c>
      <c r="AB137" s="13"/>
      <c r="AC137" s="68"/>
      <c r="AD137" s="13"/>
      <c r="AE137" s="13"/>
      <c r="AF137" s="13"/>
      <c r="AG137" s="99"/>
    </row>
    <row r="138" spans="2:33" ht="14.4" x14ac:dyDescent="0.3">
      <c r="B138" s="19">
        <f t="shared" si="21"/>
        <v>47407.816241047607</v>
      </c>
      <c r="C138" s="756">
        <f t="shared" si="30"/>
        <v>7042.3581619499564</v>
      </c>
      <c r="D138" s="69">
        <f t="shared" si="22"/>
        <v>0.14854846142127082</v>
      </c>
      <c r="E138" s="7">
        <v>2032</v>
      </c>
      <c r="F138" s="7"/>
      <c r="G138" s="35">
        <v>3275.043490911879</v>
      </c>
      <c r="H138" s="26">
        <f t="shared" si="23"/>
        <v>6.9082352881637554E-2</v>
      </c>
      <c r="I138" s="2"/>
      <c r="J138" s="35">
        <v>2639.0212470648694</v>
      </c>
      <c r="K138" s="26">
        <f t="shared" si="24"/>
        <v>5.5666374372669331E-2</v>
      </c>
      <c r="L138" s="24"/>
      <c r="M138" s="35">
        <v>835.7581740649033</v>
      </c>
      <c r="N138" s="26">
        <f t="shared" si="25"/>
        <v>1.7629121953549719E-2</v>
      </c>
      <c r="O138" s="24"/>
      <c r="P138" s="25">
        <v>16267.112356351709</v>
      </c>
      <c r="Q138" s="26">
        <f t="shared" si="26"/>
        <v>0.3431314421579913</v>
      </c>
      <c r="R138" s="24"/>
      <c r="S138" s="67">
        <f>'Private Car Analysis &amp; Split'!P145</f>
        <v>10467.778682059103</v>
      </c>
      <c r="T138" s="26">
        <f t="shared" si="27"/>
        <v>0.22080280240783748</v>
      </c>
      <c r="U138" s="24"/>
      <c r="V138" s="67">
        <f>'Private Car Analysis &amp; Split'!X145</f>
        <v>3040.8268178807066</v>
      </c>
      <c r="W138" s="26">
        <f t="shared" si="28"/>
        <v>6.4141887540642206E-2</v>
      </c>
      <c r="X138" s="24"/>
      <c r="Y138" s="67">
        <f>'Private Car Analysis &amp; Split'!AA145</f>
        <v>1463.5417478848892</v>
      </c>
      <c r="Z138" s="26">
        <f t="shared" si="29"/>
        <v>3.087131751531081E-2</v>
      </c>
      <c r="AB138" s="13"/>
      <c r="AC138" s="68"/>
      <c r="AD138" s="13"/>
      <c r="AE138" s="68"/>
      <c r="AF138" s="13"/>
      <c r="AG138" s="99"/>
    </row>
    <row r="139" spans="2:33" ht="14.4" x14ac:dyDescent="0.3">
      <c r="B139" s="19">
        <f t="shared" si="21"/>
        <v>48538.588788213543</v>
      </c>
      <c r="C139" s="756">
        <f t="shared" si="30"/>
        <v>6715.5746528327581</v>
      </c>
      <c r="D139" s="69">
        <f t="shared" si="22"/>
        <v>0.13835537498081274</v>
      </c>
      <c r="E139" s="7">
        <v>2033</v>
      </c>
      <c r="F139" s="7"/>
      <c r="G139" s="35">
        <v>3366.1268156624287</v>
      </c>
      <c r="H139" s="26">
        <f t="shared" si="23"/>
        <v>6.9349499021277961E-2</v>
      </c>
      <c r="I139" s="2"/>
      <c r="J139" s="35">
        <v>2771.8799075694988</v>
      </c>
      <c r="K139" s="26">
        <f t="shared" si="24"/>
        <v>5.7106726354652172E-2</v>
      </c>
      <c r="L139" s="24"/>
      <c r="M139" s="35">
        <v>876.30438672734306</v>
      </c>
      <c r="N139" s="26">
        <f t="shared" si="25"/>
        <v>1.805376729329496E-2</v>
      </c>
      <c r="O139" s="24"/>
      <c r="P139" s="25">
        <v>16799.579305227424</v>
      </c>
      <c r="Q139" s="26">
        <f t="shared" si="26"/>
        <v>0.34610769955691023</v>
      </c>
      <c r="R139" s="24"/>
      <c r="S139" s="67">
        <f>'Private Car Analysis &amp; Split'!P146</f>
        <v>10964.259891852453</v>
      </c>
      <c r="T139" s="26">
        <f t="shared" si="27"/>
        <v>0.22588748798800812</v>
      </c>
      <c r="U139" s="24"/>
      <c r="V139" s="67">
        <f>'Private Car Analysis &amp; Split'!X146</f>
        <v>3471.6919440100819</v>
      </c>
      <c r="W139" s="26">
        <f t="shared" si="28"/>
        <v>7.1524369180941266E-2</v>
      </c>
      <c r="X139" s="24"/>
      <c r="Y139" s="67">
        <f>'Private Car Analysis &amp; Split'!AA146</f>
        <v>1607.7938341253612</v>
      </c>
      <c r="Z139" s="26">
        <f t="shared" si="29"/>
        <v>3.3124033357059122E-2</v>
      </c>
      <c r="AB139" s="13"/>
      <c r="AC139" s="68"/>
      <c r="AD139" s="13"/>
      <c r="AE139" s="13"/>
      <c r="AF139" s="13"/>
      <c r="AG139" s="99"/>
    </row>
    <row r="140" spans="2:33" ht="14.4" x14ac:dyDescent="0.3">
      <c r="B140" s="19">
        <f t="shared" si="21"/>
        <v>49687.414462031556</v>
      </c>
      <c r="C140" s="756">
        <f t="shared" si="30"/>
        <v>6384.5117257086877</v>
      </c>
      <c r="D140" s="69">
        <f t="shared" si="22"/>
        <v>0.12849353895416288</v>
      </c>
      <c r="E140" s="7">
        <v>2034</v>
      </c>
      <c r="F140" s="7"/>
      <c r="G140" s="35">
        <v>3456.2471988371299</v>
      </c>
      <c r="H140" s="26">
        <f t="shared" si="23"/>
        <v>6.9559811800596061E-2</v>
      </c>
      <c r="I140" s="2"/>
      <c r="J140" s="35">
        <v>2904.7385680741281</v>
      </c>
      <c r="K140" s="26">
        <f t="shared" si="24"/>
        <v>5.8460247922414492E-2</v>
      </c>
      <c r="L140" s="24"/>
      <c r="M140" s="35">
        <v>917.49552251495209</v>
      </c>
      <c r="N140" s="26">
        <f t="shared" si="25"/>
        <v>1.8465350480573964E-2</v>
      </c>
      <c r="O140" s="24"/>
      <c r="P140" s="25">
        <v>17338.555365861655</v>
      </c>
      <c r="Q140" s="26">
        <f t="shared" si="26"/>
        <v>0.34895265840630219</v>
      </c>
      <c r="R140" s="24"/>
      <c r="S140" s="67">
        <f>'Private Car Analysis &amp; Split'!P147</f>
        <v>11474.262332217639</v>
      </c>
      <c r="T140" s="26">
        <f t="shared" si="27"/>
        <v>0.23092894763090666</v>
      </c>
      <c r="U140" s="24"/>
      <c r="V140" s="67">
        <f>'Private Car Analysis &amp; Split'!X147</f>
        <v>3938.6901595533282</v>
      </c>
      <c r="W140" s="26">
        <f t="shared" si="28"/>
        <v>7.9269372379258393E-2</v>
      </c>
      <c r="X140" s="24"/>
      <c r="Y140" s="67">
        <f>'Private Car Analysis &amp; Split'!AA147</f>
        <v>1758.4509964800807</v>
      </c>
      <c r="Z140" s="26">
        <f t="shared" si="29"/>
        <v>3.5390269659207045E-2</v>
      </c>
      <c r="AB140" s="13"/>
      <c r="AC140" s="68"/>
      <c r="AD140" s="13"/>
      <c r="AE140" s="13"/>
      <c r="AF140" s="13"/>
      <c r="AG140" s="99"/>
    </row>
    <row r="141" spans="2:33" ht="14.4" x14ac:dyDescent="0.3">
      <c r="B141" s="19">
        <f t="shared" si="21"/>
        <v>50841.012954346224</v>
      </c>
      <c r="C141" s="756">
        <f t="shared" si="30"/>
        <v>6045.2065665967275</v>
      </c>
      <c r="D141" s="69">
        <f t="shared" si="22"/>
        <v>0.11890413300823</v>
      </c>
      <c r="E141" s="7">
        <v>2035</v>
      </c>
      <c r="F141" s="7"/>
      <c r="G141" s="35">
        <v>3545.4720021409807</v>
      </c>
      <c r="H141" s="26">
        <f t="shared" si="23"/>
        <v>6.973645480519268E-2</v>
      </c>
      <c r="I141" s="2"/>
      <c r="J141" s="35">
        <v>3037.5972285787575</v>
      </c>
      <c r="K141" s="26">
        <f t="shared" si="24"/>
        <v>5.9746984807451275E-2</v>
      </c>
      <c r="L141" s="24"/>
      <c r="M141" s="35">
        <v>959.36798707618254</v>
      </c>
      <c r="N141" s="26">
        <f t="shared" si="25"/>
        <v>1.8869962090205944E-2</v>
      </c>
      <c r="O141" s="24"/>
      <c r="P141" s="25">
        <v>17882.559377427391</v>
      </c>
      <c r="Q141" s="26">
        <f t="shared" si="26"/>
        <v>0.35173491514587679</v>
      </c>
      <c r="R141" s="24"/>
      <c r="S141" s="67">
        <f>'Private Car Analysis &amp; Split'!P148</f>
        <v>11991.773399006335</v>
      </c>
      <c r="T141" s="26">
        <f t="shared" si="27"/>
        <v>0.23586810533799957</v>
      </c>
      <c r="U141" s="24"/>
      <c r="V141" s="67">
        <f>'Private Car Analysis &amp; Split'!X148</f>
        <v>4443.0945948753952</v>
      </c>
      <c r="W141" s="26">
        <f t="shared" si="28"/>
        <v>8.7391936877126486E-2</v>
      </c>
      <c r="X141" s="24"/>
      <c r="Y141" s="67">
        <f>'Private Car Analysis &amp; Split'!AA148</f>
        <v>1915.4068635990102</v>
      </c>
      <c r="Z141" s="26">
        <f t="shared" si="29"/>
        <v>3.7674443373482559E-2</v>
      </c>
      <c r="AB141" s="13"/>
      <c r="AC141" s="68"/>
      <c r="AD141" s="13"/>
      <c r="AE141" s="99"/>
      <c r="AF141" s="13"/>
      <c r="AG141" s="99"/>
    </row>
    <row r="142" spans="2:33" ht="14.4" x14ac:dyDescent="0.3">
      <c r="B142" s="19">
        <f t="shared" si="21"/>
        <v>52046.039805783817</v>
      </c>
      <c r="C142" s="756">
        <f t="shared" si="30"/>
        <v>5710.622153259379</v>
      </c>
      <c r="D142" s="69">
        <f t="shared" si="22"/>
        <v>0.10972251058042583</v>
      </c>
      <c r="E142" s="7">
        <v>2036</v>
      </c>
      <c r="F142" s="7"/>
      <c r="G142" s="35">
        <v>3633.8685872789806</v>
      </c>
      <c r="H142" s="26">
        <f t="shared" si="23"/>
        <v>6.9820270684171307E-2</v>
      </c>
      <c r="I142" s="2"/>
      <c r="J142" s="35">
        <v>3170.4558890833869</v>
      </c>
      <c r="K142" s="26">
        <f t="shared" si="24"/>
        <v>6.0916371368779101E-2</v>
      </c>
      <c r="L142" s="24"/>
      <c r="M142" s="35">
        <v>1001.9581860594869</v>
      </c>
      <c r="N142" s="26">
        <f t="shared" si="25"/>
        <v>1.9251381849578121E-2</v>
      </c>
      <c r="O142" s="24"/>
      <c r="P142" s="25">
        <v>18430.088666374559</v>
      </c>
      <c r="Q142" s="26">
        <f t="shared" si="26"/>
        <v>0.35411125870764992</v>
      </c>
      <c r="R142" s="24"/>
      <c r="S142" s="67">
        <f>'Private Car Analysis &amp; Split'!P149</f>
        <v>12545.11300201536</v>
      </c>
      <c r="T142" s="26">
        <f t="shared" si="27"/>
        <v>0.24103876200435206</v>
      </c>
      <c r="U142" s="24"/>
      <c r="V142" s="67">
        <f>'Private Car Analysis &amp; Split'!X149</f>
        <v>4986.1783803412291</v>
      </c>
      <c r="W142" s="26">
        <f t="shared" si="28"/>
        <v>9.5803223433478621E-2</v>
      </c>
      <c r="X142" s="24"/>
      <c r="Y142" s="67">
        <f>'Private Car Analysis &amp; Split'!AA149</f>
        <v>1847.604501450767</v>
      </c>
      <c r="Z142" s="26">
        <f t="shared" si="29"/>
        <v>3.5499425284715801E-2</v>
      </c>
      <c r="AB142" s="13"/>
      <c r="AC142" s="68"/>
      <c r="AD142" s="13"/>
      <c r="AE142" s="99"/>
      <c r="AF142" s="13"/>
      <c r="AG142" s="99"/>
    </row>
    <row r="143" spans="2:33" ht="14.4" x14ac:dyDescent="0.3">
      <c r="B143" s="19">
        <f t="shared" si="21"/>
        <v>53258.618900917121</v>
      </c>
      <c r="C143" s="756">
        <f t="shared" si="30"/>
        <v>5367.5530679569129</v>
      </c>
      <c r="D143" s="69">
        <f t="shared" si="22"/>
        <v>0.10078280621476053</v>
      </c>
      <c r="E143" s="7">
        <v>2037</v>
      </c>
      <c r="F143" s="7"/>
      <c r="G143" s="35">
        <v>3721.5043159561296</v>
      </c>
      <c r="H143" s="26">
        <f t="shared" si="23"/>
        <v>6.9876095038807789E-2</v>
      </c>
      <c r="I143" s="2"/>
      <c r="J143" s="35">
        <v>3303.3145495880162</v>
      </c>
      <c r="K143" s="26">
        <f t="shared" si="24"/>
        <v>6.2024037005794994E-2</v>
      </c>
      <c r="L143" s="24"/>
      <c r="M143" s="35">
        <v>1045.3025251133167</v>
      </c>
      <c r="N143" s="26">
        <f t="shared" si="25"/>
        <v>1.9626917608547234E-2</v>
      </c>
      <c r="O143" s="24"/>
      <c r="P143" s="25">
        <v>18979.636417037538</v>
      </c>
      <c r="Q143" s="26">
        <f t="shared" si="26"/>
        <v>0.35636741636780794</v>
      </c>
      <c r="R143" s="24"/>
      <c r="S143" s="67">
        <f>'Private Car Analysis &amp; Split'!P150</f>
        <v>13111.381646902686</v>
      </c>
      <c r="T143" s="26">
        <f t="shared" si="27"/>
        <v>0.24618328295923772</v>
      </c>
      <c r="U143" s="24"/>
      <c r="V143" s="67">
        <f>'Private Car Analysis &amp; Split'!X150</f>
        <v>5569.2146463157769</v>
      </c>
      <c r="W143" s="26">
        <f t="shared" si="28"/>
        <v>0.10456926524281077</v>
      </c>
      <c r="X143" s="24"/>
      <c r="Y143" s="67">
        <f>'Private Car Analysis &amp; Split'!AA150</f>
        <v>1548.4770228579964</v>
      </c>
      <c r="Z143" s="26">
        <f t="shared" si="29"/>
        <v>2.9074674762760915E-2</v>
      </c>
      <c r="AB143" s="13"/>
      <c r="AC143" s="68"/>
      <c r="AD143" s="13"/>
      <c r="AE143" s="99"/>
      <c r="AF143" s="13"/>
      <c r="AG143" s="99"/>
    </row>
    <row r="144" spans="2:33" ht="14.4" x14ac:dyDescent="0.3">
      <c r="B144" s="19">
        <f t="shared" si="21"/>
        <v>54494.926096628529</v>
      </c>
      <c r="C144" s="756">
        <f t="shared" si="30"/>
        <v>5019.7811274175765</v>
      </c>
      <c r="D144" s="69">
        <f t="shared" si="22"/>
        <v>9.211465152767935E-2</v>
      </c>
      <c r="E144" s="7">
        <v>2038</v>
      </c>
      <c r="F144" s="7"/>
      <c r="G144" s="35">
        <v>3808.4465498774262</v>
      </c>
      <c r="H144" s="26">
        <f t="shared" si="23"/>
        <v>6.9886259559732586E-2</v>
      </c>
      <c r="I144" s="2"/>
      <c r="J144" s="35">
        <v>3436.1732100926456</v>
      </c>
      <c r="K144" s="26">
        <f t="shared" si="24"/>
        <v>6.3054920085582666E-2</v>
      </c>
      <c r="L144" s="24"/>
      <c r="M144" s="35">
        <v>1089.4374098861247</v>
      </c>
      <c r="N144" s="26">
        <f t="shared" si="25"/>
        <v>1.9991538440741651E-2</v>
      </c>
      <c r="O144" s="24"/>
      <c r="P144" s="25">
        <v>19529.711193805098</v>
      </c>
      <c r="Q144" s="26">
        <f t="shared" si="26"/>
        <v>0.35837668922012456</v>
      </c>
      <c r="R144" s="24"/>
      <c r="S144" s="67">
        <f>'Private Car Analysis &amp; Split'!P151</f>
        <v>13702.013287193102</v>
      </c>
      <c r="T144" s="26">
        <f t="shared" si="27"/>
        <v>0.25143649636109539</v>
      </c>
      <c r="U144" s="24"/>
      <c r="V144" s="67">
        <f>'Private Car Analysis &amp; Split'!X151</f>
        <v>6193.4765231639894</v>
      </c>
      <c r="W144" s="26">
        <f t="shared" si="28"/>
        <v>0.11365235200396326</v>
      </c>
      <c r="X144" s="24"/>
      <c r="Y144" s="67">
        <f>'Private Car Analysis &amp; Split'!AA151</f>
        <v>1130.7347240189858</v>
      </c>
      <c r="Z144" s="26">
        <f t="shared" si="29"/>
        <v>2.0749357876254496E-2</v>
      </c>
      <c r="AB144" s="13"/>
      <c r="AC144" s="68"/>
      <c r="AD144" s="13"/>
      <c r="AE144" s="99"/>
      <c r="AF144" s="13"/>
      <c r="AG144" s="99"/>
    </row>
    <row r="145" spans="1:33" ht="14.4" x14ac:dyDescent="0.3">
      <c r="B145" s="19">
        <f t="shared" si="21"/>
        <v>55755.934649449395</v>
      </c>
      <c r="C145" s="756">
        <f t="shared" si="30"/>
        <v>4666.5338302692089</v>
      </c>
      <c r="D145" s="69">
        <f t="shared" si="22"/>
        <v>8.3695733191610888E-2</v>
      </c>
      <c r="E145" s="7">
        <v>2039</v>
      </c>
      <c r="F145" s="7"/>
      <c r="G145" s="35">
        <v>3894.762650747869</v>
      </c>
      <c r="H145" s="26">
        <f t="shared" si="23"/>
        <v>6.9853777454097987E-2</v>
      </c>
      <c r="I145" s="2"/>
      <c r="J145" s="35">
        <v>3569.031870597275</v>
      </c>
      <c r="K145" s="26">
        <f t="shared" si="24"/>
        <v>6.4011694773598776E-2</v>
      </c>
      <c r="L145" s="24"/>
      <c r="M145" s="35">
        <v>1134.3992460263626</v>
      </c>
      <c r="N145" s="26">
        <f t="shared" si="25"/>
        <v>2.0345802705283231E-2</v>
      </c>
      <c r="O145" s="24"/>
      <c r="P145" s="25">
        <v>20078.822415895214</v>
      </c>
      <c r="Q145" s="26">
        <f t="shared" si="26"/>
        <v>0.36011991444741209</v>
      </c>
      <c r="R145" s="24"/>
      <c r="S145" s="67">
        <f>'Private Car Analysis &amp; Split'!P152</f>
        <v>14319.999236306076</v>
      </c>
      <c r="T145" s="26">
        <f t="shared" si="27"/>
        <v>0.25683363262295322</v>
      </c>
      <c r="U145" s="24"/>
      <c r="V145" s="67">
        <f>'Private Car Analysis &amp; Split'!X152</f>
        <v>6860.2371412508101</v>
      </c>
      <c r="W145" s="26">
        <f t="shared" si="28"/>
        <v>0.12304048321282256</v>
      </c>
      <c r="X145" s="24"/>
      <c r="Y145" s="67">
        <f>'Private Car Analysis &amp; Split'!AA152</f>
        <v>868.02998423869269</v>
      </c>
      <c r="Z145" s="26">
        <f t="shared" si="29"/>
        <v>1.5568387288208875E-2</v>
      </c>
      <c r="AB145" s="13"/>
      <c r="AC145" s="68"/>
      <c r="AD145" s="13"/>
      <c r="AE145" s="99"/>
      <c r="AF145" s="13"/>
      <c r="AG145" s="99"/>
    </row>
    <row r="146" spans="1:33" ht="14.4" x14ac:dyDescent="0.3">
      <c r="B146" s="19">
        <f t="shared" si="21"/>
        <v>57039.963217901495</v>
      </c>
      <c r="C146" s="756">
        <f t="shared" si="30"/>
        <v>4306.3365210198845</v>
      </c>
      <c r="D146" s="69">
        <f t="shared" si="22"/>
        <v>7.5496832011777634E-2</v>
      </c>
      <c r="E146" s="7">
        <v>2040</v>
      </c>
      <c r="F146" s="7"/>
      <c r="G146" s="35">
        <v>3980.5199802724587</v>
      </c>
      <c r="H146" s="26">
        <f t="shared" si="23"/>
        <v>6.9784757137136569E-2</v>
      </c>
      <c r="I146" s="2"/>
      <c r="J146" s="35">
        <v>3701.8905311019043</v>
      </c>
      <c r="K146" s="26">
        <f t="shared" si="24"/>
        <v>6.4899945972267004E-2</v>
      </c>
      <c r="L146" s="24"/>
      <c r="M146" s="35">
        <v>1180.2244391824829</v>
      </c>
      <c r="N146" s="26">
        <f t="shared" si="25"/>
        <v>2.0691185137582273E-2</v>
      </c>
      <c r="O146" s="24"/>
      <c r="P146" s="25">
        <v>20625.465174529145</v>
      </c>
      <c r="Q146" s="26">
        <f t="shared" si="26"/>
        <v>0.36159674745470421</v>
      </c>
      <c r="R146" s="24"/>
      <c r="S146" s="67">
        <f>'Private Car Analysis &amp; Split'!P153</f>
        <v>14966.777978649277</v>
      </c>
      <c r="T146" s="26">
        <f t="shared" si="27"/>
        <v>0.26239108748148848</v>
      </c>
      <c r="U146" s="24"/>
      <c r="V146" s="67">
        <f>'Private Car Analysis &amp; Split'!X153</f>
        <v>7192.2311493941288</v>
      </c>
      <c r="W146" s="26">
        <f t="shared" si="28"/>
        <v>0.12609109023999002</v>
      </c>
      <c r="X146" s="24"/>
      <c r="Y146" s="67">
        <f>'Private Car Analysis &amp; Split'!AA153</f>
        <v>2170.7340459820512</v>
      </c>
      <c r="Z146" s="26">
        <f t="shared" si="29"/>
        <v>3.8056371770253616E-2</v>
      </c>
      <c r="AB146" s="13"/>
      <c r="AC146" s="68"/>
      <c r="AD146" s="13"/>
      <c r="AE146" s="99"/>
      <c r="AF146" s="13"/>
      <c r="AG146" s="99"/>
    </row>
    <row r="147" spans="1:33" ht="14.4" x14ac:dyDescent="0.3">
      <c r="B147" s="19">
        <f t="shared" si="21"/>
        <v>58356.304790103561</v>
      </c>
      <c r="C147" s="756">
        <f t="shared" si="30"/>
        <v>3939.6072279066448</v>
      </c>
      <c r="D147" s="69">
        <f t="shared" si="22"/>
        <v>6.7509538893469292E-2</v>
      </c>
      <c r="E147" s="7">
        <v>2041</v>
      </c>
      <c r="F147" s="7"/>
      <c r="G147" s="35">
        <v>4065.7859001561942</v>
      </c>
      <c r="H147" s="26">
        <f t="shared" si="23"/>
        <v>6.967175037521732E-2</v>
      </c>
      <c r="I147" s="2"/>
      <c r="J147" s="35">
        <v>3834.7491916065919</v>
      </c>
      <c r="K147" s="26">
        <f t="shared" si="24"/>
        <v>6.5712680153403299E-2</v>
      </c>
      <c r="L147" s="24"/>
      <c r="M147" s="35">
        <v>1226.9493950029373</v>
      </c>
      <c r="N147" s="26">
        <f t="shared" si="25"/>
        <v>2.1025138576132245E-2</v>
      </c>
      <c r="O147" s="24"/>
      <c r="P147" s="25">
        <v>21168.12021139621</v>
      </c>
      <c r="Q147" s="26">
        <f t="shared" si="26"/>
        <v>0.36273921536899706</v>
      </c>
      <c r="R147" s="24"/>
      <c r="S147" s="67">
        <f>'Private Car Analysis &amp; Split'!P154</f>
        <v>15651.291185925433</v>
      </c>
      <c r="T147" s="26">
        <f t="shared" si="27"/>
        <v>0.26820223182773695</v>
      </c>
      <c r="U147" s="24"/>
      <c r="V147" s="67">
        <f>'Private Car Analysis &amp; Split'!X154</f>
        <v>7910.0297664700711</v>
      </c>
      <c r="W147" s="26">
        <f t="shared" si="28"/>
        <v>0.13554713230936968</v>
      </c>
      <c r="X147" s="24"/>
      <c r="Y147" s="67">
        <f>'Private Car Analysis &amp; Split'!AA154</f>
        <v>2983.4580707588952</v>
      </c>
      <c r="Z147" s="26">
        <f t="shared" si="29"/>
        <v>5.1124862711746773E-2</v>
      </c>
      <c r="AB147" s="13"/>
      <c r="AC147" s="68"/>
      <c r="AD147" s="13"/>
      <c r="AE147" s="99"/>
      <c r="AF147" s="13"/>
      <c r="AG147" s="99"/>
    </row>
    <row r="148" spans="1:33" ht="14.4" x14ac:dyDescent="0.3">
      <c r="B148" s="19">
        <f t="shared" si="21"/>
        <v>59698.163966034866</v>
      </c>
      <c r="C148" s="756">
        <f t="shared" si="30"/>
        <v>3563.4740159912144</v>
      </c>
      <c r="D148" s="69">
        <f t="shared" si="22"/>
        <v>5.9691517783003259E-2</v>
      </c>
      <c r="E148" s="7">
        <v>2042</v>
      </c>
      <c r="F148" s="7"/>
      <c r="G148" s="35">
        <v>4150.6277721040733</v>
      </c>
      <c r="H148" s="26">
        <f t="shared" si="23"/>
        <v>6.9526891555083056E-2</v>
      </c>
      <c r="I148" s="2"/>
      <c r="J148" s="35">
        <v>3967.6078521112213</v>
      </c>
      <c r="K148" s="26">
        <f t="shared" si="24"/>
        <v>6.6461136968443163E-2</v>
      </c>
      <c r="L148" s="24"/>
      <c r="M148" s="35">
        <v>1274.6105191361783</v>
      </c>
      <c r="N148" s="26">
        <f t="shared" si="25"/>
        <v>2.1350916585330247E-2</v>
      </c>
      <c r="O148" s="24"/>
      <c r="P148" s="25">
        <v>21705.240478192489</v>
      </c>
      <c r="Q148" s="26">
        <f t="shared" si="26"/>
        <v>0.36358304906230676</v>
      </c>
      <c r="R148" s="24"/>
      <c r="S148" s="67">
        <f>'Private Car Analysis &amp; Split'!P155</f>
        <v>16372.044954588921</v>
      </c>
      <c r="T148" s="26">
        <f t="shared" si="27"/>
        <v>0.27424704324078975</v>
      </c>
      <c r="U148" s="24"/>
      <c r="V148" s="67">
        <f>'Private Car Analysis &amp; Split'!X155</f>
        <v>8671.8306092627936</v>
      </c>
      <c r="W148" s="26">
        <f t="shared" si="28"/>
        <v>0.14526126153890784</v>
      </c>
      <c r="X148" s="24"/>
      <c r="Y148" s="67">
        <f>'Private Car Analysis &amp; Split'!AA155</f>
        <v>2923.903418878303</v>
      </c>
      <c r="Z148" s="26">
        <f t="shared" si="29"/>
        <v>4.8978112970808466E-2</v>
      </c>
      <c r="AB148" s="13"/>
      <c r="AC148" s="68"/>
      <c r="AD148" s="13"/>
      <c r="AE148" s="99"/>
      <c r="AF148" s="13"/>
      <c r="AG148" s="99"/>
    </row>
    <row r="149" spans="1:33" ht="14.4" x14ac:dyDescent="0.3">
      <c r="B149" s="19">
        <f t="shared" si="21"/>
        <v>61069.375601501466</v>
      </c>
      <c r="C149" s="756">
        <f t="shared" si="30"/>
        <v>3176.8807086856395</v>
      </c>
      <c r="D149" s="69">
        <f t="shared" si="22"/>
        <v>5.2020848050189201E-2</v>
      </c>
      <c r="E149" s="7">
        <v>2043</v>
      </c>
      <c r="F149" s="7"/>
      <c r="G149" s="35">
        <v>4235.1129578210966</v>
      </c>
      <c r="H149" s="26">
        <f t="shared" si="23"/>
        <v>6.9349210076367171E-2</v>
      </c>
      <c r="I149" s="2"/>
      <c r="J149" s="35">
        <v>4100.4665126158507</v>
      </c>
      <c r="K149" s="26">
        <f t="shared" si="24"/>
        <v>6.7144398845221456E-2</v>
      </c>
      <c r="L149" s="24"/>
      <c r="M149" s="35">
        <v>1323.2442172306578</v>
      </c>
      <c r="N149" s="26">
        <f t="shared" si="25"/>
        <v>2.1667885158434864E-2</v>
      </c>
      <c r="O149" s="24"/>
      <c r="P149" s="25">
        <v>22235.251833664446</v>
      </c>
      <c r="Q149" s="26">
        <f t="shared" si="26"/>
        <v>0.36409823442042472</v>
      </c>
      <c r="R149" s="24"/>
      <c r="S149" s="67">
        <f>'Private Car Analysis &amp; Split'!P156</f>
        <v>17134.844102091174</v>
      </c>
      <c r="T149" s="26">
        <f t="shared" si="27"/>
        <v>0.28057997864431894</v>
      </c>
      <c r="U149" s="24"/>
      <c r="V149" s="67">
        <f>'Private Car Analysis &amp; Split'!X156</f>
        <v>9478.8431516189958</v>
      </c>
      <c r="W149" s="26">
        <f t="shared" si="28"/>
        <v>0.15521434529594152</v>
      </c>
      <c r="X149" s="24"/>
      <c r="Y149" s="67">
        <f>'Private Car Analysis &amp; Split'!AA156</f>
        <v>2495.102551307793</v>
      </c>
      <c r="Z149" s="26">
        <f t="shared" si="29"/>
        <v>4.085685381146173E-2</v>
      </c>
      <c r="AB149" s="13"/>
      <c r="AC149" s="68"/>
      <c r="AD149" s="13"/>
      <c r="AE149" s="99"/>
      <c r="AF149" s="13"/>
      <c r="AG149" s="99"/>
    </row>
    <row r="150" spans="1:33" ht="14.4" x14ac:dyDescent="0.3">
      <c r="B150" s="19">
        <f t="shared" ref="B150:B166" si="31">B95</f>
        <v>62471.060353448425</v>
      </c>
      <c r="C150" s="756">
        <f t="shared" si="30"/>
        <v>2778.0387562565302</v>
      </c>
      <c r="D150" s="69">
        <f t="shared" si="22"/>
        <v>4.4469210872025502E-2</v>
      </c>
      <c r="E150" s="7">
        <v>2044</v>
      </c>
      <c r="F150" s="7"/>
      <c r="G150" s="35">
        <v>4319.3088190122635</v>
      </c>
      <c r="H150" s="26">
        <f t="shared" si="23"/>
        <v>6.9140955741338495E-2</v>
      </c>
      <c r="I150" s="2"/>
      <c r="J150" s="35">
        <v>4233.32517312048</v>
      </c>
      <c r="K150" s="26">
        <f t="shared" si="24"/>
        <v>6.7764580097875657E-2</v>
      </c>
      <c r="L150" s="24"/>
      <c r="M150" s="35">
        <v>1372.8868949348282</v>
      </c>
      <c r="N150" s="26">
        <f t="shared" si="25"/>
        <v>2.1976366131250473E-2</v>
      </c>
      <c r="O150" s="24"/>
      <c r="P150" s="25">
        <v>22756.557037662657</v>
      </c>
      <c r="Q150" s="26">
        <f t="shared" si="26"/>
        <v>0.3642735837828065</v>
      </c>
      <c r="R150" s="24"/>
      <c r="S150" s="67">
        <f>'Private Car Analysis &amp; Split'!P157</f>
        <v>17943.92865637978</v>
      </c>
      <c r="T150" s="26">
        <f t="shared" si="27"/>
        <v>0.28723585856965955</v>
      </c>
      <c r="U150" s="24"/>
      <c r="V150" s="67">
        <f>'Private Car Analysis &amp; Split'!X157</f>
        <v>10332.276867385384</v>
      </c>
      <c r="W150" s="26">
        <f t="shared" si="28"/>
        <v>0.16539301252335856</v>
      </c>
      <c r="X150" s="24"/>
      <c r="Y150" s="67">
        <f>'Private Car Analysis &amp; Split'!AA157</f>
        <v>2191.9632503588437</v>
      </c>
      <c r="Z150" s="26">
        <f t="shared" si="29"/>
        <v>3.5087658796843946E-2</v>
      </c>
      <c r="AB150" s="13"/>
      <c r="AC150" s="68"/>
      <c r="AD150" s="13"/>
      <c r="AE150" s="99"/>
      <c r="AF150" s="13"/>
      <c r="AG150" s="99"/>
    </row>
    <row r="151" spans="1:33" ht="14.4" x14ac:dyDescent="0.3">
      <c r="B151" s="19">
        <f t="shared" si="31"/>
        <v>63948.823995163955</v>
      </c>
      <c r="C151" s="756">
        <f t="shared" si="30"/>
        <v>2369.189252268141</v>
      </c>
      <c r="D151" s="69">
        <f t="shared" si="22"/>
        <v>3.7048206741805097E-2</v>
      </c>
      <c r="E151" s="7">
        <v>2045</v>
      </c>
      <c r="F151" s="7"/>
      <c r="G151" s="35">
        <v>4403.2827173825717</v>
      </c>
      <c r="H151" s="26">
        <f t="shared" si="23"/>
        <v>6.8856351724553441E-2</v>
      </c>
      <c r="I151" s="2"/>
      <c r="J151" s="35">
        <v>4366.1838336251094</v>
      </c>
      <c r="K151" s="26">
        <f t="shared" si="24"/>
        <v>6.8276217776190792E-2</v>
      </c>
      <c r="L151" s="24"/>
      <c r="M151" s="35">
        <v>1423.5749578971411</v>
      </c>
      <c r="N151" s="26">
        <f t="shared" si="25"/>
        <v>2.2261159298328882E-2</v>
      </c>
      <c r="O151" s="24"/>
      <c r="P151" s="25">
        <v>23267.556704314582</v>
      </c>
      <c r="Q151" s="26">
        <f t="shared" si="26"/>
        <v>0.36384651430140702</v>
      </c>
      <c r="R151" s="24"/>
      <c r="S151" s="67">
        <f>'Private Car Analysis &amp; Split'!P158</f>
        <v>18837.539719082852</v>
      </c>
      <c r="T151" s="26">
        <f t="shared" si="27"/>
        <v>0.29457210535267098</v>
      </c>
      <c r="U151" s="24"/>
      <c r="V151" s="67">
        <f>'Private Car Analysis &amp; Split'!X158</f>
        <v>11824.569716219645</v>
      </c>
      <c r="W151" s="26">
        <f t="shared" si="28"/>
        <v>0.18490675789618682</v>
      </c>
      <c r="X151" s="24"/>
      <c r="Y151" s="67">
        <f>'Private Car Analysis &amp; Split'!AA158</f>
        <v>1828.8498013429885</v>
      </c>
      <c r="Z151" s="26">
        <f t="shared" si="29"/>
        <v>2.8598646340725401E-2</v>
      </c>
      <c r="AB151" s="13"/>
      <c r="AC151" s="68"/>
      <c r="AD151" s="13"/>
      <c r="AE151" s="99"/>
      <c r="AF151" s="13"/>
      <c r="AG151" s="99"/>
    </row>
    <row r="152" spans="1:33" ht="14.4" x14ac:dyDescent="0.3">
      <c r="B152" s="19">
        <f t="shared" si="31"/>
        <v>65370.246987819992</v>
      </c>
      <c r="C152" s="756">
        <f t="shared" si="30"/>
        <v>1935.3523005031202</v>
      </c>
      <c r="D152" s="69">
        <f t="shared" si="22"/>
        <v>2.9606011751243982E-2</v>
      </c>
      <c r="E152" s="7">
        <v>2046</v>
      </c>
      <c r="F152" s="7"/>
      <c r="G152" s="35">
        <v>4487.1020146370229</v>
      </c>
      <c r="H152" s="26">
        <f t="shared" si="23"/>
        <v>6.8641350176833121E-2</v>
      </c>
      <c r="I152" s="2"/>
      <c r="J152" s="35">
        <v>4499.0424941297388</v>
      </c>
      <c r="K152" s="26">
        <f t="shared" si="24"/>
        <v>6.8824009414680892E-2</v>
      </c>
      <c r="L152" s="24"/>
      <c r="M152" s="35">
        <v>1475.3448117660491</v>
      </c>
      <c r="N152" s="26">
        <f t="shared" si="25"/>
        <v>2.256905671537298E-2</v>
      </c>
      <c r="O152" s="24"/>
      <c r="P152" s="25">
        <v>23766.664838546625</v>
      </c>
      <c r="Q152" s="26">
        <f t="shared" si="26"/>
        <v>0.36357006334969044</v>
      </c>
      <c r="R152" s="24"/>
      <c r="S152" s="67">
        <f>'Private Car Analysis &amp; Split'!P159</f>
        <v>19718.939173656658</v>
      </c>
      <c r="T152" s="26">
        <f t="shared" si="27"/>
        <v>0.30165006378713483</v>
      </c>
      <c r="U152" s="24"/>
      <c r="V152" s="67">
        <f>'Private Car Analysis &amp; Split'!X159</f>
        <v>12824.469173195279</v>
      </c>
      <c r="W152" s="26">
        <f t="shared" si="28"/>
        <v>0.19618205168453437</v>
      </c>
      <c r="X152" s="24"/>
      <c r="Y152" s="67">
        <f>'Private Car Analysis &amp; Split'!AA159</f>
        <v>1467.2804783949921</v>
      </c>
      <c r="Z152" s="26">
        <f t="shared" si="29"/>
        <v>2.2445692742577229E-2</v>
      </c>
      <c r="AB152" s="13"/>
      <c r="AC152" s="68"/>
      <c r="AD152" s="13"/>
      <c r="AE152" s="99"/>
      <c r="AF152" s="13"/>
      <c r="AG152" s="99"/>
    </row>
    <row r="153" spans="1:33" ht="14.4" x14ac:dyDescent="0.3">
      <c r="B153" s="19">
        <f t="shared" si="31"/>
        <v>66869.928517970024</v>
      </c>
      <c r="C153" s="756">
        <f t="shared" si="30"/>
        <v>1486.83345347262</v>
      </c>
      <c r="D153" s="69">
        <f t="shared" si="22"/>
        <v>2.2234709777999264E-2</v>
      </c>
      <c r="E153" s="7">
        <v>2047</v>
      </c>
      <c r="F153" s="7"/>
      <c r="G153" s="35">
        <v>4570.8340724806149</v>
      </c>
      <c r="H153" s="26">
        <f t="shared" si="23"/>
        <v>6.8354104360262471E-2</v>
      </c>
      <c r="I153" s="2"/>
      <c r="J153" s="35">
        <v>4631.9011546343681</v>
      </c>
      <c r="K153" s="26">
        <f t="shared" si="24"/>
        <v>6.9267326245004618E-2</v>
      </c>
      <c r="L153" s="24"/>
      <c r="M153" s="35">
        <v>1528.2328621900047</v>
      </c>
      <c r="N153" s="26">
        <f t="shared" si="25"/>
        <v>2.285381330681879E-2</v>
      </c>
      <c r="O153" s="24"/>
      <c r="P153" s="25">
        <v>24252.29775592927</v>
      </c>
      <c r="Q153" s="26">
        <f t="shared" si="26"/>
        <v>0.36267868522413516</v>
      </c>
      <c r="R153" s="24"/>
      <c r="S153" s="67">
        <f>'Private Car Analysis &amp; Split'!P160</f>
        <v>20694.364920012009</v>
      </c>
      <c r="T153" s="26">
        <f t="shared" si="27"/>
        <v>0.30947191628073584</v>
      </c>
      <c r="U153" s="24"/>
      <c r="V153" s="67">
        <f>'Private Car Analysis &amp; Split'!X160</f>
        <v>14570.90503504556</v>
      </c>
      <c r="W153" s="26">
        <f t="shared" si="28"/>
        <v>0.21789921655337055</v>
      </c>
      <c r="X153" s="24"/>
      <c r="Y153" s="67">
        <f>'Private Car Analysis &amp; Split'!AA160</f>
        <v>1069.507714877421</v>
      </c>
      <c r="Z153" s="26">
        <f t="shared" si="29"/>
        <v>1.5993851624800392E-2</v>
      </c>
      <c r="AB153" s="13"/>
      <c r="AC153" s="68"/>
      <c r="AD153" s="13"/>
      <c r="AE153" s="99"/>
      <c r="AF153" s="13"/>
      <c r="AG153" s="99"/>
    </row>
    <row r="154" spans="1:33" ht="14.4" x14ac:dyDescent="0.3">
      <c r="B154" s="19">
        <f t="shared" si="31"/>
        <v>68404.362797849724</v>
      </c>
      <c r="C154" s="756">
        <f t="shared" si="30"/>
        <v>1016.7191833083489</v>
      </c>
      <c r="D154" s="69">
        <f t="shared" si="22"/>
        <v>1.486336750644082E-2</v>
      </c>
      <c r="E154" s="7">
        <v>2048</v>
      </c>
      <c r="F154" s="7"/>
      <c r="G154" s="35">
        <v>4654.5462526183455</v>
      </c>
      <c r="H154" s="26">
        <f t="shared" si="23"/>
        <v>6.8044581693912948E-2</v>
      </c>
      <c r="I154" s="2"/>
      <c r="J154" s="35">
        <v>4764.7598151389975</v>
      </c>
      <c r="K154" s="26">
        <f t="shared" si="24"/>
        <v>6.9655788318940037E-2</v>
      </c>
      <c r="L154" s="24"/>
      <c r="M154" s="35">
        <v>1582.2755148174588</v>
      </c>
      <c r="N154" s="26">
        <f t="shared" si="25"/>
        <v>2.3131207573608117E-2</v>
      </c>
      <c r="O154" s="24"/>
      <c r="P154" s="25">
        <v>24722.852028394034</v>
      </c>
      <c r="Q154" s="26">
        <f t="shared" si="26"/>
        <v>0.36142215228954944</v>
      </c>
      <c r="R154" s="24"/>
      <c r="S154" s="67">
        <f>'Private Car Analysis &amp; Split'!P161</f>
        <v>21735.038764849833</v>
      </c>
      <c r="T154" s="26">
        <f t="shared" si="27"/>
        <v>0.31774345781250474</v>
      </c>
      <c r="U154" s="24"/>
      <c r="V154" s="67">
        <f>'Private Car Analysis &amp; Split'!X161</f>
        <v>16634.20044486734</v>
      </c>
      <c r="W154" s="26">
        <f t="shared" si="28"/>
        <v>0.2431745544363178</v>
      </c>
      <c r="X154" s="24"/>
      <c r="Y154" s="67">
        <f>'Private Car Analysis &amp; Split'!AA161</f>
        <v>232.16411787307715</v>
      </c>
      <c r="Z154" s="26">
        <f t="shared" si="29"/>
        <v>3.3939957683572657E-3</v>
      </c>
      <c r="AB154" s="13"/>
      <c r="AC154" s="68"/>
      <c r="AD154" s="13"/>
      <c r="AE154" s="99"/>
      <c r="AF154" s="13"/>
      <c r="AG154" s="99"/>
    </row>
    <row r="155" spans="1:33" ht="14.4" x14ac:dyDescent="0.3">
      <c r="B155" s="19">
        <f t="shared" si="31"/>
        <v>69974.512495007628</v>
      </c>
      <c r="C155" s="756">
        <f t="shared" si="30"/>
        <v>522.13546240977666</v>
      </c>
      <c r="D155" s="69">
        <f t="shared" si="22"/>
        <v>7.4617949277892967E-3</v>
      </c>
      <c r="E155" s="7">
        <v>2049</v>
      </c>
      <c r="F155" s="7"/>
      <c r="G155" s="35">
        <v>4738.3059167552165</v>
      </c>
      <c r="H155" s="26">
        <f t="shared" si="23"/>
        <v>6.7714739950396563E-2</v>
      </c>
      <c r="I155" s="2"/>
      <c r="J155" s="35">
        <v>4897.6184756436269</v>
      </c>
      <c r="K155" s="26">
        <f t="shared" si="24"/>
        <v>6.9991462619951095E-2</v>
      </c>
      <c r="L155" s="24"/>
      <c r="M155" s="35">
        <v>1637.5091752968647</v>
      </c>
      <c r="N155" s="26">
        <f t="shared" si="25"/>
        <v>2.3401508876731276E-2</v>
      </c>
      <c r="O155" s="24"/>
      <c r="P155" s="25">
        <v>25176.716617745777</v>
      </c>
      <c r="Q155" s="26">
        <f t="shared" si="26"/>
        <v>0.35979838544129944</v>
      </c>
      <c r="R155" s="24"/>
      <c r="S155" s="67">
        <f>'Private Car Analysis &amp; Split'!P162</f>
        <v>22846.164953127369</v>
      </c>
      <c r="T155" s="26">
        <f t="shared" si="27"/>
        <v>0.32649266337878868</v>
      </c>
      <c r="U155" s="24"/>
      <c r="V155" s="67">
        <f>'Private Car Analysis &amp; Split'!X162</f>
        <v>17134.184276482367</v>
      </c>
      <c r="W155" s="26">
        <f t="shared" si="28"/>
        <v>0.24486321755660412</v>
      </c>
      <c r="X155" s="24"/>
      <c r="Y155" s="67">
        <f>'Private Car Analysis &amp; Split'!AA162</f>
        <v>3.0040607794192271E-13</v>
      </c>
      <c r="Z155" s="26">
        <f t="shared" si="29"/>
        <v>4.2930785400377797E-18</v>
      </c>
      <c r="AB155" s="13"/>
      <c r="AC155" s="68"/>
      <c r="AD155" s="13"/>
      <c r="AE155" s="99"/>
      <c r="AF155" s="13"/>
      <c r="AG155" s="99"/>
    </row>
    <row r="156" spans="1:33" ht="14.4" x14ac:dyDescent="0.3">
      <c r="A156" s="30"/>
      <c r="B156" s="19">
        <f t="shared" si="31"/>
        <v>71558.277761309873</v>
      </c>
      <c r="C156" s="756">
        <f t="shared" si="30"/>
        <v>0</v>
      </c>
      <c r="D156" s="69">
        <f t="shared" si="22"/>
        <v>0</v>
      </c>
      <c r="E156" s="33">
        <v>2050</v>
      </c>
      <c r="F156" s="33"/>
      <c r="G156" s="35">
        <v>4822.1804265962255</v>
      </c>
      <c r="H156" s="26">
        <f t="shared" si="23"/>
        <v>6.7388156583101586E-2</v>
      </c>
      <c r="I156" s="30"/>
      <c r="J156" s="35">
        <v>5030.4771361482562</v>
      </c>
      <c r="K156" s="26">
        <f t="shared" si="24"/>
        <v>7.0299024704422591E-2</v>
      </c>
      <c r="L156" s="34"/>
      <c r="M156" s="35">
        <v>1693.9702492766739</v>
      </c>
      <c r="N156" s="26">
        <f t="shared" si="25"/>
        <v>2.3672596690030592E-2</v>
      </c>
      <c r="O156" s="34"/>
      <c r="P156" s="25">
        <v>25612.272629216735</v>
      </c>
      <c r="Q156" s="26">
        <f t="shared" si="26"/>
        <v>0.35792187054374269</v>
      </c>
      <c r="R156" s="34"/>
      <c r="S156" s="67">
        <f>'Private Car Analysis &amp; Split'!P163</f>
        <v>24013.448614590354</v>
      </c>
      <c r="T156" s="26">
        <f t="shared" si="27"/>
        <v>0.33557890667365869</v>
      </c>
      <c r="U156" s="34"/>
      <c r="V156" s="67">
        <f>'Private Car Analysis &amp; Split'!X163</f>
        <v>17442.049863766955</v>
      </c>
      <c r="W156" s="26">
        <f t="shared" si="28"/>
        <v>0.24374608234629036</v>
      </c>
      <c r="X156" s="34"/>
      <c r="Y156" s="67">
        <f>'Private Car Analysis &amp; Split'!AA163</f>
        <v>2.4900104136015969E-13</v>
      </c>
      <c r="Z156" s="26">
        <f t="shared" si="29"/>
        <v>3.4796958388340304E-18</v>
      </c>
      <c r="AA156" s="30"/>
      <c r="AB156" s="13"/>
      <c r="AC156" s="68"/>
      <c r="AD156" s="13"/>
      <c r="AE156" s="99"/>
      <c r="AF156" s="13"/>
      <c r="AG156" s="99"/>
    </row>
    <row r="157" spans="1:33" ht="14.4" x14ac:dyDescent="0.3">
      <c r="B157" s="19">
        <f t="shared" si="31"/>
        <v>73225.821335686545</v>
      </c>
      <c r="C157" s="756">
        <f t="shared" si="30"/>
        <v>0</v>
      </c>
      <c r="D157" s="69">
        <f t="shared" si="22"/>
        <v>0</v>
      </c>
      <c r="E157" s="7">
        <v>2051</v>
      </c>
      <c r="F157" s="7"/>
      <c r="G157" s="35">
        <v>4906.2371438463733</v>
      </c>
      <c r="H157" s="26">
        <f t="shared" si="23"/>
        <v>6.7001462794864172E-2</v>
      </c>
      <c r="I157" s="2"/>
      <c r="J157" s="35">
        <v>5163.3357966528856</v>
      </c>
      <c r="K157" s="26">
        <f t="shared" si="24"/>
        <v>7.0512500952127091E-2</v>
      </c>
      <c r="L157" s="24"/>
      <c r="M157" s="35">
        <v>1751.6951424053391</v>
      </c>
      <c r="N157" s="26">
        <f t="shared" si="25"/>
        <v>2.3921823073518082E-2</v>
      </c>
      <c r="O157" s="24"/>
      <c r="P157" s="25">
        <v>26027.924485350042</v>
      </c>
      <c r="Q157" s="26">
        <f t="shared" si="26"/>
        <v>0.35544735464326371</v>
      </c>
      <c r="R157" s="24"/>
      <c r="S157" s="67">
        <f>'Private Car Analysis &amp; Split'!P164</f>
        <v>24748.673713377033</v>
      </c>
      <c r="T157" s="26">
        <f t="shared" si="27"/>
        <v>0.33797741373118317</v>
      </c>
      <c r="U157" s="24"/>
      <c r="V157" s="67">
        <f>'Private Car Analysis &amp; Split'!X164</f>
        <v>17820.188221089509</v>
      </c>
      <c r="W157" s="26">
        <f t="shared" si="28"/>
        <v>0.24335934914812427</v>
      </c>
      <c r="X157" s="24"/>
      <c r="Y157" s="67">
        <f>'Private Car Analysis &amp; Split'!AA164</f>
        <v>6.6057986644454787E-14</v>
      </c>
      <c r="Z157" s="26">
        <f t="shared" si="29"/>
        <v>9.0211329063319744E-19</v>
      </c>
      <c r="AB157" s="13"/>
      <c r="AC157" s="68"/>
      <c r="AD157" s="13"/>
      <c r="AE157" s="99"/>
      <c r="AF157" s="13"/>
      <c r="AG157" s="99"/>
    </row>
    <row r="158" spans="1:33" ht="14.4" x14ac:dyDescent="0.3">
      <c r="B158" s="19">
        <f t="shared" si="31"/>
        <v>74908.974819260009</v>
      </c>
      <c r="C158" s="756">
        <f t="shared" si="30"/>
        <v>0</v>
      </c>
      <c r="D158" s="69">
        <f t="shared" si="22"/>
        <v>0</v>
      </c>
      <c r="E158" s="7">
        <v>2052</v>
      </c>
      <c r="F158" s="7"/>
      <c r="G158" s="35">
        <v>4990.5434302106569</v>
      </c>
      <c r="H158" s="26">
        <f t="shared" si="23"/>
        <v>6.6621435445509899E-2</v>
      </c>
      <c r="I158" s="2"/>
      <c r="J158" s="35">
        <v>5296.194457157515</v>
      </c>
      <c r="K158" s="26">
        <f t="shared" si="24"/>
        <v>7.0701734604380131E-2</v>
      </c>
      <c r="L158" s="24"/>
      <c r="M158" s="35">
        <v>1810.7202603313119</v>
      </c>
      <c r="N158" s="26">
        <f t="shared" si="25"/>
        <v>2.4172273945815018E-2</v>
      </c>
      <c r="O158" s="24"/>
      <c r="P158" s="25">
        <v>26422.04610812094</v>
      </c>
      <c r="Q158" s="26">
        <f t="shared" si="26"/>
        <v>0.35272203593590645</v>
      </c>
      <c r="R158" s="24"/>
      <c r="S158" s="67">
        <f>'Private Car Analysis &amp; Split'!P165</f>
        <v>25517.223547257185</v>
      </c>
      <c r="T158" s="26">
        <f t="shared" si="27"/>
        <v>0.34064307526334475</v>
      </c>
      <c r="U158" s="24"/>
      <c r="V158" s="67">
        <f>'Private Car Analysis &amp; Split'!X165</f>
        <v>18210.021004715949</v>
      </c>
      <c r="W158" s="26">
        <f t="shared" si="28"/>
        <v>0.2430953173321754</v>
      </c>
      <c r="X158" s="24"/>
      <c r="Y158" s="67">
        <f>'Private Car Analysis &amp; Split'!AA165</f>
        <v>1.7034465809061418E-13</v>
      </c>
      <c r="Z158" s="26">
        <f t="shared" si="29"/>
        <v>2.2740220180775523E-18</v>
      </c>
      <c r="AB158" s="13"/>
      <c r="AC158" s="68"/>
      <c r="AD158" s="13"/>
      <c r="AE158" s="13"/>
      <c r="AF158" s="13"/>
      <c r="AG158" s="99"/>
    </row>
    <row r="159" spans="1:33" ht="14.4" x14ac:dyDescent="0.3">
      <c r="B159" s="19">
        <f t="shared" si="31"/>
        <v>76631.7011544056</v>
      </c>
      <c r="C159" s="756">
        <f t="shared" si="30"/>
        <v>0</v>
      </c>
      <c r="D159" s="69">
        <f t="shared" si="22"/>
        <v>0</v>
      </c>
      <c r="E159" s="7">
        <v>2053</v>
      </c>
      <c r="F159" s="7"/>
      <c r="G159" s="35">
        <v>5075.1666473940768</v>
      </c>
      <c r="H159" s="26">
        <f t="shared" si="23"/>
        <v>6.6228030579252029E-2</v>
      </c>
      <c r="I159" s="2"/>
      <c r="J159" s="35">
        <v>5429.0531176621444</v>
      </c>
      <c r="K159" s="26">
        <f t="shared" si="24"/>
        <v>7.0846047208623461E-2</v>
      </c>
      <c r="L159" s="24"/>
      <c r="M159" s="35">
        <v>1871.0820087030445</v>
      </c>
      <c r="N159" s="26">
        <f t="shared" si="25"/>
        <v>2.4416553208612607E-2</v>
      </c>
      <c r="O159" s="24"/>
      <c r="P159" s="25">
        <v>26792.947462559827</v>
      </c>
      <c r="Q159" s="26">
        <f t="shared" si="26"/>
        <v>0.34963268541532938</v>
      </c>
      <c r="R159" s="24"/>
      <c r="S159" s="67">
        <f>'Private Car Analysis &amp; Split'!P166</f>
        <v>26341.169358070059</v>
      </c>
      <c r="T159" s="26">
        <f t="shared" si="27"/>
        <v>0.34373723878313889</v>
      </c>
      <c r="U159" s="24"/>
      <c r="V159" s="67">
        <f>'Private Car Analysis &amp; Split'!X166</f>
        <v>18632.029363333902</v>
      </c>
      <c r="W159" s="26">
        <f t="shared" si="28"/>
        <v>0.24313735807315739</v>
      </c>
      <c r="X159" s="24"/>
      <c r="Y159" s="67">
        <f>'Private Car Analysis &amp; Split'!AA166</f>
        <v>2.1511828832474347E-13</v>
      </c>
      <c r="Z159" s="26">
        <f t="shared" si="29"/>
        <v>2.8071709890832327E-18</v>
      </c>
      <c r="AB159" s="13"/>
      <c r="AC159" s="68"/>
      <c r="AD159" s="13"/>
      <c r="AE159" s="68"/>
      <c r="AF159" s="13"/>
      <c r="AG159" s="99"/>
    </row>
    <row r="160" spans="1:33" ht="14.4" x14ac:dyDescent="0.3">
      <c r="B160" s="19">
        <f t="shared" si="31"/>
        <v>78394.871508776298</v>
      </c>
      <c r="C160" s="756">
        <f t="shared" ref="C160:C166" si="32">B160-$AC$114*B160-IF($G$114="Include",G160,0)-IF($J$114="Include",J160,0)-IF($M$114="Include",M160,0)-IF($P$114="Include",P160,0)-MAX(IF($S$114="Include",S160,0),SUM(IF($V$114="Include",V160,0),IF($Y$114="Include",Y160,0)))</f>
        <v>0</v>
      </c>
      <c r="D160" s="69">
        <f t="shared" ref="D160:D166" si="33">C160/B160</f>
        <v>0</v>
      </c>
      <c r="E160" s="7">
        <v>2054</v>
      </c>
      <c r="F160" s="7"/>
      <c r="G160" s="35">
        <v>5160.1741571016337</v>
      </c>
      <c r="H160" s="26">
        <f t="shared" si="23"/>
        <v>6.5822853686595462E-2</v>
      </c>
      <c r="I160" s="2"/>
      <c r="J160" s="35">
        <v>5561.9117781667737</v>
      </c>
      <c r="K160" s="26">
        <f t="shared" si="24"/>
        <v>7.0947393255745284E-2</v>
      </c>
      <c r="L160" s="24"/>
      <c r="M160" s="35">
        <v>1932.8167931689893</v>
      </c>
      <c r="N160" s="26">
        <f t="shared" si="25"/>
        <v>2.4654888208504949E-2</v>
      </c>
      <c r="O160" s="24"/>
      <c r="P160" s="25">
        <v>27138.910097773871</v>
      </c>
      <c r="Q160" s="26">
        <f t="shared" si="26"/>
        <v>0.34618221288538847</v>
      </c>
      <c r="R160" s="24"/>
      <c r="S160" s="67">
        <f>'Private Car Analysis &amp; Split'!P167</f>
        <v>27222.870556218495</v>
      </c>
      <c r="T160" s="26">
        <f t="shared" si="27"/>
        <v>0.3472532071587221</v>
      </c>
      <c r="U160" s="24"/>
      <c r="V160" s="67">
        <f>'Private Car Analysis &amp; Split'!X167</f>
        <v>19086.95419944017</v>
      </c>
      <c r="W160" s="26">
        <f t="shared" si="28"/>
        <v>0.24347197504244122</v>
      </c>
      <c r="X160" s="24"/>
      <c r="Y160" s="67">
        <f>'Private Car Analysis &amp; Split'!AA167</f>
        <v>6.2072145440156378E-13</v>
      </c>
      <c r="Z160" s="26">
        <f t="shared" si="29"/>
        <v>7.9178834336385643E-18</v>
      </c>
      <c r="AB160" s="13"/>
      <c r="AC160" s="68"/>
      <c r="AD160" s="13"/>
      <c r="AE160" s="13"/>
      <c r="AF160" s="13"/>
      <c r="AG160" s="99"/>
    </row>
    <row r="161" spans="2:33" ht="14.4" x14ac:dyDescent="0.3">
      <c r="B161" s="19">
        <f t="shared" si="31"/>
        <v>80199.363048847197</v>
      </c>
      <c r="C161" s="756">
        <f t="shared" si="32"/>
        <v>0</v>
      </c>
      <c r="D161" s="69">
        <f t="shared" si="33"/>
        <v>0</v>
      </c>
      <c r="E161" s="7">
        <v>2055</v>
      </c>
      <c r="F161" s="7"/>
      <c r="G161" s="35">
        <v>5245.6333210383236</v>
      </c>
      <c r="H161" s="26">
        <f t="shared" si="23"/>
        <v>6.5407418732781636E-2</v>
      </c>
      <c r="I161" s="2"/>
      <c r="J161" s="35">
        <v>5694.7704386714031</v>
      </c>
      <c r="K161" s="26">
        <f t="shared" si="24"/>
        <v>7.100767664704366E-2</v>
      </c>
      <c r="L161" s="24"/>
      <c r="M161" s="35">
        <v>1995.9610193775984</v>
      </c>
      <c r="N161" s="26">
        <f t="shared" si="25"/>
        <v>2.4887492163272098E-2</v>
      </c>
      <c r="O161" s="24"/>
      <c r="P161" s="25">
        <v>27458.246972333556</v>
      </c>
      <c r="Q161" s="26">
        <f t="shared" si="26"/>
        <v>0.34237487591528004</v>
      </c>
      <c r="R161" s="24"/>
      <c r="S161" s="67">
        <f>'Private Car Analysis &amp; Split'!P168</f>
        <v>28164.660270798489</v>
      </c>
      <c r="T161" s="26">
        <f t="shared" si="27"/>
        <v>0.35118309173657875</v>
      </c>
      <c r="U161" s="24"/>
      <c r="V161" s="67">
        <f>'Private Car Analysis &amp; Split'!X168</f>
        <v>19575.241619808323</v>
      </c>
      <c r="W161" s="26">
        <f t="shared" si="28"/>
        <v>0.24408225795865221</v>
      </c>
      <c r="X161" s="24"/>
      <c r="Y161" s="67">
        <f>'Private Car Analysis &amp; Split'!AA168</f>
        <v>7.5000000000000004E-13</v>
      </c>
      <c r="Z161" s="26">
        <f t="shared" si="29"/>
        <v>9.3516952191153426E-18</v>
      </c>
      <c r="AB161" s="13"/>
      <c r="AC161" s="68"/>
      <c r="AD161" s="13"/>
      <c r="AE161" s="13"/>
      <c r="AF161" s="13"/>
      <c r="AG161" s="99"/>
    </row>
    <row r="162" spans="2:33" ht="14.4" x14ac:dyDescent="0.3">
      <c r="B162" s="19">
        <f t="shared" si="31"/>
        <v>82046.057137846408</v>
      </c>
      <c r="C162" s="756">
        <f t="shared" si="32"/>
        <v>0</v>
      </c>
      <c r="D162" s="69">
        <f t="shared" si="33"/>
        <v>0</v>
      </c>
      <c r="E162" s="7">
        <v>2056</v>
      </c>
      <c r="F162" s="7"/>
      <c r="G162" s="35">
        <v>5331.6115009091482</v>
      </c>
      <c r="H162" s="26">
        <f t="shared" si="23"/>
        <v>6.4983153205661712E-2</v>
      </c>
      <c r="I162" s="2"/>
      <c r="J162" s="35">
        <v>5827.6290991760907</v>
      </c>
      <c r="K162" s="26">
        <f t="shared" si="24"/>
        <v>7.1028752660045963E-2</v>
      </c>
      <c r="L162" s="24"/>
      <c r="M162" s="35">
        <v>2060.5510929773232</v>
      </c>
      <c r="N162" s="26">
        <f t="shared" si="25"/>
        <v>2.5114565706861092E-2</v>
      </c>
      <c r="O162" s="24"/>
      <c r="P162" s="25">
        <v>27749.330413229887</v>
      </c>
      <c r="Q162" s="26">
        <f t="shared" si="26"/>
        <v>0.33821650157554745</v>
      </c>
      <c r="R162" s="24"/>
      <c r="S162" s="67">
        <f>'Private Car Analysis &amp; Split'!P169</f>
        <v>29168.815850124032</v>
      </c>
      <c r="T162" s="26">
        <f t="shared" si="27"/>
        <v>0.35551758204683997</v>
      </c>
      <c r="U162" s="24"/>
      <c r="V162" s="67">
        <f>'Private Car Analysis &amp; Split'!X169</f>
        <v>20097.741472344394</v>
      </c>
      <c r="W162" s="26">
        <f t="shared" si="28"/>
        <v>0.24495682270968824</v>
      </c>
      <c r="X162" s="24"/>
      <c r="Y162" s="67">
        <f>'Private Car Analysis &amp; Split'!AA169</f>
        <v>1.5600000000000002E-12</v>
      </c>
      <c r="Z162" s="26">
        <f t="shared" si="29"/>
        <v>1.9013710767100344E-17</v>
      </c>
      <c r="AB162" s="13"/>
      <c r="AC162" s="68"/>
      <c r="AD162" s="13"/>
      <c r="AE162" s="99"/>
      <c r="AF162" s="13"/>
      <c r="AG162" s="99"/>
    </row>
    <row r="163" spans="2:33" ht="14.4" x14ac:dyDescent="0.3">
      <c r="B163" s="19">
        <f t="shared" si="31"/>
        <v>83935.880917157803</v>
      </c>
      <c r="C163" s="756">
        <f t="shared" si="32"/>
        <v>0</v>
      </c>
      <c r="D163" s="69">
        <f t="shared" si="33"/>
        <v>0</v>
      </c>
      <c r="E163" s="7">
        <v>2057</v>
      </c>
      <c r="F163" s="7"/>
      <c r="G163" s="35">
        <v>5418.176058419107</v>
      </c>
      <c r="H163" s="26">
        <f t="shared" si="23"/>
        <v>6.455136944076019E-2</v>
      </c>
      <c r="I163" s="2"/>
      <c r="J163" s="35">
        <v>5960.48775968072</v>
      </c>
      <c r="K163" s="26">
        <f t="shared" si="24"/>
        <v>7.1012392966525756E-2</v>
      </c>
      <c r="L163" s="24"/>
      <c r="M163" s="35">
        <v>2126.623419616617</v>
      </c>
      <c r="N163" s="26">
        <f t="shared" si="25"/>
        <v>2.5336285226046897E-2</v>
      </c>
      <c r="O163" s="24"/>
      <c r="P163" s="25">
        <v>28010.584208832086</v>
      </c>
      <c r="Q163" s="26">
        <f t="shared" si="26"/>
        <v>0.33371406724708941</v>
      </c>
      <c r="R163" s="24"/>
      <c r="S163" s="67">
        <f>'Private Car Analysis &amp; Split'!P170</f>
        <v>30237.602315070719</v>
      </c>
      <c r="T163" s="26">
        <f t="shared" si="27"/>
        <v>0.36024644031453396</v>
      </c>
      <c r="U163" s="24"/>
      <c r="V163" s="67">
        <f>'Private Car Analysis &amp; Split'!X170</f>
        <v>20654.942933443745</v>
      </c>
      <c r="W163" s="26">
        <f t="shared" si="28"/>
        <v>0.24608001617126712</v>
      </c>
      <c r="X163" s="24"/>
      <c r="Y163" s="67">
        <f>'Private Car Analysis &amp; Split'!AA170</f>
        <v>7.5000000000000004E-13</v>
      </c>
      <c r="Z163" s="26">
        <f t="shared" si="29"/>
        <v>8.9353920135803132E-18</v>
      </c>
      <c r="AB163" s="13"/>
      <c r="AC163" s="68"/>
      <c r="AD163" s="13"/>
      <c r="AE163" s="13"/>
      <c r="AF163" s="13"/>
      <c r="AG163" s="99"/>
    </row>
    <row r="164" spans="2:33" ht="14.4" x14ac:dyDescent="0.3">
      <c r="B164" s="19">
        <f t="shared" si="31"/>
        <v>85869.80992729323</v>
      </c>
      <c r="C164" s="756">
        <f t="shared" si="32"/>
        <v>0</v>
      </c>
      <c r="D164" s="69">
        <f t="shared" si="33"/>
        <v>0</v>
      </c>
      <c r="E164" s="7">
        <v>2058</v>
      </c>
      <c r="F164" s="7"/>
      <c r="G164" s="35">
        <v>5505.3943552731962</v>
      </c>
      <c r="H164" s="26">
        <f t="shared" si="23"/>
        <v>6.4113270542169185E-2</v>
      </c>
      <c r="I164" s="2"/>
      <c r="J164" s="35">
        <v>6093.3464201853494</v>
      </c>
      <c r="K164" s="26">
        <f t="shared" si="24"/>
        <v>7.0960287734940175E-2</v>
      </c>
      <c r="L164" s="24"/>
      <c r="M164" s="35">
        <v>2194.2144049439316</v>
      </c>
      <c r="N164" s="26">
        <f t="shared" si="25"/>
        <v>2.5552803794509308E-2</v>
      </c>
      <c r="O164" s="24"/>
      <c r="P164" s="25">
        <v>28240.440958158208</v>
      </c>
      <c r="Q164" s="26">
        <f t="shared" si="26"/>
        <v>0.32887508406120441</v>
      </c>
      <c r="R164" s="24"/>
      <c r="S164" s="67">
        <f>'Private Car Analysis &amp; Split'!P171</f>
        <v>31373.317250370572</v>
      </c>
      <c r="T164" s="26">
        <f t="shared" si="27"/>
        <v>0.36535910906213315</v>
      </c>
      <c r="U164" s="24"/>
      <c r="V164" s="67">
        <f>'Private Car Analysis &amp; Split'!X171</f>
        <v>21247.776587505912</v>
      </c>
      <c r="W164" s="26">
        <f t="shared" si="28"/>
        <v>0.24744175636928278</v>
      </c>
      <c r="X164" s="24"/>
      <c r="Y164" s="67">
        <f>'Private Car Analysis &amp; Split'!AA171</f>
        <v>1.05E-12</v>
      </c>
      <c r="Z164" s="26">
        <f t="shared" si="29"/>
        <v>1.2227813254612358E-17</v>
      </c>
      <c r="AB164" s="13"/>
      <c r="AC164" s="68"/>
      <c r="AD164" s="13"/>
      <c r="AE164" s="13"/>
      <c r="AF164" s="13"/>
      <c r="AG164" s="99"/>
    </row>
    <row r="165" spans="2:33" ht="14.4" x14ac:dyDescent="0.3">
      <c r="B165" s="19">
        <f t="shared" si="31"/>
        <v>87848.859904726341</v>
      </c>
      <c r="C165" s="756">
        <f t="shared" si="32"/>
        <v>0</v>
      </c>
      <c r="D165" s="69">
        <f t="shared" si="33"/>
        <v>0</v>
      </c>
      <c r="E165" s="7">
        <v>2059</v>
      </c>
      <c r="F165" s="7"/>
      <c r="G165" s="35">
        <v>5593.3337531764173</v>
      </c>
      <c r="H165" s="26">
        <f t="shared" si="23"/>
        <v>6.3669964063762324E-2</v>
      </c>
      <c r="I165" s="2"/>
      <c r="J165" s="35">
        <v>6226.2050806899788</v>
      </c>
      <c r="K165" s="26">
        <f t="shared" si="24"/>
        <v>7.0874056731554738E-2</v>
      </c>
      <c r="L165" s="24"/>
      <c r="M165" s="35">
        <v>2263.3604546077186</v>
      </c>
      <c r="N165" s="26">
        <f t="shared" si="25"/>
        <v>2.5764255302372432E-2</v>
      </c>
      <c r="O165" s="24"/>
      <c r="P165" s="25">
        <v>28437.359039488267</v>
      </c>
      <c r="Q165" s="26">
        <f t="shared" si="26"/>
        <v>0.32370777572217885</v>
      </c>
      <c r="R165" s="24"/>
      <c r="S165" s="67">
        <f>'Private Car Analysis &amp; Split'!P172</f>
        <v>32578.266823435908</v>
      </c>
      <c r="T165" s="26">
        <f t="shared" si="27"/>
        <v>0.37084450337508784</v>
      </c>
      <c r="U165" s="24"/>
      <c r="V165" s="67">
        <f>'Private Car Analysis &amp; Split'!X172</f>
        <v>21876.806662933825</v>
      </c>
      <c r="W165" s="26">
        <f t="shared" si="28"/>
        <v>0.24902778119897756</v>
      </c>
      <c r="X165" s="24"/>
      <c r="Y165" s="67">
        <f>'Private Car Analysis &amp; Split'!AA172</f>
        <v>1.0822986951097823E-12</v>
      </c>
      <c r="Z165" s="26">
        <f t="shared" si="29"/>
        <v>1.2320008435892675E-17</v>
      </c>
      <c r="AB165" s="13"/>
      <c r="AC165" s="68"/>
      <c r="AD165" s="13"/>
      <c r="AE165" s="68"/>
      <c r="AF165" s="13"/>
      <c r="AG165" s="99"/>
    </row>
    <row r="166" spans="2:33" ht="14.4" x14ac:dyDescent="0.3">
      <c r="B166" s="19">
        <f t="shared" si="31"/>
        <v>89874.026138251153</v>
      </c>
      <c r="C166" s="756">
        <f t="shared" si="32"/>
        <v>0</v>
      </c>
      <c r="D166" s="69">
        <f t="shared" si="33"/>
        <v>0</v>
      </c>
      <c r="E166" s="7">
        <v>2060</v>
      </c>
      <c r="F166" s="7"/>
      <c r="G166" s="35">
        <v>5682.06161383377</v>
      </c>
      <c r="H166" s="26">
        <f t="shared" si="23"/>
        <v>6.3222511085607599E-2</v>
      </c>
      <c r="I166" s="2"/>
      <c r="J166" s="35">
        <v>6359.0637411946082</v>
      </c>
      <c r="K166" s="26">
        <f t="shared" si="24"/>
        <v>7.0755300662870113E-2</v>
      </c>
      <c r="L166" s="24"/>
      <c r="M166" s="35">
        <v>2334.0979742564305</v>
      </c>
      <c r="N166" s="26">
        <f t="shared" si="25"/>
        <v>2.5970773476487425E-2</v>
      </c>
      <c r="O166" s="24"/>
      <c r="P166" s="25">
        <v>28599.798783893475</v>
      </c>
      <c r="Q166" s="26">
        <f t="shared" si="26"/>
        <v>0.31822095896648783</v>
      </c>
      <c r="R166" s="24"/>
      <c r="S166" s="67">
        <f>'Private Car Analysis &amp; Split'!P173</f>
        <v>33854.737768973093</v>
      </c>
      <c r="T166" s="26">
        <f t="shared" si="27"/>
        <v>0.37669101100350311</v>
      </c>
      <c r="U166" s="24"/>
      <c r="V166" s="67">
        <f>'Private Car Analysis &amp; Split'!X173</f>
        <v>22542.877009824104</v>
      </c>
      <c r="W166" s="26">
        <f t="shared" si="28"/>
        <v>0.25082749686930583</v>
      </c>
      <c r="X166" s="24"/>
      <c r="Y166" s="67">
        <f>'Private Car Analysis &amp; Split'!AA173</f>
        <v>1.05E-12</v>
      </c>
      <c r="Z166" s="26">
        <f t="shared" si="29"/>
        <v>1.1683019500926875E-17</v>
      </c>
      <c r="AB166" s="13"/>
      <c r="AC166" s="68"/>
      <c r="AD166" s="13"/>
      <c r="AE166" s="13"/>
      <c r="AF166" s="13"/>
      <c r="AG166" s="99"/>
    </row>
    <row r="167" spans="2:33" ht="14.4" x14ac:dyDescent="0.3">
      <c r="B167" s="2"/>
      <c r="C167" s="2"/>
      <c r="D167" s="2"/>
      <c r="F167" s="2"/>
      <c r="G167" s="2"/>
      <c r="H167" s="2"/>
      <c r="I167" s="2"/>
      <c r="J167" s="2"/>
      <c r="L167" s="2"/>
      <c r="M167" s="2"/>
      <c r="O167" s="2"/>
      <c r="P167" s="2"/>
      <c r="R167" s="2"/>
      <c r="S167" s="2"/>
      <c r="U167" s="2"/>
      <c r="V167" s="2"/>
      <c r="X167" s="2"/>
      <c r="Y167" s="2"/>
      <c r="AB167" s="13"/>
      <c r="AC167" s="68"/>
      <c r="AD167" s="13"/>
      <c r="AE167" s="13"/>
      <c r="AF167" s="13"/>
      <c r="AG167" s="99"/>
    </row>
  </sheetData>
  <mergeCells count="8">
    <mergeCell ref="A120:A121"/>
    <mergeCell ref="A2:E4"/>
    <mergeCell ref="X1:Z2"/>
    <mergeCell ref="AB3:AD3"/>
    <mergeCell ref="AB58:AD58"/>
    <mergeCell ref="AB113:AD113"/>
    <mergeCell ref="A8:A9"/>
    <mergeCell ref="A63:A64"/>
  </mergeCells>
  <conditionalFormatting sqref="J114">
    <cfRule type="containsText" dxfId="152" priority="29" operator="containsText" text="Exclude">
      <formula>NOT(ISERROR(SEARCH("Exclude",J114)))</formula>
    </cfRule>
  </conditionalFormatting>
  <conditionalFormatting sqref="G114">
    <cfRule type="containsText" dxfId="151" priority="28" operator="containsText" text="Exclude">
      <formula>NOT(ISERROR(SEARCH("Exclude",G114)))</formula>
    </cfRule>
  </conditionalFormatting>
  <conditionalFormatting sqref="M114">
    <cfRule type="containsText" dxfId="150" priority="27" operator="containsText" text="Exclude">
      <formula>NOT(ISERROR(SEARCH("Exclude",M114)))</formula>
    </cfRule>
  </conditionalFormatting>
  <conditionalFormatting sqref="P114">
    <cfRule type="containsText" dxfId="149" priority="26" operator="containsText" text="Exclude">
      <formula>NOT(ISERROR(SEARCH("Exclude",P114)))</formula>
    </cfRule>
  </conditionalFormatting>
  <conditionalFormatting sqref="S114">
    <cfRule type="containsText" dxfId="148" priority="25" operator="containsText" text="Exclude">
      <formula>NOT(ISERROR(SEARCH("Exclude",S114)))</formula>
    </cfRule>
  </conditionalFormatting>
  <conditionalFormatting sqref="V114">
    <cfRule type="containsText" dxfId="147" priority="24" operator="containsText" text="Exclude">
      <formula>NOT(ISERROR(SEARCH("Exclude",V114)))</formula>
    </cfRule>
  </conditionalFormatting>
  <conditionalFormatting sqref="Y114">
    <cfRule type="containsText" dxfId="146" priority="23" operator="containsText" text="Exclude">
      <formula>NOT(ISERROR(SEARCH("Exclude",Y114)))</formula>
    </cfRule>
  </conditionalFormatting>
  <conditionalFormatting sqref="J59">
    <cfRule type="containsText" dxfId="145" priority="22" operator="containsText" text="Exclude">
      <formula>NOT(ISERROR(SEARCH("Exclude",J59)))</formula>
    </cfRule>
  </conditionalFormatting>
  <conditionalFormatting sqref="G59">
    <cfRule type="containsText" dxfId="144" priority="21" operator="containsText" text="Exclude">
      <formula>NOT(ISERROR(SEARCH("Exclude",G59)))</formula>
    </cfRule>
  </conditionalFormatting>
  <conditionalFormatting sqref="M59">
    <cfRule type="containsText" dxfId="143" priority="20" operator="containsText" text="Exclude">
      <formula>NOT(ISERROR(SEARCH("Exclude",M59)))</formula>
    </cfRule>
  </conditionalFormatting>
  <conditionalFormatting sqref="P59">
    <cfRule type="containsText" dxfId="142" priority="19" operator="containsText" text="Exclude">
      <formula>NOT(ISERROR(SEARCH("Exclude",P59)))</formula>
    </cfRule>
  </conditionalFormatting>
  <conditionalFormatting sqref="S59">
    <cfRule type="containsText" dxfId="141" priority="18" operator="containsText" text="Exclude">
      <formula>NOT(ISERROR(SEARCH("Exclude",S59)))</formula>
    </cfRule>
  </conditionalFormatting>
  <conditionalFormatting sqref="V59">
    <cfRule type="containsText" dxfId="140" priority="17" operator="containsText" text="Exclude">
      <formula>NOT(ISERROR(SEARCH("Exclude",V59)))</formula>
    </cfRule>
  </conditionalFormatting>
  <conditionalFormatting sqref="Y59">
    <cfRule type="containsText" dxfId="139" priority="16" operator="containsText" text="Exclude">
      <formula>NOT(ISERROR(SEARCH("Exclude",Y59)))</formula>
    </cfRule>
  </conditionalFormatting>
  <conditionalFormatting sqref="J4">
    <cfRule type="containsText" dxfId="138" priority="15" operator="containsText" text="Exclude">
      <formula>NOT(ISERROR(SEARCH("Exclude",J4)))</formula>
    </cfRule>
  </conditionalFormatting>
  <conditionalFormatting sqref="G4">
    <cfRule type="containsText" dxfId="137" priority="14" operator="containsText" text="Exclude">
      <formula>NOT(ISERROR(SEARCH("Exclude",G4)))</formula>
    </cfRule>
  </conditionalFormatting>
  <conditionalFormatting sqref="M4">
    <cfRule type="containsText" dxfId="136" priority="13" operator="containsText" text="Exclude">
      <formula>NOT(ISERROR(SEARCH("Exclude",M4)))</formula>
    </cfRule>
  </conditionalFormatting>
  <conditionalFormatting sqref="P4">
    <cfRule type="containsText" dxfId="135" priority="12" operator="containsText" text="Exclude">
      <formula>NOT(ISERROR(SEARCH("Exclude",P4)))</formula>
    </cfRule>
  </conditionalFormatting>
  <conditionalFormatting sqref="S4">
    <cfRule type="containsText" dxfId="134" priority="11" operator="containsText" text="Exclude">
      <formula>NOT(ISERROR(SEARCH("Exclude",S4)))</formula>
    </cfRule>
  </conditionalFormatting>
  <conditionalFormatting sqref="V4">
    <cfRule type="containsText" dxfId="133" priority="10" operator="containsText" text="Exclude">
      <formula>NOT(ISERROR(SEARCH("Exclude",V4)))</formula>
    </cfRule>
  </conditionalFormatting>
  <conditionalFormatting sqref="Y4">
    <cfRule type="containsText" dxfId="132" priority="9" operator="containsText" text="Exclude">
      <formula>NOT(ISERROR(SEARCH("Exclude",Y4)))</formula>
    </cfRule>
  </conditionalFormatting>
  <conditionalFormatting sqref="C63:D111">
    <cfRule type="cellIs" dxfId="131" priority="3" operator="lessThan">
      <formula>0</formula>
    </cfRule>
  </conditionalFormatting>
  <conditionalFormatting sqref="C118:D166">
    <cfRule type="cellIs" dxfId="130" priority="2" operator="lessThan">
      <formula>0</formula>
    </cfRule>
  </conditionalFormatting>
  <conditionalFormatting sqref="C8:D56">
    <cfRule type="cellIs" dxfId="129" priority="1" operator="lessThan">
      <formula>0</formula>
    </cfRule>
  </conditionalFormatting>
  <dataValidations count="1">
    <dataValidation type="list" allowBlank="1" showInputMessage="1" showErrorMessage="1" sqref="J114 G114 M114 P114 M4 P4 J4 J59 G59 M59 P59 G4" xr:uid="{00000000-0002-0000-0400-000000000000}">
      <formula1>"Include,Exclude"</formula1>
    </dataValidation>
  </dataValidations>
  <hyperlinks>
    <hyperlink ref="V6" location="'Private Car Analysis &amp; Split'!Q4" display="Electric Vehicles (Click to Input)" xr:uid="{C363897E-C8E1-4F44-B10D-AB10CABA97A7}"/>
    <hyperlink ref="Y6" location="'Private Car Analysis &amp; Split'!T4" display="Car Fuel Efficiency (Hybrid EV's)    (Click to Input)" xr:uid="{B05EA02E-C12F-407B-A899-0AD2A3C5D9B8}"/>
    <hyperlink ref="V61" location="'Private Car Analysis &amp; Split'!Q62" display="Electric Vehicles (Click to Input)" xr:uid="{FCAA000C-3044-4790-9C7E-14BCC1A79067}"/>
    <hyperlink ref="Y61" location="'Private Car Analysis &amp; Split'!T62" display="Car Fuel Efficiency (Hybrid EV's)    (Click to Input)" xr:uid="{4B5717FE-C6C1-40EC-AF31-B34AA13DF42D}"/>
    <hyperlink ref="V116" location="'Private Car Analysis &amp; Split'!Q120" display="Electric Vehicles (Click to Input)" xr:uid="{C7D5F316-72B4-4B68-95E1-06AC0E5AEA40}"/>
    <hyperlink ref="Y116" location="'Private Car Analysis &amp; Split'!T120" display="Car Fuel Efficiency (Hybrid EV's)    (Click to Input)" xr:uid="{F5776E87-AAFE-4C3B-A86E-9AC0D509004E}"/>
    <hyperlink ref="S6" location="'Private Car Analysis &amp; Split'!O4" display="Carpooling (NA COMMUTER TAM)" xr:uid="{0827558D-5529-440D-B2FD-2667915D3A4C}"/>
    <hyperlink ref="S61" location="'Private Car Analysis &amp; Split'!O62" display="Carpooling (Click to Input)" xr:uid="{0357FC62-D04D-4E41-A684-17AB25669B5D}"/>
    <hyperlink ref="S116" location="'Private Car Analysis &amp; Split'!O120" display="Carpooling (Click to Input)" xr:uid="{C1A5D531-ECF0-421C-90BE-8AC503C63560}"/>
    <hyperlink ref="X1:Z2" location="'Table of Contents'!A1" display="Back to Table of Contents" xr:uid="{40B5FD17-725F-4616-869F-BE2BDFB523D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6" tint="0.59999389629810485"/>
  </sheetPr>
  <dimension ref="A1:AF169"/>
  <sheetViews>
    <sheetView topLeftCell="A114" zoomScale="80" zoomScaleNormal="80" workbookViewId="0">
      <pane xSplit="5" topLeftCell="F1" activePane="topRight" state="frozen"/>
      <selection activeCell="V127" sqref="V127"/>
      <selection pane="topRight" activeCell="N121" sqref="N121"/>
    </sheetView>
  </sheetViews>
  <sheetFormatPr defaultColWidth="15.21875" defaultRowHeight="15" customHeight="1" x14ac:dyDescent="0.3"/>
  <cols>
    <col min="1" max="1" width="7.5546875" customWidth="1"/>
    <col min="2" max="2" width="9.44140625" customWidth="1"/>
    <col min="3" max="3" width="12.109375" customWidth="1"/>
    <col min="4" max="4" width="12" customWidth="1"/>
    <col min="5" max="5" width="7.5546875" customWidth="1"/>
    <col min="6" max="6" width="2.5546875" customWidth="1"/>
    <col min="7" max="7" width="16.21875" customWidth="1"/>
    <col min="8" max="8" width="11.44140625" customWidth="1"/>
    <col min="9" max="9" width="2.5546875" customWidth="1"/>
    <col min="10" max="10" width="16.21875" customWidth="1"/>
    <col min="11" max="11" width="11.44140625" customWidth="1"/>
    <col min="12" max="12" width="2.5546875" customWidth="1"/>
    <col min="13" max="13" width="16.21875" customWidth="1"/>
    <col min="14" max="14" width="9.77734375" customWidth="1"/>
    <col min="15" max="15" width="2.5546875" customWidth="1"/>
    <col min="16" max="16" width="16.21875" customWidth="1"/>
    <col min="17" max="17" width="7.5546875" customWidth="1"/>
    <col min="18" max="18" width="2.5546875" customWidth="1"/>
    <col min="19" max="19" width="16.21875" customWidth="1"/>
    <col min="20" max="20" width="7.5546875" customWidth="1"/>
    <col min="21" max="21" width="2.77734375" customWidth="1"/>
    <col min="22" max="26" width="7.5546875" customWidth="1"/>
  </cols>
  <sheetData>
    <row r="1" spans="1:28" s="184" customFormat="1" ht="15" customHeight="1" x14ac:dyDescent="0.4">
      <c r="A1" s="115" t="s">
        <v>70</v>
      </c>
      <c r="B1" s="115"/>
      <c r="C1" s="115"/>
      <c r="D1" s="115"/>
      <c r="V1" s="815" t="s">
        <v>467</v>
      </c>
      <c r="W1" s="816"/>
      <c r="X1" s="817"/>
      <c r="Z1" s="850" t="s">
        <v>731</v>
      </c>
      <c r="AA1" s="850"/>
      <c r="AB1" s="850"/>
    </row>
    <row r="2" spans="1:28" s="184" customFormat="1" ht="22.05" customHeight="1" thickBot="1" x14ac:dyDescent="0.35">
      <c r="A2" s="833" t="s">
        <v>209</v>
      </c>
      <c r="B2" s="849"/>
      <c r="C2" s="849"/>
      <c r="D2" s="849"/>
      <c r="E2" s="849"/>
      <c r="V2" s="818"/>
      <c r="W2" s="819"/>
      <c r="X2" s="820"/>
      <c r="Z2" s="750"/>
      <c r="AB2" s="750"/>
    </row>
    <row r="3" spans="1:28" s="184" customFormat="1" ht="19.95" customHeight="1" x14ac:dyDescent="0.3">
      <c r="A3" s="849"/>
      <c r="B3" s="849"/>
      <c r="C3" s="849"/>
      <c r="D3" s="849"/>
      <c r="E3" s="849"/>
      <c r="N3" s="851" t="str">
        <f>IF(MAX(N8:N56)&gt;$AA$5,"↓ NB: Adop.n &gt; Aviation Share","")</f>
        <v>↓ NB: Adop.n &gt; Aviation Share</v>
      </c>
      <c r="Z3" s="98" t="s">
        <v>264</v>
      </c>
      <c r="AA3" s="515">
        <f>'Modeshare NONURBAN'!$G$57</f>
        <v>0.10501656604675022</v>
      </c>
      <c r="AB3" s="124" t="s">
        <v>498</v>
      </c>
    </row>
    <row r="4" spans="1:28" ht="30.6" customHeight="1" x14ac:dyDescent="0.3">
      <c r="A4" s="849"/>
      <c r="B4" s="849"/>
      <c r="C4" s="849"/>
      <c r="D4" s="849"/>
      <c r="E4" s="849"/>
      <c r="F4" s="2"/>
      <c r="G4" s="92" t="s">
        <v>131</v>
      </c>
      <c r="H4" s="2"/>
      <c r="I4" s="2"/>
      <c r="J4" s="92" t="s">
        <v>131</v>
      </c>
      <c r="K4" s="2"/>
      <c r="L4" s="2"/>
      <c r="M4" s="755" t="s">
        <v>737</v>
      </c>
      <c r="N4" s="851"/>
      <c r="O4" s="2"/>
      <c r="P4" s="262" t="str">
        <f>'Private Car Analysis &amp; Split'!R5</f>
        <v>Include</v>
      </c>
      <c r="R4" s="2"/>
      <c r="S4" s="261" t="str">
        <f>'Private Car Analysis &amp; Split'!U5</f>
        <v>Include</v>
      </c>
      <c r="Z4" s="98" t="s">
        <v>262</v>
      </c>
      <c r="AA4" s="515">
        <f>'Modeshare NONURBAN'!$G$55</f>
        <v>0.28167749278597232</v>
      </c>
      <c r="AB4" s="124" t="s">
        <v>498</v>
      </c>
    </row>
    <row r="5" spans="1:28" ht="15.75" customHeight="1" x14ac:dyDescent="0.3">
      <c r="A5" s="113" t="s">
        <v>46</v>
      </c>
      <c r="B5" s="114"/>
      <c r="C5" s="114"/>
      <c r="D5" s="114"/>
      <c r="E5" s="250"/>
      <c r="F5" s="114"/>
      <c r="G5" s="114"/>
      <c r="H5" s="5"/>
      <c r="I5" s="5"/>
      <c r="J5" s="5"/>
      <c r="K5" s="5"/>
      <c r="L5" s="5"/>
      <c r="M5" s="5"/>
      <c r="N5" s="851"/>
      <c r="O5" s="5"/>
      <c r="P5" s="5"/>
      <c r="R5" s="2"/>
      <c r="S5" s="2"/>
      <c r="Z5" s="98" t="s">
        <v>265</v>
      </c>
      <c r="AA5" s="515">
        <f>'Modeshare NONURBAN'!$G$58</f>
        <v>0.21376679686241851</v>
      </c>
      <c r="AB5" s="124" t="s">
        <v>498</v>
      </c>
    </row>
    <row r="6" spans="1:28" ht="52.05" customHeight="1" x14ac:dyDescent="0.3">
      <c r="A6" s="8" t="s">
        <v>128</v>
      </c>
      <c r="B6" s="9" t="s">
        <v>47</v>
      </c>
      <c r="C6" s="9" t="s">
        <v>48</v>
      </c>
      <c r="D6" s="9" t="s">
        <v>49</v>
      </c>
      <c r="E6" s="13"/>
      <c r="F6" s="14" t="s">
        <v>50</v>
      </c>
      <c r="G6" s="11" t="s">
        <v>5</v>
      </c>
      <c r="H6" s="11" t="s">
        <v>27</v>
      </c>
      <c r="I6" s="14" t="s">
        <v>51</v>
      </c>
      <c r="J6" s="11" t="s">
        <v>6</v>
      </c>
      <c r="K6" s="11" t="s">
        <v>27</v>
      </c>
      <c r="L6" s="14" t="s">
        <v>52</v>
      </c>
      <c r="M6" s="11" t="s">
        <v>609</v>
      </c>
      <c r="N6" s="11" t="s">
        <v>27</v>
      </c>
      <c r="O6" s="14"/>
      <c r="P6" s="121" t="s">
        <v>55</v>
      </c>
      <c r="Q6" s="11" t="s">
        <v>27</v>
      </c>
      <c r="R6" s="14"/>
      <c r="S6" s="121" t="s">
        <v>56</v>
      </c>
      <c r="T6" s="11" t="s">
        <v>27</v>
      </c>
    </row>
    <row r="7" spans="1:28" s="249" customFormat="1" ht="43.8" customHeight="1" x14ac:dyDescent="0.3">
      <c r="A7" s="16"/>
      <c r="B7" s="17"/>
      <c r="C7" s="749" t="s">
        <v>743</v>
      </c>
      <c r="D7" s="17"/>
      <c r="E7" s="122" t="s">
        <v>276</v>
      </c>
      <c r="F7" s="17"/>
      <c r="G7" s="271" t="s">
        <v>755</v>
      </c>
      <c r="H7" s="17" t="s">
        <v>30</v>
      </c>
      <c r="I7" s="17"/>
      <c r="J7" s="271" t="s">
        <v>771</v>
      </c>
      <c r="K7" s="17"/>
      <c r="L7" s="17"/>
      <c r="M7" s="271" t="s">
        <v>773</v>
      </c>
      <c r="N7" s="17" t="s">
        <v>30</v>
      </c>
      <c r="O7" s="17"/>
      <c r="P7" s="264" t="str">
        <f>'Private Car Analysis &amp; Split'!X8</f>
        <v>PDS1-20p2050-LRate at 11%</v>
      </c>
      <c r="Q7" s="17" t="s">
        <v>30</v>
      </c>
      <c r="R7" s="17"/>
      <c r="S7" s="264" t="str">
        <f>'Private Car Analysis &amp; Split'!AA8</f>
        <v>PDS1-8p2050-Oct21ComDat</v>
      </c>
      <c r="T7" s="17" t="s">
        <v>30</v>
      </c>
    </row>
    <row r="8" spans="1:28" ht="18.75" customHeight="1" x14ac:dyDescent="0.3">
      <c r="A8" s="8"/>
      <c r="B8" s="19">
        <f>AVERAGE('Passenger TAM Data'!C71:E71)</f>
        <v>23943.64423576602</v>
      </c>
      <c r="C8" s="756">
        <f>B8-SUM($AA$3:$AA$4,MAX($AA$5,$N8))*B8-IF($G$4="Include",G8,0)-IF($J$4="Include",J8,0)-IF($P$4="Include",P8,0)-IF($S$4="Include",S8,0)</f>
        <v>9566.4231294979236</v>
      </c>
      <c r="D8" s="69">
        <f t="shared" ref="D8:D56" si="0">C8/B8</f>
        <v>0.39953914430485893</v>
      </c>
      <c r="E8" s="7">
        <v>2012</v>
      </c>
      <c r="F8" s="7"/>
      <c r="G8" s="97"/>
      <c r="H8" s="26">
        <f t="shared" ref="H8:H56" si="1">G8/$B8</f>
        <v>0</v>
      </c>
      <c r="I8" s="2"/>
      <c r="J8" s="25"/>
      <c r="K8" s="26">
        <f t="shared" ref="K8:K56" si="2">J8/$B8</f>
        <v>0</v>
      </c>
      <c r="L8" s="24"/>
      <c r="M8" s="97"/>
      <c r="N8" s="26">
        <f t="shared" ref="N8:N56" si="3">M8/$B8</f>
        <v>0</v>
      </c>
      <c r="O8" s="24"/>
      <c r="P8" s="19">
        <f>'Private Car Analysis &amp; Split'!R9-'Private Car Analysis &amp; Split'!X9</f>
        <v>0</v>
      </c>
      <c r="Q8" s="26">
        <f t="shared" ref="Q8:Q56" si="4">P8/$B8</f>
        <v>0</v>
      </c>
      <c r="R8" s="24"/>
      <c r="S8" s="19">
        <f>'Private Car Analysis &amp; Split'!U9-'Private Car Analysis &amp; Split'!AA9</f>
        <v>0</v>
      </c>
      <c r="T8" s="26">
        <f t="shared" ref="T8:T56" si="5">S8/$B8</f>
        <v>0</v>
      </c>
    </row>
    <row r="9" spans="1:28" ht="18.75" customHeight="1" x14ac:dyDescent="0.3">
      <c r="A9" s="8"/>
      <c r="B9" s="19">
        <f>AVERAGE('Passenger TAM Data'!C72:E72)</f>
        <v>24762.810564240011</v>
      </c>
      <c r="C9" s="756">
        <f t="shared" ref="C9:C56" si="6">B9-SUM($AA$3:$AA$4,MAX($AA$5,$N9))*B9-IF($G$4="Include",G9,0)-IF($J$4="Include",J9,0)-IF($P$4="Include",P9,0)-IF($S$4="Include",S9,0)</f>
        <v>9893.7121434197743</v>
      </c>
      <c r="D9" s="69">
        <f t="shared" si="0"/>
        <v>0.39953914430485887</v>
      </c>
      <c r="E9" s="7">
        <v>2013</v>
      </c>
      <c r="F9" s="7"/>
      <c r="G9" s="97"/>
      <c r="H9" s="26">
        <f t="shared" si="1"/>
        <v>0</v>
      </c>
      <c r="I9" s="2"/>
      <c r="J9" s="25"/>
      <c r="K9" s="26">
        <f t="shared" si="2"/>
        <v>0</v>
      </c>
      <c r="L9" s="24"/>
      <c r="M9" s="97"/>
      <c r="N9" s="26">
        <f t="shared" si="3"/>
        <v>0</v>
      </c>
      <c r="O9" s="24"/>
      <c r="P9" s="19">
        <f>'Private Car Analysis &amp; Split'!R10-'Private Car Analysis &amp; Split'!X10</f>
        <v>0</v>
      </c>
      <c r="Q9" s="26">
        <f t="shared" si="4"/>
        <v>0</v>
      </c>
      <c r="R9" s="24"/>
      <c r="S9" s="19">
        <f>'Private Car Analysis &amp; Split'!U10-'Private Car Analysis &amp; Split'!AA10</f>
        <v>0</v>
      </c>
      <c r="T9" s="26">
        <f t="shared" si="5"/>
        <v>0</v>
      </c>
    </row>
    <row r="10" spans="1:28" ht="14.4" x14ac:dyDescent="0.3">
      <c r="A10" s="847" t="s">
        <v>28</v>
      </c>
      <c r="B10" s="19">
        <f>AVERAGE('Passenger TAM Data'!C73:E73)</f>
        <v>25792.286681443104</v>
      </c>
      <c r="C10" s="756">
        <f t="shared" si="6"/>
        <v>9467.6248565792794</v>
      </c>
      <c r="D10" s="69">
        <f t="shared" si="0"/>
        <v>0.36707194571433621</v>
      </c>
      <c r="E10" s="117">
        <v>2014</v>
      </c>
      <c r="F10" s="117"/>
      <c r="G10" s="25">
        <v>198.50531656903408</v>
      </c>
      <c r="H10" s="26">
        <f t="shared" si="1"/>
        <v>7.6963054505692057E-3</v>
      </c>
      <c r="I10" s="114"/>
      <c r="J10" s="25">
        <v>512.4</v>
      </c>
      <c r="K10" s="26">
        <f t="shared" si="2"/>
        <v>1.9866404492497318E-2</v>
      </c>
      <c r="L10" s="118"/>
      <c r="M10" s="25">
        <v>490.52398347557431</v>
      </c>
      <c r="N10" s="26">
        <f t="shared" si="3"/>
        <v>1.9018243304053141E-2</v>
      </c>
      <c r="O10" s="118"/>
      <c r="P10" s="19">
        <f>'Private Car Analysis &amp; Split'!R11-'Private Car Analysis &amp; Split'!X11</f>
        <v>0</v>
      </c>
      <c r="Q10" s="26">
        <f t="shared" si="4"/>
        <v>0</v>
      </c>
      <c r="R10" s="118"/>
      <c r="S10" s="19">
        <f>'Private Car Analysis &amp; Split'!U11-'Private Car Analysis &amp; Split'!AA11</f>
        <v>126.49797722107463</v>
      </c>
      <c r="T10" s="26">
        <f t="shared" si="5"/>
        <v>4.904488647456246E-3</v>
      </c>
      <c r="U10" s="119"/>
      <c r="V10" s="99"/>
      <c r="W10" s="99">
        <f>X10/10^9</f>
        <v>198.50531656903408</v>
      </c>
      <c r="X10" s="99">
        <v>198505316569.03409</v>
      </c>
      <c r="Y10" s="99"/>
      <c r="Z10" s="99"/>
      <c r="AA10" s="99"/>
      <c r="AB10" s="99"/>
    </row>
    <row r="11" spans="1:28" ht="14.4" x14ac:dyDescent="0.3">
      <c r="A11" s="848"/>
      <c r="B11" s="19">
        <f>AVERAGE('Passenger TAM Data'!C74:E74)</f>
        <v>26650.135894561492</v>
      </c>
      <c r="C11" s="756">
        <f t="shared" si="6"/>
        <v>9650.3981808846111</v>
      </c>
      <c r="D11" s="69">
        <f t="shared" si="0"/>
        <v>0.36211440793643279</v>
      </c>
      <c r="E11" s="7">
        <v>2015</v>
      </c>
      <c r="F11" s="7"/>
      <c r="G11" s="25">
        <v>215.36749823103926</v>
      </c>
      <c r="H11" s="26">
        <f t="shared" si="1"/>
        <v>8.0812908077886915E-3</v>
      </c>
      <c r="I11" s="2"/>
      <c r="J11" s="25">
        <v>636.28069866504052</v>
      </c>
      <c r="K11" s="26">
        <f t="shared" si="2"/>
        <v>2.3875326609305834E-2</v>
      </c>
      <c r="L11" s="24"/>
      <c r="M11" s="25">
        <v>280.52810147008699</v>
      </c>
      <c r="N11" s="26">
        <f t="shared" si="3"/>
        <v>1.0526329118169132E-2</v>
      </c>
      <c r="O11" s="24"/>
      <c r="P11" s="19">
        <f>'Private Car Analysis &amp; Split'!R12-'Private Car Analysis &amp; Split'!X12</f>
        <v>0</v>
      </c>
      <c r="Q11" s="26">
        <f t="shared" si="4"/>
        <v>0</v>
      </c>
      <c r="R11" s="24"/>
      <c r="S11" s="19">
        <f>'Private Car Analysis &amp; Split'!U12-'Private Car Analysis &amp; Split'!AA12</f>
        <v>145.72611314061396</v>
      </c>
      <c r="T11" s="26">
        <f t="shared" si="5"/>
        <v>5.46811895133159E-3</v>
      </c>
      <c r="V11" s="99"/>
      <c r="W11" s="761">
        <f t="shared" ref="W11:W56" si="7">X11/10^9</f>
        <v>215.36749823103926</v>
      </c>
      <c r="X11" s="99">
        <v>215367498231.03928</v>
      </c>
      <c r="Y11" s="99"/>
      <c r="Z11" s="99"/>
      <c r="AA11" s="99"/>
      <c r="AB11" s="99"/>
    </row>
    <row r="12" spans="1:28" ht="14.4" x14ac:dyDescent="0.3">
      <c r="B12" s="19">
        <f>AVERAGE('Passenger TAM Data'!C75:E75)</f>
        <v>27523.033303576412</v>
      </c>
      <c r="C12" s="756">
        <f t="shared" si="6"/>
        <v>9896.3779812216671</v>
      </c>
      <c r="D12" s="69">
        <f t="shared" si="0"/>
        <v>0.35956712590743795</v>
      </c>
      <c r="E12" s="7">
        <v>2016</v>
      </c>
      <c r="F12" s="7"/>
      <c r="G12" s="25">
        <v>232.22967989304448</v>
      </c>
      <c r="H12" s="26">
        <f t="shared" si="1"/>
        <v>8.4376484717935494E-3</v>
      </c>
      <c r="I12" s="2"/>
      <c r="J12" s="25">
        <v>700.85604750629568</v>
      </c>
      <c r="K12" s="26">
        <f t="shared" si="2"/>
        <v>2.5464346163299692E-2</v>
      </c>
      <c r="L12" s="24"/>
      <c r="M12" s="25">
        <v>544.41277224722285</v>
      </c>
      <c r="N12" s="26">
        <f t="shared" si="3"/>
        <v>1.9780260636333296E-2</v>
      </c>
      <c r="O12" s="24"/>
      <c r="P12" s="19">
        <f>'Private Car Analysis &amp; Split'!R13-'Private Car Analysis &amp; Split'!X13</f>
        <v>0</v>
      </c>
      <c r="Q12" s="26">
        <f t="shared" si="4"/>
        <v>0</v>
      </c>
      <c r="R12" s="24"/>
      <c r="S12" s="19">
        <f>'Private Car Analysis &amp; Split'!U13-'Private Car Analysis &amp; Split'!AA13</f>
        <v>167.06546616404685</v>
      </c>
      <c r="T12" s="26">
        <f t="shared" si="5"/>
        <v>6.0700237623277494E-3</v>
      </c>
      <c r="V12" s="99"/>
      <c r="W12" s="761">
        <f t="shared" si="7"/>
        <v>232.22967989304448</v>
      </c>
      <c r="X12" s="99">
        <v>232229679893.04446</v>
      </c>
      <c r="Y12" s="99"/>
      <c r="Z12" s="99"/>
      <c r="AA12" s="99"/>
      <c r="AB12" s="99"/>
    </row>
    <row r="13" spans="1:28" ht="14.4" x14ac:dyDescent="0.3">
      <c r="B13" s="19">
        <f>AVERAGE('Passenger TAM Data'!C76:E76)</f>
        <v>28411.259149408132</v>
      </c>
      <c r="C13" s="756">
        <f t="shared" si="6"/>
        <v>10150.227107067607</v>
      </c>
      <c r="D13" s="69">
        <f t="shared" si="0"/>
        <v>0.35726072729441344</v>
      </c>
      <c r="E13" s="7">
        <v>2017</v>
      </c>
      <c r="F13" s="7"/>
      <c r="G13" s="25">
        <v>249.09186155504966</v>
      </c>
      <c r="H13" s="26">
        <f t="shared" si="1"/>
        <v>8.7673643834345442E-3</v>
      </c>
      <c r="I13" s="2"/>
      <c r="J13" s="25">
        <v>761.6538717654289</v>
      </c>
      <c r="K13" s="26">
        <f t="shared" si="2"/>
        <v>2.680817023138856E-2</v>
      </c>
      <c r="L13" s="24"/>
      <c r="M13" s="25">
        <v>857.42974544519143</v>
      </c>
      <c r="N13" s="26">
        <f t="shared" si="3"/>
        <v>3.0179223699173981E-2</v>
      </c>
      <c r="O13" s="24"/>
      <c r="P13" s="19">
        <f>'Private Car Analysis &amp; Split'!R14-'Private Car Analysis &amp; Split'!X14</f>
        <v>0</v>
      </c>
      <c r="Q13" s="26">
        <f t="shared" si="4"/>
        <v>0</v>
      </c>
      <c r="R13" s="24"/>
      <c r="S13" s="19">
        <f>'Private Car Analysis &amp; Split'!U14-'Private Car Analysis &amp; Split'!AA14</f>
        <v>190.4373287900319</v>
      </c>
      <c r="T13" s="26">
        <f t="shared" si="5"/>
        <v>6.7028823956223399E-3</v>
      </c>
      <c r="V13" s="99"/>
      <c r="W13" s="761">
        <f t="shared" si="7"/>
        <v>249.09186155504966</v>
      </c>
      <c r="X13" s="99">
        <v>249091861555.04965</v>
      </c>
      <c r="Y13" s="99"/>
      <c r="Z13" s="99"/>
      <c r="AA13" s="99"/>
      <c r="AB13" s="99"/>
    </row>
    <row r="14" spans="1:28" ht="14.4" x14ac:dyDescent="0.3">
      <c r="B14" s="19">
        <f>AVERAGE('Passenger TAM Data'!C77:E77)</f>
        <v>29314.817849269726</v>
      </c>
      <c r="C14" s="756">
        <f t="shared" si="6"/>
        <v>10377.564697765352</v>
      </c>
      <c r="D14" s="69">
        <f t="shared" si="0"/>
        <v>0.35400406549085456</v>
      </c>
      <c r="E14" s="7">
        <v>2018</v>
      </c>
      <c r="F14" s="7"/>
      <c r="G14" s="25">
        <v>265.95404321705485</v>
      </c>
      <c r="H14" s="26">
        <f t="shared" si="1"/>
        <v>9.0723416595842894E-3</v>
      </c>
      <c r="I14" s="2"/>
      <c r="J14" s="25">
        <v>818.85169277084435</v>
      </c>
      <c r="K14" s="26">
        <f t="shared" si="2"/>
        <v>2.7933030216363536E-2</v>
      </c>
      <c r="L14" s="24"/>
      <c r="M14" s="25">
        <v>1183.8865350614719</v>
      </c>
      <c r="N14" s="26">
        <f t="shared" si="3"/>
        <v>4.0385259807813004E-2</v>
      </c>
      <c r="O14" s="24"/>
      <c r="P14" s="19">
        <f>'Private Car Analysis &amp; Split'!R15-'Private Car Analysis &amp; Split'!X15</f>
        <v>0</v>
      </c>
      <c r="Q14" s="26">
        <f t="shared" si="4"/>
        <v>0</v>
      </c>
      <c r="R14" s="24"/>
      <c r="S14" s="19">
        <f>'Private Car Analysis &amp; Split'!U15-'Private Car Analysis &amp; Split'!AA15</f>
        <v>250.04680519677979</v>
      </c>
      <c r="T14" s="26">
        <f t="shared" si="5"/>
        <v>8.5297069380565436E-3</v>
      </c>
      <c r="V14" s="99"/>
      <c r="W14" s="761">
        <f t="shared" si="7"/>
        <v>265.95404321705485</v>
      </c>
      <c r="X14" s="99">
        <v>265954043217.05484</v>
      </c>
      <c r="Y14" s="99"/>
      <c r="Z14" s="99"/>
      <c r="AA14" s="99"/>
      <c r="AB14" s="99"/>
    </row>
    <row r="15" spans="1:28" ht="14.4" x14ac:dyDescent="0.3">
      <c r="B15" s="19">
        <f>AVERAGE('Passenger TAM Data'!C78:E78)</f>
        <v>30233.500371254417</v>
      </c>
      <c r="C15" s="756">
        <f t="shared" si="6"/>
        <v>10483.884772229407</v>
      </c>
      <c r="D15" s="69">
        <f t="shared" si="0"/>
        <v>0.34676384287270079</v>
      </c>
      <c r="E15" s="7">
        <v>2019</v>
      </c>
      <c r="F15" s="7"/>
      <c r="G15" s="25">
        <v>430.8587161054524</v>
      </c>
      <c r="H15" s="26">
        <f t="shared" si="1"/>
        <v>1.4251036460042409E-2</v>
      </c>
      <c r="I15" s="2"/>
      <c r="J15" s="25">
        <v>872.62703185094608</v>
      </c>
      <c r="K15" s="26">
        <f t="shared" si="2"/>
        <v>2.8862917662045757E-2</v>
      </c>
      <c r="L15" s="24"/>
      <c r="M15" s="25">
        <v>2003.7138361260595</v>
      </c>
      <c r="N15" s="26">
        <f t="shared" si="3"/>
        <v>6.6274622902453006E-2</v>
      </c>
      <c r="O15" s="24"/>
      <c r="P15" s="19">
        <f>'Private Car Analysis &amp; Split'!R16-'Private Car Analysis &amp; Split'!X16</f>
        <v>0</v>
      </c>
      <c r="Q15" s="26">
        <f t="shared" si="4"/>
        <v>0</v>
      </c>
      <c r="R15" s="24"/>
      <c r="S15" s="19">
        <f>'Private Car Analysis &amp; Split'!U16-'Private Car Analysis &amp; Split'!AA16</f>
        <v>292.09634748581766</v>
      </c>
      <c r="T15" s="26">
        <f t="shared" si="5"/>
        <v>9.6613473100699496E-3</v>
      </c>
      <c r="V15" s="99"/>
      <c r="W15" s="761">
        <f t="shared" si="7"/>
        <v>455.57696355017856</v>
      </c>
      <c r="X15" s="99">
        <v>455576963550.17859</v>
      </c>
      <c r="Y15" s="99"/>
      <c r="Z15" s="99"/>
      <c r="AA15" s="99"/>
      <c r="AB15" s="99"/>
    </row>
    <row r="16" spans="1:28" s="99" customFormat="1" ht="14.4" x14ac:dyDescent="0.3">
      <c r="A16" s="30"/>
      <c r="B16" s="19">
        <f>AVERAGE('Passenger TAM Data'!C79:E79)</f>
        <v>31169.676322327818</v>
      </c>
      <c r="C16" s="756">
        <f t="shared" si="6"/>
        <v>10717.483734122743</v>
      </c>
      <c r="D16" s="69">
        <f t="shared" si="0"/>
        <v>0.34384327970853751</v>
      </c>
      <c r="E16" s="33">
        <v>2020</v>
      </c>
      <c r="F16" s="33"/>
      <c r="G16" s="25">
        <v>482.68268651474324</v>
      </c>
      <c r="H16" s="26">
        <f t="shared" si="1"/>
        <v>1.548564962700567E-2</v>
      </c>
      <c r="I16" s="30"/>
      <c r="J16" s="25">
        <v>923.15741033413815</v>
      </c>
      <c r="K16" s="26">
        <f t="shared" si="2"/>
        <v>2.9617163835379694E-2</v>
      </c>
      <c r="L16" s="34"/>
      <c r="M16" s="25">
        <v>2564.4870124996569</v>
      </c>
      <c r="N16" s="26">
        <f t="shared" si="3"/>
        <v>8.227506073467418E-2</v>
      </c>
      <c r="O16" s="34"/>
      <c r="P16" s="19">
        <f>'Private Car Analysis &amp; Split'!R17-'Private Car Analysis &amp; Split'!X17</f>
        <v>0</v>
      </c>
      <c r="Q16" s="26">
        <f t="shared" si="4"/>
        <v>0</v>
      </c>
      <c r="R16" s="34"/>
      <c r="S16" s="19">
        <f>'Private Car Analysis &amp; Split'!U17-'Private Car Analysis &amp; Split'!AA17</f>
        <v>330.18197511065273</v>
      </c>
      <c r="T16" s="26">
        <f t="shared" si="5"/>
        <v>1.0593051133935999E-2</v>
      </c>
      <c r="U16" s="119"/>
      <c r="W16" s="761">
        <f t="shared" si="7"/>
        <v>532.07209173887907</v>
      </c>
      <c r="X16" s="99">
        <v>532072091738.87903</v>
      </c>
    </row>
    <row r="17" spans="2:28" ht="14.4" x14ac:dyDescent="0.3">
      <c r="B17" s="19">
        <f>AVERAGE('Passenger TAM Data'!C80:E80)</f>
        <v>32098.234853161026</v>
      </c>
      <c r="C17" s="756">
        <f t="shared" si="6"/>
        <v>10937.449549279761</v>
      </c>
      <c r="D17" s="69">
        <f t="shared" si="0"/>
        <v>0.34074925301391285</v>
      </c>
      <c r="E17" s="7">
        <v>2021</v>
      </c>
      <c r="F17" s="7"/>
      <c r="G17" s="25">
        <v>534.21174051345201</v>
      </c>
      <c r="H17" s="26">
        <f t="shared" si="1"/>
        <v>1.6643025479665681E-2</v>
      </c>
      <c r="I17" s="2"/>
      <c r="J17" s="25">
        <v>970.62034954882438</v>
      </c>
      <c r="K17" s="26">
        <f t="shared" si="2"/>
        <v>3.0239056882382986E-2</v>
      </c>
      <c r="L17" s="24"/>
      <c r="M17" s="25">
        <v>3130.2254317348879</v>
      </c>
      <c r="N17" s="26">
        <f t="shared" si="3"/>
        <v>9.752017349410802E-2</v>
      </c>
      <c r="O17" s="24"/>
      <c r="P17" s="19">
        <f>'Private Car Analysis &amp; Split'!R18-'Private Car Analysis &amp; Split'!X18</f>
        <v>17.536135659378317</v>
      </c>
      <c r="Q17" s="26">
        <f t="shared" si="4"/>
        <v>5.4632710301985229E-4</v>
      </c>
      <c r="R17" s="24"/>
      <c r="S17" s="19">
        <f>'Private Car Analysis &amp; Split'!U18-'Private Car Analysis &amp; Split'!AA18</f>
        <v>364.68351192694064</v>
      </c>
      <c r="T17" s="26">
        <f t="shared" si="5"/>
        <v>1.1361481825877621E-2</v>
      </c>
      <c r="V17" s="99"/>
      <c r="W17" s="761">
        <f t="shared" si="7"/>
        <v>608.22000496821863</v>
      </c>
      <c r="X17" s="99">
        <v>608220004968.21863</v>
      </c>
      <c r="Y17" s="99"/>
      <c r="Z17" s="99"/>
      <c r="AA17" s="99"/>
      <c r="AB17" s="99"/>
    </row>
    <row r="18" spans="2:28" ht="14.4" x14ac:dyDescent="0.3">
      <c r="B18" s="19">
        <f>AVERAGE('Passenger TAM Data'!C81:E81)</f>
        <v>33039.605298664756</v>
      </c>
      <c r="C18" s="756">
        <f t="shared" si="6"/>
        <v>11157.938912983729</v>
      </c>
      <c r="D18" s="69">
        <f t="shared" si="0"/>
        <v>0.33771404991435111</v>
      </c>
      <c r="E18" s="7">
        <v>2022</v>
      </c>
      <c r="F18" s="7"/>
      <c r="G18" s="25">
        <v>585.4475563923105</v>
      </c>
      <c r="H18" s="26">
        <f t="shared" si="1"/>
        <v>1.7719568714580573E-2</v>
      </c>
      <c r="I18" s="2"/>
      <c r="J18" s="25">
        <v>1015.1933708234092</v>
      </c>
      <c r="K18" s="26">
        <f t="shared" si="2"/>
        <v>3.0726558675458409E-2</v>
      </c>
      <c r="L18" s="24"/>
      <c r="M18" s="25">
        <v>3700.9290938317513</v>
      </c>
      <c r="N18" s="26">
        <f t="shared" si="3"/>
        <v>0.11201493057731288</v>
      </c>
      <c r="O18" s="24"/>
      <c r="P18" s="19">
        <f>'Private Car Analysis &amp; Split'!R19-'Private Car Analysis &amp; Split'!X19</f>
        <v>46.05500720901756</v>
      </c>
      <c r="Q18" s="26">
        <f t="shared" si="4"/>
        <v>1.3939333352411085E-3</v>
      </c>
      <c r="R18" s="24"/>
      <c r="S18" s="19">
        <f>'Private Car Analysis &amp; Split'!U19-'Private Car Analysis &amp; Split'!AA19</f>
        <v>395.98078179033718</v>
      </c>
      <c r="T18" s="26">
        <f t="shared" si="5"/>
        <v>1.1985033665227839E-2</v>
      </c>
      <c r="V18" s="99"/>
      <c r="W18" s="761">
        <f t="shared" si="7"/>
        <v>684.01726660848465</v>
      </c>
      <c r="X18" s="99">
        <v>684017266608.48462</v>
      </c>
      <c r="Y18" s="99"/>
      <c r="Z18" s="99"/>
      <c r="AA18" s="99"/>
      <c r="AB18" s="99"/>
    </row>
    <row r="19" spans="2:28" ht="14.4" x14ac:dyDescent="0.3">
      <c r="B19" s="19">
        <f>AVERAGE('Passenger TAM Data'!C82:E82)</f>
        <v>33993.911424286372</v>
      </c>
      <c r="C19" s="756">
        <f t="shared" si="6"/>
        <v>11375.897932302978</v>
      </c>
      <c r="D19" s="69">
        <f t="shared" si="0"/>
        <v>0.33464516013816703</v>
      </c>
      <c r="E19" s="7">
        <v>2023</v>
      </c>
      <c r="F19" s="7"/>
      <c r="G19" s="25">
        <v>636.39180289134549</v>
      </c>
      <c r="H19" s="26">
        <f t="shared" si="1"/>
        <v>1.8720758401361434E-2</v>
      </c>
      <c r="I19" s="2"/>
      <c r="J19" s="25">
        <v>1057.0539954862963</v>
      </c>
      <c r="K19" s="26">
        <f t="shared" si="2"/>
        <v>3.1095391827464198E-2</v>
      </c>
      <c r="L19" s="24"/>
      <c r="M19" s="25">
        <v>4276.5979987902483</v>
      </c>
      <c r="N19" s="26">
        <f t="shared" si="3"/>
        <v>0.12580482267583087</v>
      </c>
      <c r="O19" s="24"/>
      <c r="P19" s="19">
        <f>'Private Car Analysis &amp; Split'!R20-'Private Car Analysis &amp; Split'!X20</f>
        <v>88.10094279742782</v>
      </c>
      <c r="Q19" s="26">
        <f t="shared" si="4"/>
        <v>2.59166830488608E-3</v>
      </c>
      <c r="R19" s="24"/>
      <c r="S19" s="19">
        <f>'Private Car Analysis &amp; Split'!U20-'Private Car Analysis &amp; Split'!AA20</f>
        <v>424.45360855649824</v>
      </c>
      <c r="T19" s="26">
        <f t="shared" si="5"/>
        <v>1.2486165632980221E-2</v>
      </c>
      <c r="V19" s="99"/>
      <c r="W19" s="761">
        <f t="shared" si="7"/>
        <v>759.46052460603187</v>
      </c>
      <c r="X19" s="99">
        <v>759460524606.03186</v>
      </c>
      <c r="Y19" s="99"/>
      <c r="Z19" s="99"/>
      <c r="AA19" s="99"/>
      <c r="AB19" s="99"/>
    </row>
    <row r="20" spans="2:28" ht="14.4" x14ac:dyDescent="0.3">
      <c r="B20" s="19">
        <f>AVERAGE('Passenger TAM Data'!C83:E83)</f>
        <v>34960.700316671842</v>
      </c>
      <c r="C20" s="756">
        <f t="shared" si="6"/>
        <v>11587.968717321201</v>
      </c>
      <c r="D20" s="69">
        <f t="shared" si="0"/>
        <v>0.33145699635184944</v>
      </c>
      <c r="E20" s="7">
        <v>2024</v>
      </c>
      <c r="F20" s="7"/>
      <c r="G20" s="25">
        <v>687.04613925422825</v>
      </c>
      <c r="H20" s="26">
        <f t="shared" si="1"/>
        <v>1.9651955854173606E-2</v>
      </c>
      <c r="I20" s="2"/>
      <c r="J20" s="25">
        <v>1096.37974486589</v>
      </c>
      <c r="K20" s="26">
        <f t="shared" si="2"/>
        <v>3.1360348475143539E-2</v>
      </c>
      <c r="L20" s="24"/>
      <c r="M20" s="25">
        <v>4857.2321466103795</v>
      </c>
      <c r="N20" s="26">
        <f t="shared" si="3"/>
        <v>0.13893406317990983</v>
      </c>
      <c r="O20" s="24"/>
      <c r="P20" s="19">
        <f>'Private Car Analysis &amp; Split'!R21-'Private Car Analysis &amp; Split'!X21</f>
        <v>146.29187129928152</v>
      </c>
      <c r="Q20" s="26">
        <f t="shared" si="4"/>
        <v>4.1844662713898433E-3</v>
      </c>
      <c r="R20" s="24"/>
      <c r="S20" s="19">
        <f>'Private Car Analysis &amp; Split'!U21-'Private Car Analysis &amp; Split'!AA21</f>
        <v>450.48181608107961</v>
      </c>
      <c r="T20" s="26">
        <f t="shared" si="5"/>
        <v>1.2885377352302541E-2</v>
      </c>
      <c r="V20" s="99"/>
      <c r="W20" s="761">
        <f t="shared" si="7"/>
        <v>834.54651166261465</v>
      </c>
      <c r="X20" s="99">
        <v>834546511662.61462</v>
      </c>
      <c r="Y20" s="99"/>
      <c r="Z20" s="99"/>
      <c r="AA20" s="99"/>
      <c r="AB20" s="99"/>
    </row>
    <row r="21" spans="2:28" ht="14.4" x14ac:dyDescent="0.3">
      <c r="B21" s="19">
        <f>AVERAGE('Passenger TAM Data'!C84:E84)</f>
        <v>35939.65896838472</v>
      </c>
      <c r="C21" s="756">
        <f t="shared" si="6"/>
        <v>11790.775684728818</v>
      </c>
      <c r="D21" s="69">
        <f t="shared" si="0"/>
        <v>0.32807144038570007</v>
      </c>
      <c r="E21" s="7">
        <v>2025</v>
      </c>
      <c r="F21" s="7"/>
      <c r="G21" s="25">
        <v>737.41221528231654</v>
      </c>
      <c r="H21" s="26">
        <f t="shared" si="1"/>
        <v>2.0518063789392128E-2</v>
      </c>
      <c r="I21" s="2"/>
      <c r="J21" s="25">
        <v>1133.3481402905941</v>
      </c>
      <c r="K21" s="26">
        <f t="shared" si="2"/>
        <v>3.1534749433420446E-2</v>
      </c>
      <c r="L21" s="24"/>
      <c r="M21" s="25">
        <v>5448.4047127116464</v>
      </c>
      <c r="N21" s="26">
        <f t="shared" si="3"/>
        <v>0.15159867592245327</v>
      </c>
      <c r="O21" s="24"/>
      <c r="P21" s="19">
        <f>'Private Car Analysis &amp; Split'!R22-'Private Car Analysis &amp; Split'!X22</f>
        <v>223.31932231541396</v>
      </c>
      <c r="Q21" s="26">
        <f t="shared" si="4"/>
        <v>6.2137295880259399E-3</v>
      </c>
      <c r="R21" s="24"/>
      <c r="S21" s="19">
        <f>'Private Car Analysis &amp; Split'!U22-'Private Car Analysis &amp; Split'!AA22</f>
        <v>474.44522821973715</v>
      </c>
      <c r="T21" s="26">
        <f t="shared" si="5"/>
        <v>1.3201161108320354E-2</v>
      </c>
      <c r="V21" s="99"/>
      <c r="W21" s="761">
        <f t="shared" si="7"/>
        <v>909.27204537602029</v>
      </c>
      <c r="X21" s="99">
        <v>909272045376.02026</v>
      </c>
      <c r="Y21" s="99"/>
      <c r="Z21" s="99"/>
      <c r="AA21" s="99"/>
      <c r="AB21" s="99"/>
    </row>
    <row r="22" spans="2:28" ht="14.4" x14ac:dyDescent="0.3">
      <c r="B22" s="19">
        <f>AVERAGE('Passenger TAM Data'!C85:E85)</f>
        <v>36931.057136525327</v>
      </c>
      <c r="C22" s="756">
        <f t="shared" si="6"/>
        <v>11981.102497123031</v>
      </c>
      <c r="D22" s="69">
        <f t="shared" si="0"/>
        <v>0.32441807589833527</v>
      </c>
      <c r="E22" s="7">
        <v>2026</v>
      </c>
      <c r="F22" s="7"/>
      <c r="G22" s="25">
        <v>787.49167138838811</v>
      </c>
      <c r="H22" s="26">
        <f t="shared" si="1"/>
        <v>2.132329081394066E-2</v>
      </c>
      <c r="I22" s="2"/>
      <c r="J22" s="25">
        <v>1168.136703088813</v>
      </c>
      <c r="K22" s="26">
        <f t="shared" si="2"/>
        <v>3.1630199448948605E-2</v>
      </c>
      <c r="L22" s="24"/>
      <c r="M22" s="25">
        <v>6049.1868345241328</v>
      </c>
      <c r="N22" s="26">
        <f t="shared" si="3"/>
        <v>0.16379674191729007</v>
      </c>
      <c r="O22" s="24"/>
      <c r="P22" s="19">
        <f>'Private Car Analysis &amp; Split'!R23-'Private Car Analysis &amp; Split'!X23</f>
        <v>321.94842617282279</v>
      </c>
      <c r="Q22" s="26">
        <f t="shared" si="4"/>
        <v>8.7175524107705911E-3</v>
      </c>
      <c r="R22" s="24"/>
      <c r="S22" s="19">
        <f>'Private Car Analysis &amp; Split'!U23-'Private Car Analysis &amp; Split'!AA23</f>
        <v>496.72366882812673</v>
      </c>
      <c r="T22" s="26">
        <f t="shared" si="5"/>
        <v>1.3450025732863741E-2</v>
      </c>
      <c r="V22" s="99"/>
      <c r="W22" s="761">
        <f t="shared" si="7"/>
        <v>983.63402834241811</v>
      </c>
      <c r="X22" s="99">
        <v>983634028342.41809</v>
      </c>
      <c r="Y22" s="99"/>
      <c r="Z22" s="99"/>
      <c r="AA22" s="99"/>
      <c r="AB22" s="99"/>
    </row>
    <row r="23" spans="2:28" ht="14.4" x14ac:dyDescent="0.3">
      <c r="B23" s="19">
        <f>AVERAGE('Passenger TAM Data'!C86:E86)</f>
        <v>37935.484772566633</v>
      </c>
      <c r="C23" s="756">
        <f t="shared" si="6"/>
        <v>12219.361143599213</v>
      </c>
      <c r="D23" s="69">
        <f t="shared" si="0"/>
        <v>0.32210900208228649</v>
      </c>
      <c r="E23" s="7">
        <v>2027</v>
      </c>
      <c r="F23" s="7"/>
      <c r="G23" s="25">
        <v>837.28613865006844</v>
      </c>
      <c r="H23" s="26">
        <f t="shared" si="1"/>
        <v>2.2071317756180594E-2</v>
      </c>
      <c r="I23" s="2"/>
      <c r="J23" s="25">
        <v>1200.9229545889505</v>
      </c>
      <c r="K23" s="26">
        <f t="shared" si="2"/>
        <v>3.1656981894097422E-2</v>
      </c>
      <c r="L23" s="24"/>
      <c r="M23" s="25">
        <v>6654.6132691862049</v>
      </c>
      <c r="N23" s="26">
        <f t="shared" si="3"/>
        <v>0.17541922316486502</v>
      </c>
      <c r="O23" s="24"/>
      <c r="P23" s="19">
        <f>'Private Car Analysis &amp; Split'!R24-'Private Car Analysis &amp; Split'!X24</f>
        <v>381.44392622114435</v>
      </c>
      <c r="Q23" s="26">
        <f t="shared" si="4"/>
        <v>1.0055069244745456E-2</v>
      </c>
      <c r="R23" s="24"/>
      <c r="S23" s="19">
        <f>'Private Car Analysis &amp; Split'!U24-'Private Car Analysis &amp; Split'!AA24</f>
        <v>517.69696176190382</v>
      </c>
      <c r="T23" s="26">
        <f t="shared" si="5"/>
        <v>1.3646773327549006E-2</v>
      </c>
      <c r="V23" s="99"/>
      <c r="W23" s="761">
        <f t="shared" si="7"/>
        <v>1057.6294482208611</v>
      </c>
      <c r="X23" s="99">
        <v>1057629448220.8611</v>
      </c>
      <c r="Y23" s="99"/>
      <c r="Z23" s="99"/>
      <c r="AA23" s="99"/>
      <c r="AB23" s="99"/>
    </row>
    <row r="24" spans="2:28" ht="14.4" x14ac:dyDescent="0.3">
      <c r="B24" s="19">
        <f>AVERAGE('Passenger TAM Data'!C87:E87)</f>
        <v>38953.191004810251</v>
      </c>
      <c r="C24" s="756">
        <f t="shared" si="6"/>
        <v>12460.31792813382</v>
      </c>
      <c r="D24" s="69">
        <f t="shared" si="0"/>
        <v>0.31987926038190606</v>
      </c>
      <c r="E24" s="7">
        <v>2028</v>
      </c>
      <c r="F24" s="7"/>
      <c r="G24" s="25">
        <v>886.79723886295494</v>
      </c>
      <c r="H24" s="26">
        <f t="shared" si="1"/>
        <v>2.2765714848712808E-2</v>
      </c>
      <c r="I24" s="2"/>
      <c r="J24" s="25">
        <v>1231.8844161194106</v>
      </c>
      <c r="K24" s="26">
        <f t="shared" si="2"/>
        <v>3.1624736878867965E-2</v>
      </c>
      <c r="L24" s="24"/>
      <c r="M24" s="25">
        <v>7264.6840166978627</v>
      </c>
      <c r="N24" s="26">
        <f t="shared" si="3"/>
        <v>0.18649778950845802</v>
      </c>
      <c r="O24" s="24"/>
      <c r="P24" s="19">
        <f>'Private Car Analysis &amp; Split'!R25-'Private Car Analysis &amp; Split'!X25</f>
        <v>446.58008801270512</v>
      </c>
      <c r="Q24" s="26">
        <f t="shared" si="4"/>
        <v>1.1464531569635922E-2</v>
      </c>
      <c r="R24" s="24"/>
      <c r="S24" s="19">
        <f>'Private Car Analysis &amp; Split'!U25-'Private Car Analysis &amp; Split'!AA25</f>
        <v>537.74493087672465</v>
      </c>
      <c r="T24" s="26">
        <f t="shared" si="5"/>
        <v>1.3804900625736145E-2</v>
      </c>
      <c r="V24" s="99"/>
      <c r="W24" s="761">
        <f t="shared" si="7"/>
        <v>1131.2553777604028</v>
      </c>
      <c r="X24" s="99">
        <v>1131255377760.4028</v>
      </c>
      <c r="Y24" s="99"/>
      <c r="Z24" s="99"/>
      <c r="AA24" s="99"/>
      <c r="AB24" s="99"/>
    </row>
    <row r="25" spans="2:28" ht="14.4" x14ac:dyDescent="0.3">
      <c r="B25" s="19">
        <f>AVERAGE('Passenger TAM Data'!C88:E88)</f>
        <v>39984.440125321955</v>
      </c>
      <c r="C25" s="756">
        <f t="shared" si="6"/>
        <v>12703.40908691297</v>
      </c>
      <c r="D25" s="69">
        <f t="shared" si="0"/>
        <v>0.31770881490642561</v>
      </c>
      <c r="E25" s="7">
        <v>2029</v>
      </c>
      <c r="F25" s="7"/>
      <c r="G25" s="25">
        <v>936.0265845934382</v>
      </c>
      <c r="H25" s="26">
        <f t="shared" si="1"/>
        <v>2.3409770942388587E-2</v>
      </c>
      <c r="I25" s="2"/>
      <c r="J25" s="25">
        <v>1261.1986090085975</v>
      </c>
      <c r="K25" s="26">
        <f t="shared" si="2"/>
        <v>3.1542235055828288E-2</v>
      </c>
      <c r="L25" s="24"/>
      <c r="M25" s="25">
        <v>7879.3990770591063</v>
      </c>
      <c r="N25" s="26">
        <f t="shared" si="3"/>
        <v>0.19706163328442156</v>
      </c>
      <c r="O25" s="24"/>
      <c r="P25" s="19">
        <f>'Private Car Analysis &amp; Split'!R26-'Private Car Analysis &amp; Split'!X26</f>
        <v>517.46731263674928</v>
      </c>
      <c r="Q25" s="26">
        <f t="shared" si="4"/>
        <v>1.2941717103324894E-2</v>
      </c>
      <c r="R25" s="24"/>
      <c r="S25" s="19">
        <f>'Private Car Analysis &amp; Split'!U26-'Private Car Analysis &amp; Split'!AA26</f>
        <v>557.24740002824478</v>
      </c>
      <c r="T25" s="26">
        <f t="shared" si="5"/>
        <v>1.3936606296891542E-2</v>
      </c>
      <c r="V25" s="99"/>
      <c r="W25" s="761">
        <f t="shared" si="7"/>
        <v>1204.5089747903125</v>
      </c>
      <c r="X25" s="99">
        <v>1204508974790.3125</v>
      </c>
      <c r="Y25" s="99"/>
      <c r="Z25" s="99"/>
      <c r="AA25" s="99"/>
      <c r="AB25" s="99"/>
    </row>
    <row r="26" spans="2:28" ht="14.4" x14ac:dyDescent="0.3">
      <c r="B26" s="19">
        <f>AVERAGE('Passenger TAM Data'!C89:E89)</f>
        <v>41029.474351604615</v>
      </c>
      <c r="C26" s="756">
        <f t="shared" si="6"/>
        <v>12948.062045647486</v>
      </c>
      <c r="D26" s="69">
        <f t="shared" si="0"/>
        <v>0.31557952545743745</v>
      </c>
      <c r="E26" s="7">
        <v>2030</v>
      </c>
      <c r="F26" s="7"/>
      <c r="G26" s="25">
        <v>984.97577923122287</v>
      </c>
      <c r="H26" s="26">
        <f t="shared" si="1"/>
        <v>2.4006541511851019E-2</v>
      </c>
      <c r="I26" s="2"/>
      <c r="J26" s="25">
        <v>1289.0430545849151</v>
      </c>
      <c r="K26" s="26">
        <f t="shared" si="2"/>
        <v>3.1417488889532948E-2</v>
      </c>
      <c r="L26" s="24"/>
      <c r="M26" s="25">
        <v>8498.7584502699356</v>
      </c>
      <c r="N26" s="26">
        <f t="shared" si="3"/>
        <v>0.20713788281661374</v>
      </c>
      <c r="O26" s="24"/>
      <c r="P26" s="19">
        <f>'Private Car Analysis &amp; Split'!R27-'Private Car Analysis &amp; Split'!X27</f>
        <v>594.21600118252059</v>
      </c>
      <c r="Q26" s="26">
        <f t="shared" si="4"/>
        <v>1.4482661807712911E-2</v>
      </c>
      <c r="R26" s="24"/>
      <c r="S26" s="19">
        <f>'Private Car Analysis &amp; Split'!U27-'Private Car Analysis &amp; Split'!AA27</f>
        <v>576.58419307212</v>
      </c>
      <c r="T26" s="26">
        <f t="shared" si="5"/>
        <v>1.405292663832459E-2</v>
      </c>
      <c r="V26" s="99"/>
      <c r="W26" s="761">
        <f t="shared" si="7"/>
        <v>1277.3874821738989</v>
      </c>
      <c r="X26" s="99">
        <v>1277387482173.8989</v>
      </c>
      <c r="Y26" s="99"/>
      <c r="Z26" s="99"/>
      <c r="AA26" s="99"/>
      <c r="AB26" s="99"/>
    </row>
    <row r="27" spans="2:28" ht="14.4" x14ac:dyDescent="0.3">
      <c r="B27" s="19">
        <f>AVERAGE('Passenger TAM Data'!C90:E90)</f>
        <v>42088.527573781801</v>
      </c>
      <c r="C27" s="756">
        <f t="shared" si="6"/>
        <v>13068.068499831217</v>
      </c>
      <c r="D27" s="69">
        <f t="shared" si="0"/>
        <v>0.31049003738424213</v>
      </c>
      <c r="E27" s="7">
        <v>2031</v>
      </c>
      <c r="F27" s="7"/>
      <c r="G27" s="25">
        <v>1033.6464170415502</v>
      </c>
      <c r="H27" s="26">
        <f t="shared" si="1"/>
        <v>2.4558863819352031E-2</v>
      </c>
      <c r="I27" s="2"/>
      <c r="J27" s="25">
        <v>1315.5952741767676</v>
      </c>
      <c r="K27" s="26">
        <f t="shared" si="2"/>
        <v>3.1257811807992329E-2</v>
      </c>
      <c r="L27" s="24"/>
      <c r="M27" s="25">
        <v>9122.7621363303515</v>
      </c>
      <c r="N27" s="26">
        <f t="shared" si="3"/>
        <v>0.21675175308373562</v>
      </c>
      <c r="O27" s="24"/>
      <c r="P27" s="19">
        <f>'Private Car Analysis &amp; Split'!R28-'Private Car Analysis &amp; Split'!X28</f>
        <v>676.93655473926287</v>
      </c>
      <c r="Q27" s="26">
        <f t="shared" si="4"/>
        <v>1.6083635939807665E-2</v>
      </c>
      <c r="R27" s="24"/>
      <c r="S27" s="19">
        <f>'Private Car Analysis &amp; Split'!U28-'Private Car Analysis &amp; Split'!AA28</f>
        <v>596.13513386400621</v>
      </c>
      <c r="T27" s="26">
        <f t="shared" si="5"/>
        <v>1.4163839132147653E-2</v>
      </c>
      <c r="V27" s="99"/>
      <c r="W27" s="761">
        <f t="shared" si="7"/>
        <v>1349.8882277264674</v>
      </c>
      <c r="X27" s="99">
        <v>1349888227726.4675</v>
      </c>
      <c r="Y27" s="99"/>
      <c r="Z27" s="99"/>
      <c r="AA27" s="99"/>
      <c r="AB27" s="99"/>
    </row>
    <row r="28" spans="2:28" ht="14.4" x14ac:dyDescent="0.3">
      <c r="B28" s="19">
        <f>AVERAGE('Passenger TAM Data'!C91:E91)</f>
        <v>43161.96726403365</v>
      </c>
      <c r="C28" s="756">
        <f t="shared" si="6"/>
        <v>12914.988527273566</v>
      </c>
      <c r="D28" s="69">
        <f t="shared" si="0"/>
        <v>0.2992214986001222</v>
      </c>
      <c r="E28" s="7">
        <v>2032</v>
      </c>
      <c r="F28" s="7"/>
      <c r="G28" s="25">
        <v>1082.0400832171224</v>
      </c>
      <c r="H28" s="26">
        <f t="shared" si="1"/>
        <v>2.5069294840014706E-2</v>
      </c>
      <c r="I28" s="2"/>
      <c r="J28" s="25">
        <v>1341.0327891125592</v>
      </c>
      <c r="K28" s="26">
        <f t="shared" si="2"/>
        <v>3.1069779116162429E-2</v>
      </c>
      <c r="L28" s="24"/>
      <c r="M28" s="25">
        <v>9751.4101352403522</v>
      </c>
      <c r="N28" s="26">
        <f t="shared" si="3"/>
        <v>0.22592598885931886</v>
      </c>
      <c r="O28" s="24"/>
      <c r="P28" s="19">
        <f>'Private Car Analysis &amp; Split'!R29-'Private Car Analysis &amp; Split'!X29</f>
        <v>765.73937439622</v>
      </c>
      <c r="Q28" s="26">
        <f t="shared" si="4"/>
        <v>1.7741067493795663E-2</v>
      </c>
      <c r="R28" s="24"/>
      <c r="S28" s="19">
        <f>'Private Car Analysis &amp; Split'!U29-'Private Car Analysis &amp; Split'!AA29</f>
        <v>616.28004625955941</v>
      </c>
      <c r="T28" s="26">
        <f t="shared" si="5"/>
        <v>1.4278312257863607E-2</v>
      </c>
      <c r="V28" s="99"/>
      <c r="W28" s="761">
        <f t="shared" si="7"/>
        <v>1422.0086240979629</v>
      </c>
      <c r="X28" s="99">
        <v>1422008624097.9629</v>
      </c>
      <c r="Y28" s="99"/>
      <c r="Z28" s="99"/>
      <c r="AA28" s="99"/>
      <c r="AB28" s="99"/>
    </row>
    <row r="29" spans="2:28" ht="14.4" x14ac:dyDescent="0.3">
      <c r="B29" s="19">
        <f>AVERAGE('Passenger TAM Data'!C92:E92)</f>
        <v>44250.466123173443</v>
      </c>
      <c r="C29" s="756">
        <f t="shared" si="6"/>
        <v>12760.546235756183</v>
      </c>
      <c r="D29" s="69">
        <f t="shared" si="0"/>
        <v>0.28837088857406717</v>
      </c>
      <c r="E29" s="7">
        <v>2033</v>
      </c>
      <c r="F29" s="7"/>
      <c r="G29" s="25">
        <v>1130.1583539297321</v>
      </c>
      <c r="H29" s="26">
        <f t="shared" si="1"/>
        <v>2.5540032748669322E-2</v>
      </c>
      <c r="I29" s="2"/>
      <c r="J29" s="25">
        <v>1365.5331207206934</v>
      </c>
      <c r="K29" s="26">
        <f t="shared" si="2"/>
        <v>3.0859180486814804E-2</v>
      </c>
      <c r="L29" s="24"/>
      <c r="M29" s="25">
        <v>10384.702446999938</v>
      </c>
      <c r="N29" s="26">
        <f t="shared" si="3"/>
        <v>0.23468006908884498</v>
      </c>
      <c r="O29" s="24"/>
      <c r="P29" s="19">
        <f>'Private Car Analysis &amp; Split'!R30-'Private Car Analysis &amp; Split'!X30</f>
        <v>860.73486124263582</v>
      </c>
      <c r="Q29" s="26">
        <f t="shared" si="4"/>
        <v>1.9451430383732822E-2</v>
      </c>
      <c r="R29" s="24"/>
      <c r="S29" s="19">
        <f>'Private Car Analysis &amp; Split'!U30-'Private Car Analysis &amp; Split'!AA30</f>
        <v>637.39875411443506</v>
      </c>
      <c r="T29" s="26">
        <f t="shared" si="5"/>
        <v>1.4404339885148394E-2</v>
      </c>
      <c r="V29" s="99"/>
      <c r="W29" s="761">
        <f t="shared" si="7"/>
        <v>1493.7461686208626</v>
      </c>
      <c r="X29" s="99">
        <v>1493746168620.8625</v>
      </c>
      <c r="Y29" s="99"/>
      <c r="Z29" s="99"/>
      <c r="AA29" s="99"/>
      <c r="AB29" s="99"/>
    </row>
    <row r="30" spans="2:28" ht="14.4" x14ac:dyDescent="0.3">
      <c r="B30" s="19">
        <f>AVERAGE('Passenger TAM Data'!C93:E93)</f>
        <v>45354.859388420766</v>
      </c>
      <c r="C30" s="756">
        <f t="shared" si="6"/>
        <v>12604.584567752596</v>
      </c>
      <c r="D30" s="69">
        <f t="shared" si="0"/>
        <v>0.27791034384665264</v>
      </c>
      <c r="E30" s="7">
        <v>2034</v>
      </c>
      <c r="F30" s="7"/>
      <c r="G30" s="25">
        <v>1178.002796381599</v>
      </c>
      <c r="H30" s="26">
        <f t="shared" si="1"/>
        <v>2.5973022786668513E-2</v>
      </c>
      <c r="I30" s="2"/>
      <c r="J30" s="25">
        <v>1389.2737903295751</v>
      </c>
      <c r="K30" s="26">
        <f t="shared" si="2"/>
        <v>3.0631200472517859E-2</v>
      </c>
      <c r="L30" s="24"/>
      <c r="M30" s="25">
        <v>11022.639071609112</v>
      </c>
      <c r="N30" s="26">
        <f t="shared" si="3"/>
        <v>0.24303104937909312</v>
      </c>
      <c r="O30" s="24"/>
      <c r="P30" s="19">
        <f>'Private Car Analysis &amp; Split'!R31-'Private Car Analysis &amp; Split'!X31</f>
        <v>962.03341636775394</v>
      </c>
      <c r="Q30" s="26">
        <f t="shared" si="4"/>
        <v>2.1211253421135376E-2</v>
      </c>
      <c r="R30" s="24"/>
      <c r="S30" s="19">
        <f>'Private Car Analysis &amp; Split'!U31-'Private Car Analysis &amp; Split'!AA31</f>
        <v>659.87108128428906</v>
      </c>
      <c r="T30" s="26">
        <f t="shared" si="5"/>
        <v>1.454907126120991E-2</v>
      </c>
      <c r="V30" s="99"/>
      <c r="W30" s="761">
        <f t="shared" si="7"/>
        <v>1565.0984431239096</v>
      </c>
      <c r="X30" s="99">
        <v>1565098443123.9097</v>
      </c>
      <c r="Y30" s="99"/>
      <c r="Z30" s="99"/>
      <c r="AA30" s="99"/>
      <c r="AB30" s="99"/>
    </row>
    <row r="31" spans="2:28" ht="14.4" x14ac:dyDescent="0.3">
      <c r="B31" s="19">
        <f>AVERAGE('Passenger TAM Data'!C94:E94)</f>
        <v>46475.857809981047</v>
      </c>
      <c r="C31" s="756">
        <f t="shared" si="6"/>
        <v>12438.12735816729</v>
      </c>
      <c r="D31" s="69">
        <f t="shared" si="0"/>
        <v>0.26762555753185274</v>
      </c>
      <c r="E31" s="7">
        <v>2035</v>
      </c>
      <c r="F31" s="7"/>
      <c r="G31" s="25">
        <v>1225.574968856411</v>
      </c>
      <c r="H31" s="26">
        <f t="shared" si="1"/>
        <v>2.6370141974941867E-2</v>
      </c>
      <c r="I31" s="2"/>
      <c r="J31" s="25">
        <v>1412.4323192676075</v>
      </c>
      <c r="K31" s="26">
        <f t="shared" si="2"/>
        <v>3.0390667022057134E-2</v>
      </c>
      <c r="L31" s="24"/>
      <c r="M31" s="25">
        <v>11673.962776930082</v>
      </c>
      <c r="N31" s="26">
        <f t="shared" si="3"/>
        <v>0.25118337405755231</v>
      </c>
      <c r="O31" s="24"/>
      <c r="P31" s="19">
        <f>'Private Car Analysis &amp; Split'!R32-'Private Car Analysis &amp; Split'!X32</f>
        <v>1069.7454408608191</v>
      </c>
      <c r="Q31" s="26">
        <f t="shared" si="4"/>
        <v>2.3017228541203666E-2</v>
      </c>
      <c r="R31" s="24"/>
      <c r="S31" s="19">
        <f>'Private Car Analysis &amp; Split'!U32-'Private Car Analysis &amp; Split'!AA32</f>
        <v>684.07685162477742</v>
      </c>
      <c r="T31" s="26">
        <f t="shared" si="5"/>
        <v>1.4718972039669737E-2</v>
      </c>
      <c r="V31" s="99"/>
      <c r="W31" s="761">
        <f t="shared" si="7"/>
        <v>1636.0631137122898</v>
      </c>
      <c r="X31" s="99">
        <v>1636063113712.2898</v>
      </c>
      <c r="Y31" s="99"/>
      <c r="Z31" s="99"/>
      <c r="AA31" s="99"/>
      <c r="AB31" s="99"/>
    </row>
    <row r="32" spans="2:28" ht="14.4" x14ac:dyDescent="0.3">
      <c r="B32" s="19">
        <f>AVERAGE('Passenger TAM Data'!C95:E95)</f>
        <v>47613.950601827237</v>
      </c>
      <c r="C32" s="756">
        <f t="shared" si="6"/>
        <v>12297.569360544327</v>
      </c>
      <c r="D32" s="69">
        <f t="shared" si="0"/>
        <v>0.25827660181745965</v>
      </c>
      <c r="E32" s="7">
        <v>2036</v>
      </c>
      <c r="F32" s="7"/>
      <c r="G32" s="25">
        <v>1272.8764207700806</v>
      </c>
      <c r="H32" s="26">
        <f t="shared" si="1"/>
        <v>2.6733266294463553E-2</v>
      </c>
      <c r="I32" s="2"/>
      <c r="J32" s="25">
        <v>1435.1862288631951</v>
      </c>
      <c r="K32" s="26">
        <f t="shared" si="2"/>
        <v>3.0142137140960496E-2</v>
      </c>
      <c r="L32" s="24"/>
      <c r="M32" s="25">
        <v>12301.909551565679</v>
      </c>
      <c r="N32" s="26">
        <f t="shared" si="3"/>
        <v>0.25836775558576691</v>
      </c>
      <c r="O32" s="24"/>
      <c r="P32" s="19">
        <f>'Private Car Analysis &amp; Split'!R33-'Private Car Analysis &amp; Split'!X33</f>
        <v>1183.9813358110746</v>
      </c>
      <c r="Q32" s="26">
        <f t="shared" si="4"/>
        <v>2.4866269671931781E-2</v>
      </c>
      <c r="R32" s="24"/>
      <c r="S32" s="19">
        <f>'Private Car Analysis &amp; Split'!U33-'Private Car Analysis &amp; Split'!AA33</f>
        <v>710.39588899155581</v>
      </c>
      <c r="T32" s="26">
        <f t="shared" si="5"/>
        <v>1.491991065669509E-2</v>
      </c>
      <c r="V32" s="99"/>
      <c r="W32" s="761">
        <f t="shared" si="7"/>
        <v>1706.6379305148716</v>
      </c>
      <c r="X32" s="99">
        <v>1706637930514.8716</v>
      </c>
      <c r="Y32" s="99"/>
      <c r="Z32" s="99"/>
      <c r="AA32" s="99"/>
      <c r="AB32" s="99"/>
    </row>
    <row r="33" spans="1:28" ht="14.4" x14ac:dyDescent="0.3">
      <c r="B33" s="19">
        <f>AVERAGE('Passenger TAM Data'!C96:E96)</f>
        <v>48769.357016203649</v>
      </c>
      <c r="C33" s="756">
        <f t="shared" si="6"/>
        <v>12147.068873295715</v>
      </c>
      <c r="D33" s="69">
        <f t="shared" si="0"/>
        <v>0.24907174538429622</v>
      </c>
      <c r="E33" s="7">
        <v>2037</v>
      </c>
      <c r="F33" s="7"/>
      <c r="G33" s="25">
        <v>1319.9086927212052</v>
      </c>
      <c r="H33" s="26">
        <f t="shared" si="1"/>
        <v>2.7064303765224233E-2</v>
      </c>
      <c r="I33" s="2"/>
      <c r="J33" s="25">
        <v>1457.7130404447419</v>
      </c>
      <c r="K33" s="26">
        <f t="shared" si="2"/>
        <v>2.9889937649996406E-2</v>
      </c>
      <c r="L33" s="24"/>
      <c r="M33" s="25">
        <v>12941.786278936037</v>
      </c>
      <c r="N33" s="26">
        <f t="shared" si="3"/>
        <v>0.265367170509058</v>
      </c>
      <c r="O33" s="24"/>
      <c r="P33" s="19">
        <f>'Private Car Analysis &amp; Split'!R34-'Private Car Analysis &amp; Split'!X34</f>
        <v>1304.8515023077639</v>
      </c>
      <c r="Q33" s="26">
        <f t="shared" si="4"/>
        <v>2.6755560912443979E-2</v>
      </c>
      <c r="R33" s="24"/>
      <c r="S33" s="19">
        <f>'Private Car Analysis &amp; Split'!U34-'Private Car Analysis &amp; Split'!AA34</f>
        <v>739.20801724028013</v>
      </c>
      <c r="T33" s="26">
        <f t="shared" si="5"/>
        <v>1.5157222946258608E-2</v>
      </c>
      <c r="V33" s="99"/>
      <c r="W33" s="761">
        <f t="shared" si="7"/>
        <v>1776.8207273991472</v>
      </c>
      <c r="X33" s="99">
        <v>1776820727399.1472</v>
      </c>
      <c r="Y33" s="99"/>
      <c r="Z33" s="99"/>
      <c r="AA33" s="99"/>
      <c r="AB33" s="99"/>
    </row>
    <row r="34" spans="1:28" ht="14.4" x14ac:dyDescent="0.3">
      <c r="B34" s="19">
        <f>AVERAGE('Passenger TAM Data'!C97:E97)</f>
        <v>49942.183216548918</v>
      </c>
      <c r="C34" s="756">
        <f t="shared" si="6"/>
        <v>11986.021728984344</v>
      </c>
      <c r="D34" s="69">
        <f t="shared" si="0"/>
        <v>0.23999795277297045</v>
      </c>
      <c r="E34" s="7">
        <v>2038</v>
      </c>
      <c r="F34" s="7"/>
      <c r="G34" s="25">
        <v>1366.6733165412465</v>
      </c>
      <c r="H34" s="26">
        <f t="shared" si="1"/>
        <v>2.736510958312258E-2</v>
      </c>
      <c r="I34" s="2"/>
      <c r="J34" s="25">
        <v>1480.1902753406521</v>
      </c>
      <c r="K34" s="26">
        <f t="shared" si="2"/>
        <v>2.9638077072493177E-2</v>
      </c>
      <c r="L34" s="24"/>
      <c r="M34" s="25">
        <v>13593.59295904116</v>
      </c>
      <c r="N34" s="26">
        <f t="shared" si="3"/>
        <v>0.27218659825301283</v>
      </c>
      <c r="O34" s="24"/>
      <c r="P34" s="19">
        <f>'Private Car Analysis &amp; Split'!R35-'Private Car Analysis &amp; Split'!X35</f>
        <v>1432.4663414401321</v>
      </c>
      <c r="Q34" s="26">
        <f t="shared" si="4"/>
        <v>2.8682493419019531E-2</v>
      </c>
      <c r="R34" s="24"/>
      <c r="S34" s="19">
        <f>'Private Car Analysis &amp; Split'!U35-'Private Car Analysis &amp; Split'!AA35</f>
        <v>770.89306022660617</v>
      </c>
      <c r="T34" s="26">
        <f t="shared" si="5"/>
        <v>1.5435710066658878E-2</v>
      </c>
      <c r="V34" s="99"/>
      <c r="W34" s="761">
        <f t="shared" si="7"/>
        <v>1846.6094216545273</v>
      </c>
      <c r="X34" s="99">
        <v>1846609421654.5273</v>
      </c>
      <c r="Y34" s="99"/>
      <c r="Z34" s="99"/>
      <c r="AA34" s="99"/>
      <c r="AB34" s="99"/>
    </row>
    <row r="35" spans="1:28" ht="14.4" x14ac:dyDescent="0.3">
      <c r="B35" s="19">
        <f>AVERAGE('Passenger TAM Data'!C98:E98)</f>
        <v>51132.381094602591</v>
      </c>
      <c r="C35" s="756">
        <f t="shared" si="6"/>
        <v>11893.233698387741</v>
      </c>
      <c r="D35" s="69">
        <f t="shared" si="0"/>
        <v>0.23259690716110934</v>
      </c>
      <c r="E35" s="7">
        <v>2039</v>
      </c>
      <c r="F35" s="7"/>
      <c r="G35" s="25">
        <v>1413.1718153444222</v>
      </c>
      <c r="H35" s="26">
        <f t="shared" si="1"/>
        <v>2.7637512376547494E-2</v>
      </c>
      <c r="I35" s="2"/>
      <c r="J35" s="25">
        <v>1502.7954548793296</v>
      </c>
      <c r="K35" s="26">
        <f t="shared" si="2"/>
        <v>2.939028894623413E-2</v>
      </c>
      <c r="L35" s="24"/>
      <c r="M35" s="25">
        <v>14177.825046634045</v>
      </c>
      <c r="N35" s="26">
        <f t="shared" si="3"/>
        <v>0.27727683990313179</v>
      </c>
      <c r="O35" s="24"/>
      <c r="P35" s="19">
        <f>'Private Car Analysis &amp; Split'!R36-'Private Car Analysis &amp; Split'!X36</f>
        <v>1566.9362542974213</v>
      </c>
      <c r="Q35" s="26">
        <f t="shared" si="4"/>
        <v>3.0644695606847523E-2</v>
      </c>
      <c r="R35" s="24"/>
      <c r="S35" s="19">
        <f>'Private Car Analysis &amp; Split'!U36-'Private Car Analysis &amp; Split'!AA36</f>
        <v>805.8308418061896</v>
      </c>
      <c r="T35" s="26">
        <f t="shared" si="5"/>
        <v>1.5759697173407226E-2</v>
      </c>
      <c r="V35" s="99"/>
      <c r="W35" s="761">
        <f t="shared" si="7"/>
        <v>1916.0020136446519</v>
      </c>
      <c r="X35" s="99">
        <v>1916002013644.6519</v>
      </c>
      <c r="Y35" s="99"/>
      <c r="Z35" s="99"/>
      <c r="AA35" s="99"/>
      <c r="AB35" s="99"/>
    </row>
    <row r="36" spans="1:28" ht="14.4" x14ac:dyDescent="0.3">
      <c r="B36" s="19">
        <f>AVERAGE('Passenger TAM Data'!C99:E99)</f>
        <v>52339.948153113881</v>
      </c>
      <c r="C36" s="756">
        <f t="shared" si="6"/>
        <v>11868.671482697217</v>
      </c>
      <c r="D36" s="69">
        <f t="shared" si="0"/>
        <v>0.22676123881469892</v>
      </c>
      <c r="E36" s="7">
        <v>2040</v>
      </c>
      <c r="F36" s="7"/>
      <c r="G36" s="25">
        <v>1459.4057035773117</v>
      </c>
      <c r="H36" s="26">
        <f t="shared" si="1"/>
        <v>2.7883208812282453E-2</v>
      </c>
      <c r="I36" s="2"/>
      <c r="J36" s="25">
        <v>1525.7061003891781</v>
      </c>
      <c r="K36" s="26">
        <f t="shared" si="2"/>
        <v>2.9149935264091559E-2</v>
      </c>
      <c r="L36" s="24"/>
      <c r="M36" s="25">
        <v>14693.845048224741</v>
      </c>
      <c r="N36" s="26">
        <f t="shared" si="3"/>
        <v>0.28073862444876257</v>
      </c>
      <c r="O36" s="24"/>
      <c r="P36" s="19">
        <f>'Private Car Analysis &amp; Split'!R37-'Private Car Analysis &amp; Split'!X37</f>
        <v>1708.3716419688772</v>
      </c>
      <c r="Q36" s="26">
        <f t="shared" si="4"/>
        <v>3.2639918499178723E-2</v>
      </c>
      <c r="R36" s="24"/>
      <c r="S36" s="19">
        <f>'Private Car Analysis &amp; Split'!U37-'Private Car Analysis &amp; Split'!AA37</f>
        <v>844.40118583468609</v>
      </c>
      <c r="T36" s="26">
        <f t="shared" si="5"/>
        <v>1.6133015328263174E-2</v>
      </c>
      <c r="V36" s="99"/>
      <c r="W36" s="761">
        <f t="shared" si="7"/>
        <v>1984.9965864293968</v>
      </c>
      <c r="X36" s="99">
        <v>1984996586429.3967</v>
      </c>
      <c r="Y36" s="99"/>
      <c r="Z36" s="99"/>
      <c r="AA36" s="99"/>
      <c r="AB36" s="99"/>
    </row>
    <row r="37" spans="1:28" ht="14.4" x14ac:dyDescent="0.3">
      <c r="B37" s="19">
        <f>AVERAGE('Passenger TAM Data'!C100:E100)</f>
        <v>53565.078261454386</v>
      </c>
      <c r="C37" s="756">
        <f t="shared" si="6"/>
        <v>11979.409246142674</v>
      </c>
      <c r="D37" s="69">
        <f t="shared" si="0"/>
        <v>0.2236421496048312</v>
      </c>
      <c r="E37" s="7">
        <v>2041</v>
      </c>
      <c r="F37" s="7"/>
      <c r="G37" s="25">
        <v>1505.376487068183</v>
      </c>
      <c r="H37" s="26">
        <f t="shared" si="1"/>
        <v>2.8103692478901075E-2</v>
      </c>
      <c r="I37" s="2"/>
      <c r="J37" s="25">
        <v>1549.0997331986023</v>
      </c>
      <c r="K37" s="26">
        <f t="shared" si="2"/>
        <v>2.8919956499220495E-2</v>
      </c>
      <c r="L37" s="24"/>
      <c r="M37" s="25">
        <v>15074.028448719209</v>
      </c>
      <c r="N37" s="26">
        <f t="shared" si="3"/>
        <v>0.28141522308885586</v>
      </c>
      <c r="O37" s="24"/>
      <c r="P37" s="19">
        <f>'Private Car Analysis &amp; Split'!R38-'Private Car Analysis &amp; Split'!X38</f>
        <v>1856.8829055437427</v>
      </c>
      <c r="Q37" s="26">
        <f t="shared" si="4"/>
        <v>3.4665923504866081E-2</v>
      </c>
      <c r="R37" s="24"/>
      <c r="S37" s="19">
        <f>'Private Car Analysis &amp; Split'!U38-'Private Car Analysis &amp; Split'!AA38</f>
        <v>886.98391616775166</v>
      </c>
      <c r="T37" s="26">
        <f t="shared" si="5"/>
        <v>1.655899599060286E-2</v>
      </c>
      <c r="V37" s="99"/>
      <c r="W37" s="761">
        <f t="shared" si="7"/>
        <v>2053.5913053572672</v>
      </c>
      <c r="X37" s="99">
        <v>2053591305357.2673</v>
      </c>
      <c r="Y37" s="99"/>
      <c r="Z37" s="99"/>
      <c r="AA37" s="99"/>
      <c r="AB37" s="99"/>
    </row>
    <row r="38" spans="1:28" ht="14.4" x14ac:dyDescent="0.3">
      <c r="B38" s="19">
        <f>AVERAGE('Passenger TAM Data'!C101:E101)</f>
        <v>54808.054221713071</v>
      </c>
      <c r="C38" s="756">
        <f t="shared" si="6"/>
        <v>12126.878783052694</v>
      </c>
      <c r="D38" s="69">
        <f t="shared" si="0"/>
        <v>0.22126088866421462</v>
      </c>
      <c r="E38" s="7">
        <v>2042</v>
      </c>
      <c r="F38" s="7"/>
      <c r="G38" s="25">
        <v>1551.0856630760363</v>
      </c>
      <c r="H38" s="26">
        <f t="shared" si="1"/>
        <v>2.8300323467085414E-2</v>
      </c>
      <c r="I38" s="2"/>
      <c r="J38" s="25">
        <v>1573.1538746360056</v>
      </c>
      <c r="K38" s="26">
        <f t="shared" si="2"/>
        <v>2.8702968878847299E-2</v>
      </c>
      <c r="L38" s="24"/>
      <c r="M38" s="25">
        <v>15416.447654457876</v>
      </c>
      <c r="N38" s="26">
        <f t="shared" si="3"/>
        <v>0.28128069630230385</v>
      </c>
      <c r="O38" s="24"/>
      <c r="P38" s="19">
        <f>'Private Car Analysis &amp; Split'!R39-'Private Car Analysis &amp; Split'!X39</f>
        <v>2012.5804461112612</v>
      </c>
      <c r="Q38" s="26">
        <f t="shared" si="4"/>
        <v>3.6720523556078841E-2</v>
      </c>
      <c r="R38" s="24"/>
      <c r="S38" s="19">
        <f>'Private Car Analysis &amp; Split'!U39-'Private Car Analysis &amp; Split'!AA39</f>
        <v>933.9588566610422</v>
      </c>
      <c r="T38" s="26">
        <f t="shared" si="5"/>
        <v>1.7040540298747547E-2</v>
      </c>
      <c r="V38" s="99"/>
      <c r="W38" s="761">
        <f t="shared" si="7"/>
        <v>2121.7844176288772</v>
      </c>
      <c r="X38" s="99">
        <v>2121784417628.8772</v>
      </c>
      <c r="Y38" s="99"/>
      <c r="Z38" s="99"/>
      <c r="AA38" s="99"/>
      <c r="AB38" s="99"/>
    </row>
    <row r="39" spans="1:28" ht="14.4" x14ac:dyDescent="0.3">
      <c r="B39" s="19">
        <f>AVERAGE('Passenger TAM Data'!C102:E102)</f>
        <v>56069.020982361581</v>
      </c>
      <c r="C39" s="756">
        <f t="shared" si="6"/>
        <v>12306.705139960359</v>
      </c>
      <c r="D39" s="69">
        <f t="shared" si="0"/>
        <v>0.21949206396580123</v>
      </c>
      <c r="E39" s="7">
        <v>2043</v>
      </c>
      <c r="F39" s="7"/>
      <c r="G39" s="25">
        <v>1596.5347203393699</v>
      </c>
      <c r="H39" s="26">
        <f t="shared" si="1"/>
        <v>2.8474453314275172E-2</v>
      </c>
      <c r="I39" s="2"/>
      <c r="J39" s="25">
        <v>1598.0460460297927</v>
      </c>
      <c r="K39" s="26">
        <f t="shared" si="2"/>
        <v>2.8501408050847055E-2</v>
      </c>
      <c r="L39" s="24"/>
      <c r="M39" s="25">
        <v>15724.897281654685</v>
      </c>
      <c r="N39" s="26">
        <f t="shared" si="3"/>
        <v>0.2804560701461416</v>
      </c>
      <c r="O39" s="24"/>
      <c r="P39" s="19">
        <f>'Private Car Analysis &amp; Split'!R40-'Private Car Analysis &amp; Split'!X40</f>
        <v>2175.5746647606775</v>
      </c>
      <c r="Q39" s="26">
        <f t="shared" si="4"/>
        <v>3.8801723779787037E-2</v>
      </c>
      <c r="R39" s="24"/>
      <c r="S39" s="19">
        <f>'Private Car Analysis &amp; Split'!U40-'Private Car Analysis &amp; Split'!AA40</f>
        <v>985.70583117021363</v>
      </c>
      <c r="T39" s="26">
        <f t="shared" si="5"/>
        <v>1.7580221910425384E-2</v>
      </c>
      <c r="V39" s="99"/>
      <c r="W39" s="761">
        <f t="shared" si="7"/>
        <v>2189.5742518322259</v>
      </c>
      <c r="X39" s="99">
        <v>2189574251832.2258</v>
      </c>
      <c r="Y39" s="99"/>
      <c r="Z39" s="99"/>
      <c r="AA39" s="99"/>
      <c r="AB39" s="99"/>
    </row>
    <row r="40" spans="1:28" ht="14.4" x14ac:dyDescent="0.3">
      <c r="B40" s="19">
        <f>AVERAGE('Passenger TAM Data'!C103:E103)</f>
        <v>57348.114144943684</v>
      </c>
      <c r="C40" s="756">
        <f t="shared" si="6"/>
        <v>12589.896957791387</v>
      </c>
      <c r="D40" s="69">
        <f t="shared" si="0"/>
        <v>0.21953462891510658</v>
      </c>
      <c r="E40" s="7">
        <v>2044</v>
      </c>
      <c r="F40" s="7"/>
      <c r="G40" s="25">
        <v>1641.7251391246673</v>
      </c>
      <c r="H40" s="26">
        <f t="shared" si="1"/>
        <v>2.8627360526194676E-2</v>
      </c>
      <c r="I40" s="2"/>
      <c r="J40" s="25">
        <v>1623.9537687083671</v>
      </c>
      <c r="K40" s="26">
        <f t="shared" si="2"/>
        <v>2.8317474653201811E-2</v>
      </c>
      <c r="L40" s="24"/>
      <c r="M40" s="25">
        <v>15927.782628076564</v>
      </c>
      <c r="N40" s="26">
        <f t="shared" si="3"/>
        <v>0.27773855976885509</v>
      </c>
      <c r="O40" s="24"/>
      <c r="P40" s="19">
        <f>'Private Car Analysis &amp; Split'!R41-'Private Car Analysis &amp; Split'!X41</f>
        <v>2345.9759625812358</v>
      </c>
      <c r="Q40" s="26">
        <f t="shared" si="4"/>
        <v>4.090763920591934E-2</v>
      </c>
      <c r="R40" s="24"/>
      <c r="S40" s="19">
        <f>'Private Car Analysis &amp; Split'!U41-'Private Car Analysis &amp; Split'!AA41</f>
        <v>1042.6046635509215</v>
      </c>
      <c r="T40" s="26">
        <f t="shared" si="5"/>
        <v>1.8180278097999963E-2</v>
      </c>
      <c r="V40" s="99"/>
      <c r="W40" s="761">
        <f t="shared" si="7"/>
        <v>2256.9592174504946</v>
      </c>
      <c r="X40" s="99">
        <v>2256959217450.4946</v>
      </c>
      <c r="Y40" s="99"/>
      <c r="Z40" s="99"/>
      <c r="AA40" s="99"/>
      <c r="AB40" s="99"/>
    </row>
    <row r="41" spans="1:28" ht="14.4" x14ac:dyDescent="0.3">
      <c r="B41" s="19">
        <f>AVERAGE('Passenger TAM Data'!C104:E104)</f>
        <v>58645.452699874208</v>
      </c>
      <c r="C41" s="756">
        <f t="shared" si="6"/>
        <v>12863.32900531009</v>
      </c>
      <c r="D41" s="69">
        <f t="shared" si="0"/>
        <v>0.21934060379992057</v>
      </c>
      <c r="E41" s="7">
        <v>2045</v>
      </c>
      <c r="F41" s="7"/>
      <c r="G41" s="25">
        <v>1686.6583912746103</v>
      </c>
      <c r="H41" s="26">
        <f t="shared" si="1"/>
        <v>2.8760258700811905E-2</v>
      </c>
      <c r="I41" s="2"/>
      <c r="J41" s="25">
        <v>1651.0545640001333</v>
      </c>
      <c r="K41" s="26">
        <f t="shared" si="2"/>
        <v>2.815315575189813E-2</v>
      </c>
      <c r="L41" s="24"/>
      <c r="M41" s="25">
        <v>16137.632684371572</v>
      </c>
      <c r="N41" s="26">
        <f t="shared" si="3"/>
        <v>0.27517278734223477</v>
      </c>
      <c r="O41" s="24"/>
      <c r="P41" s="19">
        <f>'Private Car Analysis &amp; Split'!R42-'Private Car Analysis &amp; Split'!X42</f>
        <v>2523.8947406621783</v>
      </c>
      <c r="Q41" s="26">
        <f t="shared" si="4"/>
        <v>4.3036495149564973E-2</v>
      </c>
      <c r="R41" s="24"/>
      <c r="S41" s="19">
        <f>'Private Car Analysis &amp; Split'!U42-'Private Car Analysis &amp; Split'!AA42</f>
        <v>1105.0351776588216</v>
      </c>
      <c r="T41" s="26">
        <f t="shared" si="5"/>
        <v>1.8842640422847171E-2</v>
      </c>
      <c r="V41" s="99"/>
      <c r="W41" s="761">
        <f t="shared" si="7"/>
        <v>2323.9378043430888</v>
      </c>
      <c r="X41" s="99">
        <v>2323937804343.0889</v>
      </c>
      <c r="Y41" s="99"/>
      <c r="Z41" s="99"/>
      <c r="AA41" s="99"/>
      <c r="AB41" s="99"/>
    </row>
    <row r="42" spans="1:28" ht="14.4" x14ac:dyDescent="0.3">
      <c r="B42" s="19">
        <f>AVERAGE('Passenger TAM Data'!C105:E105)</f>
        <v>59961.168661590003</v>
      </c>
      <c r="C42" s="756">
        <f t="shared" si="6"/>
        <v>13126.413038014773</v>
      </c>
      <c r="D42" s="69">
        <f t="shared" si="0"/>
        <v>0.21891523015666814</v>
      </c>
      <c r="E42" s="7">
        <v>2046</v>
      </c>
      <c r="F42" s="7"/>
      <c r="G42" s="25">
        <v>1731.3359402560161</v>
      </c>
      <c r="H42" s="26">
        <f t="shared" si="1"/>
        <v>2.8874286123863981E-2</v>
      </c>
      <c r="I42" s="2"/>
      <c r="J42" s="25">
        <v>1679.5259532334949</v>
      </c>
      <c r="K42" s="26">
        <f t="shared" si="2"/>
        <v>2.8010227130702468E-2</v>
      </c>
      <c r="L42" s="24"/>
      <c r="M42" s="25">
        <v>16354.447450539712</v>
      </c>
      <c r="N42" s="26">
        <f t="shared" si="3"/>
        <v>0.27275064538587057</v>
      </c>
      <c r="O42" s="24"/>
      <c r="P42" s="19">
        <f>'Private Car Analysis &amp; Split'!R43-'Private Car Analysis &amp; Split'!X43</f>
        <v>2709.4414000927518</v>
      </c>
      <c r="Q42" s="26">
        <f t="shared" si="4"/>
        <v>4.5186600938089606E-2</v>
      </c>
      <c r="R42" s="24"/>
      <c r="S42" s="19">
        <f>'Private Car Analysis &amp; Split'!U43-'Private Car Analysis &amp; Split'!AA43</f>
        <v>1173.3771973495698</v>
      </c>
      <c r="T42" s="26">
        <f t="shared" si="5"/>
        <v>1.9568951432082628E-2</v>
      </c>
      <c r="V42" s="99"/>
      <c r="W42" s="761">
        <f t="shared" si="7"/>
        <v>2390.5085822006631</v>
      </c>
      <c r="X42" s="99">
        <v>2390508582200.6631</v>
      </c>
      <c r="Y42" s="99"/>
      <c r="Z42" s="99"/>
      <c r="AA42" s="99"/>
      <c r="AB42" s="99"/>
    </row>
    <row r="43" spans="1:28" ht="14.4" x14ac:dyDescent="0.3">
      <c r="B43" s="19">
        <f>AVERAGE('Passenger TAM Data'!C106:E106)</f>
        <v>61295.367493461941</v>
      </c>
      <c r="C43" s="756">
        <f t="shared" si="6"/>
        <v>13378.544535805457</v>
      </c>
      <c r="D43" s="69">
        <f t="shared" si="0"/>
        <v>0.21826355045889034</v>
      </c>
      <c r="E43" s="7">
        <v>2047</v>
      </c>
      <c r="F43" s="7"/>
      <c r="G43" s="25">
        <v>1775.7592412075016</v>
      </c>
      <c r="H43" s="26">
        <f t="shared" si="1"/>
        <v>2.8970529320946035E-2</v>
      </c>
      <c r="I43" s="2"/>
      <c r="J43" s="25">
        <v>1709.5454577368564</v>
      </c>
      <c r="K43" s="26">
        <f t="shared" si="2"/>
        <v>2.7890288086113602E-2</v>
      </c>
      <c r="L43" s="24"/>
      <c r="M43" s="25">
        <v>16578.226926580981</v>
      </c>
      <c r="N43" s="26">
        <f t="shared" si="3"/>
        <v>0.27046459797062633</v>
      </c>
      <c r="O43" s="24"/>
      <c r="P43" s="19">
        <f>'Private Car Analysis &amp; Split'!R44-'Private Car Analysis &amp; Split'!X44</f>
        <v>2902.7263419621968</v>
      </c>
      <c r="Q43" s="26">
        <f t="shared" si="4"/>
        <v>4.7356373909852416E-2</v>
      </c>
      <c r="R43" s="24"/>
      <c r="S43" s="19">
        <f>'Private Car Analysis &amp; Split'!U44-'Private Car Analysis &amp; Split'!AA44</f>
        <v>1248.0105464788221</v>
      </c>
      <c r="T43" s="26">
        <f t="shared" si="5"/>
        <v>2.0360601420848664E-2</v>
      </c>
      <c r="V43" s="99"/>
      <c r="W43" s="761">
        <f t="shared" si="7"/>
        <v>2456.6701999748707</v>
      </c>
      <c r="X43" s="99">
        <v>2456670199974.8706</v>
      </c>
      <c r="Y43" s="99"/>
      <c r="Z43" s="99"/>
      <c r="AA43" s="99"/>
      <c r="AB43" s="99"/>
    </row>
    <row r="44" spans="1:28" ht="14.4" x14ac:dyDescent="0.3">
      <c r="B44" s="19">
        <f>AVERAGE('Passenger TAM Data'!C107:E107)</f>
        <v>62648.097089823532</v>
      </c>
      <c r="C44" s="756">
        <f t="shared" si="6"/>
        <v>13619.083679430318</v>
      </c>
      <c r="D44" s="69">
        <f t="shared" si="0"/>
        <v>0.21739022112520928</v>
      </c>
      <c r="E44" s="7">
        <v>2048</v>
      </c>
      <c r="F44" s="7"/>
      <c r="G44" s="25">
        <v>1819.9297409868782</v>
      </c>
      <c r="H44" s="26">
        <f t="shared" si="1"/>
        <v>2.9050040233105579E-2</v>
      </c>
      <c r="I44" s="2"/>
      <c r="J44" s="25">
        <v>1741.2905988386215</v>
      </c>
      <c r="K44" s="26">
        <f t="shared" si="2"/>
        <v>2.7794788345159079E-2</v>
      </c>
      <c r="L44" s="24"/>
      <c r="M44" s="25">
        <v>16808.971112495379</v>
      </c>
      <c r="N44" s="26">
        <f t="shared" si="3"/>
        <v>0.26830776820555347</v>
      </c>
      <c r="O44" s="24"/>
      <c r="P44" s="19">
        <f>'Private Car Analysis &amp; Split'!R45-'Private Car Analysis &amp; Split'!X45</f>
        <v>3103.8599673597591</v>
      </c>
      <c r="Q44" s="26">
        <f t="shared" si="4"/>
        <v>4.9544361465752258E-2</v>
      </c>
      <c r="R44" s="24"/>
      <c r="S44" s="19">
        <f>'Private Car Analysis &amp; Split'!U45-'Private Car Analysis &amp; Split'!AA45</f>
        <v>1329.3150489022337</v>
      </c>
      <c r="T44" s="26">
        <f t="shared" si="5"/>
        <v>2.1218761792497695E-2</v>
      </c>
      <c r="V44" s="99"/>
      <c r="W44" s="761">
        <f t="shared" si="7"/>
        <v>2522.4213852835874</v>
      </c>
      <c r="X44" s="99">
        <v>2522421385283.5874</v>
      </c>
      <c r="Y44" s="99"/>
      <c r="Z44" s="99"/>
      <c r="AA44" s="99"/>
      <c r="AB44" s="99"/>
    </row>
    <row r="45" spans="1:28" ht="14.4" x14ac:dyDescent="0.3">
      <c r="B45" s="19">
        <f>AVERAGE('Passenger TAM Data'!C108:E108)</f>
        <v>64019.375866680086</v>
      </c>
      <c r="C45" s="756">
        <f t="shared" si="6"/>
        <v>13853.201090545543</v>
      </c>
      <c r="D45" s="69">
        <f t="shared" si="0"/>
        <v>0.2163907551894092</v>
      </c>
      <c r="E45" s="7">
        <v>2049</v>
      </c>
      <c r="F45" s="7"/>
      <c r="G45" s="25">
        <v>1863.848878218274</v>
      </c>
      <c r="H45" s="26">
        <f t="shared" si="1"/>
        <v>2.9113824572418928E-2</v>
      </c>
      <c r="I45" s="2"/>
      <c r="J45" s="25">
        <v>1774.9388978671948</v>
      </c>
      <c r="K45" s="26">
        <f t="shared" si="2"/>
        <v>2.772502658513093E-2</v>
      </c>
      <c r="L45" s="24"/>
      <c r="M45" s="25">
        <v>17040.851496374762</v>
      </c>
      <c r="N45" s="26">
        <f t="shared" si="3"/>
        <v>0.26618271836736146</v>
      </c>
      <c r="O45" s="24"/>
      <c r="P45" s="19">
        <f>'Private Car Analysis &amp; Split'!R46-'Private Car Analysis &amp; Split'!X46</f>
        <v>3312.9526773746811</v>
      </c>
      <c r="Q45" s="26">
        <f t="shared" si="4"/>
        <v>5.1749218615843466E-2</v>
      </c>
      <c r="R45" s="24"/>
      <c r="S45" s="19">
        <f>'Private Car Analysis &amp; Split'!U46-'Private Car Analysis &amp; Split'!AA46</f>
        <v>1417.6705284754617</v>
      </c>
      <c r="T45" s="26">
        <f t="shared" si="5"/>
        <v>2.214439783711342E-2</v>
      </c>
      <c r="V45" s="99"/>
      <c r="W45" s="761">
        <f t="shared" si="7"/>
        <v>2587.7609437923611</v>
      </c>
      <c r="X45" s="99">
        <v>2587760943792.3613</v>
      </c>
      <c r="Y45" s="99"/>
      <c r="Z45" s="99"/>
      <c r="AA45" s="99"/>
      <c r="AB45" s="99"/>
    </row>
    <row r="46" spans="1:28" ht="14.4" x14ac:dyDescent="0.3">
      <c r="A46" s="30"/>
      <c r="B46" s="19">
        <f>AVERAGE('Passenger TAM Data'!C109:E109)</f>
        <v>65409.223775172293</v>
      </c>
      <c r="C46" s="756">
        <f t="shared" si="6"/>
        <v>14087.270131990159</v>
      </c>
      <c r="D46" s="69">
        <f t="shared" si="0"/>
        <v>0.21537130879907085</v>
      </c>
      <c r="E46" s="33">
        <v>2050</v>
      </c>
      <c r="F46" s="33"/>
      <c r="G46" s="25">
        <v>1907.5180833389909</v>
      </c>
      <c r="H46" s="26">
        <f t="shared" si="1"/>
        <v>2.916283015214495E-2</v>
      </c>
      <c r="I46" s="30"/>
      <c r="J46" s="25">
        <v>1810.6678761509797</v>
      </c>
      <c r="K46" s="26">
        <f t="shared" si="2"/>
        <v>2.7682148963802014E-2</v>
      </c>
      <c r="L46" s="34"/>
      <c r="M46" s="25">
        <v>17266.837774822601</v>
      </c>
      <c r="N46" s="26">
        <f t="shared" si="3"/>
        <v>0.26398169521431719</v>
      </c>
      <c r="O46" s="34"/>
      <c r="P46" s="19">
        <f>'Private Car Analysis &amp; Split'!R47-'Private Car Analysis &amp; Split'!X47</f>
        <v>3530.1148730962104</v>
      </c>
      <c r="Q46" s="26">
        <f t="shared" si="4"/>
        <v>5.3969679952633132E-2</v>
      </c>
      <c r="R46" s="34"/>
      <c r="S46" s="19">
        <f>'Private Car Analysis &amp; Split'!U47-'Private Car Analysis &amp; Split'!AA47</f>
        <v>1513.4568090541609</v>
      </c>
      <c r="T46" s="26">
        <f t="shared" si="5"/>
        <v>2.3138278085309296E-2</v>
      </c>
      <c r="U46" s="119"/>
      <c r="V46" s="99"/>
      <c r="W46" s="761">
        <f t="shared" si="7"/>
        <v>2652.6877585728439</v>
      </c>
      <c r="X46" s="99">
        <v>2652687758572.8438</v>
      </c>
      <c r="Y46" s="99"/>
      <c r="Z46" s="99"/>
      <c r="AA46" s="99"/>
      <c r="AB46" s="99"/>
    </row>
    <row r="47" spans="1:28" ht="14.4" x14ac:dyDescent="0.3">
      <c r="B47" s="19">
        <f>AVERAGE('Passenger TAM Data'!C110:E110)</f>
        <v>66817.712351729511</v>
      </c>
      <c r="C47" s="756">
        <f t="shared" si="6"/>
        <v>14319.736646341036</v>
      </c>
      <c r="D47" s="69">
        <f t="shared" si="0"/>
        <v>0.21431048957440674</v>
      </c>
      <c r="E47" s="7">
        <v>2051</v>
      </c>
      <c r="F47" s="7"/>
      <c r="G47" s="25">
        <v>1950.9387786460934</v>
      </c>
      <c r="H47" s="26">
        <f t="shared" si="1"/>
        <v>2.9197928363310619E-2</v>
      </c>
      <c r="I47" s="2"/>
      <c r="J47" s="25">
        <v>1848.6550550183806</v>
      </c>
      <c r="K47" s="26">
        <f t="shared" si="2"/>
        <v>2.7667140791756393E-2</v>
      </c>
      <c r="L47" s="24"/>
      <c r="M47" s="25">
        <v>17487.858810408805</v>
      </c>
      <c r="N47" s="26">
        <f t="shared" si="3"/>
        <v>0.2617248959131141</v>
      </c>
      <c r="O47" s="24"/>
      <c r="P47" s="19">
        <f>'Private Car Analysis &amp; Split'!R48-'Private Car Analysis &amp; Split'!X48</f>
        <v>3755.4569556135848</v>
      </c>
      <c r="Q47" s="26">
        <f t="shared" si="4"/>
        <v>5.6204512597569922E-2</v>
      </c>
      <c r="R47" s="24"/>
      <c r="S47" s="19">
        <f>'Private Car Analysis &amp; Split'!U48-'Private Car Analysis &amp; Split'!AA48</f>
        <v>1617.0537144939865</v>
      </c>
      <c r="T47" s="26">
        <f t="shared" si="5"/>
        <v>2.4200973927119649E-2</v>
      </c>
      <c r="V47" s="99"/>
      <c r="W47" s="761">
        <f t="shared" si="7"/>
        <v>2717.2007894389635</v>
      </c>
      <c r="X47" s="99">
        <v>2717200789438.9634</v>
      </c>
      <c r="Y47" s="99"/>
      <c r="Z47" s="99"/>
      <c r="AA47" s="99"/>
      <c r="AB47" s="99"/>
    </row>
    <row r="48" spans="1:28" ht="14.4" x14ac:dyDescent="0.3">
      <c r="B48" s="19">
        <f>AVERAGE('Passenger TAM Data'!C111:E111)</f>
        <v>68244.917949708921</v>
      </c>
      <c r="C48" s="756">
        <f t="shared" si="6"/>
        <v>14545.013058227667</v>
      </c>
      <c r="D48" s="69">
        <f t="shared" si="0"/>
        <v>0.21312961455893589</v>
      </c>
      <c r="E48" s="7">
        <v>2052</v>
      </c>
      <c r="F48" s="7"/>
      <c r="G48" s="25">
        <v>1994.1123783427322</v>
      </c>
      <c r="H48" s="26">
        <f t="shared" si="1"/>
        <v>2.9219939568426685E-2</v>
      </c>
      <c r="I48" s="2"/>
      <c r="J48" s="25">
        <v>1889.0779557978008</v>
      </c>
      <c r="K48" s="26">
        <f t="shared" si="2"/>
        <v>2.7680859066896397E-2</v>
      </c>
      <c r="L48" s="24"/>
      <c r="M48" s="25">
        <v>17708.879845995005</v>
      </c>
      <c r="N48" s="26">
        <f t="shared" si="3"/>
        <v>0.2594900891967522</v>
      </c>
      <c r="O48" s="24"/>
      <c r="P48" s="19">
        <f>'Private Car Analysis &amp; Split'!R49-'Private Car Analysis &amp; Split'!X49</f>
        <v>3989.0893260160537</v>
      </c>
      <c r="Q48" s="26">
        <f t="shared" si="4"/>
        <v>5.8452547762687553E-2</v>
      </c>
      <c r="R48" s="24"/>
      <c r="S48" s="19">
        <f>'Private Car Analysis &amp; Split'!U49-'Private Car Analysis &amp; Split'!AA49</f>
        <v>1728.8410686505954</v>
      </c>
      <c r="T48" s="26">
        <f t="shared" si="5"/>
        <v>2.533289101357868E-2</v>
      </c>
      <c r="V48" s="99"/>
      <c r="W48" s="761">
        <f t="shared" si="7"/>
        <v>2781.2990722616041</v>
      </c>
      <c r="X48" s="99">
        <v>2781299072261.604</v>
      </c>
      <c r="Y48" s="99"/>
      <c r="Z48" s="99"/>
      <c r="AA48" s="99"/>
      <c r="AB48" s="99"/>
    </row>
    <row r="49" spans="1:28" ht="14.4" x14ac:dyDescent="0.3">
      <c r="B49" s="19">
        <f>AVERAGE('Passenger TAM Data'!C112:E112)</f>
        <v>69690.862296588006</v>
      </c>
      <c r="C49" s="756">
        <f t="shared" si="6"/>
        <v>14767.087853662058</v>
      </c>
      <c r="D49" s="69">
        <f t="shared" si="0"/>
        <v>0.21189417618075648</v>
      </c>
      <c r="E49" s="7">
        <v>2053</v>
      </c>
      <c r="F49" s="7"/>
      <c r="G49" s="25">
        <v>2037.0402885842041</v>
      </c>
      <c r="H49" s="26">
        <f t="shared" si="1"/>
        <v>2.9229661127093493E-2</v>
      </c>
      <c r="I49" s="2"/>
      <c r="J49" s="25">
        <v>1932.1140998176461</v>
      </c>
      <c r="K49" s="26">
        <f t="shared" si="2"/>
        <v>2.7724066486579265E-2</v>
      </c>
      <c r="L49" s="24"/>
      <c r="M49" s="25">
        <v>17925.256568731624</v>
      </c>
      <c r="N49" s="26">
        <f t="shared" si="3"/>
        <v>0.25721100267702135</v>
      </c>
      <c r="O49" s="24"/>
      <c r="P49" s="19">
        <f>'Private Car Analysis &amp; Split'!R50-'Private Car Analysis &amp; Split'!X50</f>
        <v>4231.1223853928586</v>
      </c>
      <c r="Q49" s="26">
        <f t="shared" si="4"/>
        <v>6.0712728268251172E-2</v>
      </c>
      <c r="R49" s="24"/>
      <c r="S49" s="19">
        <f>'Private Car Analysis &amp; Split'!U50-'Private Car Analysis &amp; Split'!AA50</f>
        <v>1849.1986953796434</v>
      </c>
      <c r="T49" s="26">
        <f t="shared" si="5"/>
        <v>2.6534306427575632E-2</v>
      </c>
      <c r="V49" s="99"/>
      <c r="W49" s="761">
        <f t="shared" si="7"/>
        <v>2844.9817182625516</v>
      </c>
      <c r="X49" s="99">
        <v>2844981718262.5518</v>
      </c>
      <c r="Y49" s="99"/>
      <c r="Z49" s="99"/>
      <c r="AA49" s="99"/>
      <c r="AB49" s="99"/>
    </row>
    <row r="50" spans="1:28" ht="14.4" x14ac:dyDescent="0.3">
      <c r="B50" s="19">
        <f>AVERAGE('Passenger TAM Data'!C113:E113)</f>
        <v>71155.549574570934</v>
      </c>
      <c r="C50" s="756">
        <f t="shared" si="6"/>
        <v>14985.294453188335</v>
      </c>
      <c r="D50" s="69">
        <f t="shared" si="0"/>
        <v>0.21059909652561623</v>
      </c>
      <c r="E50" s="7">
        <v>2054</v>
      </c>
      <c r="F50" s="7"/>
      <c r="G50" s="25">
        <v>2079.7239075237508</v>
      </c>
      <c r="H50" s="26">
        <f t="shared" si="1"/>
        <v>2.9227852500024645E-2</v>
      </c>
      <c r="I50" s="2"/>
      <c r="J50" s="25">
        <v>1977.9410084063188</v>
      </c>
      <c r="K50" s="26">
        <f t="shared" si="2"/>
        <v>2.7797424378451872E-2</v>
      </c>
      <c r="L50" s="24"/>
      <c r="M50" s="25">
        <v>18136.988978618654</v>
      </c>
      <c r="N50" s="26">
        <f t="shared" si="3"/>
        <v>0.25489212137432948</v>
      </c>
      <c r="O50" s="24"/>
      <c r="P50" s="19">
        <f>'Private Car Analysis &amp; Split'!R51-'Private Car Analysis &amp; Split'!X51</f>
        <v>4481.6665348332444</v>
      </c>
      <c r="Q50" s="26">
        <f t="shared" si="4"/>
        <v>6.298407589609667E-2</v>
      </c>
      <c r="R50" s="24"/>
      <c r="S50" s="19">
        <f>'Private Car Analysis &amp; Split'!U51-'Private Car Analysis &amp; Split'!AA51</f>
        <v>1978.506418536786</v>
      </c>
      <c r="T50" s="26">
        <f t="shared" si="5"/>
        <v>2.7805370492758455E-2</v>
      </c>
      <c r="V50" s="99"/>
      <c r="W50" s="761">
        <f t="shared" si="7"/>
        <v>2908.2479132884714</v>
      </c>
      <c r="X50" s="99">
        <v>2908247913288.4712</v>
      </c>
      <c r="Y50" s="99"/>
      <c r="Z50" s="99"/>
      <c r="AA50" s="99"/>
      <c r="AB50" s="99"/>
    </row>
    <row r="51" spans="1:28" ht="14.4" x14ac:dyDescent="0.3">
      <c r="B51" s="19">
        <f>AVERAGE('Passenger TAM Data'!C114:E114)</f>
        <v>72638.996466202268</v>
      </c>
      <c r="C51" s="756">
        <f t="shared" si="6"/>
        <v>15198.973951840175</v>
      </c>
      <c r="D51" s="69">
        <f t="shared" si="0"/>
        <v>0.20923986689315027</v>
      </c>
      <c r="E51" s="7">
        <v>2055</v>
      </c>
      <c r="F51" s="7"/>
      <c r="G51" s="25">
        <v>2122.1646253580971</v>
      </c>
      <c r="H51" s="26">
        <f t="shared" si="1"/>
        <v>2.9215224997574209E-2</v>
      </c>
      <c r="I51" s="2"/>
      <c r="J51" s="25">
        <v>2026.7362028922234</v>
      </c>
      <c r="K51" s="26">
        <f t="shared" si="2"/>
        <v>2.7901489578469472E-2</v>
      </c>
      <c r="L51" s="24"/>
      <c r="M51" s="25">
        <v>18344.077075656096</v>
      </c>
      <c r="N51" s="26">
        <f t="shared" si="3"/>
        <v>0.25253758956033062</v>
      </c>
      <c r="O51" s="24"/>
      <c r="P51" s="19">
        <f>'Private Car Analysis &amp; Split'!R52-'Private Car Analysis &amp; Split'!X52</f>
        <v>4740.8321754264525</v>
      </c>
      <c r="Q51" s="26">
        <f t="shared" si="4"/>
        <v>6.5265661780339768E-2</v>
      </c>
      <c r="R51" s="24"/>
      <c r="S51" s="19">
        <f>'Private Car Analysis &amp; Split'!U52-'Private Car Analysis &amp; Split'!AA52</f>
        <v>2117.144061977679</v>
      </c>
      <c r="T51" s="26">
        <f t="shared" si="5"/>
        <v>2.9146108357413106E-2</v>
      </c>
      <c r="V51" s="99"/>
      <c r="W51" s="761">
        <f t="shared" si="7"/>
        <v>2971.0969170656813</v>
      </c>
      <c r="X51" s="99">
        <v>2971096917065.6812</v>
      </c>
      <c r="Y51" s="99"/>
      <c r="Z51" s="99"/>
      <c r="AA51" s="99"/>
      <c r="AB51" s="99"/>
    </row>
    <row r="52" spans="1:28" ht="14.4" x14ac:dyDescent="0.3">
      <c r="B52" s="19">
        <f>AVERAGE('Passenger TAM Data'!C115:E115)</f>
        <v>74141.223042769358</v>
      </c>
      <c r="C52" s="756">
        <f t="shared" si="6"/>
        <v>15407.469530898539</v>
      </c>
      <c r="D52" s="69">
        <f t="shared" si="0"/>
        <v>0.20781245437522031</v>
      </c>
      <c r="E52" s="7">
        <v>2056</v>
      </c>
      <c r="F52" s="7"/>
      <c r="G52" s="25">
        <v>2164.3638243727273</v>
      </c>
      <c r="H52" s="26">
        <f t="shared" si="1"/>
        <v>2.9192448351225406E-2</v>
      </c>
      <c r="I52" s="2"/>
      <c r="J52" s="25">
        <v>2078.6772046037649</v>
      </c>
      <c r="K52" s="26">
        <f t="shared" si="2"/>
        <v>2.8036726658860915E-2</v>
      </c>
      <c r="L52" s="24"/>
      <c r="M52" s="25">
        <v>18546.520859843957</v>
      </c>
      <c r="N52" s="26">
        <f t="shared" si="3"/>
        <v>0.25015126671359533</v>
      </c>
      <c r="O52" s="24"/>
      <c r="P52" s="19">
        <f>'Private Car Analysis &amp; Split'!R53-'Private Car Analysis &amp; Split'!X53</f>
        <v>5008.7297082617315</v>
      </c>
      <c r="Q52" s="26">
        <f t="shared" si="4"/>
        <v>6.7556610245994714E-2</v>
      </c>
      <c r="R52" s="24"/>
      <c r="S52" s="19">
        <f>'Private Car Analysis &amp; Split'!U53-'Private Car Analysis &amp; Split'!AA53</f>
        <v>2265.4914495579787</v>
      </c>
      <c r="T52" s="26">
        <f t="shared" si="5"/>
        <v>3.0556434822380792E-2</v>
      </c>
      <c r="V52" s="99"/>
      <c r="W52" s="761">
        <f t="shared" si="7"/>
        <v>3033.528062436485</v>
      </c>
      <c r="X52" s="99">
        <v>3033528062436.4849</v>
      </c>
      <c r="Y52" s="99"/>
      <c r="Z52" s="99"/>
      <c r="AA52" s="99"/>
      <c r="AB52" s="99"/>
    </row>
    <row r="53" spans="1:28" ht="14.4" x14ac:dyDescent="0.3">
      <c r="B53" s="19">
        <f>AVERAGE('Passenger TAM Data'!C116:E116)</f>
        <v>75662.292132942268</v>
      </c>
      <c r="C53" s="756">
        <f t="shared" si="6"/>
        <v>15610.150602867499</v>
      </c>
      <c r="D53" s="69">
        <f t="shared" si="0"/>
        <v>0.2063134774643057</v>
      </c>
      <c r="E53" s="7">
        <v>2057</v>
      </c>
      <c r="F53" s="7"/>
      <c r="G53" s="25">
        <v>2206.3228789869086</v>
      </c>
      <c r="H53" s="26">
        <f t="shared" si="1"/>
        <v>2.9160137986704047E-2</v>
      </c>
      <c r="I53" s="2"/>
      <c r="J53" s="25">
        <v>2133.9415348693465</v>
      </c>
      <c r="K53" s="26">
        <f t="shared" si="2"/>
        <v>2.8203501040120607E-2</v>
      </c>
      <c r="L53" s="24"/>
      <c r="M53" s="25">
        <v>18744.320331182229</v>
      </c>
      <c r="N53" s="26">
        <f t="shared" si="3"/>
        <v>0.24773661757758489</v>
      </c>
      <c r="O53" s="24"/>
      <c r="P53" s="19">
        <f>'Private Car Analysis &amp; Split'!R54-'Private Car Analysis &amp; Split'!X54</f>
        <v>5285.4695344283191</v>
      </c>
      <c r="Q53" s="26">
        <f t="shared" si="4"/>
        <v>6.9856058882560634E-2</v>
      </c>
      <c r="R53" s="24"/>
      <c r="S53" s="19">
        <f>'Private Car Analysis &amp; Split'!U54-'Private Car Analysis &amp; Split'!AA54</f>
        <v>2423.9284051333389</v>
      </c>
      <c r="T53" s="26">
        <f t="shared" si="5"/>
        <v>3.2036148216001446E-2</v>
      </c>
      <c r="V53" s="99"/>
      <c r="W53" s="761">
        <f t="shared" si="7"/>
        <v>3095.5407545778266</v>
      </c>
      <c r="X53" s="99">
        <v>3095540754577.8267</v>
      </c>
      <c r="Y53" s="99"/>
      <c r="Z53" s="99"/>
      <c r="AA53" s="99"/>
      <c r="AB53" s="99"/>
    </row>
    <row r="54" spans="1:28" ht="14.4" x14ac:dyDescent="0.3">
      <c r="B54" s="19">
        <f>AVERAGE('Passenger TAM Data'!C117:E117)</f>
        <v>77202.320208664125</v>
      </c>
      <c r="C54" s="756">
        <f t="shared" si="6"/>
        <v>15806.419487810654</v>
      </c>
      <c r="D54" s="69">
        <f t="shared" si="0"/>
        <v>0.20474021305433199</v>
      </c>
      <c r="E54" s="7">
        <v>2058</v>
      </c>
      <c r="F54" s="7"/>
      <c r="G54" s="25">
        <v>2248.0431557984534</v>
      </c>
      <c r="H54" s="26">
        <f t="shared" si="1"/>
        <v>2.9118854844289565E-2</v>
      </c>
      <c r="I54" s="2"/>
      <c r="J54" s="25">
        <v>2192.7067150173712</v>
      </c>
      <c r="K54" s="26">
        <f t="shared" si="2"/>
        <v>2.8402083112150974E-2</v>
      </c>
      <c r="L54" s="24"/>
      <c r="M54" s="25">
        <v>18937.47548967092</v>
      </c>
      <c r="N54" s="26">
        <f t="shared" si="3"/>
        <v>0.24529671437964942</v>
      </c>
      <c r="O54" s="24"/>
      <c r="P54" s="19">
        <f>'Private Car Analysis &amp; Split'!R55-'Private Car Analysis &amp; Split'!X55</f>
        <v>5571.1620550154621</v>
      </c>
      <c r="Q54" s="26">
        <f t="shared" si="4"/>
        <v>7.2163142765108657E-2</v>
      </c>
      <c r="R54" s="24"/>
      <c r="S54" s="19">
        <f>'Private Car Analysis &amp; Split'!U55-'Private Car Analysis &amp; Split'!AA55</f>
        <v>2592.834752559419</v>
      </c>
      <c r="T54" s="26">
        <f t="shared" si="5"/>
        <v>3.3584933011746906E-2</v>
      </c>
      <c r="V54" s="99"/>
      <c r="W54" s="761">
        <f t="shared" si="7"/>
        <v>3157.1344702030233</v>
      </c>
      <c r="X54" s="99">
        <v>3157134470203.0234</v>
      </c>
      <c r="Y54" s="99"/>
      <c r="Z54" s="99"/>
      <c r="AA54" s="99"/>
      <c r="AB54" s="99"/>
    </row>
    <row r="55" spans="1:28" ht="14.4" x14ac:dyDescent="0.3">
      <c r="B55" s="19">
        <f>AVERAGE('Passenger TAM Data'!C118:E118)</f>
        <v>78761.463919819187</v>
      </c>
      <c r="C55" s="756">
        <f t="shared" si="6"/>
        <v>15995.703154938492</v>
      </c>
      <c r="D55" s="69">
        <f t="shared" si="0"/>
        <v>0.20309047545411868</v>
      </c>
      <c r="E55" s="7">
        <v>2059</v>
      </c>
      <c r="F55" s="7"/>
      <c r="G55" s="25">
        <v>2289.5260136282304</v>
      </c>
      <c r="H55" s="26">
        <f t="shared" si="1"/>
        <v>2.9069114509590828E-2</v>
      </c>
      <c r="I55" s="2"/>
      <c r="J55" s="25">
        <v>2255.1502663762453</v>
      </c>
      <c r="K55" s="26">
        <f t="shared" si="2"/>
        <v>2.8632660620326145E-2</v>
      </c>
      <c r="L55" s="24"/>
      <c r="M55" s="25">
        <v>19125.986335310023</v>
      </c>
      <c r="N55" s="26">
        <f t="shared" si="3"/>
        <v>0.24283431748780945</v>
      </c>
      <c r="O55" s="24"/>
      <c r="P55" s="19">
        <f>'Private Car Analysis &amp; Split'!R56-'Private Car Analysis &amp; Split'!X56</f>
        <v>5865.9176711124073</v>
      </c>
      <c r="Q55" s="26">
        <f t="shared" si="4"/>
        <v>7.4477001558579892E-2</v>
      </c>
      <c r="R55" s="24"/>
      <c r="S55" s="19">
        <f>'Private Car Analysis &amp; Split'!U56-'Private Car Analysis &amp; Split'!AA56</f>
        <v>2772.5903156918721</v>
      </c>
      <c r="T55" s="26">
        <f t="shared" si="5"/>
        <v>3.5202371536852427E-2</v>
      </c>
      <c r="V55" s="99"/>
      <c r="W55" s="761">
        <f t="shared" si="7"/>
        <v>3218.3087567473367</v>
      </c>
      <c r="X55" s="99">
        <v>3218308756747.3369</v>
      </c>
      <c r="Y55" s="99"/>
      <c r="Z55" s="99"/>
      <c r="AA55" s="99"/>
      <c r="AB55" s="99"/>
    </row>
    <row r="56" spans="1:28" ht="14.4" x14ac:dyDescent="0.3">
      <c r="B56" s="19">
        <f>AVERAGE('Passenger TAM Data'!C119:E119)</f>
        <v>80339.868171686307</v>
      </c>
      <c r="C56" s="756">
        <f t="shared" si="6"/>
        <v>16186.16414602019</v>
      </c>
      <c r="D56" s="69">
        <f t="shared" si="0"/>
        <v>0.20147113151132331</v>
      </c>
      <c r="E56" s="7">
        <v>2060</v>
      </c>
      <c r="F56" s="7"/>
      <c r="G56" s="25">
        <v>2330.77280356442</v>
      </c>
      <c r="H56" s="26">
        <f t="shared" si="1"/>
        <v>2.9011409361334253E-2</v>
      </c>
      <c r="I56" s="2"/>
      <c r="J56" s="25">
        <v>2321.4497102743717</v>
      </c>
      <c r="K56" s="26">
        <f t="shared" si="2"/>
        <v>2.8895363698051301E-2</v>
      </c>
      <c r="L56" s="24"/>
      <c r="M56" s="25">
        <v>19301.110100237325</v>
      </c>
      <c r="N56" s="26">
        <f t="shared" si="3"/>
        <v>0.24024323837563252</v>
      </c>
      <c r="O56" s="24"/>
      <c r="P56" s="19">
        <f>'Private Car Analysis &amp; Split'!R57-'Private Car Analysis &amp; Split'!X57</f>
        <v>6169.8467838083943</v>
      </c>
      <c r="Q56" s="26">
        <f t="shared" si="4"/>
        <v>7.6796824841975489E-2</v>
      </c>
      <c r="R56" s="24"/>
      <c r="S56" s="19">
        <f>'Private Car Analysis &amp; Split'!U57-'Private Car Analysis &amp; Split'!AA57</f>
        <v>2963.5749183863545</v>
      </c>
      <c r="T56" s="26">
        <f t="shared" si="5"/>
        <v>3.6887973378960423E-2</v>
      </c>
      <c r="V56" s="99"/>
      <c r="W56" s="761">
        <f t="shared" si="7"/>
        <v>3279.0632315381345</v>
      </c>
      <c r="X56" s="99">
        <v>3279063231538.1343</v>
      </c>
      <c r="Y56" s="99"/>
      <c r="Z56" s="99"/>
      <c r="AA56" s="99"/>
      <c r="AB56" s="99"/>
    </row>
    <row r="57" spans="1:28" ht="14.4" x14ac:dyDescent="0.3">
      <c r="B57" s="2"/>
      <c r="C57" s="2"/>
      <c r="D57" s="2"/>
      <c r="F57" s="2"/>
      <c r="G57" s="2"/>
      <c r="H57" s="2"/>
      <c r="I57" s="2"/>
      <c r="J57" s="2"/>
      <c r="K57" s="2"/>
      <c r="L57" s="2"/>
      <c r="M57" s="2"/>
      <c r="O57" s="2"/>
      <c r="P57" s="2"/>
      <c r="R57" s="2"/>
      <c r="S57" s="2"/>
      <c r="V57" s="99"/>
      <c r="W57" s="99"/>
      <c r="X57" s="99"/>
      <c r="Y57" s="99"/>
      <c r="Z57" s="99"/>
      <c r="AA57" s="99"/>
      <c r="AB57" s="99"/>
    </row>
    <row r="58" spans="1:28" ht="14.4" customHeight="1" x14ac:dyDescent="0.3">
      <c r="B58" s="2"/>
      <c r="C58" s="2"/>
      <c r="D58" s="2"/>
      <c r="F58" s="2"/>
      <c r="G58" s="2"/>
      <c r="H58" s="2"/>
      <c r="I58" s="2"/>
      <c r="J58" s="2"/>
      <c r="K58" s="2"/>
      <c r="L58" s="2"/>
      <c r="M58" s="2"/>
      <c r="N58" s="851" t="str">
        <f>IF(MAX(N63:N111)&gt;$AA$5,"↓ NB: Adop.n &gt; Aviation Share","")</f>
        <v>↓ NB: Adop.n &gt; Aviation Share</v>
      </c>
      <c r="O58" s="2"/>
      <c r="P58" s="2"/>
      <c r="R58" s="2"/>
      <c r="S58" s="2"/>
      <c r="V58" s="99"/>
      <c r="W58" s="99"/>
      <c r="X58" s="99"/>
      <c r="Y58" s="99"/>
      <c r="Z58" s="99"/>
      <c r="AA58" s="99"/>
      <c r="AB58" s="99"/>
    </row>
    <row r="59" spans="1:28" ht="32.4" customHeight="1" x14ac:dyDescent="0.3">
      <c r="A59" s="4"/>
      <c r="B59" s="2"/>
      <c r="C59" s="2"/>
      <c r="D59" s="2"/>
      <c r="F59" s="2"/>
      <c r="G59" s="92" t="s">
        <v>131</v>
      </c>
      <c r="H59" s="2"/>
      <c r="I59" s="2"/>
      <c r="J59" s="92" t="s">
        <v>131</v>
      </c>
      <c r="K59" s="2"/>
      <c r="L59" s="2"/>
      <c r="M59" s="755" t="s">
        <v>738</v>
      </c>
      <c r="N59" s="851"/>
      <c r="O59" s="2"/>
      <c r="P59" s="262" t="str">
        <f>'Private Car Analysis &amp; Split'!R63</f>
        <v>Include</v>
      </c>
      <c r="R59" s="2"/>
      <c r="S59" s="262" t="str">
        <f>'Private Car Analysis &amp; Split'!U63</f>
        <v>Include</v>
      </c>
      <c r="V59" s="99"/>
      <c r="W59" s="99"/>
      <c r="X59" s="99"/>
      <c r="Y59" s="750"/>
      <c r="Z59" s="811" t="s">
        <v>731</v>
      </c>
      <c r="AA59" s="811"/>
      <c r="AB59" s="811"/>
    </row>
    <row r="60" spans="1:28" ht="15.75" customHeight="1" x14ac:dyDescent="0.3">
      <c r="A60" s="113" t="s">
        <v>305</v>
      </c>
      <c r="B60" s="114"/>
      <c r="C60" s="114"/>
      <c r="D60" s="114"/>
      <c r="E60" s="119"/>
      <c r="F60" s="119"/>
      <c r="G60" s="5"/>
      <c r="H60" s="5"/>
      <c r="I60" s="5"/>
      <c r="J60" s="5"/>
      <c r="K60" s="5"/>
      <c r="L60" s="5"/>
      <c r="M60" s="5"/>
      <c r="N60" s="851"/>
      <c r="O60" s="5"/>
      <c r="P60" s="5"/>
      <c r="Q60" s="100"/>
      <c r="R60" s="100"/>
      <c r="S60" s="100"/>
      <c r="T60" s="100"/>
      <c r="V60" s="99"/>
      <c r="W60" s="99"/>
      <c r="X60" s="750"/>
      <c r="Y60" s="750"/>
      <c r="Z60" s="750"/>
      <c r="AA60" s="750"/>
      <c r="AB60" s="750"/>
    </row>
    <row r="61" spans="1:28" ht="45" customHeight="1" x14ac:dyDescent="0.3">
      <c r="A61" s="8" t="s">
        <v>129</v>
      </c>
      <c r="B61" s="9" t="s">
        <v>47</v>
      </c>
      <c r="C61" s="9" t="s">
        <v>48</v>
      </c>
      <c r="D61" s="9" t="s">
        <v>49</v>
      </c>
      <c r="E61" s="13"/>
      <c r="F61" s="14" t="s">
        <v>50</v>
      </c>
      <c r="G61" s="11" t="s">
        <v>5</v>
      </c>
      <c r="H61" s="11" t="s">
        <v>27</v>
      </c>
      <c r="I61" s="14" t="s">
        <v>51</v>
      </c>
      <c r="J61" s="11" t="s">
        <v>6</v>
      </c>
      <c r="K61" s="11" t="s">
        <v>27</v>
      </c>
      <c r="L61" s="14" t="s">
        <v>52</v>
      </c>
      <c r="M61" s="11" t="s">
        <v>609</v>
      </c>
      <c r="N61" s="11" t="s">
        <v>27</v>
      </c>
      <c r="O61" s="14"/>
      <c r="P61" s="121" t="s">
        <v>55</v>
      </c>
      <c r="Q61" s="11" t="s">
        <v>27</v>
      </c>
      <c r="R61" s="14"/>
      <c r="S61" s="121" t="s">
        <v>56</v>
      </c>
      <c r="T61" s="11" t="s">
        <v>27</v>
      </c>
      <c r="V61" s="99"/>
      <c r="W61" s="99"/>
      <c r="X61" s="99"/>
      <c r="Y61" s="98" t="s">
        <v>264</v>
      </c>
      <c r="Z61" s="750"/>
      <c r="AA61" s="515">
        <f t="shared" ref="AA61:AA62" si="8">AA3</f>
        <v>0.10501656604675022</v>
      </c>
      <c r="AB61" s="124" t="s">
        <v>498</v>
      </c>
    </row>
    <row r="62" spans="1:28" s="249" customFormat="1" ht="43.8" customHeight="1" x14ac:dyDescent="0.3">
      <c r="A62" s="16"/>
      <c r="B62" s="17"/>
      <c r="C62" s="749" t="s">
        <v>743</v>
      </c>
      <c r="D62" s="17"/>
      <c r="E62" s="122" t="s">
        <v>276</v>
      </c>
      <c r="F62" s="17"/>
      <c r="G62" s="271" t="s">
        <v>756</v>
      </c>
      <c r="H62" s="17" t="s">
        <v>30</v>
      </c>
      <c r="I62" s="17"/>
      <c r="J62" s="271" t="s">
        <v>772</v>
      </c>
      <c r="K62" s="17"/>
      <c r="L62" s="17"/>
      <c r="M62" s="271" t="s">
        <v>774</v>
      </c>
      <c r="N62" s="17" t="s">
        <v>30</v>
      </c>
      <c r="O62" s="17"/>
      <c r="P62" s="264" t="str">
        <f>'Private Car Analysis &amp; Split'!X66</f>
        <v>PDS2-33p2050-LRate at 11%</v>
      </c>
      <c r="Q62" s="17" t="s">
        <v>30</v>
      </c>
      <c r="R62" s="17"/>
      <c r="S62" s="264" t="str">
        <f>'Private Car Analysis &amp; Split'!AA66</f>
        <v>PDS2-31p2050-Oct21ComDat-Conservative</v>
      </c>
      <c r="T62" s="17" t="s">
        <v>30</v>
      </c>
      <c r="Y62" s="98" t="s">
        <v>262</v>
      </c>
      <c r="Z62" s="750"/>
      <c r="AA62" s="515">
        <f t="shared" si="8"/>
        <v>0.28167749278597232</v>
      </c>
      <c r="AB62" s="124" t="s">
        <v>498</v>
      </c>
    </row>
    <row r="63" spans="1:28" ht="18.75" customHeight="1" x14ac:dyDescent="0.3">
      <c r="A63" s="8"/>
      <c r="B63" s="19">
        <f t="shared" ref="B63:B111" si="9">B8</f>
        <v>23943.64423576602</v>
      </c>
      <c r="C63" s="756">
        <f>B63-SUM($AA$61:$AA$62,MAX($AA$63,N63))*B63-IF($G$59="Include",G63,0)-IF($J$59="Include",J63,0)-IF($P$59="Include",P63,0)-IF($S$59="Include",S63,0)</f>
        <v>9566.4231294979236</v>
      </c>
      <c r="D63" s="69">
        <f t="shared" ref="D63:D111" si="10">C63/B63</f>
        <v>0.39953914430485893</v>
      </c>
      <c r="E63" s="7">
        <v>2012</v>
      </c>
      <c r="F63" s="7"/>
      <c r="G63" s="97"/>
      <c r="H63" s="26">
        <f t="shared" ref="H63:H111" si="11">G63/$B63</f>
        <v>0</v>
      </c>
      <c r="I63" s="2"/>
      <c r="J63" s="25"/>
      <c r="K63" s="26">
        <f t="shared" ref="K63:K111" si="12">J63/$B63</f>
        <v>0</v>
      </c>
      <c r="L63" s="24"/>
      <c r="M63" s="97"/>
      <c r="N63" s="26">
        <f t="shared" ref="N63:N111" si="13">M63/$B63</f>
        <v>0</v>
      </c>
      <c r="O63" s="24"/>
      <c r="P63" s="19">
        <f>'Private Car Analysis &amp; Split'!R67-'Private Car Analysis &amp; Split'!X67</f>
        <v>0</v>
      </c>
      <c r="Q63" s="26">
        <f t="shared" ref="Q63:Q111" si="14">P63/$B63</f>
        <v>0</v>
      </c>
      <c r="R63" s="24"/>
      <c r="S63" s="19">
        <f>'Private Car Analysis &amp; Split'!U67-'Private Car Analysis &amp; Split'!AA67</f>
        <v>0</v>
      </c>
      <c r="T63" s="26">
        <f t="shared" ref="T63:T111" si="15">S63/$B63</f>
        <v>0</v>
      </c>
      <c r="V63" s="99"/>
      <c r="W63" s="99"/>
      <c r="X63" s="99"/>
      <c r="Y63" s="98" t="s">
        <v>265</v>
      </c>
      <c r="Z63" s="750"/>
      <c r="AA63" s="515">
        <f>AA5</f>
        <v>0.21376679686241851</v>
      </c>
      <c r="AB63" s="124" t="s">
        <v>498</v>
      </c>
    </row>
    <row r="64" spans="1:28" ht="18.75" customHeight="1" x14ac:dyDescent="0.3">
      <c r="A64" s="8"/>
      <c r="B64" s="19">
        <f t="shared" si="9"/>
        <v>24762.810564240011</v>
      </c>
      <c r="C64" s="756">
        <f t="shared" ref="C64:C111" si="16">B64-SUM($AA$61:$AA$62,MAX($AA$63,N64))*B64-IF($G$59="Include",G64,0)-IF($J$59="Include",J64,0)-IF($P$59="Include",P64,0)-IF($S$59="Include",S64,0)</f>
        <v>9893.7121434197743</v>
      </c>
      <c r="D64" s="69">
        <f t="shared" si="10"/>
        <v>0.39953914430485887</v>
      </c>
      <c r="E64" s="7">
        <v>2013</v>
      </c>
      <c r="F64" s="7"/>
      <c r="G64" s="97"/>
      <c r="H64" s="26">
        <f t="shared" si="11"/>
        <v>0</v>
      </c>
      <c r="I64" s="2"/>
      <c r="J64" s="25"/>
      <c r="K64" s="26">
        <f t="shared" si="12"/>
        <v>0</v>
      </c>
      <c r="L64" s="24"/>
      <c r="M64" s="97"/>
      <c r="N64" s="26">
        <f t="shared" si="13"/>
        <v>0</v>
      </c>
      <c r="O64" s="24"/>
      <c r="P64" s="19">
        <f>'Private Car Analysis &amp; Split'!R68-'Private Car Analysis &amp; Split'!X68</f>
        <v>0</v>
      </c>
      <c r="Q64" s="26">
        <f t="shared" si="14"/>
        <v>0</v>
      </c>
      <c r="R64" s="24"/>
      <c r="S64" s="19">
        <f>'Private Car Analysis &amp; Split'!U68-'Private Car Analysis &amp; Split'!AA68</f>
        <v>0</v>
      </c>
      <c r="T64" s="26">
        <f t="shared" si="15"/>
        <v>0</v>
      </c>
      <c r="V64" s="99"/>
      <c r="W64" s="99"/>
      <c r="X64" s="99"/>
      <c r="Y64" s="99"/>
      <c r="Z64" s="99"/>
      <c r="AA64" s="99"/>
      <c r="AB64" s="99"/>
    </row>
    <row r="65" spans="1:32" s="99" customFormat="1" ht="14.4" x14ac:dyDescent="0.3">
      <c r="A65" s="847" t="s">
        <v>28</v>
      </c>
      <c r="B65" s="19">
        <f t="shared" si="9"/>
        <v>25792.286681443104</v>
      </c>
      <c r="C65" s="756">
        <f t="shared" si="16"/>
        <v>9467.6248565792794</v>
      </c>
      <c r="D65" s="69">
        <f t="shared" si="10"/>
        <v>0.36707194571433621</v>
      </c>
      <c r="E65" s="117">
        <v>2014</v>
      </c>
      <c r="F65" s="117"/>
      <c r="G65" s="25">
        <v>198.50531656903408</v>
      </c>
      <c r="H65" s="26">
        <f t="shared" si="11"/>
        <v>7.6963054505692057E-3</v>
      </c>
      <c r="I65" s="114"/>
      <c r="J65" s="25">
        <v>512.4</v>
      </c>
      <c r="K65" s="26">
        <f t="shared" si="12"/>
        <v>1.9866404492497318E-2</v>
      </c>
      <c r="L65" s="118"/>
      <c r="M65" s="25">
        <v>490.52398347557431</v>
      </c>
      <c r="N65" s="26">
        <f t="shared" si="13"/>
        <v>1.9018243304053141E-2</v>
      </c>
      <c r="O65" s="118"/>
      <c r="P65" s="19">
        <f>'Private Car Analysis &amp; Split'!R69-'Private Car Analysis &amp; Split'!X69</f>
        <v>0</v>
      </c>
      <c r="Q65" s="26">
        <f t="shared" si="14"/>
        <v>0</v>
      </c>
      <c r="R65" s="118"/>
      <c r="S65" s="19">
        <f>'Private Car Analysis &amp; Split'!U69-'Private Car Analysis &amp; Split'!AA69</f>
        <v>126.49797722107463</v>
      </c>
      <c r="T65" s="26">
        <f t="shared" si="15"/>
        <v>4.904488647456246E-3</v>
      </c>
      <c r="U65" s="119"/>
    </row>
    <row r="66" spans="1:32" s="99" customFormat="1" ht="14.4" x14ac:dyDescent="0.3">
      <c r="A66" s="848"/>
      <c r="B66" s="19">
        <f t="shared" si="9"/>
        <v>26650.135894561492</v>
      </c>
      <c r="C66" s="756">
        <f t="shared" si="16"/>
        <v>9629.453896195957</v>
      </c>
      <c r="D66" s="69">
        <f t="shared" si="10"/>
        <v>0.36132851007941935</v>
      </c>
      <c r="E66" s="7">
        <v>2015</v>
      </c>
      <c r="F66" s="7"/>
      <c r="G66" s="25">
        <v>215.36749823103926</v>
      </c>
      <c r="H66" s="26">
        <f t="shared" si="11"/>
        <v>8.0812908077886915E-3</v>
      </c>
      <c r="I66" s="5"/>
      <c r="J66" s="25">
        <v>657.22498335369505</v>
      </c>
      <c r="K66" s="26">
        <f t="shared" si="12"/>
        <v>2.4661224466319336E-2</v>
      </c>
      <c r="L66" s="24"/>
      <c r="M66" s="25">
        <v>280.52810147008699</v>
      </c>
      <c r="N66" s="26">
        <f t="shared" si="13"/>
        <v>1.0526329118169132E-2</v>
      </c>
      <c r="O66" s="24"/>
      <c r="P66" s="19">
        <f>'Private Car Analysis &amp; Split'!R70-'Private Car Analysis &amp; Split'!X70</f>
        <v>0</v>
      </c>
      <c r="Q66" s="26">
        <f t="shared" si="14"/>
        <v>0</v>
      </c>
      <c r="R66" s="24"/>
      <c r="S66" s="19">
        <f>'Private Car Analysis &amp; Split'!U70-'Private Car Analysis &amp; Split'!AA70</f>
        <v>145.72611314061396</v>
      </c>
      <c r="T66" s="26">
        <f t="shared" si="15"/>
        <v>5.46811895133159E-3</v>
      </c>
      <c r="W66" s="100"/>
    </row>
    <row r="67" spans="1:32" s="99" customFormat="1" ht="14.4" x14ac:dyDescent="0.3">
      <c r="B67" s="19">
        <f t="shared" si="9"/>
        <v>27523.033303576412</v>
      </c>
      <c r="C67" s="756">
        <f t="shared" si="16"/>
        <v>9855.8383955953377</v>
      </c>
      <c r="D67" s="69">
        <f t="shared" si="10"/>
        <v>0.35809419284881822</v>
      </c>
      <c r="E67" s="7">
        <v>2016</v>
      </c>
      <c r="F67" s="7"/>
      <c r="G67" s="25">
        <v>232.22967989304448</v>
      </c>
      <c r="H67" s="26">
        <f t="shared" si="11"/>
        <v>8.4376484717935494E-3</v>
      </c>
      <c r="I67" s="5"/>
      <c r="J67" s="25">
        <v>741.39563313262511</v>
      </c>
      <c r="K67" s="26">
        <f t="shared" si="12"/>
        <v>2.6937279221919418E-2</v>
      </c>
      <c r="L67" s="24"/>
      <c r="M67" s="25">
        <v>544.41277224722285</v>
      </c>
      <c r="N67" s="26">
        <f t="shared" si="13"/>
        <v>1.9780260636333296E-2</v>
      </c>
      <c r="O67" s="24"/>
      <c r="P67" s="19">
        <f>'Private Car Analysis &amp; Split'!R71-'Private Car Analysis &amp; Split'!X71</f>
        <v>0</v>
      </c>
      <c r="Q67" s="26">
        <f t="shared" si="14"/>
        <v>0</v>
      </c>
      <c r="R67" s="24"/>
      <c r="S67" s="19">
        <f>'Private Car Analysis &amp; Split'!U71-'Private Car Analysis &amp; Split'!AA71</f>
        <v>167.06546616404685</v>
      </c>
      <c r="T67" s="26">
        <f t="shared" si="15"/>
        <v>6.0700237623277494E-3</v>
      </c>
      <c r="V67" s="100"/>
      <c r="W67" s="100"/>
    </row>
    <row r="68" spans="1:32" s="99" customFormat="1" ht="14.4" x14ac:dyDescent="0.3">
      <c r="B68" s="19">
        <f t="shared" si="9"/>
        <v>28411.259149408132</v>
      </c>
      <c r="C68" s="756">
        <f t="shared" si="16"/>
        <v>10090.54421943036</v>
      </c>
      <c r="D68" s="69">
        <f t="shared" si="10"/>
        <v>0.35516004997760081</v>
      </c>
      <c r="E68" s="7">
        <v>2017</v>
      </c>
      <c r="F68" s="7"/>
      <c r="G68" s="25">
        <v>249.09186155504966</v>
      </c>
      <c r="H68" s="26">
        <f t="shared" si="11"/>
        <v>8.7673643834345442E-3</v>
      </c>
      <c r="I68" s="5"/>
      <c r="J68" s="25">
        <v>821.33675940267619</v>
      </c>
      <c r="K68" s="26">
        <f t="shared" si="12"/>
        <v>2.8908847548201201E-2</v>
      </c>
      <c r="L68" s="24"/>
      <c r="M68" s="25">
        <v>857.42974544519143</v>
      </c>
      <c r="N68" s="26">
        <f t="shared" si="13"/>
        <v>3.0179223699173981E-2</v>
      </c>
      <c r="O68" s="24"/>
      <c r="P68" s="19">
        <f>'Private Car Analysis &amp; Split'!R72-'Private Car Analysis &amp; Split'!X72</f>
        <v>0</v>
      </c>
      <c r="Q68" s="26">
        <f t="shared" si="14"/>
        <v>0</v>
      </c>
      <c r="R68" s="24"/>
      <c r="S68" s="19">
        <f>'Private Car Analysis &amp; Split'!U72-'Private Car Analysis &amp; Split'!AA72</f>
        <v>190.4373287900319</v>
      </c>
      <c r="T68" s="26">
        <f t="shared" si="15"/>
        <v>6.7028823956223399E-3</v>
      </c>
      <c r="V68" s="100"/>
      <c r="W68" s="100"/>
    </row>
    <row r="69" spans="1:32" s="99" customFormat="1" ht="14.4" x14ac:dyDescent="0.3">
      <c r="B69" s="19">
        <f t="shared" si="9"/>
        <v>29314.817849269726</v>
      </c>
      <c r="C69" s="756">
        <f t="shared" si="16"/>
        <v>10346.918142389375</v>
      </c>
      <c r="D69" s="69">
        <f t="shared" si="10"/>
        <v>0.35295863667278871</v>
      </c>
      <c r="E69" s="7">
        <v>2018</v>
      </c>
      <c r="F69" s="7"/>
      <c r="G69" s="25">
        <v>265.95404321705485</v>
      </c>
      <c r="H69" s="26">
        <f t="shared" si="11"/>
        <v>9.0723416595842894E-3</v>
      </c>
      <c r="I69" s="5"/>
      <c r="J69" s="25">
        <v>897.27986600846998</v>
      </c>
      <c r="K69" s="26">
        <f t="shared" si="12"/>
        <v>3.0608406663895492E-2</v>
      </c>
      <c r="L69" s="24"/>
      <c r="M69" s="25">
        <v>1183.8865350614719</v>
      </c>
      <c r="N69" s="26">
        <f t="shared" si="13"/>
        <v>4.0385259807813004E-2</v>
      </c>
      <c r="O69" s="24"/>
      <c r="P69" s="19">
        <f>'Private Car Analysis &amp; Split'!R73-'Private Car Analysis &amp; Split'!X73</f>
        <v>0</v>
      </c>
      <c r="Q69" s="26">
        <f t="shared" si="14"/>
        <v>0</v>
      </c>
      <c r="R69" s="24"/>
      <c r="S69" s="19">
        <f>'Private Car Analysis &amp; Split'!U73-'Private Car Analysis &amp; Split'!AA73</f>
        <v>202.26518733513092</v>
      </c>
      <c r="T69" s="26">
        <f t="shared" si="15"/>
        <v>6.8997593085904042E-3</v>
      </c>
      <c r="V69" s="100"/>
      <c r="W69" s="100"/>
    </row>
    <row r="70" spans="1:32" s="99" customFormat="1" ht="14.4" x14ac:dyDescent="0.3">
      <c r="B70" s="19">
        <f t="shared" si="9"/>
        <v>30233.500371254417</v>
      </c>
      <c r="C70" s="756">
        <f t="shared" si="16"/>
        <v>10417.632108435622</v>
      </c>
      <c r="D70" s="69">
        <f t="shared" si="10"/>
        <v>0.34457247690514059</v>
      </c>
      <c r="E70" s="7">
        <v>2019</v>
      </c>
      <c r="F70" s="7"/>
      <c r="G70" s="25">
        <v>455.57696355017856</v>
      </c>
      <c r="H70" s="26">
        <f t="shared" si="11"/>
        <v>1.5068614548626154E-2</v>
      </c>
      <c r="I70" s="5"/>
      <c r="J70" s="25">
        <v>969.45645679462791</v>
      </c>
      <c r="K70" s="26">
        <f t="shared" si="12"/>
        <v>3.2065637286126929E-2</v>
      </c>
      <c r="L70" s="24"/>
      <c r="M70" s="25">
        <v>2161.5884578791765</v>
      </c>
      <c r="N70" s="26">
        <f t="shared" si="13"/>
        <v>7.1496466877331355E-2</v>
      </c>
      <c r="O70" s="24"/>
      <c r="P70" s="19">
        <f>'Private Car Analysis &amp; Split'!R74-'Private Car Analysis &amp; Split'!X74</f>
        <v>0</v>
      </c>
      <c r="Q70" s="26">
        <f t="shared" si="14"/>
        <v>0</v>
      </c>
      <c r="R70" s="24"/>
      <c r="S70" s="19">
        <f>'Private Car Analysis &amp; Split'!U74-'Private Car Analysis &amp; Split'!AA74</f>
        <v>236.80133889119634</v>
      </c>
      <c r="T70" s="26">
        <f t="shared" si="15"/>
        <v>7.8324155649652696E-3</v>
      </c>
      <c r="V70" s="100"/>
      <c r="W70" s="100"/>
    </row>
    <row r="71" spans="1:32" s="99" customFormat="1" ht="14.4" x14ac:dyDescent="0.3">
      <c r="A71" s="30"/>
      <c r="B71" s="19">
        <f t="shared" si="9"/>
        <v>31169.676322327818</v>
      </c>
      <c r="C71" s="756">
        <f t="shared" si="16"/>
        <v>10608.284101995359</v>
      </c>
      <c r="D71" s="69">
        <f t="shared" si="10"/>
        <v>0.34033988650681984</v>
      </c>
      <c r="E71" s="33">
        <v>2020</v>
      </c>
      <c r="F71" s="33"/>
      <c r="G71" s="35">
        <v>532.07209173887907</v>
      </c>
      <c r="H71" s="26">
        <f t="shared" si="11"/>
        <v>1.7070183412772211E-2</v>
      </c>
      <c r="I71" s="30"/>
      <c r="J71" s="35">
        <v>1038.0980356057717</v>
      </c>
      <c r="K71" s="26">
        <f t="shared" si="12"/>
        <v>3.3304742239564082E-2</v>
      </c>
      <c r="L71" s="34"/>
      <c r="M71" s="35">
        <v>2766.5455149612299</v>
      </c>
      <c r="N71" s="26">
        <f t="shared" si="13"/>
        <v>8.8757595245846893E-2</v>
      </c>
      <c r="O71" s="34"/>
      <c r="P71" s="19">
        <f>'Private Car Analysis &amp; Split'!R75-'Private Car Analysis &amp; Split'!X75</f>
        <v>0</v>
      </c>
      <c r="Q71" s="26">
        <f t="shared" si="14"/>
        <v>0</v>
      </c>
      <c r="R71" s="34"/>
      <c r="S71" s="19">
        <f>'Private Car Analysis &amp; Split'!U75-'Private Car Analysis &amp; Split'!AA75</f>
        <v>275.05157674226717</v>
      </c>
      <c r="T71" s="26">
        <f t="shared" si="15"/>
        <v>8.8243321457027474E-3</v>
      </c>
      <c r="U71" s="34"/>
      <c r="V71" s="100"/>
      <c r="W71" s="100"/>
      <c r="AC71" s="64"/>
      <c r="AD71" s="13"/>
      <c r="AF71" s="13"/>
    </row>
    <row r="72" spans="1:32" ht="14.4" x14ac:dyDescent="0.3">
      <c r="B72" s="19">
        <f t="shared" si="9"/>
        <v>32098.234853161026</v>
      </c>
      <c r="C72" s="756">
        <f t="shared" si="16"/>
        <v>10781.175630783324</v>
      </c>
      <c r="D72" s="69">
        <f t="shared" si="10"/>
        <v>0.33588063892309633</v>
      </c>
      <c r="E72" s="7">
        <v>2021</v>
      </c>
      <c r="F72" s="7"/>
      <c r="G72" s="96">
        <v>608.22000496821863</v>
      </c>
      <c r="H72" s="26">
        <f t="shared" si="11"/>
        <v>1.8948705676515458E-2</v>
      </c>
      <c r="I72" s="2"/>
      <c r="J72" s="25">
        <v>1103.4361062865223</v>
      </c>
      <c r="K72" s="26">
        <f t="shared" si="12"/>
        <v>3.4376846930505162E-2</v>
      </c>
      <c r="L72" s="24"/>
      <c r="M72" s="25">
        <v>3376.8590313673471</v>
      </c>
      <c r="N72" s="26">
        <f t="shared" si="13"/>
        <v>0.10520388572192139</v>
      </c>
      <c r="O72" s="24"/>
      <c r="P72" s="19">
        <f>'Private Car Analysis &amp; Split'!R76-'Private Car Analysis &amp; Split'!X76</f>
        <v>14.521804163730337</v>
      </c>
      <c r="Q72" s="26">
        <f t="shared" si="14"/>
        <v>4.5241753106246694E-4</v>
      </c>
      <c r="R72" s="24"/>
      <c r="S72" s="19">
        <f>'Private Car Analysis &amp; Split'!U76-'Private Car Analysis &amp; Split'!AA76</f>
        <v>317.14774072656041</v>
      </c>
      <c r="T72" s="26">
        <f t="shared" si="15"/>
        <v>9.8805352436795377E-3</v>
      </c>
      <c r="V72" s="100"/>
      <c r="W72" s="100"/>
      <c r="X72" s="99"/>
      <c r="Y72" s="99"/>
      <c r="Z72" s="99"/>
      <c r="AA72" s="99"/>
      <c r="AB72" s="99"/>
    </row>
    <row r="73" spans="1:32" ht="14.4" x14ac:dyDescent="0.3">
      <c r="B73" s="19">
        <f t="shared" si="9"/>
        <v>33039.605298664756</v>
      </c>
      <c r="C73" s="756">
        <f t="shared" si="16"/>
        <v>10945.566478925934</v>
      </c>
      <c r="D73" s="69">
        <f t="shared" si="10"/>
        <v>0.33128623601833046</v>
      </c>
      <c r="E73" s="7">
        <v>2022</v>
      </c>
      <c r="F73" s="7"/>
      <c r="G73" s="96">
        <v>684.01726660848465</v>
      </c>
      <c r="H73" s="26">
        <f t="shared" si="11"/>
        <v>2.0702949094737768E-2</v>
      </c>
      <c r="I73" s="2"/>
      <c r="J73" s="25">
        <v>1165.7021726815024</v>
      </c>
      <c r="K73" s="26">
        <f t="shared" si="12"/>
        <v>3.5281964240917021E-2</v>
      </c>
      <c r="L73" s="24"/>
      <c r="M73" s="25">
        <v>3992.5290070975279</v>
      </c>
      <c r="N73" s="26">
        <f t="shared" si="13"/>
        <v>0.12084069924584964</v>
      </c>
      <c r="O73" s="24"/>
      <c r="P73" s="19">
        <f>'Private Car Analysis &amp; Split'!R77-'Private Car Analysis &amp; Split'!X77</f>
        <v>42.108040300586651</v>
      </c>
      <c r="Q73" s="26">
        <f t="shared" si="14"/>
        <v>1.2744716506128595E-3</v>
      </c>
      <c r="R73" s="24"/>
      <c r="S73" s="19">
        <f>'Private Car Analysis &amp; Split'!U77-'Private Car Analysis &amp; Split'!AA77</f>
        <v>363.22167068229345</v>
      </c>
      <c r="T73" s="26">
        <f t="shared" si="15"/>
        <v>1.0993523300260868E-2</v>
      </c>
      <c r="V73" s="100"/>
      <c r="W73" s="100"/>
      <c r="X73" s="99"/>
      <c r="Y73" s="99"/>
      <c r="Z73" s="99"/>
      <c r="AA73" s="99"/>
      <c r="AB73" s="99"/>
    </row>
    <row r="74" spans="1:32" ht="14.4" x14ac:dyDescent="0.3">
      <c r="B74" s="19">
        <f t="shared" si="9"/>
        <v>33993.911424286372</v>
      </c>
      <c r="C74" s="756">
        <f t="shared" si="16"/>
        <v>11097.422948432535</v>
      </c>
      <c r="D74" s="69">
        <f t="shared" si="10"/>
        <v>0.32645325246403301</v>
      </c>
      <c r="E74" s="7">
        <v>2023</v>
      </c>
      <c r="F74" s="7"/>
      <c r="G74" s="96">
        <v>759.46052460603187</v>
      </c>
      <c r="H74" s="26">
        <f t="shared" si="11"/>
        <v>2.2341074998020034E-2</v>
      </c>
      <c r="I74" s="2"/>
      <c r="J74" s="25">
        <v>1225.1277386353324</v>
      </c>
      <c r="K74" s="26">
        <f t="shared" si="12"/>
        <v>3.6039622606066468E-2</v>
      </c>
      <c r="L74" s="24"/>
      <c r="M74" s="25">
        <v>4613.5554421517736</v>
      </c>
      <c r="N74" s="26">
        <f t="shared" si="13"/>
        <v>0.13571711076636203</v>
      </c>
      <c r="O74" s="24"/>
      <c r="P74" s="19">
        <f>'Private Car Analysis &amp; Split'!R78-'Private Car Analysis &amp; Split'!X78</f>
        <v>86.481863912961956</v>
      </c>
      <c r="Q74" s="26">
        <f t="shared" si="14"/>
        <v>2.5440398085869124E-3</v>
      </c>
      <c r="R74" s="24"/>
      <c r="S74" s="19">
        <f>'Private Car Analysis &amp; Split'!U78-'Private Car Analysis &amp; Split'!AA78</f>
        <v>413.40520644768333</v>
      </c>
      <c r="T74" s="26">
        <f t="shared" si="15"/>
        <v>1.2161154428152477E-2</v>
      </c>
      <c r="V74" s="100"/>
      <c r="W74" s="100"/>
      <c r="X74" s="99"/>
      <c r="Y74" s="99"/>
      <c r="Z74" s="99"/>
      <c r="AA74" s="99"/>
      <c r="AB74" s="99"/>
    </row>
    <row r="75" spans="1:32" ht="14.4" x14ac:dyDescent="0.3">
      <c r="B75" s="19">
        <f t="shared" si="9"/>
        <v>34960.700316671842</v>
      </c>
      <c r="C75" s="756">
        <f t="shared" si="16"/>
        <v>11232.34812830579</v>
      </c>
      <c r="D75" s="69">
        <f t="shared" si="10"/>
        <v>0.32128498647234988</v>
      </c>
      <c r="E75" s="7">
        <v>2024</v>
      </c>
      <c r="F75" s="7"/>
      <c r="G75" s="96">
        <v>834.54651166261465</v>
      </c>
      <c r="H75" s="26">
        <f t="shared" si="11"/>
        <v>2.3870989542639148E-2</v>
      </c>
      <c r="I75" s="2"/>
      <c r="J75" s="25">
        <v>1281.9443079926345</v>
      </c>
      <c r="K75" s="26">
        <f t="shared" si="12"/>
        <v>3.6668152994100887E-2</v>
      </c>
      <c r="L75" s="24"/>
      <c r="M75" s="25">
        <v>5239.9383365300819</v>
      </c>
      <c r="N75" s="26">
        <f t="shared" si="13"/>
        <v>0.1498808172910453</v>
      </c>
      <c r="O75" s="24"/>
      <c r="P75" s="19">
        <f>'Private Car Analysis &amp; Split'!R79-'Private Car Analysis &amp; Split'!X79</f>
        <v>151.499152999692</v>
      </c>
      <c r="Q75" s="26">
        <f t="shared" si="14"/>
        <v>4.3334129930871559E-3</v>
      </c>
      <c r="R75" s="24"/>
      <c r="S75" s="19">
        <f>'Private Car Analysis &amp; Split'!U79-'Private Car Analysis &amp; Split'!AA79</f>
        <v>467.83018786094738</v>
      </c>
      <c r="T75" s="26">
        <f t="shared" si="15"/>
        <v>1.3381602302681889E-2</v>
      </c>
      <c r="V75" s="100"/>
      <c r="W75" s="100"/>
      <c r="X75" s="99"/>
      <c r="Y75" s="99"/>
      <c r="Z75" s="99"/>
      <c r="AA75" s="99"/>
      <c r="AB75" s="99"/>
    </row>
    <row r="76" spans="1:32" ht="14.4" x14ac:dyDescent="0.3">
      <c r="B76" s="19">
        <f t="shared" si="9"/>
        <v>35939.65896838472</v>
      </c>
      <c r="C76" s="756">
        <f t="shared" si="16"/>
        <v>11345.868198046472</v>
      </c>
      <c r="D76" s="69">
        <f t="shared" si="10"/>
        <v>0.31569214966750708</v>
      </c>
      <c r="E76" s="7">
        <v>2025</v>
      </c>
      <c r="F76" s="7"/>
      <c r="G76" s="96">
        <v>909.27204537602029</v>
      </c>
      <c r="H76" s="26">
        <f t="shared" si="11"/>
        <v>2.5299963090242055E-2</v>
      </c>
      <c r="I76" s="2"/>
      <c r="J76" s="25">
        <v>1336.38338459803</v>
      </c>
      <c r="K76" s="26">
        <f t="shared" si="12"/>
        <v>3.7184086409212044E-2</v>
      </c>
      <c r="L76" s="24"/>
      <c r="M76" s="25">
        <v>5877.68998173004</v>
      </c>
      <c r="N76" s="26">
        <f t="shared" si="13"/>
        <v>0.16354328756709982</v>
      </c>
      <c r="O76" s="24"/>
      <c r="P76" s="19">
        <f>'Private Car Analysis &amp; Split'!R80-'Private Car Analysis &amp; Split'!X80</f>
        <v>241.14850805605522</v>
      </c>
      <c r="Q76" s="26">
        <f t="shared" si="14"/>
        <v>6.7098162580838047E-3</v>
      </c>
      <c r="R76" s="24"/>
      <c r="S76" s="19">
        <f>'Private Car Analysis &amp; Split'!U80-'Private Car Analysis &amp; Split'!AA80</f>
        <v>526.6284547603027</v>
      </c>
      <c r="T76" s="26">
        <f t="shared" si="15"/>
        <v>1.4653128879813954E-2</v>
      </c>
      <c r="V76" s="100"/>
      <c r="W76" s="100"/>
      <c r="X76" s="99"/>
      <c r="Y76" s="99"/>
      <c r="Z76" s="99"/>
      <c r="AA76" s="99"/>
      <c r="AB76" s="99"/>
    </row>
    <row r="77" spans="1:32" ht="14.4" x14ac:dyDescent="0.3">
      <c r="B77" s="19">
        <f t="shared" si="9"/>
        <v>36931.057136525327</v>
      </c>
      <c r="C77" s="756">
        <f t="shared" si="16"/>
        <v>11433.609366904882</v>
      </c>
      <c r="D77" s="69">
        <f t="shared" si="10"/>
        <v>0.30959334103644937</v>
      </c>
      <c r="E77" s="7">
        <v>2026</v>
      </c>
      <c r="F77" s="7"/>
      <c r="G77" s="96">
        <v>983.63402834241811</v>
      </c>
      <c r="H77" s="26">
        <f t="shared" si="11"/>
        <v>2.6634331768683395E-2</v>
      </c>
      <c r="I77" s="2"/>
      <c r="J77" s="25">
        <v>1388.6764722961407</v>
      </c>
      <c r="K77" s="26">
        <f t="shared" si="12"/>
        <v>3.7601860871800508E-2</v>
      </c>
      <c r="L77" s="24"/>
      <c r="M77" s="25">
        <v>6525.8083291687171</v>
      </c>
      <c r="N77" s="26">
        <f t="shared" si="13"/>
        <v>0.17670245140951035</v>
      </c>
      <c r="O77" s="24"/>
      <c r="P77" s="19">
        <f>'Private Car Analysis &amp; Split'!R81-'Private Car Analysis &amp; Split'!X81</f>
        <v>359.55125207377262</v>
      </c>
      <c r="Q77" s="26">
        <f t="shared" si="14"/>
        <v>9.7357422167634478E-3</v>
      </c>
      <c r="R77" s="24"/>
      <c r="S77" s="19">
        <f>'Private Car Analysis &amp; Split'!U81-'Private Car Analysis &amp; Split'!AA81</f>
        <v>589.93184698396647</v>
      </c>
      <c r="T77" s="26">
        <f t="shared" si="15"/>
        <v>1.5973868411162152E-2</v>
      </c>
      <c r="V77" s="100"/>
      <c r="W77" s="100"/>
      <c r="X77" s="99"/>
      <c r="Y77" s="99"/>
      <c r="Z77" s="99"/>
      <c r="AA77" s="99"/>
      <c r="AB77" s="99"/>
    </row>
    <row r="78" spans="1:32" ht="14.4" x14ac:dyDescent="0.3">
      <c r="B78" s="19">
        <f t="shared" si="9"/>
        <v>37935.484772566633</v>
      </c>
      <c r="C78" s="756">
        <f t="shared" si="16"/>
        <v>11491.192966757664</v>
      </c>
      <c r="D78" s="69">
        <f t="shared" si="10"/>
        <v>0.30291409311494072</v>
      </c>
      <c r="E78" s="7">
        <v>2027</v>
      </c>
      <c r="F78" s="7"/>
      <c r="G78" s="96">
        <v>1057.6294482208611</v>
      </c>
      <c r="H78" s="26">
        <f t="shared" si="11"/>
        <v>2.7879687173147576E-2</v>
      </c>
      <c r="I78" s="2"/>
      <c r="J78" s="25">
        <v>1439.0550749315878</v>
      </c>
      <c r="K78" s="26">
        <f t="shared" si="12"/>
        <v>3.7934274032850969E-2</v>
      </c>
      <c r="L78" s="24"/>
      <c r="M78" s="25">
        <v>7178.9369195220461</v>
      </c>
      <c r="N78" s="26">
        <f t="shared" si="13"/>
        <v>0.1892406796054325</v>
      </c>
      <c r="O78" s="24"/>
      <c r="P78" s="19">
        <f>'Private Car Analysis &amp; Split'!R82-'Private Car Analysis &amp; Split'!X82</f>
        <v>510.96143054100799</v>
      </c>
      <c r="Q78" s="26">
        <f t="shared" si="14"/>
        <v>1.3469221063190791E-2</v>
      </c>
      <c r="R78" s="24"/>
      <c r="S78" s="19">
        <f>'Private Car Analysis &amp; Split'!U82-'Private Car Analysis &amp; Split'!AA82</f>
        <v>657.87220437015571</v>
      </c>
      <c r="T78" s="26">
        <f t="shared" si="15"/>
        <v>1.7341868920728847E-2</v>
      </c>
      <c r="V78" s="100"/>
      <c r="W78" s="100"/>
      <c r="X78" s="99"/>
      <c r="Y78" s="99"/>
      <c r="Z78" s="99"/>
      <c r="AA78" s="99"/>
      <c r="AB78" s="99"/>
    </row>
    <row r="79" spans="1:32" ht="14.4" x14ac:dyDescent="0.3">
      <c r="B79" s="19">
        <f t="shared" si="9"/>
        <v>38953.191004810251</v>
      </c>
      <c r="C79" s="756">
        <f t="shared" si="16"/>
        <v>11513.971349696763</v>
      </c>
      <c r="D79" s="69">
        <f t="shared" si="10"/>
        <v>0.29558480454848812</v>
      </c>
      <c r="E79" s="7">
        <v>2028</v>
      </c>
      <c r="F79" s="7"/>
      <c r="G79" s="96">
        <v>1131.2553777604028</v>
      </c>
      <c r="H79" s="26">
        <f t="shared" si="11"/>
        <v>2.9041404531420966E-2</v>
      </c>
      <c r="I79" s="2"/>
      <c r="J79" s="25">
        <v>1487.750696348993</v>
      </c>
      <c r="K79" s="26">
        <f t="shared" si="12"/>
        <v>3.8193294515082826E-2</v>
      </c>
      <c r="L79" s="24"/>
      <c r="M79" s="25">
        <v>7837.0757527900314</v>
      </c>
      <c r="N79" s="26">
        <f t="shared" si="13"/>
        <v>0.20119213729684551</v>
      </c>
      <c r="O79" s="24"/>
      <c r="P79" s="19">
        <f>'Private Car Analysis &amp; Split'!R83-'Private Car Analysis &amp; Split'!X83</f>
        <v>699.76581144236775</v>
      </c>
      <c r="Q79" s="26">
        <f t="shared" si="14"/>
        <v>1.7964274386556806E-2</v>
      </c>
      <c r="R79" s="24"/>
      <c r="S79" s="19">
        <f>'Private Car Analysis &amp; Split'!U83-'Private Car Analysis &amp; Split'!AA83</f>
        <v>730.58136675708784</v>
      </c>
      <c r="T79" s="26">
        <f t="shared" si="15"/>
        <v>1.8755366323310197E-2</v>
      </c>
      <c r="V79" s="100"/>
      <c r="W79" s="100"/>
      <c r="X79" s="99"/>
      <c r="Y79" s="99"/>
      <c r="Z79" s="99"/>
      <c r="AA79" s="99"/>
      <c r="AB79" s="99"/>
    </row>
    <row r="80" spans="1:32" ht="14.4" x14ac:dyDescent="0.3">
      <c r="B80" s="19">
        <f t="shared" si="9"/>
        <v>39984.440125321955</v>
      </c>
      <c r="C80" s="756">
        <f t="shared" si="16"/>
        <v>11497.170118754828</v>
      </c>
      <c r="D80" s="69">
        <f t="shared" si="10"/>
        <v>0.28754110555805246</v>
      </c>
      <c r="E80" s="7">
        <v>2029</v>
      </c>
      <c r="F80" s="7"/>
      <c r="G80" s="96">
        <v>1204.5089747903125</v>
      </c>
      <c r="H80" s="26">
        <f t="shared" si="11"/>
        <v>3.0124442683580374E-2</v>
      </c>
      <c r="I80" s="2"/>
      <c r="J80" s="25">
        <v>1534.9948403929779</v>
      </c>
      <c r="K80" s="26">
        <f t="shared" si="12"/>
        <v>3.838980452350696E-2</v>
      </c>
      <c r="L80" s="24"/>
      <c r="M80" s="25">
        <v>8500.2248289726685</v>
      </c>
      <c r="N80" s="26">
        <f t="shared" si="13"/>
        <v>0.21258831691354649</v>
      </c>
      <c r="O80" s="24"/>
      <c r="P80" s="19">
        <f>'Private Car Analysis &amp; Split'!R84-'Private Car Analysis &amp; Split'!X84</f>
        <v>930.48388525890118</v>
      </c>
      <c r="Q80" s="26">
        <f t="shared" si="14"/>
        <v>2.3271149535732279E-2</v>
      </c>
      <c r="R80" s="24"/>
      <c r="S80" s="19">
        <f>'Private Car Analysis &amp; Split'!U84-'Private Car Analysis &amp; Split'!AA84</f>
        <v>808.1911739829801</v>
      </c>
      <c r="T80" s="26">
        <f t="shared" si="15"/>
        <v>2.0212642003986859E-2</v>
      </c>
      <c r="V80" s="100"/>
      <c r="W80" s="100"/>
      <c r="X80" s="99"/>
      <c r="Y80" s="99"/>
      <c r="Z80" s="99"/>
      <c r="AA80" s="99"/>
      <c r="AB80" s="99"/>
    </row>
    <row r="81" spans="2:28" ht="14.4" x14ac:dyDescent="0.3">
      <c r="B81" s="19">
        <f t="shared" si="9"/>
        <v>41029.474351604615</v>
      </c>
      <c r="C81" s="756">
        <f t="shared" si="16"/>
        <v>10949.145064214761</v>
      </c>
      <c r="D81" s="69">
        <f t="shared" si="10"/>
        <v>0.26686047621242687</v>
      </c>
      <c r="E81" s="7">
        <v>2030</v>
      </c>
      <c r="F81" s="7"/>
      <c r="G81" s="96">
        <v>1277.3874821738989</v>
      </c>
      <c r="H81" s="26">
        <f t="shared" si="11"/>
        <v>3.1133410855504702E-2</v>
      </c>
      <c r="I81" s="2"/>
      <c r="J81" s="25">
        <v>1581.0190109081641</v>
      </c>
      <c r="K81" s="26">
        <f t="shared" si="12"/>
        <v>3.8533737901673415E-2</v>
      </c>
      <c r="L81" s="24"/>
      <c r="M81" s="25">
        <v>9168.3841480699593</v>
      </c>
      <c r="N81" s="26">
        <f t="shared" si="13"/>
        <v>0.22345848424722495</v>
      </c>
      <c r="O81" s="24"/>
      <c r="P81" s="19">
        <f>'Private Car Analysis &amp; Split'!R85-'Private Car Analysis &amp; Split'!X85</f>
        <v>1207.7678649680993</v>
      </c>
      <c r="Q81" s="26">
        <f t="shared" si="14"/>
        <v>2.9436591232392059E-2</v>
      </c>
      <c r="R81" s="24"/>
      <c r="S81" s="19">
        <f>'Private Car Analysis &amp; Split'!U85-'Private Car Analysis &amp; Split'!AA85</f>
        <v>979.91681247465442</v>
      </c>
      <c r="T81" s="26">
        <f t="shared" si="15"/>
        <v>2.3883240718055435E-2</v>
      </c>
      <c r="V81" s="100"/>
      <c r="W81" s="100"/>
      <c r="X81" s="99"/>
      <c r="Y81" s="99"/>
      <c r="Z81" s="99"/>
      <c r="AA81" s="99"/>
      <c r="AB81" s="99"/>
    </row>
    <row r="82" spans="2:28" ht="14.4" x14ac:dyDescent="0.3">
      <c r="B82" s="19">
        <f t="shared" si="9"/>
        <v>42088.527573781801</v>
      </c>
      <c r="C82" s="756">
        <f t="shared" si="16"/>
        <v>10522.413561315283</v>
      </c>
      <c r="D82" s="69">
        <f t="shared" si="10"/>
        <v>0.25000669227188665</v>
      </c>
      <c r="E82" s="7">
        <v>2031</v>
      </c>
      <c r="F82" s="7"/>
      <c r="G82" s="96">
        <v>1349.8882277264674</v>
      </c>
      <c r="H82" s="26">
        <f t="shared" si="11"/>
        <v>3.2072593306099711E-2</v>
      </c>
      <c r="I82" s="2"/>
      <c r="J82" s="25">
        <v>1626.0547117391732</v>
      </c>
      <c r="K82" s="26">
        <f t="shared" si="12"/>
        <v>3.8634155326262618E-2</v>
      </c>
      <c r="L82" s="24"/>
      <c r="M82" s="25">
        <v>9841.5537100819056</v>
      </c>
      <c r="N82" s="26">
        <f t="shared" si="13"/>
        <v>0.23382984099003032</v>
      </c>
      <c r="O82" s="24"/>
      <c r="P82" s="19">
        <f>'Private Car Analysis &amp; Split'!R86-'Private Car Analysis &amp; Split'!X86</f>
        <v>1396.7297145853613</v>
      </c>
      <c r="Q82" s="26">
        <f t="shared" si="14"/>
        <v>3.3185520974495335E-2</v>
      </c>
      <c r="R82" s="24"/>
      <c r="S82" s="19">
        <f>'Private Car Analysis &amp; Split'!U86-'Private Car Analysis &amp; Split'!AA86</f>
        <v>1076.5040905349647</v>
      </c>
      <c r="T82" s="26">
        <f t="shared" si="15"/>
        <v>2.5577138298502777E-2</v>
      </c>
      <c r="V82" s="100"/>
      <c r="W82" s="100"/>
      <c r="X82" s="99"/>
      <c r="Y82" s="99"/>
      <c r="Z82" s="99"/>
      <c r="AA82" s="99"/>
      <c r="AB82" s="99"/>
    </row>
    <row r="83" spans="2:28" ht="14.4" x14ac:dyDescent="0.3">
      <c r="B83" s="19">
        <f t="shared" si="9"/>
        <v>43161.96726403365</v>
      </c>
      <c r="C83" s="756">
        <f t="shared" si="16"/>
        <v>10079.409881564139</v>
      </c>
      <c r="D83" s="69">
        <f t="shared" si="10"/>
        <v>0.23352526588757205</v>
      </c>
      <c r="E83" s="7">
        <v>2032</v>
      </c>
      <c r="F83" s="7"/>
      <c r="G83" s="96">
        <v>1422.0086240979629</v>
      </c>
      <c r="H83" s="26">
        <f t="shared" si="11"/>
        <v>3.2945871428870337E-2</v>
      </c>
      <c r="I83" s="2"/>
      <c r="J83" s="25">
        <v>1670.3334467306265</v>
      </c>
      <c r="K83" s="26">
        <f t="shared" si="12"/>
        <v>3.8699196366855489E-2</v>
      </c>
      <c r="L83" s="24"/>
      <c r="M83" s="25">
        <v>10519.733515008505</v>
      </c>
      <c r="N83" s="26">
        <f t="shared" si="13"/>
        <v>0.24372692399900117</v>
      </c>
      <c r="O83" s="24"/>
      <c r="P83" s="19">
        <f>'Private Car Analysis &amp; Split'!R87-'Private Car Analysis &amp; Split'!X87</f>
        <v>1601.0883387138933</v>
      </c>
      <c r="Q83" s="26">
        <f t="shared" si="14"/>
        <v>3.7094887935009882E-2</v>
      </c>
      <c r="R83" s="24"/>
      <c r="S83" s="19">
        <f>'Private Car Analysis &amp; Split'!U87-'Private Car Analysis &amp; Split'!AA87</f>
        <v>1178.9171493842473</v>
      </c>
      <c r="T83" s="26">
        <f t="shared" si="15"/>
        <v>2.7313795549968475E-2</v>
      </c>
      <c r="V83" s="100"/>
      <c r="W83" s="100"/>
      <c r="X83" s="99"/>
      <c r="Y83" s="99"/>
      <c r="Z83" s="99"/>
      <c r="AA83" s="99"/>
      <c r="AB83" s="99"/>
    </row>
    <row r="84" spans="2:28" ht="14.4" x14ac:dyDescent="0.3">
      <c r="B84" s="19">
        <f t="shared" si="9"/>
        <v>44250.466123173443</v>
      </c>
      <c r="C84" s="756">
        <f t="shared" si="16"/>
        <v>9619.8407651265006</v>
      </c>
      <c r="D84" s="69">
        <f t="shared" si="10"/>
        <v>0.21739524140489686</v>
      </c>
      <c r="E84" s="7">
        <v>2033</v>
      </c>
      <c r="F84" s="7"/>
      <c r="G84" s="96">
        <v>1493.7461686208626</v>
      </c>
      <c r="H84" s="26">
        <f t="shared" si="11"/>
        <v>3.3756619974644866E-2</v>
      </c>
      <c r="I84" s="2"/>
      <c r="J84" s="25">
        <v>1714.0867197271457</v>
      </c>
      <c r="K84" s="26">
        <f t="shared" si="12"/>
        <v>3.87360150050374E-2</v>
      </c>
      <c r="L84" s="24"/>
      <c r="M84" s="25">
        <v>11202.923562849759</v>
      </c>
      <c r="N84" s="26">
        <f t="shared" si="13"/>
        <v>0.25317074698525993</v>
      </c>
      <c r="O84" s="24"/>
      <c r="P84" s="19">
        <f>'Private Car Analysis &amp; Split'!R88-'Private Car Analysis &amp; Split'!X88</f>
        <v>1821.1755435948023</v>
      </c>
      <c r="Q84" s="26">
        <f t="shared" si="14"/>
        <v>4.1156075927549933E-2</v>
      </c>
      <c r="R84" s="24"/>
      <c r="S84" s="19">
        <f>'Private Car Analysis &amp; Split'!U88-'Private Car Analysis &amp; Split'!AA88</f>
        <v>1287.3010128445419</v>
      </c>
      <c r="T84" s="26">
        <f t="shared" si="15"/>
        <v>2.9091241869888408E-2</v>
      </c>
      <c r="V84" s="100"/>
      <c r="W84" s="100"/>
      <c r="X84" s="99"/>
      <c r="Y84" s="99"/>
      <c r="Z84" s="99"/>
      <c r="AA84" s="99"/>
      <c r="AB84" s="99"/>
    </row>
    <row r="85" spans="2:28" ht="14.4" x14ac:dyDescent="0.3">
      <c r="B85" s="19">
        <f t="shared" si="9"/>
        <v>45354.859388420766</v>
      </c>
      <c r="C85" s="756">
        <f t="shared" si="16"/>
        <v>9143.5125522149156</v>
      </c>
      <c r="D85" s="69">
        <f t="shared" si="10"/>
        <v>0.2015994024787845</v>
      </c>
      <c r="E85" s="7">
        <v>2034</v>
      </c>
      <c r="F85" s="7"/>
      <c r="G85" s="96">
        <v>1565.0984431239096</v>
      </c>
      <c r="H85" s="26">
        <f t="shared" si="11"/>
        <v>3.4507844677024488E-2</v>
      </c>
      <c r="I85" s="2"/>
      <c r="J85" s="25">
        <v>1757.5460345733522</v>
      </c>
      <c r="K85" s="26">
        <f t="shared" si="12"/>
        <v>3.8750997319199253E-2</v>
      </c>
      <c r="L85" s="24"/>
      <c r="M85" s="25">
        <v>11891.123853605666</v>
      </c>
      <c r="N85" s="26">
        <f t="shared" si="13"/>
        <v>0.26217970938394103</v>
      </c>
      <c r="O85" s="24"/>
      <c r="P85" s="19">
        <f>'Private Car Analysis &amp; Split'!R89-'Private Car Analysis &amp; Split'!X89</f>
        <v>2057.3231354691952</v>
      </c>
      <c r="Q85" s="26">
        <f t="shared" si="14"/>
        <v>4.5360588991142065E-2</v>
      </c>
      <c r="R85" s="24"/>
      <c r="S85" s="19">
        <f>'Private Car Analysis &amp; Split'!U89-'Private Car Analysis &amp; Split'!AA89</f>
        <v>1401.8007047378867</v>
      </c>
      <c r="T85" s="26">
        <f t="shared" si="15"/>
        <v>3.0907398317186068E-2</v>
      </c>
      <c r="V85" s="100"/>
      <c r="W85" s="100"/>
      <c r="X85" s="99"/>
      <c r="Y85" s="99"/>
      <c r="Z85" s="99"/>
      <c r="AA85" s="99"/>
      <c r="AB85" s="99"/>
    </row>
    <row r="86" spans="2:28" ht="14.4" x14ac:dyDescent="0.3">
      <c r="B86" s="19">
        <f t="shared" si="9"/>
        <v>46475.857809981047</v>
      </c>
      <c r="C86" s="756">
        <f t="shared" si="16"/>
        <v>8640.7235308339186</v>
      </c>
      <c r="D86" s="69">
        <f t="shared" si="10"/>
        <v>0.18591853788179585</v>
      </c>
      <c r="E86" s="7">
        <v>2035</v>
      </c>
      <c r="F86" s="7"/>
      <c r="G86" s="96">
        <v>1636.0631137122898</v>
      </c>
      <c r="H86" s="26">
        <f t="shared" si="11"/>
        <v>3.5202429622739159E-2</v>
      </c>
      <c r="I86" s="2"/>
      <c r="J86" s="25">
        <v>1800.9428951138677</v>
      </c>
      <c r="K86" s="26">
        <f t="shared" si="12"/>
        <v>3.8750073263351392E-2</v>
      </c>
      <c r="L86" s="24"/>
      <c r="M86" s="25">
        <v>12593.766006582413</v>
      </c>
      <c r="N86" s="26">
        <f t="shared" si="13"/>
        <v>0.2709743638960399</v>
      </c>
      <c r="O86" s="24"/>
      <c r="P86" s="19">
        <f>'Private Car Analysis &amp; Split'!R90-'Private Car Analysis &amp; Split'!X90</f>
        <v>2309.8629205781781</v>
      </c>
      <c r="Q86" s="26">
        <f t="shared" si="14"/>
        <v>4.9700275141174852E-2</v>
      </c>
      <c r="R86" s="24"/>
      <c r="S86" s="19">
        <f>'Private Car Analysis &amp; Split'!U90-'Private Car Analysis &amp; Split'!AA90</f>
        <v>1522.5612488863212</v>
      </c>
      <c r="T86" s="26">
        <f t="shared" si="15"/>
        <v>3.2760261362176288E-2</v>
      </c>
      <c r="V86" s="100"/>
      <c r="W86" s="100"/>
      <c r="X86" s="99"/>
      <c r="Y86" s="99"/>
      <c r="Z86" s="99"/>
      <c r="AA86" s="99"/>
      <c r="AB86" s="99"/>
    </row>
    <row r="87" spans="2:28" ht="14.4" x14ac:dyDescent="0.3">
      <c r="B87" s="19">
        <f t="shared" si="9"/>
        <v>47613.950601827237</v>
      </c>
      <c r="C87" s="756">
        <f t="shared" si="16"/>
        <v>8150.7283394918904</v>
      </c>
      <c r="D87" s="69">
        <f t="shared" si="10"/>
        <v>0.17118361817217279</v>
      </c>
      <c r="E87" s="7">
        <v>2036</v>
      </c>
      <c r="F87" s="7"/>
      <c r="G87" s="96">
        <v>1706.6379305148716</v>
      </c>
      <c r="H87" s="26">
        <f t="shared" si="11"/>
        <v>3.5843233105916181E-2</v>
      </c>
      <c r="I87" s="2"/>
      <c r="J87" s="25">
        <v>1844.5088051933139</v>
      </c>
      <c r="K87" s="26">
        <f t="shared" si="12"/>
        <v>3.8738831411366421E-2</v>
      </c>
      <c r="L87" s="24"/>
      <c r="M87" s="25">
        <v>13271.189337071091</v>
      </c>
      <c r="N87" s="26">
        <f t="shared" si="13"/>
        <v>0.27872481004678062</v>
      </c>
      <c r="O87" s="24"/>
      <c r="P87" s="19">
        <f>'Private Car Analysis &amp; Split'!R91-'Private Car Analysis &amp; Split'!X91</f>
        <v>2579.1267051628574</v>
      </c>
      <c r="Q87" s="26">
        <f t="shared" si="14"/>
        <v>5.4167458750290734E-2</v>
      </c>
      <c r="R87" s="24"/>
      <c r="S87" s="19">
        <f>'Private Car Analysis &amp; Split'!U91-'Private Car Analysis &amp; Split'!AA91</f>
        <v>1649.7276691118841</v>
      </c>
      <c r="T87" s="26">
        <f t="shared" si="15"/>
        <v>3.464798968075071E-2</v>
      </c>
      <c r="V87" s="100"/>
      <c r="W87" s="100"/>
      <c r="X87" s="99"/>
      <c r="Y87" s="99"/>
      <c r="Z87" s="99"/>
      <c r="AA87" s="99"/>
      <c r="AB87" s="99"/>
    </row>
    <row r="88" spans="2:28" ht="14.4" x14ac:dyDescent="0.3">
      <c r="B88" s="19">
        <f t="shared" si="9"/>
        <v>48769.357016203649</v>
      </c>
      <c r="C88" s="756">
        <f t="shared" si="16"/>
        <v>7634.8665309597491</v>
      </c>
      <c r="D88" s="69">
        <f t="shared" si="10"/>
        <v>0.15655048575733857</v>
      </c>
      <c r="E88" s="7">
        <v>2037</v>
      </c>
      <c r="F88" s="7"/>
      <c r="G88" s="96">
        <v>1776.8207273991472</v>
      </c>
      <c r="H88" s="26">
        <f t="shared" si="11"/>
        <v>3.6433138267719982E-2</v>
      </c>
      <c r="I88" s="2"/>
      <c r="J88" s="25">
        <v>1888.4752686563122</v>
      </c>
      <c r="K88" s="26">
        <f t="shared" si="12"/>
        <v>3.8722578770699505E-2</v>
      </c>
      <c r="L88" s="24"/>
      <c r="M88" s="25">
        <v>13961.482593229579</v>
      </c>
      <c r="N88" s="26">
        <f t="shared" si="13"/>
        <v>0.2862757158883778</v>
      </c>
      <c r="O88" s="24"/>
      <c r="P88" s="19">
        <f>'Private Car Analysis &amp; Split'!R92-'Private Car Analysis &amp; Split'!X92</f>
        <v>2865.4462954643418</v>
      </c>
      <c r="Q88" s="26">
        <f t="shared" si="14"/>
        <v>5.8755055854279474E-2</v>
      </c>
      <c r="R88" s="24"/>
      <c r="S88" s="19">
        <f>'Private Car Analysis &amp; Split'!U92-'Private Car Analysis &amp; Split'!AA92</f>
        <v>1783.4449892366138</v>
      </c>
      <c r="T88" s="26">
        <f t="shared" si="15"/>
        <v>3.6568966628862117E-2</v>
      </c>
      <c r="V88" s="100"/>
      <c r="W88" s="100"/>
      <c r="X88" s="99"/>
      <c r="Y88" s="99"/>
      <c r="Z88" s="99"/>
      <c r="AA88" s="99"/>
      <c r="AB88" s="99"/>
    </row>
    <row r="89" spans="2:28" ht="14.4" x14ac:dyDescent="0.3">
      <c r="B89" s="19">
        <f t="shared" si="9"/>
        <v>49942.183216548918</v>
      </c>
      <c r="C89" s="756">
        <f t="shared" si="16"/>
        <v>7092.4969647079688</v>
      </c>
      <c r="D89" s="69">
        <f t="shared" si="10"/>
        <v>0.1420141553274705</v>
      </c>
      <c r="E89" s="7">
        <v>2038</v>
      </c>
      <c r="F89" s="7"/>
      <c r="G89" s="96">
        <v>1846.6094216545273</v>
      </c>
      <c r="H89" s="26">
        <f t="shared" si="11"/>
        <v>3.6974943879558554E-2</v>
      </c>
      <c r="I89" s="2"/>
      <c r="J89" s="25">
        <v>1933.0737893474836</v>
      </c>
      <c r="K89" s="26">
        <f t="shared" si="12"/>
        <v>3.870623318499495E-2</v>
      </c>
      <c r="L89" s="24"/>
      <c r="M89" s="25">
        <v>14664.645775057872</v>
      </c>
      <c r="N89" s="26">
        <f t="shared" si="13"/>
        <v>0.29363245318035219</v>
      </c>
      <c r="O89" s="24"/>
      <c r="P89" s="19">
        <f>'Private Car Analysis &amp; Split'!R93-'Private Car Analysis &amp; Split'!X93</f>
        <v>3169.1534977237357</v>
      </c>
      <c r="Q89" s="26">
        <f t="shared" si="14"/>
        <v>6.3456446907463188E-2</v>
      </c>
      <c r="R89" s="24"/>
      <c r="S89" s="19">
        <f>'Private Car Analysis &amp; Split'!U93-'Private Car Analysis &amp; Split'!AA93</f>
        <v>1923.85823308255</v>
      </c>
      <c r="T89" s="26">
        <f t="shared" si="15"/>
        <v>3.8521708687437949E-2</v>
      </c>
      <c r="V89" s="100"/>
      <c r="W89" s="100"/>
      <c r="X89" s="99"/>
      <c r="Y89" s="99"/>
      <c r="Z89" s="99"/>
      <c r="AA89" s="99"/>
      <c r="AB89" s="99"/>
    </row>
    <row r="90" spans="2:28" ht="14.4" x14ac:dyDescent="0.3">
      <c r="B90" s="19">
        <f t="shared" si="9"/>
        <v>51132.381094602591</v>
      </c>
      <c r="C90" s="756">
        <f t="shared" si="16"/>
        <v>6683.9657685205157</v>
      </c>
      <c r="D90" s="69">
        <f t="shared" si="10"/>
        <v>0.13071884440808995</v>
      </c>
      <c r="E90" s="7">
        <v>2039</v>
      </c>
      <c r="F90" s="7"/>
      <c r="G90" s="96">
        <v>1916.0020136446519</v>
      </c>
      <c r="H90" s="26">
        <f t="shared" si="11"/>
        <v>3.7471402125783274E-2</v>
      </c>
      <c r="I90" s="2"/>
      <c r="J90" s="25">
        <v>1978.5358711114511</v>
      </c>
      <c r="K90" s="26">
        <f t="shared" si="12"/>
        <v>3.869438169622616E-2</v>
      </c>
      <c r="L90" s="24"/>
      <c r="M90" s="25">
        <v>15294.910094490353</v>
      </c>
      <c r="N90" s="26">
        <f t="shared" si="13"/>
        <v>0.2991237600727506</v>
      </c>
      <c r="O90" s="24"/>
      <c r="P90" s="19">
        <f>'Private Car Analysis &amp; Split'!R94-'Private Car Analysis &amp; Split'!X94</f>
        <v>3490.5801181821471</v>
      </c>
      <c r="Q90" s="26">
        <f t="shared" si="14"/>
        <v>6.8265549999012354E-2</v>
      </c>
      <c r="R90" s="24"/>
      <c r="S90" s="19">
        <f>'Private Car Analysis &amp; Split'!U94-'Private Car Analysis &amp; Split'!AA94</f>
        <v>1995.7992454000316</v>
      </c>
      <c r="T90" s="26">
        <f t="shared" si="15"/>
        <v>3.9032002865415222E-2</v>
      </c>
      <c r="V90" s="100"/>
      <c r="W90" s="100"/>
      <c r="X90" s="99"/>
      <c r="Y90" s="99"/>
      <c r="Z90" s="99"/>
      <c r="AA90" s="99"/>
      <c r="AB90" s="99"/>
    </row>
    <row r="91" spans="2:28" ht="14.4" x14ac:dyDescent="0.3">
      <c r="B91" s="19">
        <f t="shared" si="9"/>
        <v>52339.948153113881</v>
      </c>
      <c r="C91" s="756">
        <f t="shared" si="16"/>
        <v>6345.1570034025008</v>
      </c>
      <c r="D91" s="69">
        <f t="shared" si="10"/>
        <v>0.12122971510863076</v>
      </c>
      <c r="E91" s="7">
        <v>2040</v>
      </c>
      <c r="F91" s="7"/>
      <c r="G91" s="96">
        <v>1984.9965864293968</v>
      </c>
      <c r="H91" s="26">
        <f t="shared" si="11"/>
        <v>3.7925077430771253E-2</v>
      </c>
      <c r="I91" s="2"/>
      <c r="J91" s="25">
        <v>2025.0930177928346</v>
      </c>
      <c r="K91" s="26">
        <f t="shared" si="12"/>
        <v>3.8691154448007511E-2</v>
      </c>
      <c r="L91" s="24"/>
      <c r="M91" s="25">
        <v>15851.587829285945</v>
      </c>
      <c r="N91" s="26">
        <f t="shared" si="13"/>
        <v>0.30285830209296605</v>
      </c>
      <c r="O91" s="24"/>
      <c r="P91" s="19">
        <f>'Private Car Analysis &amp; Split'!R95-'Private Car Analysis &amp; Split'!X95</f>
        <v>3830.0579630806819</v>
      </c>
      <c r="Q91" s="26">
        <f t="shared" si="14"/>
        <v>7.3176571590715625E-2</v>
      </c>
      <c r="R91" s="24"/>
      <c r="S91" s="19">
        <f>'Private Car Analysis &amp; Split'!U95-'Private Car Analysis &amp; Split'!AA95</f>
        <v>2063.5087627006542</v>
      </c>
      <c r="T91" s="26">
        <f t="shared" si="15"/>
        <v>3.9425120496186218E-2</v>
      </c>
      <c r="V91" s="100"/>
      <c r="W91" s="100"/>
      <c r="X91" s="99"/>
      <c r="Y91" s="99"/>
      <c r="Z91" s="99"/>
      <c r="AA91" s="99"/>
      <c r="AB91" s="99"/>
    </row>
    <row r="92" spans="2:28" ht="14.4" x14ac:dyDescent="0.3">
      <c r="B92" s="19">
        <f t="shared" si="9"/>
        <v>53565.078261454386</v>
      </c>
      <c r="C92" s="756">
        <f t="shared" si="16"/>
        <v>6149.2137165106669</v>
      </c>
      <c r="D92" s="69">
        <f t="shared" si="10"/>
        <v>0.11479893087238635</v>
      </c>
      <c r="E92" s="7">
        <v>2041</v>
      </c>
      <c r="F92" s="7"/>
      <c r="G92" s="96">
        <v>2053.5913053572672</v>
      </c>
      <c r="H92" s="26">
        <f t="shared" si="11"/>
        <v>3.8338248948943263E-2</v>
      </c>
      <c r="I92" s="2"/>
      <c r="J92" s="25">
        <v>2072.9767332362571</v>
      </c>
      <c r="K92" s="26">
        <f t="shared" si="12"/>
        <v>3.8700153169158688E-2</v>
      </c>
      <c r="L92" s="24"/>
      <c r="M92" s="25">
        <v>16261.726261016773</v>
      </c>
      <c r="N92" s="26">
        <f t="shared" si="13"/>
        <v>0.30358821061816249</v>
      </c>
      <c r="O92" s="24"/>
      <c r="P92" s="19">
        <f>'Private Car Analysis &amp; Split'!R96-'Private Car Analysis &amp; Split'!X96</f>
        <v>4187.9188386604474</v>
      </c>
      <c r="Q92" s="26">
        <f t="shared" si="14"/>
        <v>7.8183752821548436E-2</v>
      </c>
      <c r="R92" s="24"/>
      <c r="S92" s="19">
        <f>'Private Car Analysis &amp; Split'!U96-'Private Car Analysis &amp; Split'!AA96</f>
        <v>2126.3538820587492</v>
      </c>
      <c r="T92" s="26">
        <f t="shared" si="15"/>
        <v>3.9696644737078277E-2</v>
      </c>
      <c r="V92" s="100"/>
      <c r="W92" s="100"/>
      <c r="X92" s="99"/>
      <c r="Y92" s="99"/>
      <c r="Z92" s="99"/>
      <c r="AA92" s="99"/>
      <c r="AB92" s="99"/>
    </row>
    <row r="93" spans="2:28" ht="14.4" x14ac:dyDescent="0.3">
      <c r="B93" s="19">
        <f t="shared" si="9"/>
        <v>54808.054221713071</v>
      </c>
      <c r="C93" s="756">
        <f t="shared" si="16"/>
        <v>5990.6021625120029</v>
      </c>
      <c r="D93" s="69">
        <f t="shared" si="10"/>
        <v>0.10930149313964756</v>
      </c>
      <c r="E93" s="7">
        <v>2042</v>
      </c>
      <c r="F93" s="7"/>
      <c r="G93" s="96">
        <v>2121.7844176288772</v>
      </c>
      <c r="H93" s="26">
        <f t="shared" si="11"/>
        <v>3.8713003914455681E-2</v>
      </c>
      <c r="I93" s="2"/>
      <c r="J93" s="25">
        <v>2122.4185212863385</v>
      </c>
      <c r="K93" s="26">
        <f t="shared" si="12"/>
        <v>3.8724573448650344E-2</v>
      </c>
      <c r="L93" s="24"/>
      <c r="M93" s="25">
        <v>16631.125019230611</v>
      </c>
      <c r="N93" s="26">
        <f t="shared" si="13"/>
        <v>0.30344308433124284</v>
      </c>
      <c r="O93" s="24"/>
      <c r="P93" s="19">
        <f>'Private Car Analysis &amp; Split'!R97-'Private Car Analysis &amp; Split'!X97</f>
        <v>4564.4945511625483</v>
      </c>
      <c r="Q93" s="26">
        <f t="shared" si="14"/>
        <v>8.3281455909709201E-2</v>
      </c>
      <c r="R93" s="24"/>
      <c r="S93" s="19">
        <f>'Private Car Analysis &amp; Split'!U97-'Private Car Analysis &amp; Split'!AA97</f>
        <v>2183.6806061745324</v>
      </c>
      <c r="T93" s="26">
        <f t="shared" si="15"/>
        <v>3.9842330423571819E-2</v>
      </c>
      <c r="V93" s="100"/>
      <c r="W93" s="100"/>
      <c r="X93" s="99"/>
      <c r="Y93" s="99"/>
      <c r="Z93" s="99"/>
      <c r="AA93" s="99"/>
      <c r="AB93" s="99"/>
    </row>
    <row r="94" spans="2:28" ht="14.4" x14ac:dyDescent="0.3">
      <c r="B94" s="19">
        <f t="shared" si="9"/>
        <v>56069.020982361581</v>
      </c>
      <c r="C94" s="756">
        <f t="shared" si="16"/>
        <v>8100.2449377102939</v>
      </c>
      <c r="D94" s="69">
        <f t="shared" si="10"/>
        <v>0.14446917024391245</v>
      </c>
      <c r="E94" s="7">
        <v>2043</v>
      </c>
      <c r="F94" s="7"/>
      <c r="G94" s="96">
        <v>2189.5742518322259</v>
      </c>
      <c r="H94" s="26">
        <f t="shared" si="11"/>
        <v>3.9051408665063563E-2</v>
      </c>
      <c r="I94" s="2"/>
      <c r="J94" s="25">
        <v>2173.6498857877018</v>
      </c>
      <c r="K94" s="26">
        <f t="shared" si="12"/>
        <v>3.8767395037475283E-2</v>
      </c>
      <c r="L94" s="24"/>
      <c r="M94" s="25">
        <v>16963.877701756788</v>
      </c>
      <c r="N94" s="26">
        <f t="shared" si="13"/>
        <v>0.30255348505359764</v>
      </c>
      <c r="O94" s="24"/>
      <c r="P94" s="19">
        <f>'Private Car Analysis &amp; Split'!R98-'Private Car Analysis &amp; Split'!X98</f>
        <v>4960.1169068280933</v>
      </c>
      <c r="Q94" s="26">
        <f t="shared" si="14"/>
        <v>8.8464482167228617E-2</v>
      </c>
      <c r="R94" s="24"/>
      <c r="S94" s="19">
        <f>'Private Car Analysis &amp; Split'!U98-'Private Car Analysis &amp; Split'!AA98</f>
        <v>0</v>
      </c>
      <c r="T94" s="26">
        <f t="shared" si="15"/>
        <v>0</v>
      </c>
      <c r="V94" s="100"/>
      <c r="W94" s="100"/>
      <c r="X94" s="99"/>
      <c r="Y94" s="99"/>
      <c r="Z94" s="99"/>
      <c r="AA94" s="99"/>
      <c r="AB94" s="99"/>
    </row>
    <row r="95" spans="2:28" ht="14.4" x14ac:dyDescent="0.3">
      <c r="B95" s="19">
        <f t="shared" si="9"/>
        <v>57348.114144943684</v>
      </c>
      <c r="C95" s="756">
        <f t="shared" si="16"/>
        <v>8130.211271895676</v>
      </c>
      <c r="D95" s="69">
        <f t="shared" si="10"/>
        <v>0.14176946170099139</v>
      </c>
      <c r="E95" s="7">
        <v>2044</v>
      </c>
      <c r="F95" s="7"/>
      <c r="G95" s="96">
        <v>2256.9592174504946</v>
      </c>
      <c r="H95" s="26">
        <f t="shared" si="11"/>
        <v>3.9355421727490021E-2</v>
      </c>
      <c r="I95" s="2"/>
      <c r="J95" s="25">
        <v>2226.9023305849678</v>
      </c>
      <c r="K95" s="26">
        <f t="shared" si="12"/>
        <v>3.8831308819617237E-2</v>
      </c>
      <c r="L95" s="24"/>
      <c r="M95" s="25">
        <v>17182.748588003818</v>
      </c>
      <c r="N95" s="26">
        <f t="shared" si="13"/>
        <v>0.29962185930954105</v>
      </c>
      <c r="O95" s="24"/>
      <c r="P95" s="19">
        <f>'Private Car Analysis &amp; Split'!R99-'Private Car Analysis &amp; Split'!X99</f>
        <v>5375.1177118981905</v>
      </c>
      <c r="Q95" s="26">
        <f t="shared" si="14"/>
        <v>9.3727889609637821E-2</v>
      </c>
      <c r="R95" s="24"/>
      <c r="S95" s="19">
        <f>'Private Car Analysis &amp; Split'!U99-'Private Car Analysis &amp; Split'!AA99</f>
        <v>0</v>
      </c>
      <c r="T95" s="26">
        <f t="shared" si="15"/>
        <v>0</v>
      </c>
      <c r="V95" s="100"/>
      <c r="W95" s="100"/>
      <c r="X95" s="99"/>
      <c r="Y95" s="99"/>
      <c r="Z95" s="99"/>
      <c r="AA95" s="99"/>
      <c r="AB95" s="99"/>
    </row>
    <row r="96" spans="2:28" ht="14.4" x14ac:dyDescent="0.3">
      <c r="B96" s="19">
        <f t="shared" si="9"/>
        <v>58645.452699874208</v>
      </c>
      <c r="C96" s="756">
        <f t="shared" si="16"/>
        <v>8142.2976862010128</v>
      </c>
      <c r="D96" s="69">
        <f t="shared" si="10"/>
        <v>0.1388393696587234</v>
      </c>
      <c r="E96" s="7">
        <v>2045</v>
      </c>
      <c r="F96" s="7"/>
      <c r="G96" s="96">
        <v>2323.9378043430888</v>
      </c>
      <c r="H96" s="26">
        <f t="shared" si="11"/>
        <v>3.9626905367005097E-2</v>
      </c>
      <c r="I96" s="2"/>
      <c r="J96" s="25">
        <v>2282.4073595227583</v>
      </c>
      <c r="K96" s="26">
        <f t="shared" si="12"/>
        <v>3.8918743985203376E-2</v>
      </c>
      <c r="L96" s="24"/>
      <c r="M96" s="25">
        <v>17409.132940596595</v>
      </c>
      <c r="N96" s="26">
        <f t="shared" si="13"/>
        <v>0.29685392710139208</v>
      </c>
      <c r="O96" s="24"/>
      <c r="P96" s="19">
        <f>'Private Car Analysis &amp; Split'!R100-'Private Car Analysis &amp; Split'!X100</f>
        <v>5809.8287726139424</v>
      </c>
      <c r="Q96" s="26">
        <f t="shared" si="14"/>
        <v>9.9066995054953408E-2</v>
      </c>
      <c r="R96" s="24"/>
      <c r="S96" s="19">
        <f>'Private Car Analysis &amp; Split'!U100-'Private Car Analysis &amp; Split'!AA100</f>
        <v>0</v>
      </c>
      <c r="T96" s="26">
        <f t="shared" si="15"/>
        <v>0</v>
      </c>
      <c r="V96" s="100"/>
      <c r="W96" s="100"/>
      <c r="X96" s="99"/>
      <c r="Y96" s="99"/>
      <c r="Z96" s="99"/>
      <c r="AA96" s="99"/>
      <c r="AB96" s="99"/>
    </row>
    <row r="97" spans="1:28" ht="14.4" x14ac:dyDescent="0.3">
      <c r="B97" s="19">
        <f t="shared" si="9"/>
        <v>59961.168661590003</v>
      </c>
      <c r="C97" s="756">
        <f t="shared" si="16"/>
        <v>8136.0232660883885</v>
      </c>
      <c r="D97" s="69">
        <f t="shared" si="10"/>
        <v>0.13568820367739384</v>
      </c>
      <c r="E97" s="7">
        <v>2046</v>
      </c>
      <c r="F97" s="7"/>
      <c r="G97" s="97">
        <v>2390.5085822006631</v>
      </c>
      <c r="H97" s="26">
        <f t="shared" si="11"/>
        <v>3.9867611581960005E-2</v>
      </c>
      <c r="I97" s="2"/>
      <c r="J97" s="25">
        <v>2340.396476445695</v>
      </c>
      <c r="K97" s="26">
        <f t="shared" si="12"/>
        <v>3.9031868935952028E-2</v>
      </c>
      <c r="L97" s="24"/>
      <c r="M97" s="25">
        <v>17643.030759535115</v>
      </c>
      <c r="N97" s="26">
        <f t="shared" si="13"/>
        <v>0.29424094215223173</v>
      </c>
      <c r="O97" s="24"/>
      <c r="P97" s="19">
        <f>'Private Car Analysis &amp; Split'!R101-'Private Car Analysis &amp; Split'!X101</f>
        <v>6264.5818952164591</v>
      </c>
      <c r="Q97" s="26">
        <f t="shared" si="14"/>
        <v>0.10447731481973987</v>
      </c>
      <c r="R97" s="24"/>
      <c r="S97" s="19">
        <f>'Private Car Analysis &amp; Split'!U101-'Private Car Analysis &amp; Split'!AA101</f>
        <v>0</v>
      </c>
      <c r="T97" s="26">
        <f t="shared" si="15"/>
        <v>0</v>
      </c>
      <c r="V97" s="100"/>
      <c r="W97" s="100"/>
      <c r="X97" s="99"/>
      <c r="Y97" s="99"/>
      <c r="Z97" s="99"/>
      <c r="AA97" s="99"/>
      <c r="AB97" s="99"/>
    </row>
    <row r="98" spans="1:28" ht="14.4" x14ac:dyDescent="0.3">
      <c r="B98" s="19">
        <f t="shared" si="9"/>
        <v>61295.367493461941</v>
      </c>
      <c r="C98" s="756">
        <f t="shared" si="16"/>
        <v>8110.8907338323233</v>
      </c>
      <c r="D98" s="69">
        <f t="shared" si="10"/>
        <v>0.13232469378207856</v>
      </c>
      <c r="E98" s="7">
        <v>2047</v>
      </c>
      <c r="F98" s="7"/>
      <c r="G98" s="97">
        <v>2456.6701999748707</v>
      </c>
      <c r="H98" s="26">
        <f t="shared" si="11"/>
        <v>4.0079214799338805E-2</v>
      </c>
      <c r="I98" s="2"/>
      <c r="J98" s="25">
        <v>2401.101185198399</v>
      </c>
      <c r="K98" s="26">
        <f t="shared" si="12"/>
        <v>3.9172637074971643E-2</v>
      </c>
      <c r="L98" s="24"/>
      <c r="M98" s="25">
        <v>17884.442044819378</v>
      </c>
      <c r="N98" s="26">
        <f t="shared" si="13"/>
        <v>0.29177477476951286</v>
      </c>
      <c r="O98" s="24"/>
      <c r="P98" s="19">
        <f>'Private Car Analysis &amp; Split'!R102-'Private Car Analysis &amp; Split'!X102</f>
        <v>6739.7088859468467</v>
      </c>
      <c r="Q98" s="26">
        <f t="shared" si="14"/>
        <v>0.10995462074137555</v>
      </c>
      <c r="R98" s="24"/>
      <c r="S98" s="19">
        <f>'Private Car Analysis &amp; Split'!U102-'Private Car Analysis &amp; Split'!AA102</f>
        <v>0</v>
      </c>
      <c r="T98" s="26">
        <f t="shared" si="15"/>
        <v>0</v>
      </c>
      <c r="V98" s="100"/>
      <c r="W98" s="100"/>
      <c r="X98" s="99"/>
      <c r="Y98" s="99"/>
      <c r="Z98" s="99"/>
      <c r="AA98" s="99"/>
      <c r="AB98" s="99"/>
    </row>
    <row r="99" spans="1:28" ht="14.4" x14ac:dyDescent="0.3">
      <c r="B99" s="19">
        <f t="shared" si="9"/>
        <v>62648.097089823532</v>
      </c>
      <c r="C99" s="756">
        <f t="shared" si="16"/>
        <v>8066.3674256085233</v>
      </c>
      <c r="D99" s="69">
        <f t="shared" si="10"/>
        <v>0.12875678273265243</v>
      </c>
      <c r="E99" s="7">
        <v>2048</v>
      </c>
      <c r="F99" s="7"/>
      <c r="G99" s="97">
        <v>2522.4213852835874</v>
      </c>
      <c r="H99" s="26">
        <f t="shared" si="11"/>
        <v>4.02633360382358E-2</v>
      </c>
      <c r="I99" s="2"/>
      <c r="J99" s="25">
        <v>2464.7529896254923</v>
      </c>
      <c r="K99" s="26">
        <f t="shared" si="12"/>
        <v>3.9342822912746753E-2</v>
      </c>
      <c r="L99" s="24"/>
      <c r="M99" s="25">
        <v>18133.366796449387</v>
      </c>
      <c r="N99" s="26">
        <f t="shared" si="13"/>
        <v>0.28944800622515549</v>
      </c>
      <c r="O99" s="24"/>
      <c r="P99" s="19">
        <f>'Private Car Analysis &amp; Split'!R103-'Private Car Analysis &amp; Split'!X103</f>
        <v>7235.5415510462099</v>
      </c>
      <c r="Q99" s="26">
        <f t="shared" si="14"/>
        <v>0.11549499325848703</v>
      </c>
      <c r="R99" s="24"/>
      <c r="S99" s="19">
        <f>'Private Car Analysis &amp; Split'!U103-'Private Car Analysis &amp; Split'!AA103</f>
        <v>0</v>
      </c>
      <c r="T99" s="26">
        <f t="shared" si="15"/>
        <v>0</v>
      </c>
      <c r="V99" s="100"/>
      <c r="W99" s="100"/>
      <c r="X99" s="99"/>
      <c r="Y99" s="99"/>
      <c r="Z99" s="99"/>
      <c r="AA99" s="99"/>
      <c r="AB99" s="99"/>
    </row>
    <row r="100" spans="1:28" ht="14.4" x14ac:dyDescent="0.3">
      <c r="B100" s="19">
        <f t="shared" si="9"/>
        <v>64019.375866680086</v>
      </c>
      <c r="C100" s="756">
        <f t="shared" si="16"/>
        <v>8008.1902665152875</v>
      </c>
      <c r="D100" s="69">
        <f t="shared" si="10"/>
        <v>0.12509010214645469</v>
      </c>
      <c r="E100" s="7">
        <v>2049</v>
      </c>
      <c r="F100" s="7"/>
      <c r="G100" s="97">
        <v>2587.7609437923611</v>
      </c>
      <c r="H100" s="26">
        <f t="shared" si="11"/>
        <v>4.0421527213594766E-2</v>
      </c>
      <c r="I100" s="2"/>
      <c r="J100" s="25">
        <v>2531.5833935715959</v>
      </c>
      <c r="K100" s="26">
        <f t="shared" si="12"/>
        <v>3.9544018655283383E-2</v>
      </c>
      <c r="L100" s="24"/>
      <c r="M100" s="25">
        <v>18383.517268221018</v>
      </c>
      <c r="N100" s="26">
        <f t="shared" si="13"/>
        <v>0.28715552157997554</v>
      </c>
      <c r="O100" s="24"/>
      <c r="P100" s="19">
        <f>'Private Car Analysis &amp; Split'!R104-'Private Car Analysis &amp; Split'!X104</f>
        <v>7752.4116967556592</v>
      </c>
      <c r="Q100" s="26">
        <f t="shared" si="14"/>
        <v>0.12109477157196914</v>
      </c>
      <c r="R100" s="24"/>
      <c r="S100" s="19">
        <f>'Private Car Analysis &amp; Split'!U104-'Private Car Analysis &amp; Split'!AA104</f>
        <v>0</v>
      </c>
      <c r="T100" s="26">
        <f t="shared" si="15"/>
        <v>0</v>
      </c>
      <c r="V100" s="100"/>
      <c r="W100" s="100"/>
      <c r="X100" s="99"/>
      <c r="Y100" s="99"/>
      <c r="Z100" s="99"/>
      <c r="AA100" s="99"/>
      <c r="AB100" s="99"/>
    </row>
    <row r="101" spans="1:28" ht="14.4" x14ac:dyDescent="0.3">
      <c r="A101" s="30"/>
      <c r="B101" s="19">
        <f t="shared" si="9"/>
        <v>65409.223775172293</v>
      </c>
      <c r="C101" s="756">
        <f t="shared" si="16"/>
        <v>8192.1130614764679</v>
      </c>
      <c r="D101" s="69">
        <f t="shared" si="10"/>
        <v>0.12524400365359464</v>
      </c>
      <c r="E101" s="33">
        <v>2050</v>
      </c>
      <c r="F101" s="33"/>
      <c r="G101" s="97">
        <v>2652.6877585728439</v>
      </c>
      <c r="H101" s="26">
        <f t="shared" si="11"/>
        <v>4.0555255137880691E-2</v>
      </c>
      <c r="I101" s="30"/>
      <c r="J101" s="25">
        <v>2601.8239008813325</v>
      </c>
      <c r="K101" s="26">
        <f t="shared" si="12"/>
        <v>3.9777629984181523E-2</v>
      </c>
      <c r="L101" s="34"/>
      <c r="M101" s="25">
        <v>18627.309232085652</v>
      </c>
      <c r="N101" s="26">
        <f t="shared" si="13"/>
        <v>0.28478107760630716</v>
      </c>
      <c r="O101" s="34"/>
      <c r="P101" s="19">
        <f>'Private Car Analysis &amp; Split'!R105-'Private Car Analysis &amp; Split'!X105</f>
        <v>8041.9315954368085</v>
      </c>
      <c r="Q101" s="26">
        <f t="shared" si="14"/>
        <v>0.12294797478531345</v>
      </c>
      <c r="R101" s="34"/>
      <c r="S101" s="19">
        <f>'Private Car Analysis &amp; Split'!U105-'Private Car Analysis &amp; Split'!AA105</f>
        <v>0</v>
      </c>
      <c r="T101" s="26">
        <f t="shared" si="15"/>
        <v>0</v>
      </c>
      <c r="V101" s="100"/>
      <c r="W101" s="100"/>
      <c r="X101" s="99"/>
      <c r="Y101" s="99"/>
      <c r="Z101" s="99"/>
      <c r="AA101" s="99"/>
      <c r="AB101" s="99"/>
    </row>
    <row r="102" spans="1:28" ht="14.4" x14ac:dyDescent="0.3">
      <c r="B102" s="19">
        <f t="shared" si="9"/>
        <v>66817.712351729511</v>
      </c>
      <c r="C102" s="756">
        <f t="shared" si="16"/>
        <v>8401.4922633863043</v>
      </c>
      <c r="D102" s="69">
        <f t="shared" si="10"/>
        <v>0.12573750234310199</v>
      </c>
      <c r="E102" s="7">
        <v>2051</v>
      </c>
      <c r="F102" s="7"/>
      <c r="G102" s="97">
        <v>2717.2007894389635</v>
      </c>
      <c r="H102" s="26">
        <f t="shared" si="11"/>
        <v>4.0665875765628953E-2</v>
      </c>
      <c r="I102" s="2"/>
      <c r="J102" s="25">
        <v>2675.7060153993216</v>
      </c>
      <c r="K102" s="26">
        <f t="shared" si="12"/>
        <v>4.0044861178640208E-2</v>
      </c>
      <c r="L102" s="24"/>
      <c r="M102" s="25">
        <v>18865.74473662622</v>
      </c>
      <c r="N102" s="26">
        <f t="shared" si="13"/>
        <v>0.28234646282585429</v>
      </c>
      <c r="O102" s="24"/>
      <c r="P102" s="19">
        <f>'Private Car Analysis &amp; Split'!R106-'Private Car Analysis &amp; Split'!X106</f>
        <v>8319.5561556710763</v>
      </c>
      <c r="Q102" s="26">
        <f t="shared" si="14"/>
        <v>0.12451123905405199</v>
      </c>
      <c r="R102" s="24"/>
      <c r="S102" s="19">
        <f>'Private Car Analysis &amp; Split'!U106-'Private Car Analysis &amp; Split'!AA106</f>
        <v>0</v>
      </c>
      <c r="T102" s="26">
        <f t="shared" si="15"/>
        <v>0</v>
      </c>
      <c r="V102" s="100"/>
      <c r="W102" s="100"/>
      <c r="X102" s="99"/>
      <c r="Y102" s="99"/>
      <c r="Z102" s="99"/>
      <c r="AA102" s="99"/>
      <c r="AB102" s="99"/>
    </row>
    <row r="103" spans="1:28" ht="14.4" x14ac:dyDescent="0.3">
      <c r="B103" s="19">
        <f t="shared" si="9"/>
        <v>68244.917949708921</v>
      </c>
      <c r="C103" s="756">
        <f t="shared" si="16"/>
        <v>8273.7702460980181</v>
      </c>
      <c r="D103" s="69">
        <f t="shared" si="10"/>
        <v>0.12123643041369218</v>
      </c>
      <c r="E103" s="7">
        <v>2052</v>
      </c>
      <c r="F103" s="7"/>
      <c r="G103" s="97">
        <v>2781.2990722616041</v>
      </c>
      <c r="H103" s="26">
        <f t="shared" si="11"/>
        <v>4.075466944382878E-2</v>
      </c>
      <c r="I103" s="2"/>
      <c r="J103" s="25">
        <v>2753.4612409701876</v>
      </c>
      <c r="K103" s="26">
        <f t="shared" si="12"/>
        <v>4.0346758757908829E-2</v>
      </c>
      <c r="L103" s="24"/>
      <c r="M103" s="25">
        <v>19104.180241166792</v>
      </c>
      <c r="N103" s="26">
        <f t="shared" si="13"/>
        <v>0.27993557344804859</v>
      </c>
      <c r="O103" s="24"/>
      <c r="P103" s="19">
        <f>'Private Car Analysis &amp; Split'!R107-'Private Car Analysis &amp; Split'!X107</f>
        <v>8583.6342227595687</v>
      </c>
      <c r="Q103" s="26">
        <f t="shared" si="14"/>
        <v>0.1257769000335677</v>
      </c>
      <c r="R103" s="24"/>
      <c r="S103" s="19">
        <f>'Private Car Analysis &amp; Split'!U107-'Private Car Analysis &amp; Split'!AA107</f>
        <v>358.66860977368015</v>
      </c>
      <c r="T103" s="26">
        <f t="shared" si="15"/>
        <v>5.2556090702312866E-3</v>
      </c>
      <c r="V103" s="100"/>
      <c r="W103" s="100"/>
      <c r="X103" s="99"/>
      <c r="Y103" s="99"/>
      <c r="Z103" s="99"/>
      <c r="AA103" s="99"/>
      <c r="AB103" s="99"/>
    </row>
    <row r="104" spans="1:28" ht="14.4" x14ac:dyDescent="0.3">
      <c r="B104" s="19">
        <f t="shared" si="9"/>
        <v>69690.862296588006</v>
      </c>
      <c r="C104" s="756">
        <f t="shared" si="16"/>
        <v>8252.4146618595823</v>
      </c>
      <c r="D104" s="69">
        <f t="shared" si="10"/>
        <v>0.11841458678957416</v>
      </c>
      <c r="E104" s="7">
        <v>2053</v>
      </c>
      <c r="F104" s="7"/>
      <c r="G104" s="97">
        <v>2844.9817182625516</v>
      </c>
      <c r="H104" s="26">
        <f t="shared" si="11"/>
        <v>4.0822880138216326E-2</v>
      </c>
      <c r="I104" s="2"/>
      <c r="J104" s="25">
        <v>2835.3210814385493</v>
      </c>
      <c r="K104" s="26">
        <f t="shared" si="12"/>
        <v>4.0684258854081702E-2</v>
      </c>
      <c r="L104" s="24"/>
      <c r="M104" s="25">
        <v>19337.605502792707</v>
      </c>
      <c r="N104" s="26">
        <f t="shared" si="13"/>
        <v>0.27747691541677849</v>
      </c>
      <c r="O104" s="24"/>
      <c r="P104" s="19">
        <f>'Private Car Analysis &amp; Split'!R108-'Private Car Analysis &amp; Split'!X108</f>
        <v>8832.4748252544505</v>
      </c>
      <c r="Q104" s="26">
        <f t="shared" si="14"/>
        <v>0.12673791849016738</v>
      </c>
      <c r="R104" s="24"/>
      <c r="S104" s="19">
        <f>'Private Car Analysis &amp; Split'!U108-'Private Car Analysis &amp; Split'!AA108</f>
        <v>639.02210196019951</v>
      </c>
      <c r="T104" s="26">
        <f t="shared" si="15"/>
        <v>9.1693814784594135E-3</v>
      </c>
      <c r="V104" s="100"/>
      <c r="W104" s="100"/>
      <c r="X104" s="99"/>
      <c r="Y104" s="99"/>
      <c r="Z104" s="99"/>
      <c r="AA104" s="99"/>
      <c r="AB104" s="99"/>
    </row>
    <row r="105" spans="1:28" ht="14.4" x14ac:dyDescent="0.3">
      <c r="B105" s="19">
        <f t="shared" si="9"/>
        <v>71155.549574570934</v>
      </c>
      <c r="C105" s="756">
        <f t="shared" si="16"/>
        <v>8047.2244956119685</v>
      </c>
      <c r="D105" s="69">
        <f t="shared" si="10"/>
        <v>0.113093420593688</v>
      </c>
      <c r="E105" s="7">
        <v>2054</v>
      </c>
      <c r="F105" s="7"/>
      <c r="G105" s="97">
        <v>2908.2479132884714</v>
      </c>
      <c r="H105" s="26">
        <f t="shared" si="11"/>
        <v>4.0871694908921063E-2</v>
      </c>
      <c r="I105" s="2"/>
      <c r="J105" s="25">
        <v>2921.5170406490306</v>
      </c>
      <c r="K105" s="26">
        <f t="shared" si="12"/>
        <v>4.1058175477757843E-2</v>
      </c>
      <c r="L105" s="24"/>
      <c r="M105" s="25">
        <v>19566.020521503968</v>
      </c>
      <c r="N105" s="26">
        <f t="shared" si="13"/>
        <v>0.27497532713170603</v>
      </c>
      <c r="O105" s="24"/>
      <c r="P105" s="19">
        <f>'Private Car Analysis &amp; Split'!R109-'Private Car Analysis &amp; Split'!X109</f>
        <v>9064.3471749589535</v>
      </c>
      <c r="Q105" s="26">
        <f t="shared" si="14"/>
        <v>0.12738777550245084</v>
      </c>
      <c r="R105" s="24"/>
      <c r="S105" s="19">
        <f>'Private Car Analysis &amp; Split'!U109-'Private Car Analysis &amp; Split'!AA109</f>
        <v>1132.7641550946992</v>
      </c>
      <c r="T105" s="26">
        <f t="shared" si="15"/>
        <v>1.5919547552753613E-2</v>
      </c>
      <c r="V105" s="100"/>
      <c r="W105" s="100"/>
      <c r="X105" s="99"/>
      <c r="Y105" s="99"/>
      <c r="Z105" s="99"/>
      <c r="AA105" s="99"/>
      <c r="AB105" s="99"/>
    </row>
    <row r="106" spans="1:28" ht="14.4" x14ac:dyDescent="0.3">
      <c r="B106" s="19">
        <f t="shared" si="9"/>
        <v>72638.996466202268</v>
      </c>
      <c r="C106" s="756">
        <f t="shared" si="16"/>
        <v>7523.6763320456075</v>
      </c>
      <c r="D106" s="69">
        <f t="shared" si="10"/>
        <v>0.10357627029644126</v>
      </c>
      <c r="E106" s="7">
        <v>2055</v>
      </c>
      <c r="F106" s="7"/>
      <c r="G106" s="97">
        <v>2971.0969170656813</v>
      </c>
      <c r="H106" s="26">
        <f t="shared" si="11"/>
        <v>4.090222967835306E-2</v>
      </c>
      <c r="I106" s="2"/>
      <c r="J106" s="25">
        <v>3012.2806224462511</v>
      </c>
      <c r="K106" s="26">
        <f t="shared" si="12"/>
        <v>4.1469193807596387E-2</v>
      </c>
      <c r="L106" s="24"/>
      <c r="M106" s="25">
        <v>19789.425297300579</v>
      </c>
      <c r="N106" s="26">
        <f t="shared" si="13"/>
        <v>0.27243527939580325</v>
      </c>
      <c r="O106" s="24"/>
      <c r="P106" s="19">
        <f>'Private Car Analysis &amp; Split'!R110-'Private Car Analysis &amp; Split'!X110</f>
        <v>9277.4806669273839</v>
      </c>
      <c r="Q106" s="26">
        <f t="shared" si="14"/>
        <v>0.12772038599465019</v>
      </c>
      <c r="R106" s="24"/>
      <c r="S106" s="19">
        <f>'Private Car Analysis &amp; Split'!U110-'Private Car Analysis &amp; Split'!AA110</f>
        <v>1975.9682573652199</v>
      </c>
      <c r="T106" s="26">
        <f t="shared" si="15"/>
        <v>2.7202581994433327E-2</v>
      </c>
      <c r="V106" s="100"/>
      <c r="W106" s="100"/>
      <c r="X106" s="99"/>
      <c r="Y106" s="99"/>
      <c r="Z106" s="99"/>
      <c r="AA106" s="99"/>
      <c r="AB106" s="99"/>
    </row>
    <row r="107" spans="1:28" ht="14.4" x14ac:dyDescent="0.3">
      <c r="B107" s="19">
        <f t="shared" si="9"/>
        <v>74141.223042769358</v>
      </c>
      <c r="C107" s="756">
        <f t="shared" si="16"/>
        <v>6436.9774642098873</v>
      </c>
      <c r="D107" s="69">
        <f t="shared" si="10"/>
        <v>8.6820492029065E-2</v>
      </c>
      <c r="E107" s="7">
        <v>2056</v>
      </c>
      <c r="F107" s="7"/>
      <c r="G107" s="97">
        <v>3033.528062436485</v>
      </c>
      <c r="H107" s="26">
        <f t="shared" si="11"/>
        <v>4.0915538454046725E-2</v>
      </c>
      <c r="I107" s="2"/>
      <c r="J107" s="25">
        <v>3107.8433306748329</v>
      </c>
      <c r="K107" s="26">
        <f t="shared" si="12"/>
        <v>4.1917885936168492E-2</v>
      </c>
      <c r="L107" s="24"/>
      <c r="M107" s="25">
        <v>20007.819830182532</v>
      </c>
      <c r="N107" s="26">
        <f t="shared" si="13"/>
        <v>0.26986093577982595</v>
      </c>
      <c r="O107" s="24"/>
      <c r="P107" s="19">
        <f>'Private Car Analysis &amp; Split'!R111-'Private Car Analysis &amp; Split'!X111</f>
        <v>9470.0648794651061</v>
      </c>
      <c r="Q107" s="26">
        <f t="shared" si="14"/>
        <v>0.12773008713387654</v>
      </c>
      <c r="R107" s="24"/>
      <c r="S107" s="19">
        <f>'Private Car Analysis &amp; Split'!U111-'Private Car Analysis &amp; Split'!AA111</f>
        <v>3415.0190105698512</v>
      </c>
      <c r="T107" s="26">
        <f t="shared" si="15"/>
        <v>4.6061001834294693E-2</v>
      </c>
      <c r="V107" s="100"/>
      <c r="W107" s="100"/>
      <c r="X107" s="99"/>
      <c r="Y107" s="99"/>
      <c r="Z107" s="99"/>
      <c r="AA107" s="99"/>
      <c r="AB107" s="99"/>
    </row>
    <row r="108" spans="1:28" ht="14.4" x14ac:dyDescent="0.3">
      <c r="B108" s="19">
        <f t="shared" si="9"/>
        <v>75662.292132942268</v>
      </c>
      <c r="C108" s="756">
        <f t="shared" si="16"/>
        <v>4300.5110517442035</v>
      </c>
      <c r="D108" s="69">
        <f t="shared" si="10"/>
        <v>5.6838233821782713E-2</v>
      </c>
      <c r="E108" s="7">
        <v>2057</v>
      </c>
      <c r="F108" s="7"/>
      <c r="G108" s="97">
        <v>3095.5407545778266</v>
      </c>
      <c r="H108" s="26">
        <f t="shared" si="11"/>
        <v>4.0912595525639292E-2</v>
      </c>
      <c r="I108" s="2"/>
      <c r="J108" s="25">
        <v>3208.4366691793985</v>
      </c>
      <c r="K108" s="26">
        <f t="shared" si="12"/>
        <v>4.2404698281437489E-2</v>
      </c>
      <c r="L108" s="24"/>
      <c r="M108" s="25">
        <v>20221.204120149836</v>
      </c>
      <c r="N108" s="26">
        <f t="shared" si="13"/>
        <v>0.2672560340178462</v>
      </c>
      <c r="O108" s="24"/>
      <c r="P108" s="19">
        <f>'Private Car Analysis &amp; Split'!R112-'Private Car Analysis &amp; Split'!X112</f>
        <v>9640.249574128562</v>
      </c>
      <c r="Q108" s="26">
        <f t="shared" si="14"/>
        <v>0.12741154546560898</v>
      </c>
      <c r="R108" s="24"/>
      <c r="S108" s="19">
        <f>'Private Car Analysis &amp; Split'!U112-'Private Car Analysis &amp; Split'!AA112</f>
        <v>5938.1911176878193</v>
      </c>
      <c r="T108" s="26">
        <f t="shared" si="15"/>
        <v>7.8482834054962716E-2</v>
      </c>
      <c r="V108" s="100"/>
      <c r="W108" s="100"/>
      <c r="X108" s="99"/>
      <c r="Y108" s="99"/>
      <c r="Z108" s="99"/>
      <c r="AA108" s="99"/>
      <c r="AB108" s="99"/>
    </row>
    <row r="109" spans="1:28" ht="14.4" x14ac:dyDescent="0.3">
      <c r="B109" s="19">
        <f t="shared" si="9"/>
        <v>77202.320208664125</v>
      </c>
      <c r="C109" s="756">
        <f t="shared" si="16"/>
        <v>3721.5607874157049</v>
      </c>
      <c r="D109" s="69">
        <f t="shared" si="10"/>
        <v>4.8205297164087668E-2</v>
      </c>
      <c r="E109" s="7">
        <v>2058</v>
      </c>
      <c r="F109" s="7"/>
      <c r="G109" s="97">
        <v>3157.1344702030233</v>
      </c>
      <c r="H109" s="26">
        <f t="shared" si="11"/>
        <v>4.089429516716403E-2</v>
      </c>
      <c r="I109" s="2"/>
      <c r="J109" s="25">
        <v>3314.292141804568</v>
      </c>
      <c r="K109" s="26">
        <f t="shared" si="12"/>
        <v>4.2929955121123645E-2</v>
      </c>
      <c r="L109" s="24"/>
      <c r="M109" s="25">
        <v>20429.578167202482</v>
      </c>
      <c r="N109" s="26">
        <f t="shared" si="13"/>
        <v>0.26462388840108653</v>
      </c>
      <c r="O109" s="24"/>
      <c r="P109" s="19">
        <f>'Private Car Analysis &amp; Split'!R113-'Private Car Analysis &amp; Split'!X113</f>
        <v>9786.1446957252519</v>
      </c>
      <c r="Q109" s="26">
        <f t="shared" si="14"/>
        <v>0.126759722625888</v>
      </c>
      <c r="R109" s="24"/>
      <c r="S109" s="19">
        <f>'Private Car Analysis &amp; Split'!U113-'Private Car Analysis &amp; Split'!AA113</f>
        <v>6939.9313935212394</v>
      </c>
      <c r="T109" s="26">
        <f t="shared" si="15"/>
        <v>8.9892782687927525E-2</v>
      </c>
      <c r="V109" s="100"/>
      <c r="W109" s="100"/>
      <c r="X109" s="99"/>
      <c r="Y109" s="99"/>
      <c r="Z109" s="99"/>
      <c r="AA109" s="99"/>
      <c r="AB109" s="99"/>
    </row>
    <row r="110" spans="1:28" ht="14.4" x14ac:dyDescent="0.3">
      <c r="B110" s="19">
        <f t="shared" si="9"/>
        <v>78761.463919819187</v>
      </c>
      <c r="C110" s="756">
        <f t="shared" si="16"/>
        <v>3414.5732393272374</v>
      </c>
      <c r="D110" s="69">
        <f t="shared" si="10"/>
        <v>4.3353349079485674E-2</v>
      </c>
      <c r="E110" s="7">
        <v>2059</v>
      </c>
      <c r="F110" s="7"/>
      <c r="G110" s="97">
        <v>3218.3087567473367</v>
      </c>
      <c r="H110" s="26">
        <f t="shared" si="11"/>
        <v>4.0861464434226898E-2</v>
      </c>
      <c r="I110" s="2"/>
      <c r="J110" s="25">
        <v>3425.6412523949639</v>
      </c>
      <c r="K110" s="26">
        <f t="shared" si="12"/>
        <v>4.3493874820335211E-2</v>
      </c>
      <c r="L110" s="24"/>
      <c r="M110" s="25">
        <v>20632.941971340471</v>
      </c>
      <c r="N110" s="26">
        <f t="shared" si="13"/>
        <v>0.26196747678973104</v>
      </c>
      <c r="O110" s="24"/>
      <c r="P110" s="19">
        <f>'Private Car Analysis &amp; Split'!R114-'Private Car Analysis &amp; Split'!X114</f>
        <v>10330.355531127192</v>
      </c>
      <c r="Q110" s="26">
        <f t="shared" si="14"/>
        <v>0.13116002442061905</v>
      </c>
      <c r="R110" s="24"/>
      <c r="S110" s="19">
        <f>'Private Car Analysis &amp; Split'!U114-'Private Car Analysis &amp; Split'!AA114</f>
        <v>7283.0530061200589</v>
      </c>
      <c r="T110" s="26">
        <f t="shared" si="15"/>
        <v>9.2469751622879418E-2</v>
      </c>
      <c r="V110" s="100"/>
      <c r="W110" s="100"/>
      <c r="X110" s="99"/>
      <c r="Y110" s="99"/>
      <c r="Z110" s="99"/>
      <c r="AA110" s="99"/>
      <c r="AB110" s="99"/>
    </row>
    <row r="111" spans="1:28" ht="14.4" x14ac:dyDescent="0.3">
      <c r="B111" s="19">
        <f t="shared" si="9"/>
        <v>80339.868171686307</v>
      </c>
      <c r="C111" s="756">
        <f t="shared" si="16"/>
        <v>3099.7278467022088</v>
      </c>
      <c r="D111" s="69">
        <f t="shared" si="10"/>
        <v>3.8582685250093889E-2</v>
      </c>
      <c r="E111" s="7">
        <v>2060</v>
      </c>
      <c r="F111" s="7"/>
      <c r="G111" s="97">
        <v>3279.0632315381345</v>
      </c>
      <c r="H111" s="26">
        <f t="shared" si="11"/>
        <v>4.0814894350221932E-2</v>
      </c>
      <c r="I111" s="2"/>
      <c r="J111" s="25">
        <v>3542.7155047952083</v>
      </c>
      <c r="K111" s="26">
        <f t="shared" si="12"/>
        <v>4.4096605899631609E-2</v>
      </c>
      <c r="L111" s="24"/>
      <c r="M111" s="25">
        <v>20821.863913257628</v>
      </c>
      <c r="N111" s="26">
        <f t="shared" si="13"/>
        <v>0.25917224395690197</v>
      </c>
      <c r="O111" s="24"/>
      <c r="P111" s="19">
        <f>'Private Car Analysis &amp; Split'!R115-'Private Car Analysis &amp; Split'!X115</f>
        <v>10892.588131490582</v>
      </c>
      <c r="Q111" s="26">
        <f t="shared" si="14"/>
        <v>0.13558135430609769</v>
      </c>
      <c r="R111" s="24"/>
      <c r="S111" s="19">
        <f>'Private Car Analysis &amp; Split'!U115-'Private Car Analysis &amp; Split'!AA115</f>
        <v>7636.9598345073091</v>
      </c>
      <c r="T111" s="26">
        <f t="shared" si="15"/>
        <v>9.5058157404330379E-2</v>
      </c>
      <c r="V111" s="100"/>
      <c r="W111" s="100"/>
      <c r="X111" s="99"/>
      <c r="Y111" s="99"/>
      <c r="Z111" s="99"/>
      <c r="AA111" s="99"/>
      <c r="AB111" s="99"/>
    </row>
    <row r="112" spans="1:28" ht="14.4" x14ac:dyDescent="0.3">
      <c r="B112" s="2"/>
      <c r="C112" s="2"/>
      <c r="D112" s="2"/>
      <c r="F112" s="2"/>
      <c r="G112" s="2"/>
      <c r="H112" s="2"/>
      <c r="I112" s="2"/>
      <c r="J112" s="2"/>
      <c r="K112" s="2"/>
      <c r="L112" s="2"/>
      <c r="M112" s="2"/>
      <c r="O112" s="2"/>
      <c r="P112" s="2"/>
      <c r="R112" s="2"/>
      <c r="S112" s="2"/>
      <c r="V112" s="99"/>
      <c r="W112" s="99"/>
      <c r="X112" s="99"/>
      <c r="Y112" s="99"/>
      <c r="Z112" s="99"/>
      <c r="AA112" s="99"/>
      <c r="AB112" s="99"/>
    </row>
    <row r="113" spans="1:28" ht="14.4" x14ac:dyDescent="0.3">
      <c r="B113" s="2"/>
      <c r="C113" s="2"/>
      <c r="D113" s="2"/>
      <c r="F113" s="2"/>
      <c r="G113" s="2"/>
      <c r="H113" s="2"/>
      <c r="I113" s="2"/>
      <c r="J113" s="2"/>
      <c r="K113" s="2"/>
      <c r="L113" s="2"/>
      <c r="M113" s="2"/>
      <c r="O113" s="2"/>
      <c r="P113" s="2"/>
      <c r="R113" s="2"/>
      <c r="S113" s="2"/>
      <c r="V113" s="99"/>
      <c r="W113" s="99"/>
      <c r="X113" s="99"/>
      <c r="Y113" s="99"/>
      <c r="Z113" s="99"/>
      <c r="AA113" s="99"/>
      <c r="AB113" s="99"/>
    </row>
    <row r="114" spans="1:28" ht="14.4" customHeight="1" x14ac:dyDescent="0.3">
      <c r="B114" s="2"/>
      <c r="C114" s="2"/>
      <c r="D114" s="2"/>
      <c r="F114" s="2"/>
      <c r="G114" s="2"/>
      <c r="H114" s="2"/>
      <c r="I114" s="2"/>
      <c r="J114" s="2"/>
      <c r="K114" s="2"/>
      <c r="L114" s="2"/>
      <c r="M114" s="2"/>
      <c r="N114" s="851" t="str">
        <f>IF(MAX(N119:N167)&gt;$AA$5,"↓ NB: Adop.n &gt; Aviation Share","")</f>
        <v>↓ NB: Adop.n &gt; Aviation Share</v>
      </c>
      <c r="O114" s="2"/>
      <c r="P114" s="2"/>
      <c r="R114" s="2"/>
      <c r="S114" s="2"/>
      <c r="V114" s="99"/>
      <c r="W114" s="99"/>
      <c r="X114" s="99"/>
      <c r="Y114" s="99"/>
      <c r="Z114" s="99"/>
      <c r="AA114" s="99"/>
      <c r="AB114" s="99"/>
    </row>
    <row r="115" spans="1:28" ht="27" customHeight="1" x14ac:dyDescent="0.3">
      <c r="A115" s="2"/>
      <c r="B115" s="2"/>
      <c r="C115" s="2"/>
      <c r="D115" s="2"/>
      <c r="E115" s="2"/>
      <c r="F115" s="2"/>
      <c r="G115" s="92" t="s">
        <v>131</v>
      </c>
      <c r="H115" s="2"/>
      <c r="I115" s="2"/>
      <c r="J115" s="92" t="s">
        <v>131</v>
      </c>
      <c r="K115" s="2"/>
      <c r="L115" s="2"/>
      <c r="M115" s="755" t="s">
        <v>739</v>
      </c>
      <c r="N115" s="851"/>
      <c r="O115" s="2"/>
      <c r="P115" s="261" t="str">
        <f>'Private Car Analysis &amp; Split'!R121</f>
        <v>Include</v>
      </c>
      <c r="R115" s="2"/>
      <c r="S115" s="261" t="str">
        <f>'Private Car Analysis &amp; Split'!U121</f>
        <v>Include</v>
      </c>
      <c r="V115" s="99"/>
      <c r="W115" s="99"/>
      <c r="X115" s="99"/>
      <c r="Y115" s="99"/>
      <c r="Z115" s="99"/>
      <c r="AA115" s="99"/>
      <c r="AB115" s="99"/>
    </row>
    <row r="116" spans="1:28" ht="15.75" customHeight="1" x14ac:dyDescent="0.3">
      <c r="A116" s="113" t="s">
        <v>306</v>
      </c>
      <c r="B116" s="114"/>
      <c r="C116" s="114"/>
      <c r="D116" s="114"/>
      <c r="E116" s="119"/>
      <c r="F116" s="114"/>
      <c r="G116" s="5"/>
      <c r="H116" s="5"/>
      <c r="I116" s="5"/>
      <c r="J116" s="5"/>
      <c r="K116" s="5"/>
      <c r="L116" s="5"/>
      <c r="M116" s="5"/>
      <c r="N116" s="851"/>
      <c r="O116" s="5"/>
      <c r="P116" s="2"/>
      <c r="Q116" s="2"/>
      <c r="R116" s="2"/>
      <c r="S116" s="2"/>
      <c r="T116" s="2"/>
      <c r="U116" s="2"/>
      <c r="V116" s="99"/>
      <c r="W116" s="99"/>
      <c r="X116" s="99"/>
      <c r="Y116" s="99"/>
      <c r="Z116" s="99"/>
      <c r="AA116" s="99"/>
      <c r="AB116" s="99"/>
    </row>
    <row r="117" spans="1:28" ht="45" customHeight="1" x14ac:dyDescent="0.3">
      <c r="A117" s="8" t="s">
        <v>130</v>
      </c>
      <c r="B117" s="66" t="s">
        <v>47</v>
      </c>
      <c r="C117" s="9" t="s">
        <v>48</v>
      </c>
      <c r="D117" s="9" t="s">
        <v>49</v>
      </c>
      <c r="E117" s="13"/>
      <c r="F117" s="14" t="s">
        <v>50</v>
      </c>
      <c r="G117" s="11" t="s">
        <v>5</v>
      </c>
      <c r="H117" s="11" t="s">
        <v>27</v>
      </c>
      <c r="I117" s="14" t="s">
        <v>51</v>
      </c>
      <c r="J117" s="11" t="s">
        <v>6</v>
      </c>
      <c r="K117" s="11" t="s">
        <v>27</v>
      </c>
      <c r="L117" s="14" t="s">
        <v>52</v>
      </c>
      <c r="M117" s="11" t="s">
        <v>609</v>
      </c>
      <c r="N117" s="11" t="s">
        <v>27</v>
      </c>
      <c r="O117" s="14"/>
      <c r="P117" s="121" t="s">
        <v>76</v>
      </c>
      <c r="Q117" s="11" t="s">
        <v>27</v>
      </c>
      <c r="R117" s="14"/>
      <c r="S117" s="121" t="s">
        <v>77</v>
      </c>
      <c r="T117" s="11" t="s">
        <v>27</v>
      </c>
      <c r="V117" s="99"/>
      <c r="W117" s="99"/>
      <c r="X117" s="99"/>
      <c r="Y117" s="750"/>
      <c r="Z117" s="811" t="s">
        <v>731</v>
      </c>
      <c r="AA117" s="811"/>
      <c r="AB117" s="811"/>
    </row>
    <row r="118" spans="1:28" ht="45.6" customHeight="1" x14ac:dyDescent="0.3">
      <c r="A118" s="16"/>
      <c r="B118" s="17"/>
      <c r="C118" s="749" t="s">
        <v>743</v>
      </c>
      <c r="D118" s="17"/>
      <c r="E118" s="122" t="s">
        <v>276</v>
      </c>
      <c r="F118" s="17"/>
      <c r="G118" s="271" t="s">
        <v>757</v>
      </c>
      <c r="H118" s="17" t="s">
        <v>30</v>
      </c>
      <c r="I118" s="17"/>
      <c r="J118" s="271" t="s">
        <v>764</v>
      </c>
      <c r="K118" s="17" t="s">
        <v>30</v>
      </c>
      <c r="L118" s="17"/>
      <c r="M118" s="271" t="s">
        <v>775</v>
      </c>
      <c r="N118" s="17" t="s">
        <v>30</v>
      </c>
      <c r="O118" s="17"/>
      <c r="P118" s="264" t="str">
        <f>'Private Car Analysis &amp; Split'!X124</f>
        <v>PDS3-100p2050-LRate at 11%</v>
      </c>
      <c r="Q118" s="17" t="s">
        <v>30</v>
      </c>
      <c r="R118" s="17"/>
      <c r="S118" s="264" t="str">
        <f>'Private Car Analysis &amp; Split'!AA124</f>
        <v>PDS3-0p2050-Oct21ComDat-PeakandDecline</v>
      </c>
      <c r="T118" s="17" t="s">
        <v>30</v>
      </c>
      <c r="V118" s="99"/>
      <c r="W118" s="99"/>
      <c r="X118" s="750"/>
      <c r="Y118" s="750"/>
      <c r="Z118" s="750"/>
      <c r="AA118" s="750"/>
      <c r="AB118" s="750"/>
    </row>
    <row r="119" spans="1:28" ht="18.75" customHeight="1" x14ac:dyDescent="0.3">
      <c r="A119" s="8"/>
      <c r="B119" s="19">
        <f t="shared" ref="B119:B167" si="17">B63</f>
        <v>23943.64423576602</v>
      </c>
      <c r="C119" s="756">
        <f>B119-SUM($AA$119:$AA$120,MAX($AA$121,$N119))*B119-IF($G$115="Include",G119,0)-IF($J$115="Include",J119,0)-IF($P$115="Include",P119,0)-IF($S$115="Include",S119,0)</f>
        <v>9566.4231294979236</v>
      </c>
      <c r="D119" s="69">
        <f t="shared" ref="D119:D167" si="18">C119/B119</f>
        <v>0.39953914430485893</v>
      </c>
      <c r="E119" s="7">
        <v>2012</v>
      </c>
      <c r="F119" s="7"/>
      <c r="G119" s="97"/>
      <c r="H119" s="26">
        <f t="shared" ref="H119:H167" si="19">G119/$B119</f>
        <v>0</v>
      </c>
      <c r="I119" s="2"/>
      <c r="J119" s="25"/>
      <c r="K119" s="26">
        <f t="shared" ref="K119:K167" si="20">J119/$B119</f>
        <v>0</v>
      </c>
      <c r="L119" s="24"/>
      <c r="M119" s="97"/>
      <c r="N119" s="26">
        <f t="shared" ref="N119:N167" si="21">M119/$B119</f>
        <v>0</v>
      </c>
      <c r="O119" s="24"/>
      <c r="P119" s="19">
        <f>'Private Car Analysis &amp; Split'!R125-'Private Car Analysis &amp; Split'!X125</f>
        <v>0</v>
      </c>
      <c r="Q119" s="26">
        <f t="shared" ref="Q119:Q167" si="22">P119/$B119</f>
        <v>0</v>
      </c>
      <c r="R119" s="24"/>
      <c r="S119" s="19">
        <f>'Private Car Analysis &amp; Split'!U125-'Private Car Analysis &amp; Split'!AA125</f>
        <v>0</v>
      </c>
      <c r="T119" s="26">
        <f t="shared" ref="T119:T167" si="23">S119/$B119</f>
        <v>0</v>
      </c>
      <c r="V119" s="99"/>
      <c r="W119" s="99"/>
      <c r="X119" s="99"/>
      <c r="Y119" s="98" t="s">
        <v>264</v>
      </c>
      <c r="Z119" s="750"/>
      <c r="AA119" s="515">
        <f t="shared" ref="AA119:AA120" si="24">AA61</f>
        <v>0.10501656604675022</v>
      </c>
      <c r="AB119" s="124" t="s">
        <v>498</v>
      </c>
    </row>
    <row r="120" spans="1:28" ht="18.75" customHeight="1" x14ac:dyDescent="0.3">
      <c r="A120" s="8"/>
      <c r="B120" s="19">
        <f t="shared" si="17"/>
        <v>24762.810564240011</v>
      </c>
      <c r="C120" s="756">
        <f t="shared" ref="C120:C167" si="25">B120-SUM($AA$119:$AA$120,MAX($AA$121,$N120))*B120-IF($G$115="Include",G120,0)-IF($J$115="Include",J120,0)-IF($P$115="Include",P120,0)-IF($S$115="Include",S120,0)</f>
        <v>9893.7121434197743</v>
      </c>
      <c r="D120" s="69">
        <f t="shared" si="18"/>
        <v>0.39953914430485887</v>
      </c>
      <c r="E120" s="7">
        <v>2013</v>
      </c>
      <c r="F120" s="7"/>
      <c r="G120" s="97"/>
      <c r="H120" s="26">
        <f t="shared" si="19"/>
        <v>0</v>
      </c>
      <c r="I120" s="2"/>
      <c r="J120" s="25"/>
      <c r="K120" s="26">
        <f t="shared" si="20"/>
        <v>0</v>
      </c>
      <c r="L120" s="24"/>
      <c r="M120" s="97"/>
      <c r="N120" s="26">
        <f t="shared" si="21"/>
        <v>0</v>
      </c>
      <c r="O120" s="24"/>
      <c r="P120" s="19">
        <f>'Private Car Analysis &amp; Split'!R126-'Private Car Analysis &amp; Split'!X126</f>
        <v>0</v>
      </c>
      <c r="Q120" s="26">
        <f t="shared" si="22"/>
        <v>0</v>
      </c>
      <c r="R120" s="24"/>
      <c r="S120" s="19">
        <f>'Private Car Analysis &amp; Split'!U126-'Private Car Analysis &amp; Split'!AA126</f>
        <v>0</v>
      </c>
      <c r="T120" s="26">
        <f t="shared" si="23"/>
        <v>0</v>
      </c>
      <c r="V120" s="99"/>
      <c r="W120" s="99"/>
      <c r="X120" s="99"/>
      <c r="Y120" s="98" t="s">
        <v>262</v>
      </c>
      <c r="Z120" s="750"/>
      <c r="AA120" s="515">
        <f t="shared" si="24"/>
        <v>0.28167749278597232</v>
      </c>
      <c r="AB120" s="124" t="s">
        <v>498</v>
      </c>
    </row>
    <row r="121" spans="1:28" s="99" customFormat="1" ht="14.4" x14ac:dyDescent="0.3">
      <c r="A121" s="847" t="s">
        <v>28</v>
      </c>
      <c r="B121" s="19">
        <f t="shared" si="17"/>
        <v>25792.286681443104</v>
      </c>
      <c r="C121" s="756">
        <f t="shared" si="25"/>
        <v>9467.6248565792794</v>
      </c>
      <c r="D121" s="69">
        <f t="shared" si="18"/>
        <v>0.36707194571433621</v>
      </c>
      <c r="E121" s="117">
        <v>2014</v>
      </c>
      <c r="F121" s="117"/>
      <c r="G121" s="25">
        <v>198.50531656903408</v>
      </c>
      <c r="H121" s="26">
        <f t="shared" si="19"/>
        <v>7.6963054505692057E-3</v>
      </c>
      <c r="I121" s="114"/>
      <c r="J121" s="25">
        <v>512.4</v>
      </c>
      <c r="K121" s="26">
        <f t="shared" si="20"/>
        <v>1.9866404492497318E-2</v>
      </c>
      <c r="L121" s="118"/>
      <c r="M121" s="25">
        <v>490.52398347557431</v>
      </c>
      <c r="N121" s="26">
        <f t="shared" si="21"/>
        <v>1.9018243304053141E-2</v>
      </c>
      <c r="O121" s="118"/>
      <c r="P121" s="19">
        <f>'Private Car Analysis &amp; Split'!R127-'Private Car Analysis &amp; Split'!X127</f>
        <v>0</v>
      </c>
      <c r="Q121" s="26">
        <f t="shared" si="22"/>
        <v>0</v>
      </c>
      <c r="R121" s="118"/>
      <c r="S121" s="19">
        <f>'Private Car Analysis &amp; Split'!U127-'Private Car Analysis &amp; Split'!AA127</f>
        <v>126.49797722107463</v>
      </c>
      <c r="T121" s="26">
        <f t="shared" si="23"/>
        <v>4.904488647456246E-3</v>
      </c>
      <c r="U121" s="119"/>
      <c r="Y121" s="98" t="s">
        <v>265</v>
      </c>
      <c r="Z121" s="750"/>
      <c r="AA121" s="515">
        <f>AA63</f>
        <v>0.21376679686241851</v>
      </c>
      <c r="AB121" s="124" t="s">
        <v>498</v>
      </c>
    </row>
    <row r="122" spans="1:28" s="99" customFormat="1" ht="14.4" x14ac:dyDescent="0.3">
      <c r="A122" s="848"/>
      <c r="B122" s="19">
        <f t="shared" si="17"/>
        <v>26650.135894561492</v>
      </c>
      <c r="C122" s="756">
        <f t="shared" si="25"/>
        <v>9616.3132192981102</v>
      </c>
      <c r="D122" s="69">
        <f t="shared" si="18"/>
        <v>0.3608354290328597</v>
      </c>
      <c r="E122" s="7">
        <v>2015</v>
      </c>
      <c r="F122" s="7"/>
      <c r="G122" s="25">
        <v>215.36749823103926</v>
      </c>
      <c r="H122" s="26">
        <f t="shared" si="19"/>
        <v>8.0812908077886915E-3</v>
      </c>
      <c r="I122" s="5"/>
      <c r="J122" s="25">
        <v>670.36566025154173</v>
      </c>
      <c r="K122" s="26">
        <f t="shared" si="20"/>
        <v>2.5154305512878963E-2</v>
      </c>
      <c r="L122" s="24"/>
      <c r="M122" s="25">
        <v>280.52810147008699</v>
      </c>
      <c r="N122" s="26">
        <f t="shared" si="21"/>
        <v>1.0526329118169132E-2</v>
      </c>
      <c r="O122" s="24"/>
      <c r="P122" s="19">
        <f>'Private Car Analysis &amp; Split'!R128-'Private Car Analysis &amp; Split'!X128</f>
        <v>0</v>
      </c>
      <c r="Q122" s="26">
        <f t="shared" si="22"/>
        <v>0</v>
      </c>
      <c r="R122" s="24"/>
      <c r="S122" s="19">
        <f>'Private Car Analysis &amp; Split'!U128-'Private Car Analysis &amp; Split'!AA128</f>
        <v>145.72611314061396</v>
      </c>
      <c r="T122" s="26">
        <f t="shared" si="23"/>
        <v>5.46811895133159E-3</v>
      </c>
      <c r="W122" s="100"/>
    </row>
    <row r="123" spans="1:28" s="99" customFormat="1" ht="14.4" x14ac:dyDescent="0.3">
      <c r="B123" s="19">
        <f t="shared" si="17"/>
        <v>27523.033303576412</v>
      </c>
      <c r="C123" s="756">
        <f t="shared" si="25"/>
        <v>9807.930163919702</v>
      </c>
      <c r="D123" s="69">
        <f t="shared" si="18"/>
        <v>0.356353533265726</v>
      </c>
      <c r="E123" s="7">
        <v>2016</v>
      </c>
      <c r="F123" s="7"/>
      <c r="G123" s="25">
        <v>232.22967989304448</v>
      </c>
      <c r="H123" s="26">
        <f t="shared" si="19"/>
        <v>8.4376484717935494E-3</v>
      </c>
      <c r="I123" s="5"/>
      <c r="J123" s="25">
        <v>789.30386480825962</v>
      </c>
      <c r="K123" s="26">
        <f t="shared" si="20"/>
        <v>2.8677938805011564E-2</v>
      </c>
      <c r="L123" s="24"/>
      <c r="M123" s="25">
        <v>544.41277224722285</v>
      </c>
      <c r="N123" s="26">
        <f t="shared" si="21"/>
        <v>1.9780260636333296E-2</v>
      </c>
      <c r="O123" s="24"/>
      <c r="P123" s="19">
        <f>'Private Car Analysis &amp; Split'!R129-'Private Car Analysis &amp; Split'!X129</f>
        <v>0</v>
      </c>
      <c r="Q123" s="26">
        <f t="shared" si="22"/>
        <v>0</v>
      </c>
      <c r="R123" s="24"/>
      <c r="S123" s="19">
        <f>'Private Car Analysis &amp; Split'!U129-'Private Car Analysis &amp; Split'!AA129</f>
        <v>167.06546616404685</v>
      </c>
      <c r="T123" s="26">
        <f t="shared" si="23"/>
        <v>6.0700237623277494E-3</v>
      </c>
      <c r="W123" s="100"/>
    </row>
    <row r="124" spans="1:28" s="99" customFormat="1" ht="14.4" x14ac:dyDescent="0.3">
      <c r="B124" s="19">
        <f t="shared" si="17"/>
        <v>28411.259149408132</v>
      </c>
      <c r="C124" s="756">
        <f t="shared" si="25"/>
        <v>10008.226247279983</v>
      </c>
      <c r="D124" s="69">
        <f t="shared" si="18"/>
        <v>0.35226267849126552</v>
      </c>
      <c r="E124" s="7">
        <v>2017</v>
      </c>
      <c r="F124" s="7"/>
      <c r="G124" s="25">
        <v>249.09186155504966</v>
      </c>
      <c r="H124" s="26">
        <f t="shared" si="19"/>
        <v>8.7673643834345442E-3</v>
      </c>
      <c r="I124" s="5"/>
      <c r="J124" s="25">
        <v>903.65473155305415</v>
      </c>
      <c r="K124" s="26">
        <f t="shared" si="20"/>
        <v>3.1806219034536495E-2</v>
      </c>
      <c r="L124" s="24"/>
      <c r="M124" s="25">
        <v>857.42974544519143</v>
      </c>
      <c r="N124" s="26">
        <f t="shared" si="21"/>
        <v>3.0179223699173981E-2</v>
      </c>
      <c r="O124" s="24"/>
      <c r="P124" s="19">
        <f>'Private Car Analysis &amp; Split'!R130-'Private Car Analysis &amp; Split'!X130</f>
        <v>0</v>
      </c>
      <c r="Q124" s="26">
        <f t="shared" si="22"/>
        <v>0</v>
      </c>
      <c r="R124" s="24"/>
      <c r="S124" s="19">
        <f>'Private Car Analysis &amp; Split'!U130-'Private Car Analysis &amp; Split'!AA130</f>
        <v>190.4373287900319</v>
      </c>
      <c r="T124" s="26">
        <f t="shared" si="23"/>
        <v>6.7028823956223399E-3</v>
      </c>
      <c r="V124" s="100"/>
      <c r="W124" s="100"/>
    </row>
    <row r="125" spans="1:28" s="99" customFormat="1" ht="14.4" x14ac:dyDescent="0.3">
      <c r="B125" s="19">
        <f t="shared" si="17"/>
        <v>29314.817849269726</v>
      </c>
      <c r="C125" s="756">
        <f t="shared" si="25"/>
        <v>10240.898383905433</v>
      </c>
      <c r="D125" s="69">
        <f t="shared" si="18"/>
        <v>0.34934204389608881</v>
      </c>
      <c r="E125" s="7">
        <v>2018</v>
      </c>
      <c r="F125" s="7"/>
      <c r="G125" s="25">
        <v>265.95404321705485</v>
      </c>
      <c r="H125" s="26">
        <f t="shared" si="19"/>
        <v>9.0723416595842894E-3</v>
      </c>
      <c r="I125" s="5"/>
      <c r="J125" s="25">
        <v>1013.9880199679051</v>
      </c>
      <c r="K125" s="26">
        <f t="shared" si="20"/>
        <v>3.4589606702712807E-2</v>
      </c>
      <c r="L125" s="24"/>
      <c r="M125" s="25">
        <v>1183.8865350614719</v>
      </c>
      <c r="N125" s="26">
        <f t="shared" si="21"/>
        <v>4.0385259807813004E-2</v>
      </c>
      <c r="O125" s="24"/>
      <c r="P125" s="19">
        <f>'Private Car Analysis &amp; Split'!R131-'Private Car Analysis &amp; Split'!X131</f>
        <v>0</v>
      </c>
      <c r="Q125" s="26">
        <f t="shared" si="22"/>
        <v>0</v>
      </c>
      <c r="R125" s="24"/>
      <c r="S125" s="19">
        <f>'Private Car Analysis &amp; Split'!U131-'Private Car Analysis &amp; Split'!AA131</f>
        <v>191.57679185964</v>
      </c>
      <c r="T125" s="26">
        <f t="shared" si="23"/>
        <v>6.5351520464730587E-3</v>
      </c>
      <c r="V125" s="100"/>
      <c r="W125" s="100"/>
    </row>
    <row r="126" spans="1:28" s="99" customFormat="1" ht="14.4" x14ac:dyDescent="0.3">
      <c r="B126" s="19">
        <f t="shared" si="17"/>
        <v>30233.500371254417</v>
      </c>
      <c r="C126" s="756">
        <f t="shared" si="25"/>
        <v>10288.26955153812</v>
      </c>
      <c r="D126" s="69">
        <f t="shared" si="18"/>
        <v>0.34029369491466693</v>
      </c>
      <c r="E126" s="7">
        <v>2019</v>
      </c>
      <c r="F126" s="7"/>
      <c r="G126" s="25">
        <v>426.40658501823657</v>
      </c>
      <c r="H126" s="26">
        <f t="shared" si="19"/>
        <v>1.4103778252010075E-2</v>
      </c>
      <c r="I126" s="5"/>
      <c r="J126" s="25">
        <v>1120.8734895347925</v>
      </c>
      <c r="K126" s="26">
        <f t="shared" si="20"/>
        <v>3.7073890742750484E-2</v>
      </c>
      <c r="L126" s="24"/>
      <c r="M126" s="25">
        <v>2687.298595692826</v>
      </c>
      <c r="N126" s="26">
        <f t="shared" si="21"/>
        <v>8.8884798739608445E-2</v>
      </c>
      <c r="O126" s="24"/>
      <c r="P126" s="19">
        <f>'Private Car Analysis &amp; Split'!R132-'Private Car Analysis &amp; Split'!X132</f>
        <v>0</v>
      </c>
      <c r="Q126" s="26">
        <f t="shared" si="22"/>
        <v>0</v>
      </c>
      <c r="R126" s="24"/>
      <c r="S126" s="19">
        <f>'Private Car Analysis &amp; Split'!U132-'Private Car Analysis &amp; Split'!AA132</f>
        <v>243.91724158047521</v>
      </c>
      <c r="T126" s="26">
        <f t="shared" si="23"/>
        <v>8.067780395431429E-3</v>
      </c>
      <c r="V126" s="100"/>
      <c r="W126" s="100"/>
    </row>
    <row r="127" spans="1:28" s="99" customFormat="1" ht="14.4" x14ac:dyDescent="0.3">
      <c r="A127" s="30"/>
      <c r="B127" s="19">
        <f t="shared" si="17"/>
        <v>31169.676322327818</v>
      </c>
      <c r="C127" s="756">
        <f t="shared" si="25"/>
        <v>10296.221892840284</v>
      </c>
      <c r="D127" s="69">
        <f t="shared" si="18"/>
        <v>0.33032816210108595</v>
      </c>
      <c r="E127" s="33">
        <v>2020</v>
      </c>
      <c r="F127" s="33"/>
      <c r="G127" s="97">
        <v>631.47876759046039</v>
      </c>
      <c r="H127" s="26">
        <f t="shared" si="19"/>
        <v>2.0259394453131113E-2</v>
      </c>
      <c r="I127" s="30"/>
      <c r="J127" s="25">
        <v>1224.8808997356955</v>
      </c>
      <c r="K127" s="26">
        <f t="shared" si="20"/>
        <v>3.9297196642952462E-2</v>
      </c>
      <c r="L127" s="34"/>
      <c r="M127" s="25">
        <v>3704.2750495438659</v>
      </c>
      <c r="N127" s="26">
        <f t="shared" si="21"/>
        <v>0.11884226872418234</v>
      </c>
      <c r="O127" s="34"/>
      <c r="P127" s="19">
        <f>'Private Car Analysis &amp; Split'!R133-'Private Car Analysis &amp; Split'!X133</f>
        <v>0</v>
      </c>
      <c r="Q127" s="26">
        <f t="shared" si="22"/>
        <v>0</v>
      </c>
      <c r="R127" s="34"/>
      <c r="S127" s="19">
        <f>'Private Car Analysis &amp; Split'!U133-'Private Car Analysis &amp; Split'!AA133</f>
        <v>300.92424591583767</v>
      </c>
      <c r="T127" s="26">
        <f t="shared" si="23"/>
        <v>9.6543911076893731E-3</v>
      </c>
      <c r="U127" s="119"/>
      <c r="V127" s="100"/>
      <c r="W127" s="100"/>
    </row>
    <row r="128" spans="1:28" ht="14.4" x14ac:dyDescent="0.3">
      <c r="B128" s="19">
        <f t="shared" si="17"/>
        <v>32098.234853161026</v>
      </c>
      <c r="C128" s="756">
        <f t="shared" si="25"/>
        <v>10259.22152683439</v>
      </c>
      <c r="D128" s="69">
        <f t="shared" si="18"/>
        <v>0.31961949227946607</v>
      </c>
      <c r="E128" s="7">
        <v>2021</v>
      </c>
      <c r="F128" s="7"/>
      <c r="G128" s="25">
        <v>839.91736875621655</v>
      </c>
      <c r="H128" s="26">
        <f t="shared" si="19"/>
        <v>2.6167089019024412E-2</v>
      </c>
      <c r="I128" s="2"/>
      <c r="J128" s="25">
        <v>1326.5800100525944</v>
      </c>
      <c r="K128" s="26">
        <f t="shared" si="20"/>
        <v>4.1328752690646883E-2</v>
      </c>
      <c r="L128" s="24"/>
      <c r="M128" s="25">
        <v>4726.9991791814009</v>
      </c>
      <c r="N128" s="26">
        <f t="shared" si="21"/>
        <v>0.14726663945247717</v>
      </c>
      <c r="O128" s="24"/>
      <c r="P128" s="19">
        <f>'Private Car Analysis &amp; Split'!R134-'Private Car Analysis &amp; Split'!X134</f>
        <v>32.197904739804017</v>
      </c>
      <c r="Q128" s="26">
        <f t="shared" si="22"/>
        <v>1.0031051516414828E-3</v>
      </c>
      <c r="R128" s="24"/>
      <c r="S128" s="19">
        <f>'Private Car Analysis &amp; Split'!U134-'Private Car Analysis &amp; Split'!AA134</f>
        <v>366.58447654535217</v>
      </c>
      <c r="T128" s="26">
        <f t="shared" si="23"/>
        <v>1.1420705164080107E-2</v>
      </c>
      <c r="V128" s="100"/>
      <c r="W128" s="100"/>
      <c r="X128" s="99"/>
      <c r="Y128" s="99"/>
      <c r="Z128" s="99"/>
      <c r="AA128" s="99"/>
      <c r="AB128" s="99"/>
    </row>
    <row r="129" spans="2:28" ht="14.4" x14ac:dyDescent="0.3">
      <c r="B129" s="19">
        <f t="shared" si="17"/>
        <v>33039.605298664756</v>
      </c>
      <c r="C129" s="756">
        <f t="shared" si="25"/>
        <v>10194.033117392364</v>
      </c>
      <c r="D129" s="69">
        <f t="shared" si="18"/>
        <v>0.3085397971689553</v>
      </c>
      <c r="E129" s="7">
        <v>2022</v>
      </c>
      <c r="F129" s="7"/>
      <c r="G129" s="25">
        <v>1051.3808299466054</v>
      </c>
      <c r="H129" s="26">
        <f t="shared" si="19"/>
        <v>3.1821833839797579E-2</v>
      </c>
      <c r="I129" s="2"/>
      <c r="J129" s="25">
        <v>1426.5405799674688</v>
      </c>
      <c r="K129" s="26">
        <f t="shared" si="20"/>
        <v>4.317668347040212E-2</v>
      </c>
      <c r="L129" s="24"/>
      <c r="M129" s="25">
        <v>5755.470984605432</v>
      </c>
      <c r="N129" s="26">
        <f t="shared" si="21"/>
        <v>0.1741991447106673</v>
      </c>
      <c r="O129" s="24"/>
      <c r="P129" s="19">
        <f>'Private Car Analysis &amp; Split'!R135-'Private Car Analysis &amp; Split'!X135</f>
        <v>87.881358812276176</v>
      </c>
      <c r="Q129" s="26">
        <f t="shared" si="22"/>
        <v>2.6598791970383426E-3</v>
      </c>
      <c r="R129" s="24"/>
      <c r="S129" s="19">
        <f>'Private Car Analysis &amp; Split'!U135-'Private Car Analysis &amp; Split'!AA135</f>
        <v>440.77974308008828</v>
      </c>
      <c r="T129" s="26">
        <f t="shared" si="23"/>
        <v>1.3340950628665704E-2</v>
      </c>
      <c r="V129" s="100"/>
      <c r="W129" s="100"/>
      <c r="X129" s="99"/>
      <c r="Y129" s="99"/>
      <c r="Z129" s="99"/>
      <c r="AA129" s="99"/>
      <c r="AB129" s="99"/>
    </row>
    <row r="130" spans="2:28" ht="14.4" x14ac:dyDescent="0.3">
      <c r="B130" s="19">
        <f t="shared" si="17"/>
        <v>33993.911424286372</v>
      </c>
      <c r="C130" s="756">
        <f t="shared" si="25"/>
        <v>10093.980853111361</v>
      </c>
      <c r="D130" s="69">
        <f t="shared" si="18"/>
        <v>0.29693496365057565</v>
      </c>
      <c r="E130" s="7">
        <v>2023</v>
      </c>
      <c r="F130" s="7"/>
      <c r="G130" s="25">
        <v>1265.5042459925214</v>
      </c>
      <c r="H130" s="26">
        <f t="shared" si="19"/>
        <v>3.7227379638590324E-2</v>
      </c>
      <c r="I130" s="2"/>
      <c r="J130" s="25">
        <v>1525.3323689622982</v>
      </c>
      <c r="K130" s="26">
        <f t="shared" si="20"/>
        <v>4.4870751998034288E-2</v>
      </c>
      <c r="L130" s="24"/>
      <c r="M130" s="25">
        <v>6789.6904658159565</v>
      </c>
      <c r="N130" s="26">
        <f t="shared" si="21"/>
        <v>0.19973254566302062</v>
      </c>
      <c r="O130" s="24"/>
      <c r="P130" s="19">
        <f>'Private Car Analysis &amp; Split'!R136-'Private Car Analysis &amp; Split'!X136</f>
        <v>173.68895883725042</v>
      </c>
      <c r="Q130" s="26">
        <f t="shared" si="22"/>
        <v>5.1094137614643926E-3</v>
      </c>
      <c r="R130" s="24"/>
      <c r="S130" s="19">
        <f>'Private Car Analysis &amp; Split'!U136-'Private Car Analysis &amp; Split'!AA136</f>
        <v>523.39185513111511</v>
      </c>
      <c r="T130" s="26">
        <f t="shared" si="23"/>
        <v>1.5396635256194341E-2</v>
      </c>
      <c r="V130" s="100"/>
      <c r="W130" s="100"/>
      <c r="X130" s="99"/>
      <c r="Y130" s="99"/>
      <c r="Z130" s="99"/>
      <c r="AA130" s="99"/>
      <c r="AB130" s="99"/>
    </row>
    <row r="131" spans="2:28" ht="14.4" x14ac:dyDescent="0.3">
      <c r="B131" s="19">
        <f t="shared" si="17"/>
        <v>34960.700316671842</v>
      </c>
      <c r="C131" s="756">
        <f t="shared" si="25"/>
        <v>9595.4497487615627</v>
      </c>
      <c r="D131" s="69">
        <f t="shared" si="18"/>
        <v>0.27446388836169122</v>
      </c>
      <c r="E131" s="7">
        <v>2024</v>
      </c>
      <c r="F131" s="7"/>
      <c r="G131" s="25">
        <v>1481.9015275999175</v>
      </c>
      <c r="H131" s="26">
        <f t="shared" si="19"/>
        <v>4.2387638524884967E-2</v>
      </c>
      <c r="I131" s="2"/>
      <c r="J131" s="25">
        <v>1623.5251365190627</v>
      </c>
      <c r="K131" s="26">
        <f t="shared" si="20"/>
        <v>4.6438575938504471E-2</v>
      </c>
      <c r="L131" s="24"/>
      <c r="M131" s="25">
        <v>7829.6576228129761</v>
      </c>
      <c r="N131" s="26">
        <f t="shared" si="21"/>
        <v>0.22395597204553758</v>
      </c>
      <c r="O131" s="24"/>
      <c r="P131" s="19">
        <f>'Private Car Analysis &amp; Split'!R137-'Private Car Analysis &amp; Split'!X137</f>
        <v>296.76855358053967</v>
      </c>
      <c r="Q131" s="26">
        <f t="shared" si="22"/>
        <v>8.4886329762398523E-3</v>
      </c>
      <c r="R131" s="24"/>
      <c r="S131" s="19">
        <f>'Private Car Analysis &amp; Split'!U137-'Private Car Analysis &amp; Split'!AA137</f>
        <v>614.30262230950211</v>
      </c>
      <c r="T131" s="26">
        <f t="shared" si="23"/>
        <v>1.7571233320419422E-2</v>
      </c>
      <c r="V131" s="100"/>
      <c r="W131" s="100"/>
      <c r="X131" s="99"/>
      <c r="Y131" s="99"/>
      <c r="Z131" s="99"/>
      <c r="AA131" s="99"/>
      <c r="AB131" s="99"/>
    </row>
    <row r="132" spans="2:28" ht="14.4" x14ac:dyDescent="0.3">
      <c r="B132" s="19">
        <f t="shared" si="17"/>
        <v>35939.65896838472</v>
      </c>
      <c r="C132" s="756">
        <f t="shared" si="25"/>
        <v>8939.9119284438693</v>
      </c>
      <c r="D132" s="69">
        <f t="shared" si="18"/>
        <v>0.24874782301935869</v>
      </c>
      <c r="E132" s="7">
        <v>2025</v>
      </c>
      <c r="F132" s="7"/>
      <c r="G132" s="25">
        <v>1700.1679027557084</v>
      </c>
      <c r="H132" s="26">
        <f t="shared" si="19"/>
        <v>4.7306177953755947E-2</v>
      </c>
      <c r="I132" s="2"/>
      <c r="J132" s="25">
        <v>1721.6886421197416</v>
      </c>
      <c r="K132" s="26">
        <f t="shared" si="20"/>
        <v>4.7904979945254098E-2</v>
      </c>
      <c r="L132" s="24"/>
      <c r="M132" s="25">
        <v>8502.0667973366035</v>
      </c>
      <c r="N132" s="26">
        <f t="shared" si="21"/>
        <v>0.23656503821629676</v>
      </c>
      <c r="O132" s="24"/>
      <c r="P132" s="19">
        <f>'Private Car Analysis &amp; Split'!R138-'Private Car Analysis &amp; Split'!X138</f>
        <v>464.77724395393602</v>
      </c>
      <c r="Q132" s="26">
        <f t="shared" si="22"/>
        <v>1.2932155098154652E-2</v>
      </c>
      <c r="R132" s="24"/>
      <c r="S132" s="19">
        <f>'Private Car Analysis &amp; Split'!U138-'Private Car Analysis &amp; Split'!AA138</f>
        <v>713.39385422631835</v>
      </c>
      <c r="T132" s="26">
        <f t="shared" si="23"/>
        <v>1.9849766934457398E-2</v>
      </c>
      <c r="V132" s="100"/>
      <c r="W132" s="100"/>
      <c r="X132" s="99"/>
      <c r="Y132" s="99"/>
      <c r="Z132" s="99"/>
      <c r="AA132" s="99"/>
      <c r="AB132" s="99"/>
    </row>
    <row r="133" spans="2:28" ht="14.4" x14ac:dyDescent="0.3">
      <c r="B133" s="19">
        <f t="shared" si="17"/>
        <v>36931.057136525327</v>
      </c>
      <c r="C133" s="756">
        <f t="shared" si="25"/>
        <v>8685.7929138899963</v>
      </c>
      <c r="D133" s="69">
        <f t="shared" si="18"/>
        <v>0.23518939308400211</v>
      </c>
      <c r="E133" s="7">
        <v>2026</v>
      </c>
      <c r="F133" s="7"/>
      <c r="G133" s="25">
        <v>1919.8827283789531</v>
      </c>
      <c r="H133" s="26">
        <f t="shared" si="19"/>
        <v>5.1985588207822044E-2</v>
      </c>
      <c r="I133" s="2"/>
      <c r="J133" s="25">
        <v>1820.3926452463152</v>
      </c>
      <c r="K133" s="26">
        <f t="shared" si="20"/>
        <v>4.9291647366517477E-2</v>
      </c>
      <c r="L133" s="24"/>
      <c r="M133" s="25">
        <v>8717.5397243960542</v>
      </c>
      <c r="N133" s="26">
        <f t="shared" si="21"/>
        <v>0.23604901674407491</v>
      </c>
      <c r="O133" s="24"/>
      <c r="P133" s="19">
        <f>'Private Car Analysis &amp; Split'!R139-'Private Car Analysis &amp; Split'!X139</f>
        <v>685.88138301521053</v>
      </c>
      <c r="Q133" s="26">
        <f t="shared" si="22"/>
        <v>1.8571940155400112E-2</v>
      </c>
      <c r="R133" s="24"/>
      <c r="S133" s="19">
        <f>'Private Car Analysis &amp; Split'!U139-'Private Car Analysis &amp; Split'!AA139</f>
        <v>820.54736049263352</v>
      </c>
      <c r="T133" s="26">
        <f t="shared" si="23"/>
        <v>2.2218355609460765E-2</v>
      </c>
      <c r="V133" s="100"/>
      <c r="W133" s="100"/>
      <c r="X133" s="99"/>
      <c r="Y133" s="99"/>
      <c r="Z133" s="99"/>
      <c r="AA133" s="99"/>
      <c r="AB133" s="99"/>
    </row>
    <row r="134" spans="2:28" ht="14.4" x14ac:dyDescent="0.3">
      <c r="B134" s="19">
        <f t="shared" si="17"/>
        <v>37935.484772566633</v>
      </c>
      <c r="C134" s="756">
        <f t="shared" si="25"/>
        <v>8369.8150360107284</v>
      </c>
      <c r="D134" s="69">
        <f t="shared" si="18"/>
        <v>0.22063287410692142</v>
      </c>
      <c r="E134" s="7">
        <v>2027</v>
      </c>
      <c r="F134" s="7"/>
      <c r="G134" s="25">
        <v>2140.6125751069367</v>
      </c>
      <c r="H134" s="26">
        <f t="shared" si="19"/>
        <v>5.6427711097946448E-2</v>
      </c>
      <c r="I134" s="2"/>
      <c r="J134" s="25">
        <v>1920.2069053807627</v>
      </c>
      <c r="K134" s="26">
        <f t="shared" si="20"/>
        <v>5.0617697833385183E-2</v>
      </c>
      <c r="L134" s="24"/>
      <c r="M134" s="25">
        <v>8931.0221488898442</v>
      </c>
      <c r="N134" s="26">
        <f t="shared" si="21"/>
        <v>0.23542659866965476</v>
      </c>
      <c r="O134" s="24"/>
      <c r="P134" s="19">
        <f>'Private Car Analysis &amp; Split'!R140-'Private Car Analysis &amp; Split'!X140</f>
        <v>968.75657596811357</v>
      </c>
      <c r="Q134" s="26">
        <f t="shared" si="22"/>
        <v>2.5536949950055156E-2</v>
      </c>
      <c r="R134" s="24"/>
      <c r="S134" s="19">
        <f>'Private Car Analysis &amp; Split'!U140-'Private Car Analysis &amp; Split'!AA140</f>
        <v>935.64495071951649</v>
      </c>
      <c r="T134" s="26">
        <f t="shared" si="23"/>
        <v>2.4664109509314511E-2</v>
      </c>
      <c r="V134" s="100"/>
      <c r="W134" s="100"/>
      <c r="X134" s="99"/>
      <c r="Y134" s="99"/>
      <c r="Z134" s="99"/>
      <c r="AA134" s="99"/>
      <c r="AB134" s="99"/>
    </row>
    <row r="135" spans="2:28" ht="14.4" x14ac:dyDescent="0.3">
      <c r="B135" s="19">
        <f t="shared" si="17"/>
        <v>38953.191004810251</v>
      </c>
      <c r="C135" s="756">
        <f t="shared" si="25"/>
        <v>7982.853212371343</v>
      </c>
      <c r="D135" s="69">
        <f t="shared" si="18"/>
        <v>0.20493451258936801</v>
      </c>
      <c r="E135" s="7">
        <v>2028</v>
      </c>
      <c r="F135" s="7"/>
      <c r="G135" s="25">
        <v>2361.9145403687407</v>
      </c>
      <c r="H135" s="26">
        <f t="shared" si="19"/>
        <v>6.0634686900928672E-2</v>
      </c>
      <c r="I135" s="2"/>
      <c r="J135" s="25">
        <v>2021.7011820050641</v>
      </c>
      <c r="K135" s="26">
        <f t="shared" si="20"/>
        <v>5.1900784758696875E-2</v>
      </c>
      <c r="L135" s="24"/>
      <c r="M135" s="25">
        <v>9142.5984212483163</v>
      </c>
      <c r="N135" s="26">
        <f t="shared" si="21"/>
        <v>0.23470730344323562</v>
      </c>
      <c r="O135" s="24"/>
      <c r="P135" s="19">
        <f>'Private Car Analysis &amp; Split'!R141-'Private Car Analysis &amp; Split'!X141</f>
        <v>1322.5876801623745</v>
      </c>
      <c r="Q135" s="26">
        <f t="shared" si="22"/>
        <v>3.3953256358357158E-2</v>
      </c>
      <c r="R135" s="24"/>
      <c r="S135" s="19">
        <f>'Private Car Analysis &amp; Split'!U141-'Private Car Analysis &amp; Split'!AA141</f>
        <v>1058.5684345180366</v>
      </c>
      <c r="T135" s="26">
        <f t="shared" si="23"/>
        <v>2.717539711669106E-2</v>
      </c>
      <c r="V135" s="100"/>
      <c r="W135" s="100"/>
      <c r="X135" s="99"/>
      <c r="Y135" s="99"/>
      <c r="Z135" s="99"/>
      <c r="AA135" s="99"/>
      <c r="AB135" s="99"/>
    </row>
    <row r="136" spans="2:28" ht="14.4" x14ac:dyDescent="0.3">
      <c r="B136" s="19">
        <f t="shared" si="17"/>
        <v>39984.440125321955</v>
      </c>
      <c r="C136" s="756">
        <f t="shared" si="25"/>
        <v>7515.2883918399511</v>
      </c>
      <c r="D136" s="69">
        <f t="shared" si="18"/>
        <v>0.18795532382809468</v>
      </c>
      <c r="E136" s="7">
        <v>2029</v>
      </c>
      <c r="F136" s="7"/>
      <c r="G136" s="25">
        <v>2583.3397381712975</v>
      </c>
      <c r="H136" s="26">
        <f t="shared" si="19"/>
        <v>6.4608626007377323E-2</v>
      </c>
      <c r="I136" s="2"/>
      <c r="J136" s="25">
        <v>2125.4452346011994</v>
      </c>
      <c r="K136" s="26">
        <f t="shared" si="20"/>
        <v>5.3156808697070269E-2</v>
      </c>
      <c r="L136" s="24"/>
      <c r="M136" s="25">
        <v>9352.3528919018208</v>
      </c>
      <c r="N136" s="26">
        <f t="shared" si="21"/>
        <v>0.2338998085902676</v>
      </c>
      <c r="O136" s="24"/>
      <c r="P136" s="19">
        <f>'Private Car Analysis &amp; Split'!R142-'Private Car Analysis &amp; Split'!X142</f>
        <v>1757.0688050937019</v>
      </c>
      <c r="Q136" s="26">
        <f t="shared" si="22"/>
        <v>4.3943814133362312E-2</v>
      </c>
      <c r="R136" s="24"/>
      <c r="S136" s="19">
        <f>'Private Car Analysis &amp; Split'!U142-'Private Car Analysis &amp; Split'!AA142</f>
        <v>1189.1996214992637</v>
      </c>
      <c r="T136" s="26">
        <f t="shared" si="23"/>
        <v>2.9741559911105251E-2</v>
      </c>
      <c r="V136" s="100"/>
      <c r="W136" s="100"/>
      <c r="X136" s="99"/>
      <c r="Y136" s="99"/>
      <c r="Z136" s="99"/>
      <c r="AA136" s="99"/>
      <c r="AB136" s="99"/>
    </row>
    <row r="137" spans="2:28" ht="14.4" x14ac:dyDescent="0.3">
      <c r="B137" s="19">
        <f t="shared" si="17"/>
        <v>41029.474351604615</v>
      </c>
      <c r="C137" s="756">
        <f t="shared" si="25"/>
        <v>6832.4277655293545</v>
      </c>
      <c r="D137" s="69">
        <f t="shared" si="18"/>
        <v>0.16652486714741804</v>
      </c>
      <c r="E137" s="7">
        <v>2030</v>
      </c>
      <c r="F137" s="7"/>
      <c r="G137" s="25">
        <v>2804.4369085974408</v>
      </c>
      <c r="H137" s="26">
        <f t="shared" si="19"/>
        <v>6.8351763041481967E-2</v>
      </c>
      <c r="I137" s="2"/>
      <c r="J137" s="25">
        <v>2232.008822651148</v>
      </c>
      <c r="K137" s="26">
        <f t="shared" si="20"/>
        <v>5.4400132049555655E-2</v>
      </c>
      <c r="L137" s="24"/>
      <c r="M137" s="25">
        <v>9552.1812202261171</v>
      </c>
      <c r="N137" s="26">
        <f t="shared" si="21"/>
        <v>0.23281266385155486</v>
      </c>
      <c r="O137" s="24"/>
      <c r="P137" s="19">
        <f>'Private Car Analysis &amp; Split'!R143-'Private Car Analysis &amp; Split'!X143</f>
        <v>2282.4033124037828</v>
      </c>
      <c r="Q137" s="26">
        <f t="shared" si="22"/>
        <v>5.5628382972801128E-2</v>
      </c>
      <c r="R137" s="24"/>
      <c r="S137" s="19">
        <f>'Private Car Analysis &amp; Split'!U143-'Private Car Analysis &amp; Split'!AA143</f>
        <v>1460.1623534016933</v>
      </c>
      <c r="T137" s="26">
        <f t="shared" si="23"/>
        <v>3.5588132104465729E-2</v>
      </c>
      <c r="V137" s="100"/>
      <c r="W137" s="100"/>
      <c r="X137" s="99"/>
      <c r="Y137" s="99"/>
      <c r="Z137" s="99"/>
      <c r="AA137" s="99"/>
      <c r="AB137" s="99"/>
    </row>
    <row r="138" spans="2:28" ht="14.4" x14ac:dyDescent="0.3">
      <c r="B138" s="19">
        <f t="shared" si="17"/>
        <v>42088.527573781801</v>
      </c>
      <c r="C138" s="756">
        <f t="shared" si="25"/>
        <v>6433.209204423325</v>
      </c>
      <c r="D138" s="69">
        <f t="shared" si="18"/>
        <v>0.1528494717033238</v>
      </c>
      <c r="E138" s="7">
        <v>2031</v>
      </c>
      <c r="F138" s="7"/>
      <c r="G138" s="25">
        <v>3024.7560861383254</v>
      </c>
      <c r="H138" s="26">
        <f t="shared" si="19"/>
        <v>7.1866521841038131E-2</v>
      </c>
      <c r="I138" s="2"/>
      <c r="J138" s="25">
        <v>2341.9617056368893</v>
      </c>
      <c r="K138" s="26">
        <f t="shared" si="20"/>
        <v>5.564370722001135E-2</v>
      </c>
      <c r="L138" s="24"/>
      <c r="M138" s="25">
        <v>9747.9717911848329</v>
      </c>
      <c r="N138" s="26">
        <f t="shared" si="21"/>
        <v>0.23160638665955935</v>
      </c>
      <c r="O138" s="24"/>
      <c r="P138" s="19">
        <f>'Private Car Analysis &amp; Split'!R144-'Private Car Analysis &amp; Split'!X144</f>
        <v>2644.8216508002592</v>
      </c>
      <c r="Q138" s="26">
        <f t="shared" si="22"/>
        <v>6.2839491026713837E-2</v>
      </c>
      <c r="R138" s="24"/>
      <c r="S138" s="19">
        <f>'Private Car Analysis &amp; Split'!U144-'Private Car Analysis &amp; Split'!AA144</f>
        <v>1620.4235777995257</v>
      </c>
      <c r="T138" s="26">
        <f t="shared" si="23"/>
        <v>3.8500362716631022E-2</v>
      </c>
      <c r="V138" s="100"/>
      <c r="W138" s="100"/>
      <c r="X138" s="99"/>
      <c r="Y138" s="99"/>
      <c r="Z138" s="99"/>
      <c r="AA138" s="99"/>
      <c r="AB138" s="99"/>
    </row>
    <row r="139" spans="2:28" ht="14.4" x14ac:dyDescent="0.3">
      <c r="B139" s="19">
        <f t="shared" si="17"/>
        <v>43161.96726403365</v>
      </c>
      <c r="C139" s="756">
        <f t="shared" si="25"/>
        <v>6000.8852225801584</v>
      </c>
      <c r="D139" s="69">
        <f t="shared" si="18"/>
        <v>0.13903178198229682</v>
      </c>
      <c r="E139" s="7">
        <v>2032</v>
      </c>
      <c r="F139" s="7"/>
      <c r="G139" s="25">
        <v>3243.8522638383015</v>
      </c>
      <c r="H139" s="26">
        <f t="shared" si="19"/>
        <v>7.5155338587668236E-2</v>
      </c>
      <c r="I139" s="2"/>
      <c r="J139" s="25">
        <v>2455.8736430404033</v>
      </c>
      <c r="K139" s="26">
        <f t="shared" si="20"/>
        <v>5.6899020102979724E-2</v>
      </c>
      <c r="L139" s="24"/>
      <c r="M139" s="25">
        <v>9941.2797607449356</v>
      </c>
      <c r="N139" s="26">
        <f t="shared" si="21"/>
        <v>0.23032499190621658</v>
      </c>
      <c r="O139" s="24"/>
      <c r="P139" s="19">
        <f>'Private Car Analysis &amp; Split'!R145-'Private Car Analysis &amp; Split'!X145</f>
        <v>3040.8268178807111</v>
      </c>
      <c r="Q139" s="26">
        <f t="shared" si="22"/>
        <v>7.045153431675473E-2</v>
      </c>
      <c r="R139" s="24"/>
      <c r="S139" s="19">
        <f>'Private Car Analysis &amp; Split'!U145-'Private Car Analysis &amp; Split'!AA145</f>
        <v>1788.7732474148645</v>
      </c>
      <c r="T139" s="26">
        <f t="shared" si="23"/>
        <v>4.1443274271361304E-2</v>
      </c>
      <c r="V139" s="100"/>
      <c r="W139" s="100"/>
      <c r="X139" s="99"/>
      <c r="Y139" s="99"/>
      <c r="Z139" s="99"/>
      <c r="AA139" s="99"/>
      <c r="AB139" s="99"/>
    </row>
    <row r="140" spans="2:28" ht="14.4" x14ac:dyDescent="0.3">
      <c r="B140" s="19">
        <f t="shared" si="17"/>
        <v>44250.466123173443</v>
      </c>
      <c r="C140" s="756">
        <f t="shared" si="25"/>
        <v>5534.4943422090564</v>
      </c>
      <c r="D140" s="69">
        <f t="shared" si="18"/>
        <v>0.12507200097742491</v>
      </c>
      <c r="E140" s="7">
        <v>2033</v>
      </c>
      <c r="F140" s="7"/>
      <c r="G140" s="25">
        <v>3461.2889899296247</v>
      </c>
      <c r="H140" s="26">
        <f t="shared" si="19"/>
        <v>7.8220396148934321E-2</v>
      </c>
      <c r="I140" s="2"/>
      <c r="J140" s="25">
        <v>2574.3143943436708</v>
      </c>
      <c r="K140" s="26">
        <f t="shared" si="20"/>
        <v>5.8175983664848517E-2</v>
      </c>
      <c r="L140" s="24"/>
      <c r="M140" s="25">
        <v>10132.202749451289</v>
      </c>
      <c r="N140" s="26">
        <f t="shared" si="21"/>
        <v>0.22897392134238279</v>
      </c>
      <c r="O140" s="24"/>
      <c r="P140" s="19">
        <f>'Private Car Analysis &amp; Split'!R146-'Private Car Analysis &amp; Split'!X146</f>
        <v>3471.6919440100874</v>
      </c>
      <c r="Q140" s="26">
        <f t="shared" si="22"/>
        <v>7.8455488679971291E-2</v>
      </c>
      <c r="R140" s="24"/>
      <c r="S140" s="19">
        <f>'Private Car Analysis &amp; Split'!U146-'Private Car Analysis &amp; Split'!AA146</f>
        <v>1965.081352819886</v>
      </c>
      <c r="T140" s="26">
        <f t="shared" si="23"/>
        <v>4.4408150353715627E-2</v>
      </c>
      <c r="V140" s="100"/>
      <c r="W140" s="100"/>
      <c r="X140" s="99"/>
      <c r="Y140" s="99"/>
      <c r="Z140" s="99"/>
      <c r="AA140" s="99"/>
      <c r="AB140" s="99"/>
    </row>
    <row r="141" spans="2:28" ht="14.4" x14ac:dyDescent="0.3">
      <c r="B141" s="19">
        <f t="shared" si="17"/>
        <v>45354.859388420766</v>
      </c>
      <c r="C141" s="756">
        <f t="shared" si="25"/>
        <v>5033.1627475010855</v>
      </c>
      <c r="D141" s="69">
        <f t="shared" si="18"/>
        <v>0.11097295450520275</v>
      </c>
      <c r="E141" s="7">
        <v>2034</v>
      </c>
      <c r="F141" s="7"/>
      <c r="G141" s="25">
        <v>3676.6418352063042</v>
      </c>
      <c r="H141" s="26">
        <f t="shared" si="19"/>
        <v>8.1063901085425091E-2</v>
      </c>
      <c r="I141" s="2"/>
      <c r="J141" s="25">
        <v>2697.8537190286697</v>
      </c>
      <c r="K141" s="26">
        <f t="shared" si="20"/>
        <v>5.9483234110024381E-2</v>
      </c>
      <c r="L141" s="24"/>
      <c r="M141" s="25">
        <v>10320.838377848766</v>
      </c>
      <c r="N141" s="26">
        <f t="shared" si="21"/>
        <v>0.22755749917469059</v>
      </c>
      <c r="O141" s="24"/>
      <c r="P141" s="19">
        <f>'Private Car Analysis &amp; Split'!R147-'Private Car Analysis &amp; Split'!X147</f>
        <v>3938.6901595533345</v>
      </c>
      <c r="Q141" s="26">
        <f t="shared" si="22"/>
        <v>8.6841635332219641E-2</v>
      </c>
      <c r="R141" s="24"/>
      <c r="S141" s="19">
        <f>'Private Car Analysis &amp; Split'!U147-'Private Car Analysis &amp; Split'!AA147</f>
        <v>2149.2178845867647</v>
      </c>
      <c r="T141" s="26">
        <f t="shared" si="23"/>
        <v>4.7386716959714942E-2</v>
      </c>
      <c r="V141" s="100"/>
      <c r="W141" s="100"/>
      <c r="X141" s="99"/>
      <c r="Y141" s="99"/>
      <c r="Z141" s="99"/>
      <c r="AA141" s="99"/>
      <c r="AB141" s="99"/>
    </row>
    <row r="142" spans="2:28" ht="14.4" x14ac:dyDescent="0.3">
      <c r="B142" s="19">
        <f t="shared" si="17"/>
        <v>46475.857809981047</v>
      </c>
      <c r="C142" s="756">
        <f t="shared" si="25"/>
        <v>4495.9249717083912</v>
      </c>
      <c r="D142" s="69">
        <f t="shared" si="18"/>
        <v>9.6736783000116178E-2</v>
      </c>
      <c r="E142" s="7">
        <v>2035</v>
      </c>
      <c r="F142" s="7"/>
      <c r="G142" s="25">
        <v>3889.5016727759012</v>
      </c>
      <c r="H142" s="26">
        <f t="shared" si="19"/>
        <v>8.3688647311865233E-2</v>
      </c>
      <c r="I142" s="2"/>
      <c r="J142" s="25">
        <v>2827.061376577381</v>
      </c>
      <c r="K142" s="26">
        <f t="shared" si="20"/>
        <v>6.0828600262440941E-2</v>
      </c>
      <c r="L142" s="24"/>
      <c r="M142" s="25">
        <v>10507.284266482231</v>
      </c>
      <c r="N142" s="26">
        <f t="shared" si="21"/>
        <v>0.22608048052478788</v>
      </c>
      <c r="O142" s="24"/>
      <c r="P142" s="19">
        <f>'Private Car Analysis &amp; Split'!R148-'Private Car Analysis &amp; Split'!X148</f>
        <v>4443.0945948754024</v>
      </c>
      <c r="Q142" s="26">
        <f t="shared" si="22"/>
        <v>9.560005569001491E-2</v>
      </c>
      <c r="R142" s="24"/>
      <c r="S142" s="19">
        <f>'Private Car Analysis &amp; Split'!U148-'Private Car Analysis &amp; Split'!AA148</f>
        <v>2341.0528332876788</v>
      </c>
      <c r="T142" s="26">
        <f t="shared" si="23"/>
        <v>5.0371374378052246E-2</v>
      </c>
      <c r="V142" s="100"/>
      <c r="W142" s="100"/>
      <c r="X142" s="99"/>
      <c r="Y142" s="99"/>
      <c r="Z142" s="99"/>
      <c r="AA142" s="99"/>
      <c r="AB142" s="99"/>
    </row>
    <row r="143" spans="2:28" ht="14.4" x14ac:dyDescent="0.3">
      <c r="B143" s="19">
        <f t="shared" si="17"/>
        <v>47613.950601827237</v>
      </c>
      <c r="C143" s="756">
        <f t="shared" si="25"/>
        <v>3690.7107747617774</v>
      </c>
      <c r="D143" s="69">
        <f t="shared" si="18"/>
        <v>7.7513223080887192E-2</v>
      </c>
      <c r="E143" s="7">
        <v>2036</v>
      </c>
      <c r="F143" s="7"/>
      <c r="G143" s="25">
        <v>4099.4777168984074</v>
      </c>
      <c r="H143" s="26">
        <f t="shared" si="19"/>
        <v>8.6098247784150164E-2</v>
      </c>
      <c r="I143" s="2"/>
      <c r="J143" s="25">
        <v>2962.507126471784</v>
      </c>
      <c r="K143" s="26">
        <f t="shared" si="20"/>
        <v>6.2219309446632946E-2</v>
      </c>
      <c r="L143" s="24"/>
      <c r="M143" s="25">
        <v>10691.638035896554</v>
      </c>
      <c r="N143" s="26">
        <f t="shared" si="21"/>
        <v>0.22454843382574205</v>
      </c>
      <c r="O143" s="24"/>
      <c r="P143" s="19">
        <f>'Private Car Analysis &amp; Split'!R149-'Private Car Analysis &amp; Split'!X149</f>
        <v>4986.1783803412363</v>
      </c>
      <c r="Q143" s="26">
        <f t="shared" si="22"/>
        <v>0.10472095504190082</v>
      </c>
      <c r="R143" s="24"/>
      <c r="S143" s="19">
        <f>'Private Car Analysis &amp; Split'!U149-'Private Car Analysis &amp; Split'!AA149</f>
        <v>2771.4067521761499</v>
      </c>
      <c r="T143" s="26">
        <f t="shared" si="23"/>
        <v>5.8205771987964262E-2</v>
      </c>
      <c r="V143" s="100"/>
      <c r="W143" s="100"/>
      <c r="X143" s="99"/>
      <c r="Y143" s="99"/>
      <c r="Z143" s="99"/>
      <c r="AA143" s="99"/>
      <c r="AB143" s="99"/>
    </row>
    <row r="144" spans="2:28" ht="14.4" x14ac:dyDescent="0.3">
      <c r="B144" s="19">
        <f t="shared" si="17"/>
        <v>48769.357016203649</v>
      </c>
      <c r="C144" s="756">
        <f t="shared" si="25"/>
        <v>2609.753301985721</v>
      </c>
      <c r="D144" s="69">
        <f t="shared" si="18"/>
        <v>5.3512153156307328E-2</v>
      </c>
      <c r="E144" s="7">
        <v>2037</v>
      </c>
      <c r="F144" s="7"/>
      <c r="G144" s="25">
        <v>4306.2002741621045</v>
      </c>
      <c r="H144" s="26">
        <f t="shared" si="19"/>
        <v>8.8297253390717589E-2</v>
      </c>
      <c r="I144" s="2"/>
      <c r="J144" s="25">
        <v>3104.7607281938585</v>
      </c>
      <c r="K144" s="26">
        <f t="shared" si="20"/>
        <v>6.3662121425187124E-2</v>
      </c>
      <c r="L144" s="24"/>
      <c r="M144" s="25">
        <v>10873.997306636604</v>
      </c>
      <c r="N144" s="26">
        <f t="shared" si="21"/>
        <v>0.22296782184402619</v>
      </c>
      <c r="O144" s="24"/>
      <c r="P144" s="19">
        <f>'Private Car Analysis &amp; Split'!R150-'Private Car Analysis &amp; Split'!X150</f>
        <v>5569.214646315786</v>
      </c>
      <c r="Q144" s="26">
        <f t="shared" si="22"/>
        <v>0.1141949573882102</v>
      </c>
      <c r="R144" s="24"/>
      <c r="S144" s="19">
        <f>'Private Car Analysis &amp; Split'!U150-'Private Car Analysis &amp; Split'!AA150</f>
        <v>3446.6101476516696</v>
      </c>
      <c r="T144" s="26">
        <f t="shared" si="23"/>
        <v>7.0671633962828981E-2</v>
      </c>
      <c r="V144" s="100"/>
      <c r="W144" s="100"/>
      <c r="X144" s="99"/>
      <c r="Y144" s="99"/>
      <c r="Z144" s="99"/>
      <c r="AA144" s="99"/>
      <c r="AB144" s="99"/>
    </row>
    <row r="145" spans="1:28" ht="14.4" x14ac:dyDescent="0.3">
      <c r="B145" s="19">
        <f t="shared" si="17"/>
        <v>49942.183216548918</v>
      </c>
      <c r="C145" s="756">
        <f t="shared" si="25"/>
        <v>1364.4700072135311</v>
      </c>
      <c r="D145" s="69">
        <f t="shared" si="18"/>
        <v>2.7320992382275314E-2</v>
      </c>
      <c r="E145" s="7">
        <v>2038</v>
      </c>
      <c r="F145" s="7"/>
      <c r="G145" s="25">
        <v>4509.3231679856935</v>
      </c>
      <c r="H145" s="26">
        <f t="shared" si="19"/>
        <v>9.0290869913181471E-2</v>
      </c>
      <c r="I145" s="2"/>
      <c r="J145" s="25">
        <v>3254.3919412255846</v>
      </c>
      <c r="K145" s="26">
        <f t="shared" si="20"/>
        <v>6.5163189344658132E-2</v>
      </c>
      <c r="L145" s="24"/>
      <c r="M145" s="25">
        <v>11054.459699247243</v>
      </c>
      <c r="N145" s="26">
        <f t="shared" si="21"/>
        <v>0.22134514326927182</v>
      </c>
      <c r="O145" s="24"/>
      <c r="P145" s="19">
        <f>'Private Car Analysis &amp; Split'!R151-'Private Car Analysis &amp; Split'!X151</f>
        <v>6193.4765231639985</v>
      </c>
      <c r="Q145" s="26">
        <f t="shared" si="22"/>
        <v>0.12401293103886013</v>
      </c>
      <c r="R145" s="24"/>
      <c r="S145" s="19">
        <f>'Private Car Analysis &amp; Split'!U151-'Private Car Analysis &amp; Split'!AA151</f>
        <v>4253.7163427380901</v>
      </c>
      <c r="T145" s="26">
        <f t="shared" si="23"/>
        <v>8.5172815219030557E-2</v>
      </c>
      <c r="V145" s="100"/>
      <c r="W145" s="100"/>
      <c r="X145" s="99"/>
      <c r="Y145" s="99"/>
      <c r="Z145" s="99"/>
      <c r="AA145" s="99"/>
      <c r="AB145" s="99"/>
    </row>
    <row r="146" spans="1:28" ht="14.4" x14ac:dyDescent="0.3">
      <c r="B146" s="19">
        <f t="shared" si="17"/>
        <v>51132.381094602591</v>
      </c>
      <c r="C146" s="756">
        <f t="shared" si="25"/>
        <v>227.10022736644896</v>
      </c>
      <c r="D146" s="69">
        <f t="shared" si="18"/>
        <v>4.4414170141280802E-3</v>
      </c>
      <c r="E146" s="7">
        <v>2039</v>
      </c>
      <c r="F146" s="7"/>
      <c r="G146" s="25">
        <v>4708.5258060569968</v>
      </c>
      <c r="H146" s="26">
        <f t="shared" si="19"/>
        <v>9.2085009640867618E-2</v>
      </c>
      <c r="I146" s="2"/>
      <c r="J146" s="25">
        <v>3411.9705250489419</v>
      </c>
      <c r="K146" s="26">
        <f t="shared" si="20"/>
        <v>6.6728176001353889E-2</v>
      </c>
      <c r="L146" s="24"/>
      <c r="M146" s="25">
        <v>11233.122834273345</v>
      </c>
      <c r="N146" s="26">
        <f t="shared" si="21"/>
        <v>0.21968706705620414</v>
      </c>
      <c r="O146" s="24"/>
      <c r="P146" s="19">
        <f>'Private Car Analysis &amp; Split'!R152-'Private Car Analysis &amp; Split'!X152</f>
        <v>6860.237141250821</v>
      </c>
      <c r="Q146" s="26">
        <f t="shared" si="22"/>
        <v>0.13416619751304659</v>
      </c>
      <c r="R146" s="24"/>
      <c r="S146" s="19">
        <f>'Private Car Analysis &amp; Split'!U152-'Private Car Analysis &amp; Split'!AA152</f>
        <v>4918.836577352592</v>
      </c>
      <c r="T146" s="26">
        <f t="shared" si="23"/>
        <v>9.6198073941677092E-2</v>
      </c>
      <c r="V146" s="100"/>
      <c r="W146" s="100"/>
      <c r="X146" s="99"/>
      <c r="Y146" s="99"/>
      <c r="Z146" s="99"/>
      <c r="AA146" s="99"/>
      <c r="AB146" s="99"/>
    </row>
    <row r="147" spans="1:28" ht="14.4" x14ac:dyDescent="0.3">
      <c r="B147" s="19">
        <f t="shared" si="17"/>
        <v>52339.948153113881</v>
      </c>
      <c r="C147" s="756">
        <f t="shared" si="25"/>
        <v>228.06438106866472</v>
      </c>
      <c r="D147" s="69">
        <f t="shared" si="18"/>
        <v>4.3573673478141646E-3</v>
      </c>
      <c r="E147" s="7">
        <v>2040</v>
      </c>
      <c r="F147" s="7"/>
      <c r="G147" s="25">
        <v>4903.5148694770223</v>
      </c>
      <c r="H147" s="26">
        <f t="shared" si="19"/>
        <v>9.3685894665627323E-2</v>
      </c>
      <c r="I147" s="2"/>
      <c r="J147" s="25">
        <v>3578.0662391459095</v>
      </c>
      <c r="K147" s="26">
        <f t="shared" si="20"/>
        <v>6.8362051652759201E-2</v>
      </c>
      <c r="L147" s="24"/>
      <c r="M147" s="25">
        <v>11410.084332259772</v>
      </c>
      <c r="N147" s="26">
        <f t="shared" si="21"/>
        <v>0.21799953448331696</v>
      </c>
      <c r="O147" s="24"/>
      <c r="P147" s="19">
        <f>'Private Car Analysis &amp; Split'!R153-'Private Car Analysis &amp; Split'!X153</f>
        <v>7949.308112488261</v>
      </c>
      <c r="Q147" s="26">
        <f t="shared" si="22"/>
        <v>0.15187841014350201</v>
      </c>
      <c r="R147" s="24"/>
      <c r="S147" s="19">
        <f>'Private Car Analysis &amp; Split'!U153-'Private Car Analysis &amp; Split'!AA153</f>
        <v>4031.3632282523818</v>
      </c>
      <c r="T147" s="26">
        <f t="shared" si="23"/>
        <v>7.7022682874257731E-2</v>
      </c>
      <c r="V147" s="100"/>
      <c r="W147" s="100"/>
      <c r="X147" s="99"/>
      <c r="Y147" s="99"/>
      <c r="Z147" s="99"/>
      <c r="AA147" s="99"/>
      <c r="AB147" s="99"/>
    </row>
    <row r="148" spans="1:28" ht="14.4" x14ac:dyDescent="0.3">
      <c r="B148" s="19">
        <f t="shared" si="17"/>
        <v>53565.078261454386</v>
      </c>
      <c r="C148" s="756">
        <f t="shared" si="25"/>
        <v>29.951236488104314</v>
      </c>
      <c r="D148" s="69">
        <f t="shared" si="18"/>
        <v>5.591560296413741E-4</v>
      </c>
      <c r="E148" s="7">
        <v>2041</v>
      </c>
      <c r="F148" s="7"/>
      <c r="G148" s="25">
        <v>5094.0256117223289</v>
      </c>
      <c r="H148" s="26">
        <f t="shared" si="19"/>
        <v>9.5099751126248369E-2</v>
      </c>
      <c r="I148" s="2"/>
      <c r="J148" s="25">
        <v>3753.2488429984674</v>
      </c>
      <c r="K148" s="26">
        <f t="shared" si="20"/>
        <v>7.0068950981059572E-2</v>
      </c>
      <c r="L148" s="24"/>
      <c r="M148" s="25">
        <v>11585.4418137514</v>
      </c>
      <c r="N148" s="26">
        <f t="shared" si="21"/>
        <v>0.21628721901986511</v>
      </c>
      <c r="O148" s="24"/>
      <c r="P148" s="19">
        <f>'Private Car Analysis &amp; Split'!R154-'Private Car Analysis &amp; Split'!X154</f>
        <v>8742.6644787300938</v>
      </c>
      <c r="Q148" s="26">
        <f t="shared" si="22"/>
        <v>0.16321575105438324</v>
      </c>
      <c r="R148" s="24"/>
      <c r="S148" s="19">
        <f>'Private Car Analysis &amp; Split'!U154-'Private Car Analysis &amp; Split'!AA154</f>
        <v>3646.4487531497603</v>
      </c>
      <c r="T148" s="26">
        <f t="shared" si="23"/>
        <v>6.8075112956079764E-2</v>
      </c>
      <c r="V148" s="100"/>
      <c r="W148" s="100"/>
      <c r="X148" s="99"/>
      <c r="Y148" s="99"/>
      <c r="Z148" s="99"/>
      <c r="AA148" s="99"/>
      <c r="AB148" s="99"/>
    </row>
    <row r="149" spans="1:28" ht="14.4" x14ac:dyDescent="0.3">
      <c r="B149" s="19">
        <f t="shared" si="17"/>
        <v>54808.054221713071</v>
      </c>
      <c r="C149" s="756">
        <f t="shared" si="25"/>
        <v>128.34321508535641</v>
      </c>
      <c r="D149" s="69">
        <f t="shared" si="18"/>
        <v>2.3416853035171468E-3</v>
      </c>
      <c r="E149" s="7">
        <v>2042</v>
      </c>
      <c r="F149" s="7"/>
      <c r="G149" s="96">
        <v>5279.8227647275125</v>
      </c>
      <c r="H149" s="26">
        <f t="shared" si="19"/>
        <v>9.633297221917847E-2</v>
      </c>
      <c r="I149" s="2"/>
      <c r="J149" s="25">
        <v>3938.0880960885956</v>
      </c>
      <c r="K149" s="26">
        <f t="shared" si="20"/>
        <v>7.1852360971582541E-2</v>
      </c>
      <c r="L149" s="24"/>
      <c r="M149" s="25">
        <v>11759.29289929309</v>
      </c>
      <c r="N149" s="26">
        <f t="shared" si="21"/>
        <v>0.21455410279160142</v>
      </c>
      <c r="O149" s="24"/>
      <c r="P149" s="19">
        <f>'Private Car Analysis &amp; Split'!R155-'Private Car Analysis &amp; Split'!X155</f>
        <v>9584.6548839220522</v>
      </c>
      <c r="Q149" s="26">
        <f t="shared" si="22"/>
        <v>0.17487675890024465</v>
      </c>
      <c r="R149" s="24"/>
      <c r="S149" s="19">
        <f>'Private Car Analysis &amp; Split'!U155-'Private Car Analysis &amp; Split'!AA155</f>
        <v>2923.903418878303</v>
      </c>
      <c r="T149" s="26">
        <f t="shared" si="23"/>
        <v>5.3348060981153252E-2</v>
      </c>
      <c r="V149" s="100"/>
      <c r="W149" s="100"/>
      <c r="X149" s="99"/>
      <c r="Y149" s="99"/>
      <c r="Z149" s="99"/>
      <c r="AA149" s="99"/>
      <c r="AB149" s="99"/>
    </row>
    <row r="150" spans="1:28" ht="14.4" x14ac:dyDescent="0.3">
      <c r="B150" s="19">
        <f t="shared" si="17"/>
        <v>56069.020982361581</v>
      </c>
      <c r="C150" s="756">
        <f t="shared" si="25"/>
        <v>28.126148525612734</v>
      </c>
      <c r="D150" s="69">
        <f t="shared" si="18"/>
        <v>5.0163437907112327E-4</v>
      </c>
      <c r="E150" s="7">
        <v>2043</v>
      </c>
      <c r="F150" s="7"/>
      <c r="G150" s="96">
        <v>5460.7010581101313</v>
      </c>
      <c r="H150" s="26">
        <f t="shared" si="19"/>
        <v>9.7392480953572932E-2</v>
      </c>
      <c r="I150" s="2"/>
      <c r="J150" s="25">
        <v>4133.1537578982743</v>
      </c>
      <c r="K150" s="26">
        <f t="shared" si="20"/>
        <v>7.3715461505891075E-2</v>
      </c>
      <c r="L150" s="24"/>
      <c r="M150" s="25">
        <v>11931.735209429709</v>
      </c>
      <c r="N150" s="26">
        <f t="shared" si="21"/>
        <v>0.21280441499385627</v>
      </c>
      <c r="O150" s="24"/>
      <c r="P150" s="19">
        <f>'Private Car Analysis &amp; Split'!R156-'Private Car Analysis &amp; Split'!X156</f>
        <v>10476.61611494733</v>
      </c>
      <c r="Q150" s="26">
        <f t="shared" si="22"/>
        <v>0.18685213209346221</v>
      </c>
      <c r="R150" s="24"/>
      <c r="S150" s="19">
        <f>'Private Car Analysis &amp; Split'!U156-'Private Car Analysis &amp; Split'!AA156</f>
        <v>2303.171585822578</v>
      </c>
      <c r="T150" s="26">
        <f t="shared" si="23"/>
        <v>4.1077435372861584E-2</v>
      </c>
      <c r="V150" s="100"/>
      <c r="W150" s="100"/>
      <c r="X150" s="99"/>
      <c r="Y150" s="99"/>
      <c r="Z150" s="99"/>
      <c r="AA150" s="99"/>
      <c r="AB150" s="99"/>
    </row>
    <row r="151" spans="1:28" ht="14.4" x14ac:dyDescent="0.3">
      <c r="B151" s="19">
        <f t="shared" si="17"/>
        <v>57348.114144943684</v>
      </c>
      <c r="C151" s="756">
        <f t="shared" si="25"/>
        <v>56.121707255739238</v>
      </c>
      <c r="D151" s="69">
        <f t="shared" si="18"/>
        <v>9.7861469540036169E-4</v>
      </c>
      <c r="E151" s="7">
        <v>2044</v>
      </c>
      <c r="F151" s="7"/>
      <c r="G151" s="96">
        <v>5636.4853655412617</v>
      </c>
      <c r="H151" s="26">
        <f t="shared" si="19"/>
        <v>9.8285452792665609E-2</v>
      </c>
      <c r="I151" s="2"/>
      <c r="J151" s="25">
        <v>4339.0155879094818</v>
      </c>
      <c r="K151" s="26">
        <f t="shared" si="20"/>
        <v>7.5660998667591725E-2</v>
      </c>
      <c r="L151" s="24"/>
      <c r="M151" s="25">
        <v>12102.866364706133</v>
      </c>
      <c r="N151" s="26">
        <f t="shared" si="21"/>
        <v>0.21104209868378435</v>
      </c>
      <c r="O151" s="24"/>
      <c r="P151" s="19">
        <f>'Private Car Analysis &amp; Split'!R157-'Private Car Analysis &amp; Split'!X157</f>
        <v>11419.884958689128</v>
      </c>
      <c r="Q151" s="26">
        <f t="shared" si="22"/>
        <v>0.1991327025998815</v>
      </c>
      <c r="R151" s="24"/>
      <c r="S151" s="19">
        <f>'Private Car Analysis &amp; Split'!U157-'Private Car Analysis &amp; Split'!AA157</f>
        <v>1461.3088335725624</v>
      </c>
      <c r="T151" s="26">
        <f t="shared" si="23"/>
        <v>2.5481375549319688E-2</v>
      </c>
      <c r="V151" s="100"/>
      <c r="W151" s="100"/>
      <c r="X151" s="99"/>
      <c r="Y151" s="99"/>
      <c r="Z151" s="99"/>
      <c r="AA151" s="99"/>
      <c r="AB151" s="99"/>
    </row>
    <row r="152" spans="1:28" ht="14.4" x14ac:dyDescent="0.3">
      <c r="B152" s="19">
        <f t="shared" si="17"/>
        <v>58645.452699874208</v>
      </c>
      <c r="C152" s="756">
        <f t="shared" si="25"/>
        <v>24.07722707257517</v>
      </c>
      <c r="D152" s="69">
        <f t="shared" si="18"/>
        <v>4.1055573730146711E-4</v>
      </c>
      <c r="E152" s="7">
        <v>2045</v>
      </c>
      <c r="F152" s="7"/>
      <c r="G152" s="96">
        <v>5807.0304992870751</v>
      </c>
      <c r="H152" s="26">
        <f t="shared" si="19"/>
        <v>9.9019279960294873E-2</v>
      </c>
      <c r="I152" s="2"/>
      <c r="J152" s="25">
        <v>4556.2433456041999</v>
      </c>
      <c r="K152" s="26">
        <f t="shared" si="20"/>
        <v>7.7691332163831575E-2</v>
      </c>
      <c r="L152" s="24"/>
      <c r="M152" s="25">
        <v>12272.78398566722</v>
      </c>
      <c r="N152" s="26">
        <f t="shared" si="21"/>
        <v>0.2092708542719382</v>
      </c>
      <c r="O152" s="24"/>
      <c r="P152" s="19">
        <f>'Private Car Analysis &amp; Split'!R158-'Private Car Analysis &amp; Split'!X158</f>
        <v>11824.569716219645</v>
      </c>
      <c r="Q152" s="26">
        <f t="shared" si="22"/>
        <v>0.20162807467329871</v>
      </c>
      <c r="R152" s="24"/>
      <c r="S152" s="19">
        <f>'Private Car Analysis &amp; Split'!U158-'Private Car Analysis &amp; Split'!AA158</f>
        <v>1219.2332008953258</v>
      </c>
      <c r="T152" s="26">
        <f t="shared" si="23"/>
        <v>2.0789901770132315E-2</v>
      </c>
      <c r="V152" s="100"/>
      <c r="W152" s="100"/>
      <c r="X152" s="99"/>
      <c r="Y152" s="99"/>
      <c r="Z152" s="99"/>
      <c r="AA152" s="99"/>
      <c r="AB152" s="99"/>
    </row>
    <row r="153" spans="1:28" ht="14.4" x14ac:dyDescent="0.3">
      <c r="B153" s="19">
        <f t="shared" si="17"/>
        <v>59961.168661590003</v>
      </c>
      <c r="C153" s="756">
        <f t="shared" si="25"/>
        <v>7.917255462678213</v>
      </c>
      <c r="D153" s="69">
        <f t="shared" si="18"/>
        <v>1.3203971235720523E-4</v>
      </c>
      <c r="E153" s="7">
        <v>2046</v>
      </c>
      <c r="F153" s="7"/>
      <c r="G153" s="97">
        <v>5972.2206798498837</v>
      </c>
      <c r="H153" s="26">
        <f t="shared" si="19"/>
        <v>9.9601472305451841E-2</v>
      </c>
      <c r="I153" s="2"/>
      <c r="J153" s="25">
        <v>4785.4067904644071</v>
      </c>
      <c r="K153" s="26">
        <f t="shared" si="20"/>
        <v>7.9808430977594477E-2</v>
      </c>
      <c r="L153" s="24"/>
      <c r="M153" s="25">
        <v>12441.585692857843</v>
      </c>
      <c r="N153" s="26">
        <f t="shared" si="21"/>
        <v>0.20749404940847474</v>
      </c>
      <c r="O153" s="24"/>
      <c r="P153" s="19">
        <f>'Private Car Analysis &amp; Split'!R159-'Private Car Analysis &amp; Split'!X159</f>
        <v>12824.469173195279</v>
      </c>
      <c r="Q153" s="26">
        <f t="shared" si="22"/>
        <v>0.21387957338814165</v>
      </c>
      <c r="R153" s="24"/>
      <c r="S153" s="19">
        <f>'Private Car Analysis &amp; Split'!U159-'Private Car Analysis &amp; Split'!AA159</f>
        <v>366.82011959874785</v>
      </c>
      <c r="T153" s="26">
        <f t="shared" si="23"/>
        <v>6.1176279213137801E-3</v>
      </c>
      <c r="V153" s="100"/>
      <c r="W153" s="100"/>
      <c r="X153" s="99"/>
      <c r="Y153" s="99"/>
      <c r="Z153" s="99"/>
      <c r="AA153" s="99"/>
      <c r="AB153" s="99"/>
    </row>
    <row r="154" spans="1:28" ht="14.4" x14ac:dyDescent="0.3">
      <c r="B154" s="19">
        <f t="shared" si="17"/>
        <v>61295.367493461941</v>
      </c>
      <c r="C154" s="756">
        <f t="shared" si="25"/>
        <v>-41.082165283248059</v>
      </c>
      <c r="D154" s="69">
        <f t="shared" si="18"/>
        <v>-6.7023279186033239E-4</v>
      </c>
      <c r="E154" s="7">
        <v>2047</v>
      </c>
      <c r="F154" s="7"/>
      <c r="G154" s="97">
        <v>6131.9687123215672</v>
      </c>
      <c r="H154" s="26">
        <f t="shared" si="19"/>
        <v>0.10003967613010285</v>
      </c>
      <c r="I154" s="2"/>
      <c r="J154" s="25">
        <v>5027.0756819720827</v>
      </c>
      <c r="K154" s="26">
        <f t="shared" si="20"/>
        <v>8.2013957784139155E-2</v>
      </c>
      <c r="L154" s="24"/>
      <c r="M154" s="25">
        <v>12609.369106822873</v>
      </c>
      <c r="N154" s="26">
        <f t="shared" si="21"/>
        <v>0.20571487899420537</v>
      </c>
      <c r="O154" s="24"/>
      <c r="P154" s="19">
        <f>'Private Car Analysis &amp; Split'!R160-'Private Car Analysis &amp; Split'!X160</f>
        <v>13183.199793612648</v>
      </c>
      <c r="Q154" s="26">
        <f t="shared" si="22"/>
        <v>0.21507660909315587</v>
      </c>
      <c r="R154" s="24"/>
      <c r="S154" s="19">
        <f>'Private Car Analysis &amp; Split'!U160-'Private Car Analysis &amp; Split'!AA160</f>
        <v>188.73665556660376</v>
      </c>
      <c r="T154" s="26">
        <f t="shared" si="23"/>
        <v>3.0791340893214373E-3</v>
      </c>
      <c r="V154" s="100"/>
      <c r="W154" s="100"/>
      <c r="X154" s="99"/>
      <c r="Y154" s="99"/>
      <c r="Z154" s="99"/>
      <c r="AA154" s="99"/>
      <c r="AB154" s="99"/>
    </row>
    <row r="155" spans="1:28" ht="14.4" x14ac:dyDescent="0.3">
      <c r="B155" s="19">
        <f t="shared" si="17"/>
        <v>62648.097089823532</v>
      </c>
      <c r="C155" s="756">
        <f t="shared" si="25"/>
        <v>29.848816733942101</v>
      </c>
      <c r="D155" s="69">
        <f t="shared" si="18"/>
        <v>4.7645208905779677E-4</v>
      </c>
      <c r="E155" s="7">
        <v>2048</v>
      </c>
      <c r="F155" s="7"/>
      <c r="G155" s="97">
        <v>6286.2149044879761</v>
      </c>
      <c r="H155" s="26">
        <f t="shared" si="19"/>
        <v>0.10034167351443944</v>
      </c>
      <c r="I155" s="2"/>
      <c r="J155" s="25">
        <v>5281.8197796092063</v>
      </c>
      <c r="K155" s="26">
        <f t="shared" si="20"/>
        <v>8.4309340985030137E-2</v>
      </c>
      <c r="L155" s="24"/>
      <c r="M155" s="25">
        <v>12776.231848107169</v>
      </c>
      <c r="N155" s="26">
        <f t="shared" si="21"/>
        <v>0.20393647120340902</v>
      </c>
      <c r="O155" s="24"/>
      <c r="P155" s="19">
        <f>'Private Car Analysis &amp; Split'!R161-'Private Car Analysis &amp; Split'!X161</f>
        <v>13332.984695104802</v>
      </c>
      <c r="Q155" s="26">
        <f t="shared" si="22"/>
        <v>0.2128234585639249</v>
      </c>
      <c r="R155" s="24"/>
      <c r="S155" s="19">
        <f>'Private Car Analysis &amp; Split'!U161-'Private Car Analysis &amp; Split'!AA161</f>
        <v>99.498907659890222</v>
      </c>
      <c r="T155" s="26">
        <f t="shared" si="23"/>
        <v>1.5882191524066688E-3</v>
      </c>
      <c r="V155" s="100"/>
      <c r="W155" s="100"/>
      <c r="X155" s="99"/>
      <c r="Y155" s="99"/>
      <c r="Z155" s="99"/>
      <c r="AA155" s="99"/>
      <c r="AB155" s="99"/>
    </row>
    <row r="156" spans="1:28" ht="14.4" x14ac:dyDescent="0.3">
      <c r="B156" s="19">
        <f t="shared" si="17"/>
        <v>64019.375866680086</v>
      </c>
      <c r="C156" s="756">
        <f t="shared" si="25"/>
        <v>2.1130682665016135E-4</v>
      </c>
      <c r="D156" s="69">
        <f t="shared" si="18"/>
        <v>3.30066989547362E-9</v>
      </c>
      <c r="E156" s="7">
        <v>2049</v>
      </c>
      <c r="F156" s="7"/>
      <c r="G156" s="97">
        <v>6434.9257639046709</v>
      </c>
      <c r="H156" s="26">
        <f t="shared" si="19"/>
        <v>0.10051528426808409</v>
      </c>
      <c r="I156" s="2"/>
      <c r="J156" s="25">
        <v>5550.208842857759</v>
      </c>
      <c r="K156" s="26">
        <f t="shared" si="20"/>
        <v>8.6695766207031302E-2</v>
      </c>
      <c r="L156" s="24"/>
      <c r="M156" s="25">
        <v>12942.271537255605</v>
      </c>
      <c r="N156" s="26">
        <f t="shared" si="21"/>
        <v>0.20216178870921511</v>
      </c>
      <c r="O156" s="24"/>
      <c r="P156" s="19">
        <f>'Private Car Analysis &amp; Split'!R162-'Private Car Analysis &amp; Split'!X162</f>
        <v>13593.111834635238</v>
      </c>
      <c r="Q156" s="26">
        <f t="shared" si="22"/>
        <v>0.21232809052907359</v>
      </c>
      <c r="R156" s="24"/>
      <c r="S156" s="19">
        <f>'Private Car Analysis &amp; Split'!U162-'Private Car Analysis &amp; Split'!AA162</f>
        <v>2.791875908086027E-12</v>
      </c>
      <c r="T156" s="26">
        <f t="shared" si="23"/>
        <v>4.3609858270097629E-17</v>
      </c>
      <c r="V156" s="100"/>
      <c r="W156" s="100"/>
      <c r="X156" s="99"/>
      <c r="Y156" s="99"/>
      <c r="Z156" s="99"/>
      <c r="AA156" s="99"/>
      <c r="AB156" s="99"/>
    </row>
    <row r="157" spans="1:28" ht="14.4" x14ac:dyDescent="0.3">
      <c r="A157" s="30"/>
      <c r="B157" s="19">
        <f t="shared" si="17"/>
        <v>65409.223775172293</v>
      </c>
      <c r="C157" s="756">
        <f t="shared" si="25"/>
        <v>3.2562885723907997E-4</v>
      </c>
      <c r="D157" s="69">
        <f t="shared" si="18"/>
        <v>4.9783323886910357E-9</v>
      </c>
      <c r="E157" s="33">
        <v>2050</v>
      </c>
      <c r="F157" s="33"/>
      <c r="G157" s="97">
        <v>6578.0925121644859</v>
      </c>
      <c r="H157" s="26">
        <f t="shared" si="19"/>
        <v>0.10056827053589597</v>
      </c>
      <c r="I157" s="30"/>
      <c r="J157" s="25">
        <v>5832.8126311997203</v>
      </c>
      <c r="K157" s="26">
        <f t="shared" si="20"/>
        <v>8.9174160684868276E-2</v>
      </c>
      <c r="L157" s="34"/>
      <c r="M157" s="25">
        <v>13107.585794813047</v>
      </c>
      <c r="N157" s="26">
        <f t="shared" si="21"/>
        <v>0.20039353837720297</v>
      </c>
      <c r="O157" s="34"/>
      <c r="P157" s="19">
        <f>'Private Car Analysis &amp; Split'!R163-'Private Car Analysis &amp; Split'!X163</f>
        <v>13722.639827784307</v>
      </c>
      <c r="Q157" s="26">
        <f t="shared" si="22"/>
        <v>0.20979670810576226</v>
      </c>
      <c r="R157" s="34"/>
      <c r="S157" s="19">
        <f>'Private Car Analysis &amp; Split'!U163-'Private Car Analysis &amp; Split'!AA163</f>
        <v>2.8432809446677903E-12</v>
      </c>
      <c r="T157" s="26">
        <f t="shared" si="23"/>
        <v>4.3469113078621012E-17</v>
      </c>
      <c r="U157" s="119"/>
      <c r="V157" s="100"/>
      <c r="W157" s="100"/>
      <c r="X157" s="99"/>
      <c r="Y157" s="99"/>
      <c r="Z157" s="99"/>
      <c r="AA157" s="99"/>
      <c r="AB157" s="99"/>
    </row>
    <row r="158" spans="1:28" ht="14.4" x14ac:dyDescent="0.3">
      <c r="B158" s="19">
        <f t="shared" si="17"/>
        <v>66817.712351729511</v>
      </c>
      <c r="C158" s="756">
        <f t="shared" si="25"/>
        <v>4.655932922766001E-4</v>
      </c>
      <c r="D158" s="69">
        <f t="shared" si="18"/>
        <v>6.9681118357615945E-9</v>
      </c>
      <c r="E158" s="7">
        <v>2051</v>
      </c>
      <c r="F158" s="7"/>
      <c r="G158" s="97">
        <v>6715.7294544970382</v>
      </c>
      <c r="H158" s="26">
        <f t="shared" si="19"/>
        <v>0.1005082218191687</v>
      </c>
      <c r="I158" s="2"/>
      <c r="J158" s="25">
        <v>6130.2009041170695</v>
      </c>
      <c r="K158" s="26">
        <f t="shared" si="20"/>
        <v>9.1745147930949705E-2</v>
      </c>
      <c r="L158" s="24"/>
      <c r="M158" s="25">
        <v>13272.272241324365</v>
      </c>
      <c r="N158" s="26">
        <f t="shared" si="21"/>
        <v>0.19863404139697136</v>
      </c>
      <c r="O158" s="24"/>
      <c r="P158" s="19">
        <f>'Private Car Analysis &amp; Split'!R164-'Private Car Analysis &amp; Split'!X164</f>
        <v>13850.360793210806</v>
      </c>
      <c r="Q158" s="26">
        <f t="shared" si="22"/>
        <v>0.20728576758662859</v>
      </c>
      <c r="R158" s="24"/>
      <c r="S158" s="19">
        <f>'Private Car Analysis &amp; Split'!U164-'Private Car Analysis &amp; Split'!AA164</f>
        <v>3.0262239993834951E-12</v>
      </c>
      <c r="T158" s="26">
        <f t="shared" si="23"/>
        <v>4.5290745415727546E-17</v>
      </c>
      <c r="V158" s="100"/>
      <c r="W158" s="100"/>
      <c r="X158" s="99"/>
      <c r="Y158" s="99"/>
      <c r="Z158" s="99"/>
      <c r="AA158" s="99"/>
      <c r="AB158" s="99"/>
    </row>
    <row r="159" spans="1:28" ht="14.4" x14ac:dyDescent="0.3">
      <c r="B159" s="19">
        <f t="shared" si="17"/>
        <v>68244.917949708921</v>
      </c>
      <c r="C159" s="756">
        <f t="shared" si="25"/>
        <v>5.3013031064192177E-4</v>
      </c>
      <c r="D159" s="69">
        <f t="shared" si="18"/>
        <v>7.7680555060903687E-9</v>
      </c>
      <c r="E159" s="7">
        <v>2052</v>
      </c>
      <c r="F159" s="7"/>
      <c r="G159" s="97">
        <v>6847.8722418093948</v>
      </c>
      <c r="H159" s="26">
        <f t="shared" si="19"/>
        <v>0.10034259616013799</v>
      </c>
      <c r="I159" s="2"/>
      <c r="J159" s="25">
        <v>6442.9434210917861</v>
      </c>
      <c r="K159" s="26">
        <f t="shared" si="20"/>
        <v>9.4409131326668505E-2</v>
      </c>
      <c r="L159" s="24"/>
      <c r="M159" s="25">
        <v>13436.428497334424</v>
      </c>
      <c r="N159" s="26">
        <f t="shared" si="21"/>
        <v>0.19688540774913091</v>
      </c>
      <c r="O159" s="24"/>
      <c r="P159" s="19">
        <f>'Private Car Analysis &amp; Split'!R165-'Private Car Analysis &amp; Split'!X165</f>
        <v>13975.699927750517</v>
      </c>
      <c r="Q159" s="26">
        <f t="shared" si="22"/>
        <v>0.2047874090499969</v>
      </c>
      <c r="R159" s="24"/>
      <c r="S159" s="19">
        <f>'Private Car Analysis &amp; Split'!U165-'Private Car Analysis &amp; Split'!AA165</f>
        <v>2.9219373279373358E-12</v>
      </c>
      <c r="T159" s="26">
        <f t="shared" si="23"/>
        <v>4.2815456677529765E-17</v>
      </c>
      <c r="V159" s="100"/>
      <c r="W159" s="100"/>
      <c r="X159" s="99"/>
      <c r="Y159" s="99"/>
      <c r="Z159" s="99"/>
      <c r="AA159" s="99"/>
      <c r="AB159" s="99"/>
    </row>
    <row r="160" spans="1:28" ht="14.4" x14ac:dyDescent="0.3">
      <c r="B160" s="19">
        <f t="shared" si="17"/>
        <v>69690.862296588006</v>
      </c>
      <c r="C160" s="756">
        <f t="shared" si="25"/>
        <v>4.6105812074213198E-4</v>
      </c>
      <c r="D160" s="69">
        <f t="shared" si="18"/>
        <v>6.6157614577930815E-9</v>
      </c>
      <c r="E160" s="7">
        <v>2053</v>
      </c>
      <c r="F160" s="7"/>
      <c r="G160" s="97">
        <v>6974.5760604448387</v>
      </c>
      <c r="H160" s="26">
        <f t="shared" si="19"/>
        <v>0.10007877404017007</v>
      </c>
      <c r="I160" s="2"/>
      <c r="J160" s="25">
        <v>6771.6099416058496</v>
      </c>
      <c r="K160" s="26">
        <f t="shared" si="20"/>
        <v>9.7166396259920879E-2</v>
      </c>
      <c r="L160" s="24"/>
      <c r="M160" s="25">
        <v>13600.152183388094</v>
      </c>
      <c r="N160" s="26">
        <f t="shared" si="21"/>
        <v>0.1951497188470567</v>
      </c>
      <c r="O160" s="24"/>
      <c r="P160" s="19">
        <f>'Private Car Analysis &amp; Split'!R166-'Private Car Analysis &amp; Split'!X166</f>
        <v>14098.041024737715</v>
      </c>
      <c r="Q160" s="26">
        <f t="shared" si="22"/>
        <v>0.20229396738900648</v>
      </c>
      <c r="R160" s="24"/>
      <c r="S160" s="19">
        <f>'Private Car Analysis &amp; Split'!U166-'Private Car Analysis &amp; Split'!AA166</f>
        <v>2.8771636977032066E-12</v>
      </c>
      <c r="T160" s="26">
        <f t="shared" si="23"/>
        <v>4.1284662047352365E-17</v>
      </c>
      <c r="V160" s="100"/>
      <c r="W160" s="100"/>
      <c r="X160" s="99"/>
      <c r="Y160" s="99"/>
      <c r="Z160" s="99"/>
      <c r="AA160" s="99"/>
      <c r="AB160" s="99"/>
    </row>
    <row r="161" spans="2:28" ht="14.4" x14ac:dyDescent="0.3">
      <c r="B161" s="19">
        <f t="shared" si="17"/>
        <v>71155.549574570934</v>
      </c>
      <c r="C161" s="756">
        <f t="shared" si="25"/>
        <v>2.0136352512280652E-4</v>
      </c>
      <c r="D161" s="69">
        <f t="shared" si="18"/>
        <v>2.8299061187318605E-9</v>
      </c>
      <c r="E161" s="7">
        <v>2054</v>
      </c>
      <c r="F161" s="7"/>
      <c r="G161" s="97">
        <v>7095.9137824615555</v>
      </c>
      <c r="H161" s="26">
        <f t="shared" si="19"/>
        <v>9.9723968473113198E-2</v>
      </c>
      <c r="I161" s="2"/>
      <c r="J161" s="25">
        <v>7116.7702251412411</v>
      </c>
      <c r="K161" s="26">
        <f t="shared" si="20"/>
        <v>0.10001707902885178</v>
      </c>
      <c r="L161" s="24"/>
      <c r="M161" s="25">
        <v>13763.54092003024</v>
      </c>
      <c r="N161" s="26">
        <f t="shared" si="21"/>
        <v>0.1934289173834019</v>
      </c>
      <c r="O161" s="24"/>
      <c r="P161" s="19">
        <f>'Private Car Analysis &amp; Split'!R167-'Private Car Analysis &amp; Split'!X167</f>
        <v>14216.743180599715</v>
      </c>
      <c r="Q161" s="26">
        <f t="shared" si="22"/>
        <v>0.19979809397298778</v>
      </c>
      <c r="R161" s="24"/>
      <c r="S161" s="19">
        <f>'Private Car Analysis &amp; Split'!U167-'Private Car Analysis &amp; Split'!AA167</f>
        <v>2.4715605316263863E-12</v>
      </c>
      <c r="T161" s="26">
        <f t="shared" si="23"/>
        <v>3.4734613763838525E-17</v>
      </c>
      <c r="V161" s="100"/>
      <c r="W161" s="100"/>
      <c r="X161" s="99"/>
      <c r="Y161" s="99"/>
      <c r="Z161" s="99"/>
      <c r="AA161" s="99"/>
      <c r="AB161" s="99"/>
    </row>
    <row r="162" spans="2:28" ht="14.4" x14ac:dyDescent="0.3">
      <c r="B162" s="19">
        <f t="shared" si="17"/>
        <v>72638.996466202268</v>
      </c>
      <c r="C162" s="756">
        <f t="shared" si="25"/>
        <v>-2.2984612266909712E-4</v>
      </c>
      <c r="D162" s="69">
        <f t="shared" si="18"/>
        <v>-3.1642249184436453E-9</v>
      </c>
      <c r="E162" s="7">
        <v>2055</v>
      </c>
      <c r="F162" s="7"/>
      <c r="G162" s="97">
        <v>7211.9741062749154</v>
      </c>
      <c r="H162" s="26">
        <f t="shared" si="19"/>
        <v>9.9285156143787426E-2</v>
      </c>
      <c r="I162" s="2"/>
      <c r="J162" s="25">
        <v>7478.9940311799382</v>
      </c>
      <c r="K162" s="26">
        <f t="shared" si="20"/>
        <v>0.10296114201770107</v>
      </c>
      <c r="L162" s="24"/>
      <c r="M162" s="25">
        <v>13926.692327805733</v>
      </c>
      <c r="N162" s="26">
        <f t="shared" si="21"/>
        <v>0.19172473471994611</v>
      </c>
      <c r="O162" s="24"/>
      <c r="P162" s="19">
        <f>'Private Car Analysis &amp; Split'!R168-'Private Car Analysis &amp; Split'!X168</f>
        <v>14331.154583661395</v>
      </c>
      <c r="Q162" s="26">
        <f t="shared" si="22"/>
        <v>0.19729284930759536</v>
      </c>
      <c r="R162" s="24"/>
      <c r="S162" s="19">
        <f>'Private Car Analysis &amp; Split'!U168-'Private Car Analysis &amp; Split'!AA168</f>
        <v>2.2500000000000003E-12</v>
      </c>
      <c r="T162" s="26">
        <f t="shared" si="23"/>
        <v>3.0975097529697952E-17</v>
      </c>
      <c r="V162" s="100"/>
      <c r="W162" s="100"/>
      <c r="X162" s="99"/>
      <c r="Y162" s="99"/>
      <c r="Z162" s="99"/>
      <c r="AA162" s="99"/>
      <c r="AB162" s="99"/>
    </row>
    <row r="163" spans="2:28" ht="14.4" x14ac:dyDescent="0.3">
      <c r="B163" s="19">
        <f t="shared" si="17"/>
        <v>74141.223042769358</v>
      </c>
      <c r="C163" s="756">
        <f t="shared" si="25"/>
        <v>-6.5997037525748672E-4</v>
      </c>
      <c r="D163" s="69">
        <f t="shared" si="18"/>
        <v>-8.9015307297638446E-9</v>
      </c>
      <c r="E163" s="7">
        <v>2056</v>
      </c>
      <c r="F163" s="7"/>
      <c r="G163" s="97">
        <v>7322.8597142196559</v>
      </c>
      <c r="H163" s="26">
        <f t="shared" si="19"/>
        <v>9.8769070885104851E-2</v>
      </c>
      <c r="I163" s="2"/>
      <c r="J163" s="25">
        <v>7858.8511192039223</v>
      </c>
      <c r="K163" s="26">
        <f t="shared" si="20"/>
        <v>0.10599840138421292</v>
      </c>
      <c r="L163" s="24"/>
      <c r="M163" s="25">
        <v>14089.704027259439</v>
      </c>
      <c r="N163" s="26">
        <f t="shared" si="21"/>
        <v>0.19003873215217401</v>
      </c>
      <c r="O163" s="24"/>
      <c r="P163" s="19">
        <f>'Private Car Analysis &amp; Split'!R169-'Private Car Analysis &amp; Split'!X169</f>
        <v>14440.610638770551</v>
      </c>
      <c r="Q163" s="26">
        <f t="shared" si="22"/>
        <v>0.19477168093707184</v>
      </c>
      <c r="R163" s="24"/>
      <c r="S163" s="19">
        <f>'Private Car Analysis &amp; Split'!U169-'Private Car Analysis &amp; Split'!AA169</f>
        <v>1.4399999999999999E-12</v>
      </c>
      <c r="T163" s="26">
        <f t="shared" si="23"/>
        <v>1.9422393385246917E-17</v>
      </c>
      <c r="V163" s="100"/>
      <c r="W163" s="100"/>
      <c r="X163" s="99"/>
      <c r="Y163" s="99"/>
      <c r="Z163" s="99"/>
      <c r="AA163" s="99"/>
      <c r="AB163" s="99"/>
    </row>
    <row r="164" spans="2:28" ht="14.4" x14ac:dyDescent="0.3">
      <c r="B164" s="19">
        <f t="shared" si="17"/>
        <v>75662.292132942268</v>
      </c>
      <c r="C164" s="756">
        <f t="shared" si="25"/>
        <v>-7.2185828910178421E-4</v>
      </c>
      <c r="D164" s="69">
        <f t="shared" si="18"/>
        <v>-9.5405289577197131E-9</v>
      </c>
      <c r="E164" s="7">
        <v>2057</v>
      </c>
      <c r="F164" s="7"/>
      <c r="G164" s="97">
        <v>7428.6854701138209</v>
      </c>
      <c r="H164" s="26">
        <f t="shared" si="19"/>
        <v>9.8182136182991459E-2</v>
      </c>
      <c r="I164" s="2"/>
      <c r="J164" s="25">
        <v>8256.9112486951744</v>
      </c>
      <c r="K164" s="26">
        <f t="shared" si="20"/>
        <v>0.109128484162063</v>
      </c>
      <c r="L164" s="24"/>
      <c r="M164" s="25">
        <v>14252.673638936223</v>
      </c>
      <c r="N164" s="26">
        <f t="shared" si="21"/>
        <v>0.18837221602926849</v>
      </c>
      <c r="O164" s="24"/>
      <c r="P164" s="19">
        <f>'Private Car Analysis &amp; Split'!R170-'Private Car Analysis &amp; Split'!X170</f>
        <v>14544.4514579893</v>
      </c>
      <c r="Q164" s="26">
        <f t="shared" si="22"/>
        <v>0.19222853350033334</v>
      </c>
      <c r="R164" s="24"/>
      <c r="S164" s="19">
        <f>'Private Car Analysis &amp; Split'!U170-'Private Car Analysis &amp; Split'!AA170</f>
        <v>2.2500000000000003E-12</v>
      </c>
      <c r="T164" s="26">
        <f t="shared" si="23"/>
        <v>2.9737402034379858E-17</v>
      </c>
      <c r="V164" s="100"/>
      <c r="W164" s="100"/>
      <c r="X164" s="99"/>
      <c r="Y164" s="99"/>
      <c r="Z164" s="99"/>
      <c r="AA164" s="99"/>
      <c r="AB164" s="99"/>
    </row>
    <row r="165" spans="2:28" ht="14.4" x14ac:dyDescent="0.3">
      <c r="B165" s="19">
        <f t="shared" si="17"/>
        <v>77202.320208664125</v>
      </c>
      <c r="C165" s="756">
        <f t="shared" si="25"/>
        <v>-1.4860470531900932E-5</v>
      </c>
      <c r="D165" s="69">
        <f t="shared" si="18"/>
        <v>-1.9248735649052679E-10</v>
      </c>
      <c r="E165" s="7">
        <v>2058</v>
      </c>
      <c r="F165" s="7"/>
      <c r="G165" s="97">
        <v>7529.5766763712963</v>
      </c>
      <c r="H165" s="26">
        <f t="shared" si="19"/>
        <v>9.7530445406565386E-2</v>
      </c>
      <c r="I165" s="2"/>
      <c r="J165" s="25">
        <v>8673.7441791356705</v>
      </c>
      <c r="K165" s="26">
        <f t="shared" si="20"/>
        <v>0.11235082256196555</v>
      </c>
      <c r="L165" s="24"/>
      <c r="M165" s="25">
        <v>14415.698783380962</v>
      </c>
      <c r="N165" s="26">
        <f t="shared" si="21"/>
        <v>0.18672623755889584</v>
      </c>
      <c r="O165" s="24"/>
      <c r="P165" s="19">
        <f>'Private Car Analysis &amp; Split'!R171-'Private Car Analysis &amp; Split'!X171</f>
        <v>14642.028113872882</v>
      </c>
      <c r="Q165" s="26">
        <f t="shared" si="22"/>
        <v>0.1896578765288153</v>
      </c>
      <c r="R165" s="24"/>
      <c r="S165" s="19">
        <f>'Private Car Analysis &amp; Split'!U171-'Private Car Analysis &amp; Split'!AA171</f>
        <v>1.9500000000000004E-12</v>
      </c>
      <c r="T165" s="26">
        <f t="shared" si="23"/>
        <v>2.5258308231274625E-17</v>
      </c>
      <c r="V165" s="100"/>
      <c r="W165" s="100"/>
      <c r="X165" s="99"/>
      <c r="Y165" s="99"/>
      <c r="Z165" s="99"/>
      <c r="AA165" s="99"/>
      <c r="AB165" s="99"/>
    </row>
    <row r="166" spans="2:28" ht="14.4" x14ac:dyDescent="0.3">
      <c r="B166" s="19">
        <f t="shared" si="17"/>
        <v>78761.463919819187</v>
      </c>
      <c r="C166" s="756">
        <f t="shared" si="25"/>
        <v>1.143733930612143E-3</v>
      </c>
      <c r="D166" s="69">
        <f t="shared" si="18"/>
        <v>1.4521491522510145E-8</v>
      </c>
      <c r="E166" s="7">
        <v>2059</v>
      </c>
      <c r="F166" s="7"/>
      <c r="G166" s="97">
        <v>7625.6674067226486</v>
      </c>
      <c r="H166" s="26">
        <f t="shared" si="19"/>
        <v>9.6819777429298884E-2</v>
      </c>
      <c r="I166" s="2"/>
      <c r="J166" s="25">
        <v>9109.9196700073935</v>
      </c>
      <c r="K166" s="26">
        <f t="shared" si="20"/>
        <v>0.11566468189673927</v>
      </c>
      <c r="L166" s="24"/>
      <c r="M166" s="25">
        <v>14578.877081138515</v>
      </c>
      <c r="N166" s="26">
        <f t="shared" si="21"/>
        <v>0.18510165194466313</v>
      </c>
      <c r="O166" s="24"/>
      <c r="P166" s="19">
        <f>'Private Car Analysis &amp; Split'!R172-'Private Car Analysis &amp; Split'!X172</f>
        <v>14732.699678258603</v>
      </c>
      <c r="Q166" s="26">
        <f t="shared" si="22"/>
        <v>0.18705467045732921</v>
      </c>
      <c r="R166" s="24"/>
      <c r="S166" s="19">
        <f>'Private Car Analysis &amp; Split'!U172-'Private Car Analysis &amp; Split'!AA172</f>
        <v>2.0099832909181673E-12</v>
      </c>
      <c r="T166" s="26">
        <f t="shared" si="23"/>
        <v>2.5519882324233744E-17</v>
      </c>
      <c r="V166" s="100"/>
      <c r="W166" s="100"/>
      <c r="X166" s="99"/>
      <c r="Y166" s="99"/>
      <c r="Z166" s="99"/>
      <c r="AA166" s="99"/>
      <c r="AB166" s="99"/>
    </row>
    <row r="167" spans="2:28" ht="14.4" x14ac:dyDescent="0.3">
      <c r="B167" s="19">
        <f t="shared" si="17"/>
        <v>80339.868171686307</v>
      </c>
      <c r="C167" s="756">
        <f t="shared" si="25"/>
        <v>-4.6175657566350099E-4</v>
      </c>
      <c r="D167" s="69">
        <f t="shared" si="18"/>
        <v>-5.7475396234995949E-9</v>
      </c>
      <c r="E167" s="7">
        <v>2060</v>
      </c>
      <c r="F167" s="7"/>
      <c r="G167" s="97">
        <v>7717.0989272534707</v>
      </c>
      <c r="H167" s="26">
        <f t="shared" si="19"/>
        <v>9.6055658328465632E-2</v>
      </c>
      <c r="I167" s="2"/>
      <c r="J167" s="25">
        <v>9566.0074807923211</v>
      </c>
      <c r="K167" s="26">
        <f t="shared" si="20"/>
        <v>0.11906924542556831</v>
      </c>
      <c r="L167" s="24"/>
      <c r="M167" s="25">
        <v>14742.306152753754</v>
      </c>
      <c r="N167" s="26">
        <f t="shared" si="21"/>
        <v>0.18349925744525053</v>
      </c>
      <c r="O167" s="24"/>
      <c r="P167" s="19">
        <f>'Private Car Analysis &amp; Split'!R173-'Private Car Analysis &amp; Split'!X173</f>
        <v>14815.816236591501</v>
      </c>
      <c r="Q167" s="26">
        <f t="shared" si="22"/>
        <v>0.18441424629836459</v>
      </c>
      <c r="R167" s="24"/>
      <c r="S167" s="19">
        <f>'Private Car Analysis &amp; Split'!U173-'Private Car Analysis &amp; Split'!AA173</f>
        <v>1.9500000000000004E-12</v>
      </c>
      <c r="T167" s="26">
        <f t="shared" si="23"/>
        <v>2.4271884487448376E-17</v>
      </c>
      <c r="V167" s="100"/>
      <c r="W167" s="100"/>
      <c r="X167" s="99"/>
      <c r="Y167" s="99"/>
      <c r="Z167" s="99"/>
      <c r="AA167" s="99"/>
      <c r="AB167" s="99"/>
    </row>
    <row r="168" spans="2:28" ht="14.4" x14ac:dyDescent="0.3">
      <c r="B168" s="2"/>
      <c r="C168" s="2"/>
      <c r="D168" s="2"/>
      <c r="F168" s="2"/>
      <c r="G168" s="2"/>
      <c r="H168" s="2"/>
      <c r="I168" s="2"/>
      <c r="J168" s="2"/>
      <c r="K168" s="2"/>
      <c r="L168" s="2"/>
      <c r="M168" s="2"/>
      <c r="O168" s="2"/>
      <c r="P168" s="2"/>
      <c r="R168" s="2"/>
      <c r="S168" s="2"/>
      <c r="V168" s="99"/>
      <c r="W168" s="99"/>
      <c r="X168" s="99"/>
      <c r="Y168" s="99"/>
      <c r="Z168" s="99"/>
      <c r="AA168" s="99"/>
      <c r="AB168" s="99"/>
    </row>
    <row r="169" spans="2:28" ht="14.4" x14ac:dyDescent="0.3">
      <c r="B169" s="2"/>
      <c r="C169" s="2"/>
      <c r="D169" s="2"/>
      <c r="F169" s="2"/>
      <c r="G169" s="2"/>
      <c r="H169" s="2"/>
      <c r="I169" s="2"/>
      <c r="J169" s="2"/>
      <c r="K169" s="2"/>
      <c r="L169" s="2"/>
      <c r="M169" s="2"/>
      <c r="O169" s="2"/>
      <c r="P169" s="2"/>
      <c r="R169" s="2"/>
      <c r="S169" s="2"/>
      <c r="V169" s="99"/>
      <c r="W169" s="99"/>
      <c r="X169" s="99"/>
      <c r="Y169" s="99"/>
      <c r="Z169" s="99"/>
      <c r="AA169" s="99"/>
      <c r="AB169" s="99"/>
    </row>
  </sheetData>
  <mergeCells count="11">
    <mergeCell ref="A10:A11"/>
    <mergeCell ref="A65:A66"/>
    <mergeCell ref="A121:A122"/>
    <mergeCell ref="A2:E4"/>
    <mergeCell ref="V1:X2"/>
    <mergeCell ref="Z1:AB1"/>
    <mergeCell ref="Z59:AB59"/>
    <mergeCell ref="Z117:AB117"/>
    <mergeCell ref="N3:N5"/>
    <mergeCell ref="N58:N60"/>
    <mergeCell ref="N114:N116"/>
  </mergeCells>
  <conditionalFormatting sqref="S4">
    <cfRule type="containsText" dxfId="128" priority="32" operator="containsText" text="Exclude">
      <formula>NOT(ISERROR(SEARCH("Exclude",S4)))</formula>
    </cfRule>
  </conditionalFormatting>
  <conditionalFormatting sqref="P4">
    <cfRule type="containsText" dxfId="127" priority="31" operator="containsText" text="Exclude">
      <formula>NOT(ISERROR(SEARCH("Exclude",P4)))</formula>
    </cfRule>
  </conditionalFormatting>
  <conditionalFormatting sqref="J4">
    <cfRule type="containsText" dxfId="126" priority="29" operator="containsText" text="Exclude">
      <formula>NOT(ISERROR(SEARCH("Exclude",J4)))</formula>
    </cfRule>
  </conditionalFormatting>
  <conditionalFormatting sqref="G4">
    <cfRule type="containsText" dxfId="125" priority="28" operator="containsText" text="Exclude">
      <formula>NOT(ISERROR(SEARCH("Exclude",G4)))</formula>
    </cfRule>
  </conditionalFormatting>
  <conditionalFormatting sqref="G59">
    <cfRule type="containsText" dxfId="124" priority="27" operator="containsText" text="Exclude">
      <formula>NOT(ISERROR(SEARCH("Exclude",G59)))</formula>
    </cfRule>
  </conditionalFormatting>
  <conditionalFormatting sqref="J59">
    <cfRule type="containsText" dxfId="123" priority="26" operator="containsText" text="Exclude">
      <formula>NOT(ISERROR(SEARCH("Exclude",J59)))</formula>
    </cfRule>
  </conditionalFormatting>
  <conditionalFormatting sqref="P59">
    <cfRule type="containsText" dxfId="122" priority="24" operator="containsText" text="Exclude">
      <formula>NOT(ISERROR(SEARCH("Exclude",P59)))</formula>
    </cfRule>
  </conditionalFormatting>
  <conditionalFormatting sqref="S59">
    <cfRule type="containsText" dxfId="121" priority="23" operator="containsText" text="Exclude">
      <formula>NOT(ISERROR(SEARCH("Exclude",S59)))</formula>
    </cfRule>
  </conditionalFormatting>
  <conditionalFormatting sqref="S115">
    <cfRule type="containsText" dxfId="120" priority="22" operator="containsText" text="Exclude">
      <formula>NOT(ISERROR(SEARCH("Exclude",S115)))</formula>
    </cfRule>
  </conditionalFormatting>
  <conditionalFormatting sqref="P115">
    <cfRule type="containsText" dxfId="119" priority="21" operator="containsText" text="Exclude">
      <formula>NOT(ISERROR(SEARCH("Exclude",P115)))</formula>
    </cfRule>
  </conditionalFormatting>
  <conditionalFormatting sqref="G115">
    <cfRule type="containsText" dxfId="118" priority="19" operator="containsText" text="Exclude">
      <formula>NOT(ISERROR(SEARCH("Exclude",G115)))</formula>
    </cfRule>
  </conditionalFormatting>
  <conditionalFormatting sqref="J115">
    <cfRule type="containsText" dxfId="117" priority="18" operator="containsText" text="Exclude">
      <formula>NOT(ISERROR(SEARCH("Exclude",J115)))</formula>
    </cfRule>
  </conditionalFormatting>
  <conditionalFormatting sqref="M115">
    <cfRule type="containsText" dxfId="116" priority="9" operator="containsText" text="Exclude">
      <formula>NOT(ISERROR(SEARCH("Exclude",M115)))</formula>
    </cfRule>
  </conditionalFormatting>
  <conditionalFormatting sqref="M59">
    <cfRule type="containsText" dxfId="115" priority="8" operator="containsText" text="Exclude">
      <formula>NOT(ISERROR(SEARCH("Exclude",M59)))</formula>
    </cfRule>
  </conditionalFormatting>
  <conditionalFormatting sqref="M4">
    <cfRule type="containsText" dxfId="114" priority="7" operator="containsText" text="Exclude">
      <formula>NOT(ISERROR(SEARCH("Exclude",M4)))</formula>
    </cfRule>
  </conditionalFormatting>
  <conditionalFormatting sqref="C119:D167">
    <cfRule type="cellIs" dxfId="113" priority="6" operator="lessThan">
      <formula>0</formula>
    </cfRule>
  </conditionalFormatting>
  <conditionalFormatting sqref="C63:D111">
    <cfRule type="cellIs" dxfId="112" priority="5" operator="lessThan">
      <formula>0</formula>
    </cfRule>
  </conditionalFormatting>
  <conditionalFormatting sqref="C8:D56">
    <cfRule type="cellIs" dxfId="111" priority="4" operator="lessThan">
      <formula>0</formula>
    </cfRule>
  </conditionalFormatting>
  <conditionalFormatting sqref="N8:N56">
    <cfRule type="expression" dxfId="110" priority="3">
      <formula>$N8&gt;$AA$5</formula>
    </cfRule>
  </conditionalFormatting>
  <conditionalFormatting sqref="N63:N111">
    <cfRule type="expression" dxfId="109" priority="2">
      <formula>$N63&gt;$AA$5</formula>
    </cfRule>
  </conditionalFormatting>
  <conditionalFormatting sqref="N119:N167">
    <cfRule type="expression" dxfId="108" priority="1">
      <formula>$N119&gt;$AA$5</formula>
    </cfRule>
  </conditionalFormatting>
  <dataValidations count="1">
    <dataValidation type="list" allowBlank="1" showInputMessage="1" showErrorMessage="1" sqref="J115 G115 J59 J4 G4 G59" xr:uid="{00000000-0002-0000-0500-000000000000}">
      <formula1>"Include,Exclude"</formula1>
    </dataValidation>
  </dataValidations>
  <hyperlinks>
    <hyperlink ref="P6" location="'Private Car Analysis &amp; Split'!Q4" display="Electric Vehicles (Click to Input)" xr:uid="{6D6B954D-5C03-4E10-AAFA-F467A4730230}"/>
    <hyperlink ref="S6" location="'Private Car Analysis &amp; Split'!T5" display="Car Fuel Efficiency (Hybrid EV's)    (Click to Input)" xr:uid="{579D7F74-1962-4D5B-AD89-6A4579403D92}"/>
    <hyperlink ref="P61" location="'Private Car Analysis &amp; Split'!Q63" display="Electric Vehicles (Click to Input)" xr:uid="{FB41482D-786A-4BD6-89D1-ECE0392D03E3}"/>
    <hyperlink ref="S61" location="'Private Car Analysis &amp; Split'!T63" display="Car Fuel Efficiency (Hybrid EV's)    (Click to Input)" xr:uid="{4847FBF6-D806-499A-BB6F-A32CA798288A}"/>
    <hyperlink ref="P117" location="'Private Car Analysis &amp; Split'!Q121" display="Electric Vehicles (Split Page)" xr:uid="{CE81C8A6-6F43-427E-8D1A-F66AD26E52D1}"/>
    <hyperlink ref="S117" location="'Private Car Analysis &amp; Split'!T121" display="Car Fuel Efficiency (See Split Page)" xr:uid="{FE2A98A1-9B92-420B-99DC-214E0D95B49E}"/>
    <hyperlink ref="V1:X2" location="'Table of Contents'!A1" display="Back to Table of Contents" xr:uid="{B756D0C1-881B-4FC9-823B-381F1C337CAD}"/>
  </hyperlinks>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CC48A-3427-466D-A96F-29AA728D21F3}">
  <sheetPr codeName="Sheet11">
    <tabColor rgb="FFFAF2B6"/>
  </sheetPr>
  <dimension ref="A1:AL168"/>
  <sheetViews>
    <sheetView topLeftCell="A116" zoomScale="60" zoomScaleNormal="60" workbookViewId="0">
      <pane xSplit="5" topLeftCell="F1" activePane="topRight" state="frozen"/>
      <selection activeCell="AE45" sqref="AE45"/>
      <selection pane="topRight" activeCell="T117" sqref="T117"/>
    </sheetView>
  </sheetViews>
  <sheetFormatPr defaultColWidth="15.21875" defaultRowHeight="15" customHeight="1" x14ac:dyDescent="0.3"/>
  <cols>
    <col min="1" max="1" width="7.5546875" style="217" customWidth="1"/>
    <col min="2" max="2" width="12.44140625" style="217" customWidth="1"/>
    <col min="3" max="3" width="9.77734375" style="217" customWidth="1"/>
    <col min="4" max="4" width="9" style="217" customWidth="1"/>
    <col min="5" max="5" width="7.5546875" style="217" customWidth="1"/>
    <col min="6" max="6" width="3.21875" style="217" customWidth="1"/>
    <col min="7" max="7" width="15.44140625" style="217" customWidth="1"/>
    <col min="8" max="8" width="6.21875" style="217" customWidth="1"/>
    <col min="9" max="9" width="3.21875" style="217" customWidth="1"/>
    <col min="10" max="10" width="15.44140625" style="217" customWidth="1"/>
    <col min="11" max="11" width="7.5546875" style="217" customWidth="1"/>
    <col min="12" max="12" width="3.21875" style="217" customWidth="1"/>
    <col min="13" max="13" width="15.44140625" style="217" customWidth="1"/>
    <col min="14" max="14" width="7.5546875" style="217" customWidth="1"/>
    <col min="15" max="15" width="3.21875" style="217" customWidth="1"/>
    <col min="16" max="16" width="15.44140625" style="217" customWidth="1"/>
    <col min="17" max="17" width="7.5546875" style="217" customWidth="1"/>
    <col min="18" max="18" width="3.21875" style="217" customWidth="1"/>
    <col min="19" max="19" width="15.44140625" style="217" customWidth="1"/>
    <col min="20" max="20" width="7.5546875" style="217" customWidth="1"/>
    <col min="21" max="21" width="3.21875" style="217" customWidth="1"/>
    <col min="22" max="22" width="15.44140625" style="217" customWidth="1"/>
    <col min="23" max="23" width="7.5546875" style="217" customWidth="1"/>
    <col min="24" max="24" width="3.21875" style="217" customWidth="1"/>
    <col min="25" max="25" width="15.44140625" style="217" customWidth="1"/>
    <col min="26" max="26" width="7.5546875" style="217" customWidth="1"/>
    <col min="27" max="27" width="3.21875" style="217" customWidth="1"/>
    <col min="28" max="28" width="16.21875" style="217" customWidth="1"/>
    <col min="29" max="29" width="7.5546875" style="217" customWidth="1"/>
    <col min="30" max="30" width="3.21875" style="217" customWidth="1"/>
    <col min="31" max="31" width="16.21875" style="217" customWidth="1"/>
    <col min="32" max="32" width="7.44140625" style="217" customWidth="1"/>
    <col min="33" max="33" width="3.21875" style="217" customWidth="1"/>
    <col min="34" max="34" width="16.21875" style="217" customWidth="1"/>
    <col min="35" max="35" width="7.5546875" style="217" customWidth="1"/>
    <col min="36" max="16384" width="15.21875" style="217"/>
  </cols>
  <sheetData>
    <row r="1" spans="1:38" ht="15" customHeight="1" x14ac:dyDescent="0.4">
      <c r="A1" s="115" t="s">
        <v>215</v>
      </c>
      <c r="B1" s="115"/>
      <c r="C1" s="115"/>
      <c r="D1" s="115"/>
      <c r="L1" s="815" t="s">
        <v>467</v>
      </c>
      <c r="M1" s="816"/>
      <c r="N1" s="817"/>
    </row>
    <row r="2" spans="1:38" ht="19.95" customHeight="1" thickBot="1" x14ac:dyDescent="0.35">
      <c r="A2" s="833" t="s">
        <v>216</v>
      </c>
      <c r="B2" s="849"/>
      <c r="C2" s="849"/>
      <c r="D2" s="849"/>
      <c r="E2" s="849"/>
      <c r="L2" s="818"/>
      <c r="M2" s="819"/>
      <c r="N2" s="820"/>
    </row>
    <row r="3" spans="1:38" ht="19.95" customHeight="1" x14ac:dyDescent="0.3">
      <c r="A3" s="849"/>
      <c r="B3" s="849"/>
      <c r="C3" s="849"/>
      <c r="D3" s="849"/>
      <c r="E3" s="849"/>
    </row>
    <row r="4" spans="1:38" ht="15.75" customHeight="1" x14ac:dyDescent="0.3">
      <c r="A4" s="849"/>
      <c r="B4" s="849"/>
      <c r="C4" s="849"/>
      <c r="D4" s="849"/>
      <c r="E4" s="849"/>
      <c r="F4" s="5"/>
      <c r="G4" s="92" t="s">
        <v>131</v>
      </c>
      <c r="H4" s="5"/>
      <c r="I4" s="5"/>
      <c r="J4" s="92" t="s">
        <v>131</v>
      </c>
      <c r="L4" s="5"/>
      <c r="M4" s="92" t="s">
        <v>131</v>
      </c>
      <c r="O4" s="5"/>
      <c r="P4" s="92" t="s">
        <v>131</v>
      </c>
      <c r="R4" s="5"/>
      <c r="S4" s="92" t="s">
        <v>131</v>
      </c>
      <c r="U4" s="5"/>
      <c r="V4" s="92" t="s">
        <v>131</v>
      </c>
      <c r="X4" s="5"/>
      <c r="Y4" s="92" t="s">
        <v>131</v>
      </c>
      <c r="AA4" s="5"/>
      <c r="AB4" s="92" t="s">
        <v>131</v>
      </c>
      <c r="AC4" s="5"/>
      <c r="AD4" s="5"/>
      <c r="AE4" s="92" t="s">
        <v>131</v>
      </c>
      <c r="AF4" s="5"/>
      <c r="AG4" s="5"/>
      <c r="AH4" s="92" t="s">
        <v>131</v>
      </c>
    </row>
    <row r="5" spans="1:38" ht="15.75" customHeight="1" x14ac:dyDescent="0.3">
      <c r="A5" s="4" t="s">
        <v>46</v>
      </c>
      <c r="B5" s="5"/>
      <c r="C5" s="5"/>
      <c r="D5" s="5"/>
      <c r="F5" s="5"/>
      <c r="G5" s="5"/>
      <c r="H5" s="5"/>
      <c r="I5" s="5"/>
      <c r="J5" s="5"/>
      <c r="K5" s="5"/>
      <c r="L5" s="5"/>
      <c r="M5" s="5"/>
      <c r="N5" s="5"/>
      <c r="O5" s="5"/>
      <c r="P5" s="5"/>
      <c r="Q5" s="5"/>
      <c r="R5" s="5"/>
      <c r="S5" s="5"/>
      <c r="T5" s="5"/>
      <c r="U5" s="5"/>
      <c r="V5" s="5"/>
      <c r="W5" s="5"/>
      <c r="X5" s="5"/>
      <c r="Y5" s="5"/>
      <c r="AA5" s="5"/>
      <c r="AB5" s="5"/>
      <c r="AC5" s="5"/>
      <c r="AD5" s="5"/>
      <c r="AE5" s="5"/>
      <c r="AF5" s="5"/>
      <c r="AG5" s="5"/>
      <c r="AH5" s="5"/>
      <c r="AI5" s="5"/>
    </row>
    <row r="6" spans="1:38" ht="45" customHeight="1" x14ac:dyDescent="0.3">
      <c r="A6" s="8" t="s">
        <v>128</v>
      </c>
      <c r="B6" s="66" t="s">
        <v>47</v>
      </c>
      <c r="C6" s="52" t="s">
        <v>48</v>
      </c>
      <c r="D6" s="52" t="s">
        <v>221</v>
      </c>
      <c r="E6" s="13"/>
      <c r="F6" s="14" t="s">
        <v>50</v>
      </c>
      <c r="G6" s="11" t="s">
        <v>384</v>
      </c>
      <c r="H6" s="11" t="s">
        <v>27</v>
      </c>
      <c r="I6" s="14" t="s">
        <v>51</v>
      </c>
      <c r="J6" s="11" t="s">
        <v>751</v>
      </c>
      <c r="K6" s="11" t="s">
        <v>27</v>
      </c>
      <c r="L6" s="14" t="s">
        <v>52</v>
      </c>
      <c r="M6" s="11" t="s">
        <v>3</v>
      </c>
      <c r="N6" s="11" t="s">
        <v>27</v>
      </c>
      <c r="O6" s="14" t="s">
        <v>53</v>
      </c>
      <c r="P6" s="11" t="s">
        <v>750</v>
      </c>
      <c r="Q6" s="11" t="s">
        <v>27</v>
      </c>
      <c r="R6" s="14" t="s">
        <v>54</v>
      </c>
      <c r="S6" s="11" t="s">
        <v>749</v>
      </c>
      <c r="T6" s="11" t="s">
        <v>27</v>
      </c>
      <c r="U6" s="14" t="s">
        <v>25</v>
      </c>
      <c r="V6" s="11" t="s">
        <v>380</v>
      </c>
      <c r="W6" s="11" t="s">
        <v>27</v>
      </c>
      <c r="X6" s="14" t="s">
        <v>26</v>
      </c>
      <c r="Y6" s="11" t="s">
        <v>377</v>
      </c>
      <c r="Z6" s="11" t="s">
        <v>27</v>
      </c>
      <c r="AA6" s="14" t="s">
        <v>217</v>
      </c>
      <c r="AB6" s="11" t="s">
        <v>752</v>
      </c>
      <c r="AC6" s="11" t="s">
        <v>27</v>
      </c>
      <c r="AD6" s="14" t="s">
        <v>218</v>
      </c>
      <c r="AE6" s="11" t="s">
        <v>6</v>
      </c>
      <c r="AF6" s="11" t="s">
        <v>27</v>
      </c>
      <c r="AG6" s="14" t="s">
        <v>219</v>
      </c>
      <c r="AH6" s="11" t="s">
        <v>609</v>
      </c>
      <c r="AI6" s="11" t="s">
        <v>27</v>
      </c>
    </row>
    <row r="7" spans="1:38" ht="18.75" customHeight="1" x14ac:dyDescent="0.3">
      <c r="A7" s="16"/>
      <c r="B7" s="17"/>
      <c r="C7" s="17"/>
      <c r="D7" s="17"/>
      <c r="E7" s="122" t="s">
        <v>134</v>
      </c>
      <c r="F7" s="17"/>
      <c r="G7" s="220" t="str">
        <f>'Urban Pass Adoption'!G7</f>
        <v>PDS1-5p2050-Oct21ComDat</v>
      </c>
      <c r="H7" s="17" t="s">
        <v>30</v>
      </c>
      <c r="I7" s="17"/>
      <c r="J7" s="220" t="str">
        <f>'Urban Pass Adoption'!J7</f>
        <v>PDS1-5p2050-Oct21ComDat</v>
      </c>
      <c r="K7" s="17" t="s">
        <v>30</v>
      </c>
      <c r="L7" s="17"/>
      <c r="M7" s="220" t="str">
        <f>'Urban Pass Adoption'!M7</f>
        <v>PDS1-3p2050-Oct21ComDat</v>
      </c>
      <c r="N7" s="17" t="s">
        <v>30</v>
      </c>
      <c r="O7" s="17"/>
      <c r="P7" s="220" t="str">
        <f>'Urban Pass Adoption'!P7</f>
        <v>PDS1-29p2050-Oct21ComDat</v>
      </c>
      <c r="Q7" s="17" t="s">
        <v>30</v>
      </c>
      <c r="R7" s="17"/>
      <c r="S7" s="220" t="str">
        <f>'Urban Pass Adoption'!S7</f>
        <v>PDS1-38p2050-Oct21ComDat1</v>
      </c>
      <c r="T7" s="17" t="s">
        <v>30</v>
      </c>
      <c r="U7" s="17"/>
      <c r="V7" s="220" t="str">
        <f>'Urban Pass Adoption'!V7</f>
        <v>PDS1-20p2050-LRate at 11%</v>
      </c>
      <c r="W7" s="17" t="s">
        <v>30</v>
      </c>
      <c r="X7" s="17"/>
      <c r="Y7" s="220" t="str">
        <f>'Urban Pass Adoption'!Y7</f>
        <v>PDS1-8p2050-Oct21ComDat</v>
      </c>
      <c r="Z7" s="17" t="s">
        <v>30</v>
      </c>
      <c r="AA7" s="17"/>
      <c r="AB7" s="220" t="str">
        <f>'Nonurban Pass Adoption'!G7</f>
        <v>PDS1-21p2050-Bass Diffusion to 20%</v>
      </c>
      <c r="AC7" s="17" t="s">
        <v>30</v>
      </c>
      <c r="AD7" s="17"/>
      <c r="AE7" s="220" t="str">
        <f>'Nonurban Pass Adoption'!J7</f>
        <v>PDS1-3p2050-Oct21ComDat</v>
      </c>
      <c r="AF7" s="17" t="s">
        <v>30</v>
      </c>
      <c r="AG7" s="17"/>
      <c r="AH7" s="220" t="str">
        <f>'Nonurban Pass Adoption'!M7</f>
        <v>PDS1-73p2050-Oct21ComDatCustPDS1</v>
      </c>
      <c r="AI7" s="17" t="s">
        <v>30</v>
      </c>
    </row>
    <row r="8" spans="1:38" ht="14.4" x14ac:dyDescent="0.3">
      <c r="A8" s="831" t="s">
        <v>28</v>
      </c>
      <c r="B8" s="19">
        <f>AVERAGE('Passenger TAM Data'!C129:E129)</f>
        <v>50116.801089708635</v>
      </c>
      <c r="C8" s="93">
        <f>B8-IF($G$4="Include",G8,0)-IF($J$4="Include",J8,0)-IF($M$4="Include",M8,0)-IF($P$4="Include",P8,0)-IF($V$4="Include",V8,0)-IF($Y$4="Include",Y8,0)-IF($AB$4="Include",AB8,0)-IF($AE$4="Include",AE8,0)-IF($AH$4="Include",AH8,0)</f>
        <v>50116.801089708635</v>
      </c>
      <c r="D8" s="26">
        <f t="shared" ref="D8:D56" si="0">C8/B8</f>
        <v>1</v>
      </c>
      <c r="E8" s="7">
        <v>2012</v>
      </c>
      <c r="F8" s="7"/>
      <c r="G8" s="93">
        <f>'Urban Pass Adoption'!G8</f>
        <v>0</v>
      </c>
      <c r="H8" s="26">
        <f t="shared" ref="H8:H56" si="1">G8/$B8</f>
        <v>0</v>
      </c>
      <c r="I8" s="5"/>
      <c r="J8" s="93">
        <f>'Urban Pass Adoption'!J8</f>
        <v>0</v>
      </c>
      <c r="K8" s="26">
        <f t="shared" ref="K8:K56" si="2">J8/$B8</f>
        <v>0</v>
      </c>
      <c r="L8" s="24"/>
      <c r="M8" s="93">
        <f>'Urban Pass Adoption'!M8</f>
        <v>0</v>
      </c>
      <c r="N8" s="26">
        <f t="shared" ref="N8:N56" si="3">M8/$B8</f>
        <v>0</v>
      </c>
      <c r="O8" s="24"/>
      <c r="P8" s="93">
        <f>'Urban Pass Adoption'!P8</f>
        <v>0</v>
      </c>
      <c r="Q8" s="26">
        <f t="shared" ref="Q8:Q56" si="4">P8/$B8</f>
        <v>0</v>
      </c>
      <c r="R8" s="24"/>
      <c r="S8" s="93">
        <f>'Urban Pass Adoption'!S8</f>
        <v>0</v>
      </c>
      <c r="T8" s="26">
        <f t="shared" ref="T8:T56" si="5">S8/$B8</f>
        <v>0</v>
      </c>
      <c r="U8" s="24"/>
      <c r="V8" s="93">
        <f>'Private Car Analysis &amp; Split'!R9</f>
        <v>0</v>
      </c>
      <c r="W8" s="26">
        <f t="shared" ref="W8:W56" si="6">V8/$B8</f>
        <v>0</v>
      </c>
      <c r="X8" s="24"/>
      <c r="Y8" s="93">
        <f>'Private Car Analysis &amp; Split'!U9</f>
        <v>0</v>
      </c>
      <c r="Z8" s="26">
        <f t="shared" ref="Z8:Z56" si="7">Y8/$B8</f>
        <v>0</v>
      </c>
      <c r="AA8" s="7"/>
      <c r="AB8" s="93">
        <f>'Nonurban Pass Adoption'!G8</f>
        <v>0</v>
      </c>
      <c r="AC8" s="26">
        <f t="shared" ref="AC8:AC56" si="8">AB8/$B8</f>
        <v>0</v>
      </c>
      <c r="AD8" s="5"/>
      <c r="AE8" s="93">
        <f>'Nonurban Pass Adoption'!J8</f>
        <v>0</v>
      </c>
      <c r="AF8" s="26">
        <f t="shared" ref="AF8:AF56" si="9">AE8/$B8</f>
        <v>0</v>
      </c>
      <c r="AG8" s="24"/>
      <c r="AH8" s="93">
        <f>'Nonurban Pass Adoption'!M8</f>
        <v>0</v>
      </c>
      <c r="AI8" s="26">
        <f t="shared" ref="AI8:AI56" si="10">AH8/$B8</f>
        <v>0</v>
      </c>
    </row>
    <row r="9" spans="1:38" ht="14.4" x14ac:dyDescent="0.3">
      <c r="A9" s="832"/>
      <c r="B9" s="19">
        <f>AVERAGE('Passenger TAM Data'!C130:E130)</f>
        <v>51973.785259001328</v>
      </c>
      <c r="C9" s="93">
        <f t="shared" ref="C9:C56" si="11">B9-IF($G$4="Include",G9,0)-IF($J$4="Include",J9,0)-IF($M$4="Include",M9,0)-IF($P$4="Include",P9,0)-IF($V$4="Include",V9,0)-IF($Y$4="Include",Y9,0)-IF($AB$4="Include",AB9,0)-IF($AE$4="Include",AE9,0)-IF($AH$4="Include",AH9,0)</f>
        <v>51973.785259001328</v>
      </c>
      <c r="D9" s="26">
        <f t="shared" si="0"/>
        <v>1</v>
      </c>
      <c r="E9" s="7">
        <v>2013</v>
      </c>
      <c r="F9" s="7"/>
      <c r="G9" s="93">
        <f>'Urban Pass Adoption'!G9</f>
        <v>0</v>
      </c>
      <c r="H9" s="26">
        <f t="shared" si="1"/>
        <v>0</v>
      </c>
      <c r="I9" s="5"/>
      <c r="J9" s="93">
        <f>'Urban Pass Adoption'!J9</f>
        <v>0</v>
      </c>
      <c r="K9" s="26">
        <f t="shared" si="2"/>
        <v>0</v>
      </c>
      <c r="L9" s="24"/>
      <c r="M9" s="93">
        <f>'Urban Pass Adoption'!M9</f>
        <v>0</v>
      </c>
      <c r="N9" s="26">
        <f t="shared" si="3"/>
        <v>0</v>
      </c>
      <c r="O9" s="24"/>
      <c r="P9" s="93">
        <f>'Urban Pass Adoption'!P9</f>
        <v>0</v>
      </c>
      <c r="Q9" s="26">
        <f t="shared" si="4"/>
        <v>0</v>
      </c>
      <c r="R9" s="24"/>
      <c r="S9" s="93">
        <f>'Urban Pass Adoption'!S9</f>
        <v>0</v>
      </c>
      <c r="T9" s="26">
        <f t="shared" si="5"/>
        <v>0</v>
      </c>
      <c r="U9" s="24"/>
      <c r="V9" s="93">
        <f>'Private Car Analysis &amp; Split'!R10</f>
        <v>0</v>
      </c>
      <c r="W9" s="26">
        <f t="shared" si="6"/>
        <v>0</v>
      </c>
      <c r="X9" s="24"/>
      <c r="Y9" s="93">
        <f>'Private Car Analysis &amp; Split'!U10</f>
        <v>0</v>
      </c>
      <c r="Z9" s="26">
        <f t="shared" si="7"/>
        <v>0</v>
      </c>
      <c r="AA9" s="7"/>
      <c r="AB9" s="93">
        <f>'Nonurban Pass Adoption'!G9</f>
        <v>0</v>
      </c>
      <c r="AC9" s="26">
        <f t="shared" si="8"/>
        <v>0</v>
      </c>
      <c r="AD9" s="5"/>
      <c r="AE9" s="93">
        <f>'Nonurban Pass Adoption'!J9</f>
        <v>0</v>
      </c>
      <c r="AF9" s="26">
        <f t="shared" si="9"/>
        <v>0</v>
      </c>
      <c r="AG9" s="24"/>
      <c r="AH9" s="93">
        <f>'Nonurban Pass Adoption'!M9</f>
        <v>0</v>
      </c>
      <c r="AI9" s="26">
        <f t="shared" si="10"/>
        <v>0</v>
      </c>
    </row>
    <row r="10" spans="1:38" ht="14.4" x14ac:dyDescent="0.3">
      <c r="A10" s="30"/>
      <c r="B10" s="19">
        <f>AVERAGE('Passenger TAM Data'!C131:E131)</f>
        <v>54233.120501427606</v>
      </c>
      <c r="C10" s="93">
        <f t="shared" si="11"/>
        <v>40977.172586077053</v>
      </c>
      <c r="D10" s="26">
        <f t="shared" si="0"/>
        <v>0.75557467848449533</v>
      </c>
      <c r="E10" s="33">
        <v>2014</v>
      </c>
      <c r="F10" s="33"/>
      <c r="G10" s="93">
        <f>'Urban Pass Adoption'!G10</f>
        <v>1133.5323623070581</v>
      </c>
      <c r="H10" s="26">
        <f t="shared" si="1"/>
        <v>2.0901108987029789E-2</v>
      </c>
      <c r="I10" s="30"/>
      <c r="J10" s="93">
        <f>'Urban Pass Adoption'!J10</f>
        <v>713.67726016146844</v>
      </c>
      <c r="K10" s="26">
        <f t="shared" si="2"/>
        <v>1.3159435665198022E-2</v>
      </c>
      <c r="L10" s="34"/>
      <c r="M10" s="93">
        <f>'Urban Pass Adoption'!M10</f>
        <v>264.30794551551298</v>
      </c>
      <c r="N10" s="26">
        <f t="shared" si="3"/>
        <v>4.873552232875028E-3</v>
      </c>
      <c r="O10" s="34"/>
      <c r="P10" s="93">
        <f>'Urban Pass Adoption'!P10</f>
        <v>9573.616099983481</v>
      </c>
      <c r="Q10" s="26">
        <f t="shared" si="4"/>
        <v>0.17652711131994461</v>
      </c>
      <c r="R10" s="34"/>
      <c r="S10" s="93">
        <f>'Urban Pass Adoption'!S10</f>
        <v>3141.4174626346876</v>
      </c>
      <c r="T10" s="26">
        <f t="shared" si="5"/>
        <v>5.7924335416989228E-2</v>
      </c>
      <c r="U10" s="34"/>
      <c r="V10" s="93">
        <f>'Private Car Analysis &amp; Split'!R11</f>
        <v>116.38899289627807</v>
      </c>
      <c r="W10" s="26">
        <f t="shared" si="6"/>
        <v>2.146086963467542E-3</v>
      </c>
      <c r="X10" s="34"/>
      <c r="Y10" s="93">
        <f>'Private Car Analysis &amp; Split'!U11</f>
        <v>252.99595444214927</v>
      </c>
      <c r="Z10" s="26">
        <f t="shared" si="7"/>
        <v>4.6649713699489139E-3</v>
      </c>
      <c r="AA10" s="117"/>
      <c r="AB10" s="93">
        <f>'Nonurban Pass Adoption'!G10</f>
        <v>198.50531656903408</v>
      </c>
      <c r="AC10" s="26">
        <f t="shared" si="8"/>
        <v>3.6602230285422859E-3</v>
      </c>
      <c r="AD10" s="114"/>
      <c r="AE10" s="93">
        <f>'Nonurban Pass Adoption'!J10</f>
        <v>512.4</v>
      </c>
      <c r="AF10" s="26">
        <f t="shared" si="9"/>
        <v>9.4481009992134195E-3</v>
      </c>
      <c r="AG10" s="118"/>
      <c r="AH10" s="93">
        <f>'Nonurban Pass Adoption'!M10</f>
        <v>490.52398347557431</v>
      </c>
      <c r="AI10" s="26">
        <f t="shared" si="10"/>
        <v>9.0447309492851704E-3</v>
      </c>
      <c r="AK10" s="852" t="s">
        <v>220</v>
      </c>
      <c r="AL10" s="852"/>
    </row>
    <row r="11" spans="1:38" ht="14.4" x14ac:dyDescent="0.3">
      <c r="B11" s="19">
        <f>AVERAGE('Passenger TAM Data'!C132:E132)</f>
        <v>56161.293113241038</v>
      </c>
      <c r="C11" s="93">
        <f t="shared" si="11"/>
        <v>42825.004102818311</v>
      </c>
      <c r="D11" s="26">
        <f t="shared" si="0"/>
        <v>0.76253593407238596</v>
      </c>
      <c r="E11" s="7">
        <v>2015</v>
      </c>
      <c r="F11" s="7"/>
      <c r="G11" s="93">
        <f>'Urban Pass Adoption'!G11</f>
        <v>1183.6492717302899</v>
      </c>
      <c r="H11" s="26">
        <f t="shared" si="1"/>
        <v>2.1075890637767797E-2</v>
      </c>
      <c r="I11" s="5"/>
      <c r="J11" s="93">
        <f>'Urban Pass Adoption'!J11</f>
        <v>730.00794512110224</v>
      </c>
      <c r="K11" s="26">
        <f t="shared" si="2"/>
        <v>1.299841767619467E-2</v>
      </c>
      <c r="L11" s="24"/>
      <c r="M11" s="93">
        <f>'Urban Pass Adoption'!M11</f>
        <v>270.35595913663383</v>
      </c>
      <c r="N11" s="26">
        <f t="shared" si="3"/>
        <v>4.8139197683981488E-3</v>
      </c>
      <c r="O11" s="24"/>
      <c r="P11" s="93">
        <f>'Urban Pass Adoption'!P11</f>
        <v>9607.0706209386408</v>
      </c>
      <c r="Q11" s="26">
        <f t="shared" si="4"/>
        <v>0.17106213351546923</v>
      </c>
      <c r="R11" s="24"/>
      <c r="S11" s="93">
        <f>'Urban Pass Adoption'!S11</f>
        <v>3237.1081048085771</v>
      </c>
      <c r="T11" s="26">
        <f t="shared" si="5"/>
        <v>5.7639486652870005E-2</v>
      </c>
      <c r="U11" s="24"/>
      <c r="V11" s="93">
        <f>'Private Car Analysis &amp; Split'!R12</f>
        <v>121.57668884867235</v>
      </c>
      <c r="W11" s="26">
        <f t="shared" si="6"/>
        <v>2.1647772355157624E-3</v>
      </c>
      <c r="X11" s="24"/>
      <c r="Y11" s="93">
        <f>'Private Car Analysis &amp; Split'!U12</f>
        <v>291.45222628122792</v>
      </c>
      <c r="Z11" s="26">
        <f t="shared" si="7"/>
        <v>5.1895569016467821E-3</v>
      </c>
      <c r="AA11" s="7"/>
      <c r="AB11" s="93">
        <f>'Nonurban Pass Adoption'!G11</f>
        <v>215.36749823103926</v>
      </c>
      <c r="AC11" s="26">
        <f t="shared" si="8"/>
        <v>3.834803051930841E-3</v>
      </c>
      <c r="AD11" s="5"/>
      <c r="AE11" s="93">
        <f>'Nonurban Pass Adoption'!J11</f>
        <v>636.28069866504052</v>
      </c>
      <c r="AF11" s="26">
        <f t="shared" si="9"/>
        <v>1.132952365220782E-2</v>
      </c>
      <c r="AG11" s="24"/>
      <c r="AH11" s="93">
        <f>'Nonurban Pass Adoption'!M11</f>
        <v>280.52810147008699</v>
      </c>
      <c r="AI11" s="26">
        <f t="shared" si="10"/>
        <v>4.9950434884831283E-3</v>
      </c>
      <c r="AK11" s="221" t="s">
        <v>221</v>
      </c>
      <c r="AL11" s="222">
        <f>C10</f>
        <v>40977.172586077053</v>
      </c>
    </row>
    <row r="12" spans="1:38" ht="14.4" x14ac:dyDescent="0.3">
      <c r="B12" s="19">
        <f>AVERAGE('Passenger TAM Data'!C133:E133)</f>
        <v>58045.282977613118</v>
      </c>
      <c r="C12" s="93">
        <f t="shared" si="11"/>
        <v>44209.855234951559</v>
      </c>
      <c r="D12" s="26">
        <f t="shared" si="0"/>
        <v>0.7616442364834779</v>
      </c>
      <c r="E12" s="7">
        <v>2016</v>
      </c>
      <c r="F12" s="7"/>
      <c r="G12" s="93">
        <f>'Urban Pass Adoption'!G12</f>
        <v>1233.7661811535363</v>
      </c>
      <c r="H12" s="26">
        <f t="shared" si="1"/>
        <v>2.1255235875572778E-2</v>
      </c>
      <c r="I12" s="5"/>
      <c r="J12" s="93">
        <f>'Urban Pass Adoption'!J12</f>
        <v>746.33863008073604</v>
      </c>
      <c r="K12" s="26">
        <f t="shared" si="2"/>
        <v>1.2857868749965154E-2</v>
      </c>
      <c r="L12" s="24"/>
      <c r="M12" s="93">
        <f>'Urban Pass Adoption'!M12</f>
        <v>276.40397275775649</v>
      </c>
      <c r="N12" s="26">
        <f t="shared" si="3"/>
        <v>4.7618679516879927E-3</v>
      </c>
      <c r="O12" s="24"/>
      <c r="P12" s="93">
        <f>'Urban Pass Adoption'!P12</f>
        <v>9640.5251418938005</v>
      </c>
      <c r="Q12" s="26">
        <f t="shared" si="4"/>
        <v>0.16608628035480427</v>
      </c>
      <c r="R12" s="24"/>
      <c r="S12" s="93">
        <f>'Urban Pass Adoption'!S12</f>
        <v>3330.0461502061598</v>
      </c>
      <c r="T12" s="26">
        <f t="shared" si="5"/>
        <v>5.7369797843702316E-2</v>
      </c>
      <c r="U12" s="24"/>
      <c r="V12" s="93">
        <f>'Private Car Analysis &amp; Split'!R13</f>
        <v>126.76438480106481</v>
      </c>
      <c r="W12" s="26">
        <f t="shared" si="6"/>
        <v>2.1838877906746575E-3</v>
      </c>
      <c r="X12" s="24"/>
      <c r="Y12" s="93">
        <f>'Private Car Analysis &amp; Split'!U13</f>
        <v>334.13093232809371</v>
      </c>
      <c r="Z12" s="26">
        <f t="shared" si="7"/>
        <v>5.7563838987047611E-3</v>
      </c>
      <c r="AA12" s="7"/>
      <c r="AB12" s="93">
        <f>'Nonurban Pass Adoption'!G12</f>
        <v>232.22967989304448</v>
      </c>
      <c r="AC12" s="26">
        <f t="shared" si="8"/>
        <v>4.000836381185543E-3</v>
      </c>
      <c r="AD12" s="5"/>
      <c r="AE12" s="93">
        <f>'Nonurban Pass Adoption'!J12</f>
        <v>700.85604750629568</v>
      </c>
      <c r="AF12" s="26">
        <f t="shared" si="9"/>
        <v>1.2074298057545892E-2</v>
      </c>
      <c r="AG12" s="24"/>
      <c r="AH12" s="93">
        <f>'Nonurban Pass Adoption'!M12</f>
        <v>544.41277224722285</v>
      </c>
      <c r="AI12" s="26">
        <f t="shared" si="10"/>
        <v>9.3791044563809219E-3</v>
      </c>
      <c r="AK12" s="223" t="str">
        <f>G6</f>
        <v>Walking</v>
      </c>
      <c r="AL12" s="222">
        <f>G10</f>
        <v>1133.5323623070581</v>
      </c>
    </row>
    <row r="13" spans="1:38" ht="14.4" x14ac:dyDescent="0.3">
      <c r="B13" s="19">
        <f>AVERAGE('Passenger TAM Data'!C134:E134)</f>
        <v>59973.154868069389</v>
      </c>
      <c r="C13" s="93">
        <f t="shared" si="11"/>
        <v>45589.16859612523</v>
      </c>
      <c r="D13" s="26">
        <f t="shared" si="0"/>
        <v>0.76015958634181491</v>
      </c>
      <c r="E13" s="7">
        <v>2017</v>
      </c>
      <c r="F13" s="7"/>
      <c r="G13" s="93">
        <f>'Urban Pass Adoption'!G13</f>
        <v>1283.8830905767682</v>
      </c>
      <c r="H13" s="26">
        <f t="shared" si="1"/>
        <v>2.1407629687000624E-2</v>
      </c>
      <c r="I13" s="5"/>
      <c r="J13" s="93">
        <f>'Urban Pass Adoption'!J13</f>
        <v>762.66931504036984</v>
      </c>
      <c r="K13" s="26">
        <f t="shared" si="2"/>
        <v>1.2716845007038749E-2</v>
      </c>
      <c r="L13" s="24"/>
      <c r="M13" s="93">
        <f>'Urban Pass Adoption'!M13</f>
        <v>282.45198637887916</v>
      </c>
      <c r="N13" s="26">
        <f t="shared" si="3"/>
        <v>4.7096402882293728E-3</v>
      </c>
      <c r="O13" s="24"/>
      <c r="P13" s="93">
        <f>'Urban Pass Adoption'!P13</f>
        <v>9673.9796628489603</v>
      </c>
      <c r="Q13" s="26">
        <f t="shared" si="4"/>
        <v>0.16130516535490003</v>
      </c>
      <c r="R13" s="24"/>
      <c r="S13" s="93">
        <f>'Urban Pass Adoption'!S13</f>
        <v>3422.7338233785767</v>
      </c>
      <c r="T13" s="26">
        <f t="shared" si="5"/>
        <v>5.7071098409079889E-2</v>
      </c>
      <c r="U13" s="24"/>
      <c r="V13" s="93">
        <f>'Private Car Analysis &amp; Split'!R14</f>
        <v>131.95208075345909</v>
      </c>
      <c r="W13" s="26">
        <f t="shared" si="6"/>
        <v>2.2001857505033868E-3</v>
      </c>
      <c r="X13" s="24"/>
      <c r="Y13" s="93">
        <f>'Private Car Analysis &amp; Split'!U14</f>
        <v>380.8746575800638</v>
      </c>
      <c r="Z13" s="26">
        <f t="shared" si="7"/>
        <v>6.3507524061044056E-3</v>
      </c>
      <c r="AA13" s="7"/>
      <c r="AB13" s="93">
        <f>'Nonurban Pass Adoption'!G13</f>
        <v>249.09186155504966</v>
      </c>
      <c r="AC13" s="26">
        <f t="shared" si="8"/>
        <v>4.1533893306598402E-3</v>
      </c>
      <c r="AD13" s="5"/>
      <c r="AE13" s="93">
        <f>'Nonurban Pass Adoption'!J13</f>
        <v>761.6538717654289</v>
      </c>
      <c r="AF13" s="26">
        <f t="shared" si="9"/>
        <v>1.2699913376925663E-2</v>
      </c>
      <c r="AG13" s="24"/>
      <c r="AH13" s="93">
        <f>'Nonurban Pass Adoption'!M13</f>
        <v>857.42974544519143</v>
      </c>
      <c r="AI13" s="26">
        <f t="shared" si="10"/>
        <v>1.429689245682321E-2</v>
      </c>
      <c r="AK13" s="223" t="str">
        <f>J6</f>
        <v>Biking</v>
      </c>
      <c r="AL13" s="222">
        <f>J10</f>
        <v>713.67726016146844</v>
      </c>
    </row>
    <row r="14" spans="1:38" ht="14.4" x14ac:dyDescent="0.3">
      <c r="B14" s="19">
        <f>AVERAGE('Passenger TAM Data'!C135:E135)</f>
        <v>61917.143016633781</v>
      </c>
      <c r="C14" s="93">
        <f t="shared" si="11"/>
        <v>46936.707231900938</v>
      </c>
      <c r="D14" s="26">
        <f t="shared" si="0"/>
        <v>0.75805673429233622</v>
      </c>
      <c r="E14" s="7">
        <v>2018</v>
      </c>
      <c r="F14" s="7"/>
      <c r="G14" s="93">
        <f>'Urban Pass Adoption'!G14</f>
        <v>1334.0000000000146</v>
      </c>
      <c r="H14" s="26">
        <f t="shared" si="1"/>
        <v>2.1544921729376967E-2</v>
      </c>
      <c r="I14" s="5"/>
      <c r="J14" s="93">
        <f>'Urban Pass Adoption'!J14</f>
        <v>779.00000000000364</v>
      </c>
      <c r="K14" s="26">
        <f t="shared" si="2"/>
        <v>1.2581329855460685E-2</v>
      </c>
      <c r="L14" s="24"/>
      <c r="M14" s="93">
        <f>'Urban Pass Adoption'!M14</f>
        <v>288.5</v>
      </c>
      <c r="N14" s="26">
        <f t="shared" si="3"/>
        <v>4.6594527128374719E-3</v>
      </c>
      <c r="O14" s="24"/>
      <c r="P14" s="93">
        <f>'Urban Pass Adoption'!P14</f>
        <v>9673.0101265840403</v>
      </c>
      <c r="Q14" s="26">
        <f t="shared" si="4"/>
        <v>0.15622507201253499</v>
      </c>
      <c r="R14" s="24"/>
      <c r="S14" s="93">
        <f>'Urban Pass Adoption'!S14</f>
        <v>3515.2217174527982</v>
      </c>
      <c r="T14" s="26">
        <f t="shared" si="5"/>
        <v>5.6772996074906892E-2</v>
      </c>
      <c r="U14" s="24"/>
      <c r="V14" s="93">
        <f>'Private Car Analysis &amp; Split'!R15</f>
        <v>137.13977670585155</v>
      </c>
      <c r="W14" s="26">
        <f t="shared" si="6"/>
        <v>2.2148918703986313E-3</v>
      </c>
      <c r="X14" s="24"/>
      <c r="Y14" s="93">
        <f>'Private Car Analysis &amp; Split'!U15</f>
        <v>500.09361039355957</v>
      </c>
      <c r="Z14" s="26">
        <f t="shared" si="7"/>
        <v>8.076819860037979E-3</v>
      </c>
      <c r="AA14" s="7"/>
      <c r="AB14" s="93">
        <f>'Nonurban Pass Adoption'!G14</f>
        <v>265.95404321705485</v>
      </c>
      <c r="AC14" s="26">
        <f t="shared" si="8"/>
        <v>4.2953216227306773E-3</v>
      </c>
      <c r="AD14" s="5"/>
      <c r="AE14" s="93">
        <f>'Nonurban Pass Adoption'!J14</f>
        <v>818.85169277084435</v>
      </c>
      <c r="AF14" s="26">
        <f t="shared" si="9"/>
        <v>1.3224959241915656E-2</v>
      </c>
      <c r="AG14" s="24"/>
      <c r="AH14" s="93">
        <f>'Nonurban Pass Adoption'!M14</f>
        <v>1183.8865350614719</v>
      </c>
      <c r="AI14" s="26">
        <f t="shared" si="10"/>
        <v>1.9120496802370643E-2</v>
      </c>
      <c r="AK14" s="223" t="str">
        <f>M6</f>
        <v>E-Bikes</v>
      </c>
      <c r="AL14" s="222">
        <f>M10</f>
        <v>264.30794551551298</v>
      </c>
    </row>
    <row r="15" spans="1:38" ht="14.4" x14ac:dyDescent="0.3">
      <c r="B15" s="19">
        <f>AVERAGE('Passenger TAM Data'!C136:E136)</f>
        <v>63877.853677332525</v>
      </c>
      <c r="C15" s="93">
        <f t="shared" si="11"/>
        <v>47151.161878137202</v>
      </c>
      <c r="D15" s="26">
        <f t="shared" si="0"/>
        <v>0.73814568216885945</v>
      </c>
      <c r="E15" s="7">
        <v>2019</v>
      </c>
      <c r="F15" s="7"/>
      <c r="G15" s="93">
        <f>'Urban Pass Adoption'!G15</f>
        <v>1789.1845753406917</v>
      </c>
      <c r="H15" s="26">
        <f t="shared" si="1"/>
        <v>2.8009466072207678E-2</v>
      </c>
      <c r="I15" s="5"/>
      <c r="J15" s="93">
        <f>'Urban Pass Adoption'!J15</f>
        <v>795.33068495963744</v>
      </c>
      <c r="K15" s="26">
        <f t="shared" si="2"/>
        <v>1.2450804765249427E-2</v>
      </c>
      <c r="L15" s="24"/>
      <c r="M15" s="93">
        <f>'Urban Pass Adoption'!M15</f>
        <v>362.13070704827555</v>
      </c>
      <c r="N15" s="26">
        <f t="shared" si="3"/>
        <v>5.6691120036298278E-3</v>
      </c>
      <c r="O15" s="24"/>
      <c r="P15" s="93">
        <f>'Urban Pass Adoption'!P15</f>
        <v>9708.1710089633289</v>
      </c>
      <c r="Q15" s="26">
        <f t="shared" si="4"/>
        <v>0.151980231803066</v>
      </c>
      <c r="R15" s="24"/>
      <c r="S15" s="93">
        <f>'Urban Pass Adoption'!S15</f>
        <v>4635.6271556436213</v>
      </c>
      <c r="T15" s="26">
        <f t="shared" si="5"/>
        <v>7.2570177123665688E-2</v>
      </c>
      <c r="U15" s="24"/>
      <c r="V15" s="93">
        <f>'Private Car Analysis &amp; Split'!R16</f>
        <v>180.48254382929443</v>
      </c>
      <c r="W15" s="26">
        <f t="shared" si="6"/>
        <v>2.8254321872016788E-3</v>
      </c>
      <c r="X15" s="24"/>
      <c r="Y15" s="93">
        <f>'Private Car Analysis &amp; Split'!U16</f>
        <v>584.19269497163532</v>
      </c>
      <c r="Z15" s="26">
        <f t="shared" si="7"/>
        <v>9.1454653113828693E-3</v>
      </c>
      <c r="AA15" s="7"/>
      <c r="AB15" s="93">
        <f>'Nonurban Pass Adoption'!G15</f>
        <v>430.8587161054524</v>
      </c>
      <c r="AC15" s="26">
        <f t="shared" si="8"/>
        <v>6.7450405939100209E-3</v>
      </c>
      <c r="AD15" s="5"/>
      <c r="AE15" s="93">
        <f>'Nonurban Pass Adoption'!J15</f>
        <v>872.62703185094608</v>
      </c>
      <c r="AF15" s="26">
        <f t="shared" si="9"/>
        <v>1.3660869638151343E-2</v>
      </c>
      <c r="AG15" s="24"/>
      <c r="AH15" s="93">
        <f>'Nonurban Pass Adoption'!M15</f>
        <v>2003.7138361260595</v>
      </c>
      <c r="AI15" s="26">
        <f t="shared" si="10"/>
        <v>3.1367895456341707E-2</v>
      </c>
      <c r="AK15" s="223" t="str">
        <f>P6</f>
        <v>Urban Public Transit</v>
      </c>
      <c r="AL15" s="222">
        <f>P10</f>
        <v>9573.616099983481</v>
      </c>
    </row>
    <row r="16" spans="1:38" ht="14.4" x14ac:dyDescent="0.3">
      <c r="A16" s="30"/>
      <c r="B16" s="19">
        <f>AVERAGE('Passenger TAM Data'!C137:E137)</f>
        <v>65867.186969489674</v>
      </c>
      <c r="C16" s="93">
        <f t="shared" si="11"/>
        <v>47958.497708213545</v>
      </c>
      <c r="D16" s="26">
        <f t="shared" si="0"/>
        <v>0.72810909217101361</v>
      </c>
      <c r="E16" s="33">
        <v>2020</v>
      </c>
      <c r="F16" s="33"/>
      <c r="G16" s="93">
        <f>'Urban Pass Adoption'!G16</f>
        <v>1866.7293434570781</v>
      </c>
      <c r="H16" s="26">
        <f t="shared" si="1"/>
        <v>2.8340808668840912E-2</v>
      </c>
      <c r="I16" s="30"/>
      <c r="J16" s="93">
        <f>'Urban Pass Adoption'!J16</f>
        <v>1006.38032019518</v>
      </c>
      <c r="K16" s="26">
        <f t="shared" si="2"/>
        <v>1.5278932750860383E-2</v>
      </c>
      <c r="L16" s="34"/>
      <c r="M16" s="93">
        <f>'Urban Pass Adoption'!M16</f>
        <v>397.91276270432559</v>
      </c>
      <c r="N16" s="26">
        <f t="shared" si="3"/>
        <v>6.0411379476193921E-3</v>
      </c>
      <c r="O16" s="34"/>
      <c r="P16" s="93">
        <f>'Urban Pass Adoption'!P16</f>
        <v>9749.4862370388182</v>
      </c>
      <c r="Q16" s="26">
        <f t="shared" si="4"/>
        <v>0.14801734650600573</v>
      </c>
      <c r="R16" s="34"/>
      <c r="S16" s="93">
        <f>'Urban Pass Adoption'!S16</f>
        <v>4836.297760518074</v>
      </c>
      <c r="T16" s="26">
        <f t="shared" si="5"/>
        <v>7.3424993278645628E-2</v>
      </c>
      <c r="U16" s="34"/>
      <c r="V16" s="93">
        <f>'Private Car Analysis &amp; Split'!R17</f>
        <v>257.48953831087636</v>
      </c>
      <c r="W16" s="26">
        <f t="shared" si="6"/>
        <v>3.9092232438914997E-3</v>
      </c>
      <c r="X16" s="34"/>
      <c r="Y16" s="93">
        <f>'Private Car Analysis &amp; Split'!U17</f>
        <v>660.36395022130546</v>
      </c>
      <c r="Z16" s="26">
        <f t="shared" si="7"/>
        <v>1.0025689278748043E-2</v>
      </c>
      <c r="AA16" s="33"/>
      <c r="AB16" s="93">
        <f>'Nonurban Pass Adoption'!G16</f>
        <v>482.68268651474324</v>
      </c>
      <c r="AC16" s="26">
        <f t="shared" si="8"/>
        <v>7.3281205517145677E-3</v>
      </c>
      <c r="AD16" s="30"/>
      <c r="AE16" s="93">
        <f>'Nonurban Pass Adoption'!J16</f>
        <v>923.15741033413815</v>
      </c>
      <c r="AF16" s="26">
        <f t="shared" si="9"/>
        <v>1.4015437015121864E-2</v>
      </c>
      <c r="AG16" s="34"/>
      <c r="AH16" s="93">
        <f>'Nonurban Pass Adoption'!M16</f>
        <v>2564.4870124996569</v>
      </c>
      <c r="AI16" s="26">
        <f t="shared" si="10"/>
        <v>3.8934211866183878E-2</v>
      </c>
      <c r="AK16" s="223" t="str">
        <f>S6</f>
        <v>Carpooling (IGNORED FOR PLOT)</v>
      </c>
      <c r="AL16" s="222">
        <f>S10</f>
        <v>3141.4174626346876</v>
      </c>
    </row>
    <row r="17" spans="2:38" ht="14.4" x14ac:dyDescent="0.3">
      <c r="B17" s="19">
        <f>AVERAGE('Passenger TAM Data'!C138:E138)</f>
        <v>67817.130028718326</v>
      </c>
      <c r="C17" s="93">
        <f t="shared" si="11"/>
        <v>48885.681228162917</v>
      </c>
      <c r="D17" s="26">
        <f t="shared" si="0"/>
        <v>0.72084562126798113</v>
      </c>
      <c r="E17" s="7">
        <v>2021</v>
      </c>
      <c r="F17" s="7"/>
      <c r="G17" s="93">
        <f>'Urban Pass Adoption'!G17</f>
        <v>1942.8447401700732</v>
      </c>
      <c r="H17" s="26">
        <f t="shared" si="1"/>
        <v>2.8648288999362587E-2</v>
      </c>
      <c r="I17" s="5"/>
      <c r="J17" s="93">
        <f>'Urban Pass Adoption'!J17</f>
        <v>1043.878869343609</v>
      </c>
      <c r="K17" s="26">
        <f t="shared" si="2"/>
        <v>1.5392554490311823E-2</v>
      </c>
      <c r="L17" s="24"/>
      <c r="M17" s="93">
        <f>'Urban Pass Adoption'!M17</f>
        <v>433.17017925671087</v>
      </c>
      <c r="N17" s="26">
        <f t="shared" si="3"/>
        <v>6.3873269050648048E-3</v>
      </c>
      <c r="O17" s="24"/>
      <c r="P17" s="93">
        <f>'Urban Pass Adoption'!P17</f>
        <v>9796.407752946423</v>
      </c>
      <c r="Q17" s="26">
        <f t="shared" si="4"/>
        <v>0.14445329297771767</v>
      </c>
      <c r="R17" s="24"/>
      <c r="S17" s="93">
        <f>'Urban Pass Adoption'!S17</f>
        <v>5081.8600827658993</v>
      </c>
      <c r="T17" s="26">
        <f t="shared" si="5"/>
        <v>7.4934755873831554E-2</v>
      </c>
      <c r="U17" s="24"/>
      <c r="V17" s="93">
        <f>'Private Car Analysis &amp; Split'!R18</f>
        <v>350.7227131875656</v>
      </c>
      <c r="W17" s="26">
        <f t="shared" si="6"/>
        <v>5.1715947436738489E-3</v>
      </c>
      <c r="X17" s="24"/>
      <c r="Y17" s="93">
        <f>'Private Car Analysis &amp; Split'!U18</f>
        <v>729.36702385388128</v>
      </c>
      <c r="Z17" s="26">
        <f t="shared" si="7"/>
        <v>1.0754908436039955E-2</v>
      </c>
      <c r="AA17" s="7"/>
      <c r="AB17" s="93">
        <f>'Nonurban Pass Adoption'!G17</f>
        <v>534.21174051345201</v>
      </c>
      <c r="AC17" s="26">
        <f t="shared" si="8"/>
        <v>7.8772389850061617E-3</v>
      </c>
      <c r="AD17" s="5"/>
      <c r="AE17" s="93">
        <f>'Nonurban Pass Adoption'!J17</f>
        <v>970.62034954882438</v>
      </c>
      <c r="AF17" s="26">
        <f t="shared" si="9"/>
        <v>1.431231827619067E-2</v>
      </c>
      <c r="AG17" s="24"/>
      <c r="AH17" s="93">
        <f>'Nonurban Pass Adoption'!M17</f>
        <v>3130.2254317348879</v>
      </c>
      <c r="AI17" s="26">
        <f t="shared" si="10"/>
        <v>4.615685491865168E-2</v>
      </c>
      <c r="AK17" s="223" t="str">
        <f>V6</f>
        <v>Electric Cars</v>
      </c>
      <c r="AL17" s="222">
        <f>V10</f>
        <v>116.38899289627807</v>
      </c>
    </row>
    <row r="18" spans="2:38" ht="14.4" x14ac:dyDescent="0.3">
      <c r="B18" s="19">
        <f>AVERAGE('Passenger TAM Data'!C139:E139)</f>
        <v>69788.258818993112</v>
      </c>
      <c r="C18" s="93">
        <f t="shared" si="11"/>
        <v>49635.868557980568</v>
      </c>
      <c r="D18" s="26">
        <f t="shared" si="0"/>
        <v>0.71123523351856421</v>
      </c>
      <c r="E18" s="7">
        <v>2022</v>
      </c>
      <c r="F18" s="7"/>
      <c r="G18" s="93">
        <f>'Urban Pass Adoption'!G18</f>
        <v>2017.504254867988</v>
      </c>
      <c r="H18" s="26">
        <f t="shared" si="1"/>
        <v>2.8908935242254782E-2</v>
      </c>
      <c r="I18" s="5"/>
      <c r="J18" s="93">
        <f>'Urban Pass Adoption'!J18</f>
        <v>1081.430076094</v>
      </c>
      <c r="K18" s="26">
        <f t="shared" si="2"/>
        <v>1.5495874154116095E-2</v>
      </c>
      <c r="L18" s="24"/>
      <c r="M18" s="93">
        <f>'Urban Pass Adoption'!M18</f>
        <v>467.95105911373423</v>
      </c>
      <c r="N18" s="26">
        <f t="shared" si="3"/>
        <v>6.7052978113043248E-3</v>
      </c>
      <c r="O18" s="24"/>
      <c r="P18" s="93">
        <f>'Urban Pass Adoption'!P18</f>
        <v>10031.423214218497</v>
      </c>
      <c r="Q18" s="26">
        <f t="shared" si="4"/>
        <v>0.14374084386080729</v>
      </c>
      <c r="R18" s="24"/>
      <c r="S18" s="93">
        <f>'Urban Pass Adoption'!S18</f>
        <v>5278.1872274778689</v>
      </c>
      <c r="T18" s="26">
        <f t="shared" si="5"/>
        <v>7.5631450286898286E-2</v>
      </c>
      <c r="U18" s="24"/>
      <c r="V18" s="93">
        <f>'Private Car Analysis &amp; Split'!R19</f>
        <v>460.55007209017521</v>
      </c>
      <c r="W18" s="26">
        <f t="shared" si="6"/>
        <v>6.5992486398705639E-3</v>
      </c>
      <c r="X18" s="24"/>
      <c r="Y18" s="93">
        <f>'Private Car Analysis &amp; Split'!U19</f>
        <v>791.96156358067435</v>
      </c>
      <c r="Z18" s="26">
        <f t="shared" si="7"/>
        <v>1.1348063083716588E-2</v>
      </c>
      <c r="AA18" s="7"/>
      <c r="AB18" s="93">
        <f>'Nonurban Pass Adoption'!G18</f>
        <v>585.4475563923105</v>
      </c>
      <c r="AC18" s="26">
        <f t="shared" si="8"/>
        <v>8.3889119215706659E-3</v>
      </c>
      <c r="AD18" s="5"/>
      <c r="AE18" s="93">
        <f>'Nonurban Pass Adoption'!J18</f>
        <v>1015.1933708234092</v>
      </c>
      <c r="AF18" s="26">
        <f t="shared" si="9"/>
        <v>1.4546764570477017E-2</v>
      </c>
      <c r="AG18" s="24"/>
      <c r="AH18" s="93">
        <f>'Nonurban Pass Adoption'!M18</f>
        <v>3700.9290938317513</v>
      </c>
      <c r="AI18" s="26">
        <f t="shared" si="10"/>
        <v>5.3030827197318338E-2</v>
      </c>
      <c r="AK18" s="223" t="str">
        <f>Y6</f>
        <v>Hybrid Cars</v>
      </c>
      <c r="AL18" s="222">
        <f>Y10</f>
        <v>252.99595444214927</v>
      </c>
    </row>
    <row r="19" spans="2:38" ht="14.4" x14ac:dyDescent="0.3">
      <c r="B19" s="19">
        <f>AVERAGE('Passenger TAM Data'!C140:E140)</f>
        <v>71775.782892018935</v>
      </c>
      <c r="C19" s="93">
        <f t="shared" si="11"/>
        <v>50392.685192492478</v>
      </c>
      <c r="D19" s="26">
        <f t="shared" si="0"/>
        <v>0.70208478628933024</v>
      </c>
      <c r="E19" s="7">
        <v>2023</v>
      </c>
      <c r="F19" s="7"/>
      <c r="G19" s="93">
        <f>'Urban Pass Adoption'!G19</f>
        <v>2090.6813769391338</v>
      </c>
      <c r="H19" s="26">
        <f t="shared" si="1"/>
        <v>2.9127949465690965E-2</v>
      </c>
      <c r="I19" s="5"/>
      <c r="J19" s="93">
        <f>'Urban Pass Adoption'!J19</f>
        <v>1119.1418645283245</v>
      </c>
      <c r="K19" s="26">
        <f t="shared" si="2"/>
        <v>1.5592193068962914E-2</v>
      </c>
      <c r="L19" s="24"/>
      <c r="M19" s="93">
        <f>'Urban Pass Adoption'!M19</f>
        <v>502.30350468369886</v>
      </c>
      <c r="N19" s="26">
        <f t="shared" si="3"/>
        <v>6.9982309414775073E-3</v>
      </c>
      <c r="O19" s="24"/>
      <c r="P19" s="93">
        <f>'Urban Pass Adoption'!P19</f>
        <v>10264.680320444895</v>
      </c>
      <c r="Q19" s="26">
        <f t="shared" si="4"/>
        <v>0.14301035679244775</v>
      </c>
      <c r="R19" s="24"/>
      <c r="S19" s="93">
        <f>'Urban Pass Adoption'!S19</f>
        <v>5479.251030266204</v>
      </c>
      <c r="T19" s="26">
        <f t="shared" si="5"/>
        <v>7.6338436301131116E-2</v>
      </c>
      <c r="U19" s="24"/>
      <c r="V19" s="93">
        <f>'Private Car Analysis &amp; Split'!R20</f>
        <v>587.33961864951812</v>
      </c>
      <c r="W19" s="26">
        <f t="shared" si="6"/>
        <v>8.1829775306404492E-3</v>
      </c>
      <c r="X19" s="24"/>
      <c r="Y19" s="93">
        <f>'Private Car Analysis &amp; Split'!U20</f>
        <v>848.90721711299648</v>
      </c>
      <c r="Z19" s="26">
        <f t="shared" si="7"/>
        <v>1.1827209441798931E-2</v>
      </c>
      <c r="AA19" s="7"/>
      <c r="AB19" s="93">
        <f>'Nonurban Pass Adoption'!G19</f>
        <v>636.39180289134549</v>
      </c>
      <c r="AC19" s="26">
        <f t="shared" si="8"/>
        <v>8.8663860880312147E-3</v>
      </c>
      <c r="AD19" s="5"/>
      <c r="AE19" s="93">
        <f>'Nonurban Pass Adoption'!J19</f>
        <v>1057.0539954862963</v>
      </c>
      <c r="AF19" s="26">
        <f t="shared" si="9"/>
        <v>1.472716775624101E-2</v>
      </c>
      <c r="AG19" s="24"/>
      <c r="AH19" s="93">
        <f>'Nonurban Pass Adoption'!M19</f>
        <v>4276.5979987902483</v>
      </c>
      <c r="AI19" s="26">
        <f t="shared" si="10"/>
        <v>5.9582742625379041E-2</v>
      </c>
      <c r="AK19" s="223" t="str">
        <f>AB6</f>
        <v>Nonurban Telepresence</v>
      </c>
      <c r="AL19" s="222">
        <f>AB10</f>
        <v>198.50531656903408</v>
      </c>
    </row>
    <row r="20" spans="2:38" ht="14.4" x14ac:dyDescent="0.3">
      <c r="B20" s="19">
        <f>AVERAGE('Passenger TAM Data'!C141:E141)</f>
        <v>73779.841038869112</v>
      </c>
      <c r="C20" s="93">
        <f t="shared" si="11"/>
        <v>51155.946352007362</v>
      </c>
      <c r="D20" s="26">
        <f t="shared" si="0"/>
        <v>0.69335940050422573</v>
      </c>
      <c r="E20" s="7">
        <v>2024</v>
      </c>
      <c r="F20" s="7"/>
      <c r="G20" s="93">
        <f>'Urban Pass Adoption'!G20</f>
        <v>2162.3495957718228</v>
      </c>
      <c r="H20" s="26">
        <f t="shared" si="1"/>
        <v>2.9308135736327238E-2</v>
      </c>
      <c r="I20" s="5"/>
      <c r="J20" s="93">
        <f>'Urban Pass Adoption'!J20</f>
        <v>1157.1221587285536</v>
      </c>
      <c r="K20" s="26">
        <f t="shared" si="2"/>
        <v>1.5683446080060705E-2</v>
      </c>
      <c r="L20" s="24"/>
      <c r="M20" s="93">
        <f>'Urban Pass Adoption'!M20</f>
        <v>536.27561837490748</v>
      </c>
      <c r="N20" s="26">
        <f t="shared" si="3"/>
        <v>7.2685927595369003E-3</v>
      </c>
      <c r="O20" s="24"/>
      <c r="P20" s="93">
        <f>'Urban Pass Adoption'!P20</f>
        <v>10495.066294597402</v>
      </c>
      <c r="Q20" s="26">
        <f t="shared" si="4"/>
        <v>0.14224842649184255</v>
      </c>
      <c r="R20" s="24"/>
      <c r="S20" s="93">
        <f>'Urban Pass Adoption'!S20</f>
        <v>5685.555566478477</v>
      </c>
      <c r="T20" s="26">
        <f t="shared" si="5"/>
        <v>7.7061098078039778E-2</v>
      </c>
      <c r="U20" s="24"/>
      <c r="V20" s="93">
        <f>'Private Car Analysis &amp; Split'!R21</f>
        <v>731.45935649640705</v>
      </c>
      <c r="W20" s="26">
        <f t="shared" si="6"/>
        <v>9.9140814915968101E-3</v>
      </c>
      <c r="X20" s="24"/>
      <c r="Y20" s="93">
        <f>'Private Car Analysis &amp; Split'!U21</f>
        <v>900.96363216215923</v>
      </c>
      <c r="Z20" s="26">
        <f t="shared" si="7"/>
        <v>1.2211514954166254E-2</v>
      </c>
      <c r="AA20" s="7"/>
      <c r="AB20" s="93">
        <f>'Nonurban Pass Adoption'!G20</f>
        <v>687.04613925422825</v>
      </c>
      <c r="AC20" s="26">
        <f t="shared" si="8"/>
        <v>9.3121119479272763E-3</v>
      </c>
      <c r="AD20" s="5"/>
      <c r="AE20" s="93">
        <f>'Nonurban Pass Adoption'!J20</f>
        <v>1096.37974486589</v>
      </c>
      <c r="AF20" s="26">
        <f t="shared" si="9"/>
        <v>1.4860153253627762E-2</v>
      </c>
      <c r="AG20" s="24"/>
      <c r="AH20" s="93">
        <f>'Nonurban Pass Adoption'!M20</f>
        <v>4857.2321466103795</v>
      </c>
      <c r="AI20" s="26">
        <f t="shared" si="10"/>
        <v>6.583413678068871E-2</v>
      </c>
      <c r="AK20" s="223" t="str">
        <f>AE6</f>
        <v>High Speed Rail</v>
      </c>
      <c r="AL20" s="222">
        <f>AE10</f>
        <v>512.4</v>
      </c>
    </row>
    <row r="21" spans="2:38" ht="14.4" x14ac:dyDescent="0.3">
      <c r="B21" s="19">
        <f>AVERAGE('Passenger TAM Data'!C142:E142)</f>
        <v>75793.728942057758</v>
      </c>
      <c r="C21" s="93">
        <f t="shared" si="11"/>
        <v>51895.202436064414</v>
      </c>
      <c r="D21" s="26">
        <f t="shared" si="0"/>
        <v>0.68468992303752307</v>
      </c>
      <c r="E21" s="7">
        <v>2025</v>
      </c>
      <c r="F21" s="7"/>
      <c r="G21" s="93">
        <f>'Urban Pass Adoption'!G21</f>
        <v>2232.4824007543657</v>
      </c>
      <c r="H21" s="26">
        <f t="shared" si="1"/>
        <v>2.9454711252708488E-2</v>
      </c>
      <c r="I21" s="5"/>
      <c r="J21" s="93">
        <f>'Urban Pass Adoption'!J21</f>
        <v>1195.4788827766595</v>
      </c>
      <c r="K21" s="26">
        <f t="shared" si="2"/>
        <v>1.577279412773807E-2</v>
      </c>
      <c r="L21" s="24"/>
      <c r="M21" s="93">
        <f>'Urban Pass Adoption'!M21</f>
        <v>569.91550259566338</v>
      </c>
      <c r="N21" s="26">
        <f t="shared" si="3"/>
        <v>7.5192962603983799E-3</v>
      </c>
      <c r="O21" s="24"/>
      <c r="P21" s="93">
        <f>'Urban Pass Adoption'!P21</f>
        <v>10739.316905880976</v>
      </c>
      <c r="Q21" s="26">
        <f t="shared" si="4"/>
        <v>0.14169136491609868</v>
      </c>
      <c r="R21" s="24"/>
      <c r="S21" s="93">
        <f>'Urban Pass Adoption'!S21</f>
        <v>5890.3646016104594</v>
      </c>
      <c r="T21" s="26">
        <f t="shared" si="5"/>
        <v>7.7715725084768983E-2</v>
      </c>
      <c r="U21" s="24"/>
      <c r="V21" s="93">
        <f>'Private Car Analysis &amp; Split'!R22</f>
        <v>893.27728926165503</v>
      </c>
      <c r="W21" s="26">
        <f t="shared" si="6"/>
        <v>1.1785635853126334E-2</v>
      </c>
      <c r="X21" s="24"/>
      <c r="Y21" s="93">
        <f>'Private Car Analysis &amp; Split'!U22</f>
        <v>948.89045643947429</v>
      </c>
      <c r="Z21" s="26">
        <f t="shared" si="7"/>
        <v>1.251937950123651E-2</v>
      </c>
      <c r="AA21" s="7"/>
      <c r="AB21" s="93">
        <f>'Nonurban Pass Adoption'!G21</f>
        <v>737.41221528231654</v>
      </c>
      <c r="AC21" s="26">
        <f t="shared" si="8"/>
        <v>9.729198253935336E-3</v>
      </c>
      <c r="AD21" s="5"/>
      <c r="AE21" s="93">
        <f>'Nonurban Pass Adoption'!J21</f>
        <v>1133.3481402905941</v>
      </c>
      <c r="AF21" s="26">
        <f t="shared" si="9"/>
        <v>1.4953059522338687E-2</v>
      </c>
      <c r="AG21" s="24"/>
      <c r="AH21" s="93">
        <f>'Nonurban Pass Adoption'!M21</f>
        <v>5448.4047127116464</v>
      </c>
      <c r="AI21" s="26">
        <f t="shared" si="10"/>
        <v>7.1884637274896496E-2</v>
      </c>
      <c r="AK21" s="223" t="str">
        <f>AH6</f>
        <v>Efficient Aviation</v>
      </c>
      <c r="AL21" s="222">
        <f>AH10</f>
        <v>490.52398347557431</v>
      </c>
    </row>
    <row r="22" spans="2:38" ht="14.4" x14ac:dyDescent="0.3">
      <c r="B22" s="19">
        <f>AVERAGE('Passenger TAM Data'!C143:E143)</f>
        <v>77840.43369048828</v>
      </c>
      <c r="C22" s="93">
        <f t="shared" si="11"/>
        <v>52681.862549688813</v>
      </c>
      <c r="D22" s="26">
        <f t="shared" si="0"/>
        <v>0.67679302455025092</v>
      </c>
      <c r="E22" s="7">
        <v>2026</v>
      </c>
      <c r="F22" s="7"/>
      <c r="G22" s="93">
        <f>'Urban Pass Adoption'!G22</f>
        <v>2301.0532812750735</v>
      </c>
      <c r="H22" s="26">
        <f t="shared" si="1"/>
        <v>2.9561157000031604E-2</v>
      </c>
      <c r="I22" s="5"/>
      <c r="J22" s="93">
        <f>'Urban Pass Adoption'!J22</f>
        <v>1234.3199607546132</v>
      </c>
      <c r="K22" s="26">
        <f t="shared" si="2"/>
        <v>1.5857054004382316E-2</v>
      </c>
      <c r="L22" s="24"/>
      <c r="M22" s="93">
        <f>'Urban Pass Adoption'!M22</f>
        <v>603.27125975426929</v>
      </c>
      <c r="N22" s="26">
        <f t="shared" si="3"/>
        <v>7.7501014723661043E-3</v>
      </c>
      <c r="O22" s="24"/>
      <c r="P22" s="93">
        <f>'Urban Pass Adoption'!P22</f>
        <v>10948.502671781849</v>
      </c>
      <c r="Q22" s="26">
        <f t="shared" si="4"/>
        <v>0.14065315611312817</v>
      </c>
      <c r="R22" s="24"/>
      <c r="S22" s="93">
        <f>'Urban Pass Adoption'!S22</f>
        <v>6114.5345428606097</v>
      </c>
      <c r="T22" s="26">
        <f t="shared" si="5"/>
        <v>7.8552164382503634E-2</v>
      </c>
      <c r="U22" s="24"/>
      <c r="V22" s="93">
        <f>'Private Car Analysis &amp; Split'!R23</f>
        <v>1073.161420576075</v>
      </c>
      <c r="W22" s="26">
        <f t="shared" si="6"/>
        <v>1.3786683471513213E-2</v>
      </c>
      <c r="X22" s="24"/>
      <c r="Y22" s="93">
        <f>'Private Car Analysis &amp; Split'!U23</f>
        <v>993.44733765625347</v>
      </c>
      <c r="Z22" s="26">
        <f t="shared" si="7"/>
        <v>1.2762613086232687E-2</v>
      </c>
      <c r="AA22" s="7"/>
      <c r="AB22" s="93">
        <f>'Nonurban Pass Adoption'!G22</f>
        <v>787.49167138838811</v>
      </c>
      <c r="AC22" s="26">
        <f t="shared" si="8"/>
        <v>1.011674311219332E-2</v>
      </c>
      <c r="AD22" s="5"/>
      <c r="AE22" s="93">
        <f>'Nonurban Pass Adoption'!J22</f>
        <v>1168.136703088813</v>
      </c>
      <c r="AF22" s="26">
        <f t="shared" si="9"/>
        <v>1.5006811340923368E-2</v>
      </c>
      <c r="AG22" s="24"/>
      <c r="AH22" s="93">
        <f>'Nonurban Pass Adoption'!M22</f>
        <v>6049.1868345241328</v>
      </c>
      <c r="AI22" s="26">
        <f t="shared" si="10"/>
        <v>7.771265584897831E-2</v>
      </c>
    </row>
    <row r="23" spans="2:38" ht="14.4" x14ac:dyDescent="0.3">
      <c r="B23" s="19">
        <f>AVERAGE('Passenger TAM Data'!C144:E144)</f>
        <v>79900.817573960405</v>
      </c>
      <c r="C23" s="93">
        <f t="shared" si="11"/>
        <v>53450.749510850874</v>
      </c>
      <c r="D23" s="26">
        <f t="shared" si="0"/>
        <v>0.66896373696519495</v>
      </c>
      <c r="E23" s="7">
        <v>2027</v>
      </c>
      <c r="F23" s="7"/>
      <c r="G23" s="93">
        <f>'Urban Pass Adoption'!G23</f>
        <v>2368.0357267222585</v>
      </c>
      <c r="H23" s="26">
        <f t="shared" si="1"/>
        <v>2.9637190189327912E-2</v>
      </c>
      <c r="I23" s="5"/>
      <c r="J23" s="93">
        <f>'Urban Pass Adoption'!J23</f>
        <v>1273.7533167443867</v>
      </c>
      <c r="K23" s="26">
        <f t="shared" si="2"/>
        <v>1.5941680641319265E-2</v>
      </c>
      <c r="L23" s="24"/>
      <c r="M23" s="93">
        <f>'Urban Pass Adoption'!M23</f>
        <v>636.39099225902828</v>
      </c>
      <c r="N23" s="26">
        <f t="shared" si="3"/>
        <v>7.9647619584111429E-3</v>
      </c>
      <c r="O23" s="24"/>
      <c r="P23" s="93">
        <f>'Urban Pass Adoption'!P23</f>
        <v>11172.19198736434</v>
      </c>
      <c r="Q23" s="26">
        <f t="shared" si="4"/>
        <v>0.13982575305969516</v>
      </c>
      <c r="R23" s="24"/>
      <c r="S23" s="93">
        <f>'Urban Pass Adoption'!S23</f>
        <v>6337.8646014779479</v>
      </c>
      <c r="T23" s="26">
        <f t="shared" si="5"/>
        <v>7.9321648938213765E-2</v>
      </c>
      <c r="U23" s="24"/>
      <c r="V23" s="93">
        <f>'Private Car Analysis &amp; Split'!R24</f>
        <v>1271.4797540704801</v>
      </c>
      <c r="W23" s="26">
        <f t="shared" si="6"/>
        <v>1.5913225830180417E-2</v>
      </c>
      <c r="X23" s="24"/>
      <c r="Y23" s="93">
        <f>'Private Car Analysis &amp; Split'!U24</f>
        <v>1035.3939235238076</v>
      </c>
      <c r="Z23" s="26">
        <f t="shared" si="7"/>
        <v>1.2958489724656352E-2</v>
      </c>
      <c r="AA23" s="7"/>
      <c r="AB23" s="93">
        <f>'Nonurban Pass Adoption'!G23</f>
        <v>837.28613865006844</v>
      </c>
      <c r="AC23" s="26">
        <f t="shared" si="8"/>
        <v>1.0479068476051978E-2</v>
      </c>
      <c r="AD23" s="5"/>
      <c r="AE23" s="93">
        <f>'Nonurban Pass Adoption'!J23</f>
        <v>1200.9229545889505</v>
      </c>
      <c r="AF23" s="26">
        <f t="shared" si="9"/>
        <v>1.5030171042709456E-2</v>
      </c>
      <c r="AG23" s="24"/>
      <c r="AH23" s="93">
        <f>'Nonurban Pass Adoption'!M23</f>
        <v>6654.6132691862049</v>
      </c>
      <c r="AI23" s="26">
        <f t="shared" si="10"/>
        <v>8.3285922112453281E-2</v>
      </c>
    </row>
    <row r="24" spans="2:38" ht="14.4" x14ac:dyDescent="0.3">
      <c r="B24" s="19">
        <f>AVERAGE('Passenger TAM Data'!C145:E145)</f>
        <v>81983.569645360854</v>
      </c>
      <c r="C24" s="93">
        <f t="shared" si="11"/>
        <v>54225.212918747013</v>
      </c>
      <c r="D24" s="26">
        <f t="shared" si="0"/>
        <v>0.66141561233928803</v>
      </c>
      <c r="E24" s="7">
        <v>2028</v>
      </c>
      <c r="F24" s="7"/>
      <c r="G24" s="93">
        <f>'Urban Pass Adoption'!G24</f>
        <v>2433.4032264842317</v>
      </c>
      <c r="H24" s="26">
        <f t="shared" si="1"/>
        <v>2.96815964102379E-2</v>
      </c>
      <c r="I24" s="5"/>
      <c r="J24" s="93">
        <f>'Urban Pass Adoption'!J24</f>
        <v>1313.886874827951</v>
      </c>
      <c r="K24" s="26">
        <f t="shared" si="2"/>
        <v>1.6026221845565847E-2</v>
      </c>
      <c r="L24" s="24"/>
      <c r="M24" s="93">
        <f>'Urban Pass Adoption'!M24</f>
        <v>669.32280251824341</v>
      </c>
      <c r="N24" s="26">
        <f t="shared" si="3"/>
        <v>8.1641090454289324E-3</v>
      </c>
      <c r="O24" s="24"/>
      <c r="P24" s="93">
        <f>'Urban Pass Adoption'!P24</f>
        <v>11394.287995974042</v>
      </c>
      <c r="Q24" s="26">
        <f t="shared" si="4"/>
        <v>0.13898257962251101</v>
      </c>
      <c r="R24" s="24"/>
      <c r="S24" s="93">
        <f>'Urban Pass Adoption'!S24</f>
        <v>6567.5064437674937</v>
      </c>
      <c r="T24" s="26">
        <f t="shared" si="5"/>
        <v>8.0107593169909314E-2</v>
      </c>
      <c r="U24" s="24"/>
      <c r="V24" s="93">
        <f>'Private Car Analysis &amp; Split'!R25</f>
        <v>1488.6002933756827</v>
      </c>
      <c r="W24" s="26">
        <f t="shared" si="6"/>
        <v>1.8157300295839424E-2</v>
      </c>
      <c r="X24" s="24"/>
      <c r="Y24" s="93">
        <f>'Private Car Analysis &amp; Split'!U25</f>
        <v>1075.4898617534493</v>
      </c>
      <c r="Z24" s="26">
        <f t="shared" si="7"/>
        <v>1.3118358549228007E-2</v>
      </c>
      <c r="AA24" s="7"/>
      <c r="AB24" s="93">
        <f>'Nonurban Pass Adoption'!G24</f>
        <v>886.79723886295494</v>
      </c>
      <c r="AC24" s="26">
        <f t="shared" si="8"/>
        <v>1.0816767831639977E-2</v>
      </c>
      <c r="AD24" s="5"/>
      <c r="AE24" s="93">
        <f>'Nonurban Pass Adoption'!J24</f>
        <v>1231.8844161194106</v>
      </c>
      <c r="AF24" s="26">
        <f t="shared" si="9"/>
        <v>1.5025991444971418E-2</v>
      </c>
      <c r="AG24" s="24"/>
      <c r="AH24" s="93">
        <f>'Nonurban Pass Adoption'!M24</f>
        <v>7264.6840166978627</v>
      </c>
      <c r="AI24" s="26">
        <f t="shared" si="10"/>
        <v>8.8611462615289335E-2</v>
      </c>
    </row>
    <row r="25" spans="2:38" ht="14.4" x14ac:dyDescent="0.3">
      <c r="B25" s="19">
        <f>AVERAGE('Passenger TAM Data'!C146:E146)</f>
        <v>84090.280256563652</v>
      </c>
      <c r="C25" s="93">
        <f t="shared" si="11"/>
        <v>55005.087367860477</v>
      </c>
      <c r="D25" s="26">
        <f t="shared" si="0"/>
        <v>0.6541194440075262</v>
      </c>
      <c r="E25" s="7">
        <v>2029</v>
      </c>
      <c r="F25" s="7"/>
      <c r="G25" s="93">
        <f>'Urban Pass Adoption'!G25</f>
        <v>2497.1292699493042</v>
      </c>
      <c r="H25" s="26">
        <f t="shared" si="1"/>
        <v>2.9695813384501012E-2</v>
      </c>
      <c r="I25" s="5"/>
      <c r="J25" s="93">
        <f>'Urban Pass Adoption'!J25</f>
        <v>1354.8285590872783</v>
      </c>
      <c r="K25" s="26">
        <f t="shared" si="2"/>
        <v>1.6111595239707E-2</v>
      </c>
      <c r="L25" s="24"/>
      <c r="M25" s="93">
        <f>'Urban Pass Adoption'!M25</f>
        <v>702.1147929402174</v>
      </c>
      <c r="N25" s="26">
        <f t="shared" si="3"/>
        <v>8.3495356514216631E-3</v>
      </c>
      <c r="O25" s="24"/>
      <c r="P25" s="93">
        <f>'Urban Pass Adoption'!P25</f>
        <v>11615.110153886235</v>
      </c>
      <c r="Q25" s="26">
        <f t="shared" si="4"/>
        <v>0.13812666717779931</v>
      </c>
      <c r="R25" s="24"/>
      <c r="S25" s="93">
        <f>'Urban Pass Adoption'!S25</f>
        <v>6803.7646776053007</v>
      </c>
      <c r="T25" s="26">
        <f t="shared" si="5"/>
        <v>8.0910239053154226E-2</v>
      </c>
      <c r="U25" s="24"/>
      <c r="V25" s="93">
        <f>'Private Car Analysis &amp; Split'!R26</f>
        <v>1724.8910421224964</v>
      </c>
      <c r="W25" s="26">
        <f t="shared" si="6"/>
        <v>2.0512371190341709E-2</v>
      </c>
      <c r="X25" s="24"/>
      <c r="Y25" s="93">
        <f>'Private Car Analysis &amp; Split'!U26</f>
        <v>1114.4948000564896</v>
      </c>
      <c r="Z25" s="26">
        <f t="shared" si="7"/>
        <v>1.3253550786798548E-2</v>
      </c>
      <c r="AA25" s="7"/>
      <c r="AB25" s="93">
        <f>'Nonurban Pass Adoption'!G25</f>
        <v>936.0265845934382</v>
      </c>
      <c r="AC25" s="26">
        <f t="shared" si="8"/>
        <v>1.1131210191446316E-2</v>
      </c>
      <c r="AD25" s="5"/>
      <c r="AE25" s="93">
        <f>'Nonurban Pass Adoption'!J25</f>
        <v>1261.1986090085975</v>
      </c>
      <c r="AF25" s="26">
        <f t="shared" si="9"/>
        <v>1.4998149669148652E-2</v>
      </c>
      <c r="AG25" s="24"/>
      <c r="AH25" s="93">
        <f>'Nonurban Pass Adoption'!M25</f>
        <v>7879.3990770591063</v>
      </c>
      <c r="AI25" s="26">
        <f t="shared" si="10"/>
        <v>9.3701662701309418E-2</v>
      </c>
    </row>
    <row r="26" spans="2:38" ht="14.4" x14ac:dyDescent="0.3">
      <c r="B26" s="19">
        <f>AVERAGE('Passenger TAM Data'!C147:E147)</f>
        <v>86208.652199155025</v>
      </c>
      <c r="C26" s="93">
        <f t="shared" si="11"/>
        <v>55758.391868231105</v>
      </c>
      <c r="D26" s="26">
        <f t="shared" si="0"/>
        <v>0.64678417358179763</v>
      </c>
      <c r="E26" s="7">
        <v>2030</v>
      </c>
      <c r="F26" s="7"/>
      <c r="G26" s="93">
        <f>'Urban Pass Adoption'!G26</f>
        <v>2559.1873465057874</v>
      </c>
      <c r="H26" s="26">
        <f t="shared" si="1"/>
        <v>2.9685968649569856E-2</v>
      </c>
      <c r="I26" s="5"/>
      <c r="J26" s="93">
        <f>'Urban Pass Adoption'!J26</f>
        <v>1396.6862936043399</v>
      </c>
      <c r="K26" s="26">
        <f t="shared" si="2"/>
        <v>1.6201231059473974E-2</v>
      </c>
      <c r="L26" s="24"/>
      <c r="M26" s="93">
        <f>'Urban Pass Adoption'!M26</f>
        <v>734.81506593325344</v>
      </c>
      <c r="N26" s="26">
        <f t="shared" si="3"/>
        <v>8.5236811757098286E-3</v>
      </c>
      <c r="O26" s="24"/>
      <c r="P26" s="93">
        <f>'Urban Pass Adoption'!P26</f>
        <v>11852.905950708493</v>
      </c>
      <c r="Q26" s="26">
        <f t="shared" si="4"/>
        <v>0.13749090895571001</v>
      </c>
      <c r="R26" s="24"/>
      <c r="S26" s="93">
        <f>'Urban Pass Adoption'!S26</f>
        <v>7037.4588904005795</v>
      </c>
      <c r="T26" s="26">
        <f t="shared" si="5"/>
        <v>8.1632860633790966E-2</v>
      </c>
      <c r="U26" s="24"/>
      <c r="V26" s="93">
        <f>'Private Car Analysis &amp; Split'!R27</f>
        <v>1980.7200039417335</v>
      </c>
      <c r="W26" s="26">
        <f t="shared" si="6"/>
        <v>2.2975884130121541E-2</v>
      </c>
      <c r="X26" s="24"/>
      <c r="Y26" s="93">
        <f>'Private Car Analysis &amp; Split'!U27</f>
        <v>1153.16838614424</v>
      </c>
      <c r="Z26" s="26">
        <f t="shared" si="7"/>
        <v>1.3376480860415804E-2</v>
      </c>
      <c r="AA26" s="7"/>
      <c r="AB26" s="93">
        <f>'Nonurban Pass Adoption'!G26</f>
        <v>984.97577923122287</v>
      </c>
      <c r="AC26" s="26">
        <f t="shared" si="8"/>
        <v>1.1425486353223338E-2</v>
      </c>
      <c r="AD26" s="5"/>
      <c r="AE26" s="93">
        <f>'Nonurban Pass Adoption'!J26</f>
        <v>1289.0430545849151</v>
      </c>
      <c r="AF26" s="26">
        <f t="shared" si="9"/>
        <v>1.4952594915960763E-2</v>
      </c>
      <c r="AG26" s="24"/>
      <c r="AH26" s="93">
        <f>'Nonurban Pass Adoption'!M26</f>
        <v>8498.7584502699356</v>
      </c>
      <c r="AI26" s="26">
        <f t="shared" si="10"/>
        <v>9.858359031801725E-2</v>
      </c>
    </row>
    <row r="27" spans="2:38" ht="14.4" x14ac:dyDescent="0.3">
      <c r="B27" s="19">
        <f>AVERAGE('Passenger TAM Data'!C148:E148)</f>
        <v>88381.730885313416</v>
      </c>
      <c r="C27" s="93">
        <f t="shared" si="11"/>
        <v>56580.200192944583</v>
      </c>
      <c r="D27" s="26">
        <f t="shared" si="0"/>
        <v>0.6401798157400268</v>
      </c>
      <c r="E27" s="7">
        <v>2031</v>
      </c>
      <c r="F27" s="7"/>
      <c r="G27" s="93">
        <f>'Urban Pass Adoption'!G27</f>
        <v>2619.5509455419933</v>
      </c>
      <c r="H27" s="26">
        <f t="shared" si="1"/>
        <v>2.9639054579517064E-2</v>
      </c>
      <c r="I27" s="5"/>
      <c r="J27" s="93">
        <f>'Urban Pass Adoption'!J27</f>
        <v>1439.5680024611074</v>
      </c>
      <c r="K27" s="26">
        <f t="shared" si="2"/>
        <v>1.6288072071468377E-2</v>
      </c>
      <c r="L27" s="24"/>
      <c r="M27" s="93">
        <f>'Urban Pass Adoption'!M27</f>
        <v>767.47172390565447</v>
      </c>
      <c r="N27" s="26">
        <f t="shared" si="3"/>
        <v>8.6836014209944259E-3</v>
      </c>
      <c r="O27" s="24"/>
      <c r="P27" s="93">
        <f>'Urban Pass Adoption'!P27</f>
        <v>12054.21074271918</v>
      </c>
      <c r="Q27" s="26">
        <f t="shared" si="4"/>
        <v>0.13638803655430848</v>
      </c>
      <c r="R27" s="24"/>
      <c r="S27" s="93">
        <f>'Urban Pass Adoption'!S27</f>
        <v>7297.3567500161116</v>
      </c>
      <c r="T27" s="26">
        <f t="shared" si="5"/>
        <v>8.2566348010148879E-2</v>
      </c>
      <c r="U27" s="24"/>
      <c r="V27" s="93">
        <f>'Private Car Analysis &amp; Split'!R28</f>
        <v>2256.4551824642076</v>
      </c>
      <c r="W27" s="26">
        <f t="shared" si="6"/>
        <v>2.5530787413433287E-2</v>
      </c>
      <c r="X27" s="24"/>
      <c r="Y27" s="93">
        <f>'Private Car Analysis &amp; Split'!U28</f>
        <v>1192.2702677280124</v>
      </c>
      <c r="Z27" s="26">
        <f t="shared" si="7"/>
        <v>1.3490008124814113E-2</v>
      </c>
      <c r="AA27" s="7"/>
      <c r="AB27" s="93">
        <f>'Nonurban Pass Adoption'!G27</f>
        <v>1033.6464170415502</v>
      </c>
      <c r="AC27" s="26">
        <f t="shared" si="8"/>
        <v>1.1695249761320452E-2</v>
      </c>
      <c r="AD27" s="5"/>
      <c r="AE27" s="93">
        <f>'Nonurban Pass Adoption'!J27</f>
        <v>1315.5952741767676</v>
      </c>
      <c r="AF27" s="26">
        <f t="shared" si="9"/>
        <v>1.4885375755809994E-2</v>
      </c>
      <c r="AG27" s="24"/>
      <c r="AH27" s="93">
        <f>'Nonurban Pass Adoption'!M27</f>
        <v>9122.7621363303515</v>
      </c>
      <c r="AI27" s="26">
        <f t="shared" si="10"/>
        <v>0.10321999857830687</v>
      </c>
    </row>
    <row r="28" spans="2:38" ht="14.4" x14ac:dyDescent="0.3">
      <c r="B28" s="19">
        <f>AVERAGE('Passenger TAM Data'!C149:E149)</f>
        <v>90569.783505081257</v>
      </c>
      <c r="C28" s="93">
        <f t="shared" si="11"/>
        <v>57375.239702029357</v>
      </c>
      <c r="D28" s="26">
        <f t="shared" si="0"/>
        <v>0.63349207077226166</v>
      </c>
      <c r="E28" s="7">
        <v>2032</v>
      </c>
      <c r="F28" s="7"/>
      <c r="G28" s="93">
        <f>'Urban Pass Adoption'!G28</f>
        <v>2678.1935564462319</v>
      </c>
      <c r="H28" s="26">
        <f t="shared" si="1"/>
        <v>2.9570497497059565E-2</v>
      </c>
      <c r="I28" s="5"/>
      <c r="J28" s="93">
        <f>'Urban Pass Adoption'!J28</f>
        <v>1483.5816097395523</v>
      </c>
      <c r="K28" s="26">
        <f t="shared" si="2"/>
        <v>1.6380536116179616E-2</v>
      </c>
      <c r="L28" s="24"/>
      <c r="M28" s="93">
        <f>'Urban Pass Adoption'!M28</f>
        <v>800.13286926572357</v>
      </c>
      <c r="N28" s="26">
        <f t="shared" si="3"/>
        <v>8.8344350433479119E-3</v>
      </c>
      <c r="O28" s="24"/>
      <c r="P28" s="93">
        <f>'Urban Pass Adoption'!P28</f>
        <v>12273.128086190482</v>
      </c>
      <c r="Q28" s="26">
        <f t="shared" si="4"/>
        <v>0.13551018464675826</v>
      </c>
      <c r="R28" s="24"/>
      <c r="S28" s="93">
        <f>'Urban Pass Adoption'!S28</f>
        <v>7555.3541745029142</v>
      </c>
      <c r="T28" s="26">
        <f t="shared" si="5"/>
        <v>8.3420252120609675E-2</v>
      </c>
      <c r="U28" s="24"/>
      <c r="V28" s="93">
        <f>'Private Car Analysis &amp; Split'!R29</f>
        <v>2552.4645813207308</v>
      </c>
      <c r="W28" s="26">
        <f t="shared" si="6"/>
        <v>2.8182297478689781E-2</v>
      </c>
      <c r="X28" s="24"/>
      <c r="Y28" s="93">
        <f>'Private Car Analysis &amp; Split'!U29</f>
        <v>1232.5600925191188</v>
      </c>
      <c r="Z28" s="26">
        <f t="shared" si="7"/>
        <v>1.3608954828184703E-2</v>
      </c>
      <c r="AA28" s="7"/>
      <c r="AB28" s="93">
        <f>'Nonurban Pass Adoption'!G28</f>
        <v>1082.0400832171224</v>
      </c>
      <c r="AC28" s="26">
        <f t="shared" si="8"/>
        <v>1.1947031795172796E-2</v>
      </c>
      <c r="AD28" s="5"/>
      <c r="AE28" s="93">
        <f>'Nonurban Pass Adoption'!J28</f>
        <v>1341.0327891125592</v>
      </c>
      <c r="AF28" s="26">
        <f t="shared" si="9"/>
        <v>1.4806624651336645E-2</v>
      </c>
      <c r="AG28" s="24"/>
      <c r="AH28" s="93">
        <f>'Nonurban Pass Adoption'!M28</f>
        <v>9751.4101352403522</v>
      </c>
      <c r="AI28" s="26">
        <f t="shared" si="10"/>
        <v>0.10766736717100871</v>
      </c>
    </row>
    <row r="29" spans="2:38" ht="14.4" x14ac:dyDescent="0.3">
      <c r="B29" s="19">
        <f>AVERAGE('Passenger TAM Data'!C150:E150)</f>
        <v>92789.054911386993</v>
      </c>
      <c r="C29" s="93">
        <f t="shared" si="11"/>
        <v>58175.927560750053</v>
      </c>
      <c r="D29" s="26">
        <f t="shared" si="0"/>
        <v>0.62696971767098741</v>
      </c>
      <c r="E29" s="7">
        <v>2033</v>
      </c>
      <c r="F29" s="7"/>
      <c r="G29" s="93">
        <f>'Urban Pass Adoption'!G29</f>
        <v>2735.0886686068161</v>
      </c>
      <c r="H29" s="26">
        <f t="shared" si="1"/>
        <v>2.9476414769164423E-2</v>
      </c>
      <c r="I29" s="5"/>
      <c r="J29" s="93">
        <f>'Urban Pass Adoption'!J29</f>
        <v>1528.8350395216457</v>
      </c>
      <c r="K29" s="26">
        <f t="shared" si="2"/>
        <v>1.6476458791197673E-2</v>
      </c>
      <c r="L29" s="24"/>
      <c r="M29" s="93">
        <f>'Urban Pass Adoption'!M29</f>
        <v>832.84660442176346</v>
      </c>
      <c r="N29" s="26">
        <f t="shared" si="3"/>
        <v>8.9756987525859283E-3</v>
      </c>
      <c r="O29" s="24"/>
      <c r="P29" s="93">
        <f>'Urban Pass Adoption'!P29</f>
        <v>12492.049404065376</v>
      </c>
      <c r="Q29" s="26">
        <f t="shared" si="4"/>
        <v>0.13462847979209627</v>
      </c>
      <c r="R29" s="24"/>
      <c r="S29" s="93">
        <f>'Urban Pass Adoption'!S29</f>
        <v>7821.3861842779206</v>
      </c>
      <c r="T29" s="26">
        <f t="shared" si="5"/>
        <v>8.4292120355652922E-2</v>
      </c>
      <c r="U29" s="24"/>
      <c r="V29" s="93">
        <f>'Private Car Analysis &amp; Split'!R30</f>
        <v>2869.1162041421167</v>
      </c>
      <c r="W29" s="26">
        <f t="shared" si="6"/>
        <v>3.0920847365910838E-2</v>
      </c>
      <c r="X29" s="24"/>
      <c r="Y29" s="93">
        <f>'Private Car Analysis &amp; Split'!U30</f>
        <v>1274.7975082288701</v>
      </c>
      <c r="Z29" s="26">
        <f t="shared" si="7"/>
        <v>1.3738662490379866E-2</v>
      </c>
      <c r="AA29" s="7"/>
      <c r="AB29" s="93">
        <f>'Nonurban Pass Adoption'!G29</f>
        <v>1130.1583539297321</v>
      </c>
      <c r="AC29" s="26">
        <f t="shared" si="8"/>
        <v>1.217986706523767E-2</v>
      </c>
      <c r="AD29" s="5"/>
      <c r="AE29" s="93">
        <f>'Nonurban Pass Adoption'!J29</f>
        <v>1365.5331207206934</v>
      </c>
      <c r="AF29" s="26">
        <f t="shared" si="9"/>
        <v>1.4716532268000461E-2</v>
      </c>
      <c r="AG29" s="24"/>
      <c r="AH29" s="93">
        <f>'Nonurban Pass Adoption'!M29</f>
        <v>10384.702446999938</v>
      </c>
      <c r="AI29" s="26">
        <f t="shared" si="10"/>
        <v>0.11191732103443955</v>
      </c>
    </row>
    <row r="30" spans="2:38" ht="14.4" x14ac:dyDescent="0.3">
      <c r="B30" s="19">
        <f>AVERAGE('Passenger TAM Data'!C151:E151)</f>
        <v>95042.273850452329</v>
      </c>
      <c r="C30" s="93">
        <f t="shared" si="11"/>
        <v>58983.236803301654</v>
      </c>
      <c r="D30" s="26">
        <f t="shared" si="0"/>
        <v>0.62060001737869763</v>
      </c>
      <c r="E30" s="7">
        <v>2034</v>
      </c>
      <c r="F30" s="7"/>
      <c r="G30" s="93">
        <f>'Urban Pass Adoption'!G30</f>
        <v>2790.2097714120569</v>
      </c>
      <c r="H30" s="26">
        <f t="shared" si="1"/>
        <v>2.9357565411391697E-2</v>
      </c>
      <c r="I30" s="5"/>
      <c r="J30" s="93">
        <f>'Urban Pass Adoption'!J30</f>
        <v>1575.43621588936</v>
      </c>
      <c r="K30" s="26">
        <f t="shared" si="2"/>
        <v>1.6576162922704127E-2</v>
      </c>
      <c r="L30" s="24"/>
      <c r="M30" s="93">
        <f>'Urban Pass Adoption'!M30</f>
        <v>865.66103178207732</v>
      </c>
      <c r="N30" s="26">
        <f t="shared" si="3"/>
        <v>9.1081683624718683E-3</v>
      </c>
      <c r="O30" s="24"/>
      <c r="P30" s="93">
        <f>'Urban Pass Adoption'!P30</f>
        <v>12711.294152619133</v>
      </c>
      <c r="Q30" s="26">
        <f t="shared" si="4"/>
        <v>0.13374358206770362</v>
      </c>
      <c r="R30" s="24"/>
      <c r="S30" s="93">
        <f>'Urban Pass Adoption'!S30</f>
        <v>8095.9591486988202</v>
      </c>
      <c r="T30" s="26">
        <f t="shared" si="5"/>
        <v>8.51827173394199E-2</v>
      </c>
      <c r="U30" s="24"/>
      <c r="V30" s="93">
        <f>'Private Car Analysis &amp; Split'!R31</f>
        <v>3206.7780545591777</v>
      </c>
      <c r="W30" s="26">
        <f t="shared" si="6"/>
        <v>3.3740544335092375E-2</v>
      </c>
      <c r="X30" s="24"/>
      <c r="Y30" s="93">
        <f>'Private Car Analysis &amp; Split'!U31</f>
        <v>1319.7421625685781</v>
      </c>
      <c r="Z30" s="26">
        <f t="shared" si="7"/>
        <v>1.3885843731444953E-2</v>
      </c>
      <c r="AA30" s="7"/>
      <c r="AB30" s="93">
        <f>'Nonurban Pass Adoption'!G30</f>
        <v>1178.002796381599</v>
      </c>
      <c r="AC30" s="26">
        <f t="shared" si="8"/>
        <v>1.2394514026833676E-2</v>
      </c>
      <c r="AD30" s="5"/>
      <c r="AE30" s="93">
        <f>'Nonurban Pass Adoption'!J30</f>
        <v>1389.2737903295751</v>
      </c>
      <c r="AF30" s="26">
        <f t="shared" si="9"/>
        <v>1.4617430055551677E-2</v>
      </c>
      <c r="AG30" s="24"/>
      <c r="AH30" s="93">
        <f>'Nonurban Pass Adoption'!M30</f>
        <v>11022.639071609112</v>
      </c>
      <c r="AI30" s="26">
        <f t="shared" si="10"/>
        <v>0.11597617170810831</v>
      </c>
    </row>
    <row r="31" spans="2:38" ht="14.4" x14ac:dyDescent="0.3">
      <c r="B31" s="19">
        <f>AVERAGE('Passenger TAM Data'!C152:E152)</f>
        <v>97316.870764327265</v>
      </c>
      <c r="C31" s="93">
        <f t="shared" si="11"/>
        <v>59759.411621861029</v>
      </c>
      <c r="D31" s="26">
        <f t="shared" si="0"/>
        <v>0.61407041916278504</v>
      </c>
      <c r="E31" s="7">
        <v>2035</v>
      </c>
      <c r="F31" s="7"/>
      <c r="G31" s="93">
        <f>'Urban Pass Adoption'!G31</f>
        <v>2843.5303542502652</v>
      </c>
      <c r="H31" s="26">
        <f t="shared" si="1"/>
        <v>2.9219294988804729E-2</v>
      </c>
      <c r="I31" s="5"/>
      <c r="J31" s="93">
        <f>'Urban Pass Adoption'!J31</f>
        <v>1623.4930629246662</v>
      </c>
      <c r="K31" s="26">
        <f t="shared" si="2"/>
        <v>1.6682544867850171E-2</v>
      </c>
      <c r="L31" s="24"/>
      <c r="M31" s="93">
        <f>'Urban Pass Adoption'!M31</f>
        <v>898.62425375496809</v>
      </c>
      <c r="N31" s="26">
        <f t="shared" si="3"/>
        <v>9.234002765370156E-3</v>
      </c>
      <c r="O31" s="24"/>
      <c r="P31" s="93">
        <f>'Urban Pass Adoption'!P31</f>
        <v>12945.869567029946</v>
      </c>
      <c r="Q31" s="26">
        <f t="shared" si="4"/>
        <v>0.13302800907338072</v>
      </c>
      <c r="R31" s="24"/>
      <c r="S31" s="93">
        <f>'Urban Pass Adoption'!S31</f>
        <v>8370.3872433915203</v>
      </c>
      <c r="T31" s="26">
        <f t="shared" si="5"/>
        <v>8.6011676882440324E-2</v>
      </c>
      <c r="U31" s="24"/>
      <c r="V31" s="93">
        <f>'Private Car Analysis &amp; Split'!R32</f>
        <v>3565.8181362027276</v>
      </c>
      <c r="W31" s="26">
        <f t="shared" si="6"/>
        <v>3.6641315202562225E-2</v>
      </c>
      <c r="X31" s="24"/>
      <c r="Y31" s="93">
        <f>'Private Car Analysis &amp; Split'!U32</f>
        <v>1368.1537032495548</v>
      </c>
      <c r="Z31" s="26">
        <f t="shared" si="7"/>
        <v>1.4058751504277395E-2</v>
      </c>
      <c r="AA31" s="7"/>
      <c r="AB31" s="93">
        <f>'Nonurban Pass Adoption'!G31</f>
        <v>1225.574968856411</v>
      </c>
      <c r="AC31" s="26">
        <f t="shared" si="8"/>
        <v>1.2593653692630458E-2</v>
      </c>
      <c r="AD31" s="5"/>
      <c r="AE31" s="93">
        <f>'Nonurban Pass Adoption'!J31</f>
        <v>1412.4323192676075</v>
      </c>
      <c r="AF31" s="26">
        <f t="shared" si="9"/>
        <v>1.451374574803275E-2</v>
      </c>
      <c r="AG31" s="24"/>
      <c r="AH31" s="93">
        <f>'Nonurban Pass Adoption'!M31</f>
        <v>11673.962776930082</v>
      </c>
      <c r="AI31" s="26">
        <f t="shared" si="10"/>
        <v>0.11995826299430624</v>
      </c>
    </row>
    <row r="32" spans="2:38" ht="14.4" x14ac:dyDescent="0.3">
      <c r="B32" s="19">
        <f>AVERAGE('Passenger TAM Data'!C153:E153)</f>
        <v>99659.990407611054</v>
      </c>
      <c r="C32" s="93">
        <f t="shared" si="11"/>
        <v>60630.668424893025</v>
      </c>
      <c r="D32" s="26">
        <f t="shared" si="0"/>
        <v>0.60837521834903419</v>
      </c>
      <c r="E32" s="7">
        <v>2036</v>
      </c>
      <c r="F32" s="7"/>
      <c r="G32" s="93">
        <f>'Urban Pass Adoption'!G32</f>
        <v>2895.0239065097521</v>
      </c>
      <c r="H32" s="26">
        <f t="shared" si="1"/>
        <v>2.9049008480424843E-2</v>
      </c>
      <c r="I32" s="5"/>
      <c r="J32" s="93">
        <f>'Urban Pass Adoption'!J32</f>
        <v>1673.1135047095361</v>
      </c>
      <c r="K32" s="26">
        <f t="shared" si="2"/>
        <v>1.6788216593905673E-2</v>
      </c>
      <c r="L32" s="24"/>
      <c r="M32" s="93">
        <f>'Urban Pass Adoption'!M32</f>
        <v>931.78437274873863</v>
      </c>
      <c r="N32" s="26">
        <f t="shared" si="3"/>
        <v>9.3496333778251908E-3</v>
      </c>
      <c r="O32" s="24"/>
      <c r="P32" s="93">
        <f>'Urban Pass Adoption'!P32</f>
        <v>13152.031766864337</v>
      </c>
      <c r="Q32" s="26">
        <f t="shared" si="4"/>
        <v>0.13196902501266861</v>
      </c>
      <c r="R32" s="24"/>
      <c r="S32" s="93">
        <f>'Urban Pass Adoption'!S32</f>
        <v>8672.6013282182521</v>
      </c>
      <c r="T32" s="26">
        <f t="shared" si="5"/>
        <v>8.7021896076320757E-2</v>
      </c>
      <c r="U32" s="24"/>
      <c r="V32" s="93">
        <f>'Private Car Analysis &amp; Split'!R33</f>
        <v>3946.6044527035779</v>
      </c>
      <c r="W32" s="26">
        <f t="shared" si="6"/>
        <v>3.9600690673979581E-2</v>
      </c>
      <c r="X32" s="24"/>
      <c r="Y32" s="93">
        <f>'Private Car Analysis &amp; Split'!U33</f>
        <v>1420.7917779831116</v>
      </c>
      <c r="Z32" s="26">
        <f t="shared" si="7"/>
        <v>1.4256390876339132E-2</v>
      </c>
      <c r="AA32" s="7"/>
      <c r="AB32" s="93">
        <f>'Nonurban Pass Adoption'!G32</f>
        <v>1272.8764207700806</v>
      </c>
      <c r="AC32" s="26">
        <f t="shared" si="8"/>
        <v>1.2772190881857347E-2</v>
      </c>
      <c r="AD32" s="5"/>
      <c r="AE32" s="93">
        <f>'Nonurban Pass Adoption'!J32</f>
        <v>1435.1862288631951</v>
      </c>
      <c r="AF32" s="26">
        <f t="shared" si="9"/>
        <v>1.44008264800474E-2</v>
      </c>
      <c r="AG32" s="24"/>
      <c r="AH32" s="93">
        <f>'Nonurban Pass Adoption'!M32</f>
        <v>12301.909551565679</v>
      </c>
      <c r="AI32" s="26">
        <f t="shared" si="10"/>
        <v>0.12343879927391785</v>
      </c>
    </row>
    <row r="33" spans="1:38" ht="14.4" x14ac:dyDescent="0.3">
      <c r="B33" s="19">
        <f>AVERAGE('Passenger TAM Data'!C154:E154)</f>
        <v>102027.97591712078</v>
      </c>
      <c r="C33" s="93">
        <f t="shared" si="11"/>
        <v>61472.224443662912</v>
      </c>
      <c r="D33" s="26">
        <f t="shared" si="0"/>
        <v>0.60250361620030513</v>
      </c>
      <c r="E33" s="7">
        <v>2037</v>
      </c>
      <c r="F33" s="7"/>
      <c r="G33" s="93">
        <f>'Urban Pass Adoption'!G33</f>
        <v>2944.6639175788296</v>
      </c>
      <c r="H33" s="26">
        <f t="shared" si="1"/>
        <v>2.8861338187977332E-2</v>
      </c>
      <c r="I33" s="5"/>
      <c r="J33" s="93">
        <f>'Urban Pass Adoption'!J33</f>
        <v>1724.4054653259411</v>
      </c>
      <c r="K33" s="26">
        <f t="shared" si="2"/>
        <v>1.6901300352431842E-2</v>
      </c>
      <c r="L33" s="24"/>
      <c r="M33" s="93">
        <f>'Urban Pass Adoption'!M33</f>
        <v>965.18949117169211</v>
      </c>
      <c r="N33" s="26">
        <f t="shared" si="3"/>
        <v>9.4600474281263149E-3</v>
      </c>
      <c r="O33" s="24"/>
      <c r="P33" s="93">
        <f>'Urban Pass Adoption'!P33</f>
        <v>13374.163545106336</v>
      </c>
      <c r="Q33" s="26">
        <f t="shared" si="4"/>
        <v>0.13108329774149804</v>
      </c>
      <c r="R33" s="24"/>
      <c r="S33" s="93">
        <f>'Urban Pass Adoption'!S33</f>
        <v>8975.4539131098791</v>
      </c>
      <c r="T33" s="26">
        <f t="shared" si="5"/>
        <v>8.7970518207680676E-2</v>
      </c>
      <c r="U33" s="24"/>
      <c r="V33" s="93">
        <f>'Private Car Analysis &amp; Split'!R34</f>
        <v>4349.5050076925427</v>
      </c>
      <c r="W33" s="26">
        <f t="shared" si="6"/>
        <v>4.2630513529208165E-2</v>
      </c>
      <c r="X33" s="24"/>
      <c r="Y33" s="93">
        <f>'Private Car Analysis &amp; Split'!U34</f>
        <v>1478.4160344805603</v>
      </c>
      <c r="Z33" s="26">
        <f t="shared" si="7"/>
        <v>1.4490300539545203E-2</v>
      </c>
      <c r="AA33" s="7"/>
      <c r="AB33" s="93">
        <f>'Nonurban Pass Adoption'!G33</f>
        <v>1319.9086927212052</v>
      </c>
      <c r="AC33" s="26">
        <f t="shared" si="8"/>
        <v>1.2936733095571664E-2</v>
      </c>
      <c r="AD33" s="5"/>
      <c r="AE33" s="93">
        <f>'Nonurban Pass Adoption'!J33</f>
        <v>1457.7130404447419</v>
      </c>
      <c r="AF33" s="26">
        <f t="shared" si="9"/>
        <v>1.4287385663995424E-2</v>
      </c>
      <c r="AG33" s="24"/>
      <c r="AH33" s="93">
        <f>'Nonurban Pass Adoption'!M33</f>
        <v>12941.786278936037</v>
      </c>
      <c r="AI33" s="26">
        <f t="shared" si="10"/>
        <v>0.12684546726134105</v>
      </c>
    </row>
    <row r="34" spans="1:38" ht="14.4" x14ac:dyDescent="0.3">
      <c r="B34" s="19">
        <f>AVERAGE('Passenger TAM Data'!C155:E155)</f>
        <v>104437.10931317744</v>
      </c>
      <c r="C34" s="93">
        <f t="shared" si="11"/>
        <v>62313.293800738633</v>
      </c>
      <c r="D34" s="26">
        <f t="shared" si="0"/>
        <v>0.59665854609091717</v>
      </c>
      <c r="E34" s="7">
        <v>2038</v>
      </c>
      <c r="F34" s="7"/>
      <c r="G34" s="93">
        <f>'Urban Pass Adoption'!G34</f>
        <v>2992.4238768458094</v>
      </c>
      <c r="H34" s="26">
        <f t="shared" si="1"/>
        <v>2.8652879197109661E-2</v>
      </c>
      <c r="I34" s="5"/>
      <c r="J34" s="93">
        <f>'Urban Pass Adoption'!J34</f>
        <v>1777.4768688558529</v>
      </c>
      <c r="K34" s="26">
        <f t="shared" si="2"/>
        <v>1.7019590838403053E-2</v>
      </c>
      <c r="L34" s="24"/>
      <c r="M34" s="93">
        <f>'Urban Pass Adoption'!M34</f>
        <v>998.88771143213148</v>
      </c>
      <c r="N34" s="26">
        <f t="shared" si="3"/>
        <v>9.5644902276713628E-3</v>
      </c>
      <c r="O34" s="24"/>
      <c r="P34" s="93">
        <f>'Urban Pass Adoption'!P34</f>
        <v>13597.896579128301</v>
      </c>
      <c r="Q34" s="26">
        <f t="shared" si="4"/>
        <v>0.13020177088923482</v>
      </c>
      <c r="R34" s="24"/>
      <c r="S34" s="93">
        <f>'Urban Pass Adoption'!S34</f>
        <v>9288.4420294608608</v>
      </c>
      <c r="T34" s="26">
        <f t="shared" si="5"/>
        <v>8.8938137895098593E-2</v>
      </c>
      <c r="U34" s="24"/>
      <c r="V34" s="93">
        <f>'Private Car Analysis &amp; Split'!R35</f>
        <v>4774.8878048004353</v>
      </c>
      <c r="W34" s="26">
        <f t="shared" si="6"/>
        <v>4.5720221827299845E-2</v>
      </c>
      <c r="X34" s="24"/>
      <c r="Y34" s="93">
        <f>'Private Car Analysis &amp; Split'!U35</f>
        <v>1541.7861204532123</v>
      </c>
      <c r="Z34" s="26">
        <f t="shared" si="7"/>
        <v>1.47628187968113E-2</v>
      </c>
      <c r="AA34" s="7"/>
      <c r="AB34" s="93">
        <f>'Nonurban Pass Adoption'!G34</f>
        <v>1366.6733165412465</v>
      </c>
      <c r="AC34" s="26">
        <f t="shared" si="8"/>
        <v>1.3086089087768397E-2</v>
      </c>
      <c r="AD34" s="5"/>
      <c r="AE34" s="93">
        <f>'Nonurban Pass Adoption'!J34</f>
        <v>1480.1902753406521</v>
      </c>
      <c r="AF34" s="26">
        <f t="shared" si="9"/>
        <v>1.4173029922744978E-2</v>
      </c>
      <c r="AG34" s="24"/>
      <c r="AH34" s="93">
        <f>'Nonurban Pass Adoption'!M34</f>
        <v>13593.59295904116</v>
      </c>
      <c r="AI34" s="26">
        <f t="shared" si="10"/>
        <v>0.13016056312203939</v>
      </c>
    </row>
    <row r="35" spans="1:38" ht="14.4" x14ac:dyDescent="0.3">
      <c r="B35" s="19">
        <f>AVERAGE('Passenger TAM Data'!C156:E156)</f>
        <v>106888.31574405199</v>
      </c>
      <c r="C35" s="93">
        <f t="shared" si="11"/>
        <v>63232.550521699632</v>
      </c>
      <c r="D35" s="26">
        <f t="shared" si="0"/>
        <v>0.59157589004501021</v>
      </c>
      <c r="E35" s="7">
        <v>2039</v>
      </c>
      <c r="F35" s="7"/>
      <c r="G35" s="93">
        <f>'Urban Pass Adoption'!G35</f>
        <v>3038.2772736990019</v>
      </c>
      <c r="H35" s="26">
        <f t="shared" si="1"/>
        <v>2.8424783874172636E-2</v>
      </c>
      <c r="I35" s="5"/>
      <c r="J35" s="93">
        <f>'Urban Pass Adoption'!J35</f>
        <v>1832.4356393812427</v>
      </c>
      <c r="K35" s="26">
        <f t="shared" si="2"/>
        <v>1.7143460691897115E-2</v>
      </c>
      <c r="L35" s="24"/>
      <c r="M35" s="93">
        <f>'Urban Pass Adoption'!M35</f>
        <v>1032.9271359383597</v>
      </c>
      <c r="N35" s="26">
        <f t="shared" si="3"/>
        <v>9.6636113007126222E-3</v>
      </c>
      <c r="O35" s="24"/>
      <c r="P35" s="93">
        <f>'Urban Pass Adoption'!P35</f>
        <v>13823.550325205504</v>
      </c>
      <c r="Q35" s="26">
        <f t="shared" si="4"/>
        <v>0.12932704785344831</v>
      </c>
      <c r="R35" s="24"/>
      <c r="S35" s="93">
        <f>'Urban Pass Adoption'!S35</f>
        <v>9611.8534756422778</v>
      </c>
      <c r="T35" s="26">
        <f t="shared" si="5"/>
        <v>8.9924267294642521E-2</v>
      </c>
      <c r="U35" s="24"/>
      <c r="V35" s="93">
        <f>'Private Car Analysis &amp; Split'!R36</f>
        <v>5223.1208476580669</v>
      </c>
      <c r="W35" s="26">
        <f t="shared" si="6"/>
        <v>4.8865217973543734E-2</v>
      </c>
      <c r="X35" s="24"/>
      <c r="Y35" s="93">
        <f>'Private Car Analysis &amp; Split'!U36</f>
        <v>1611.6616836123792</v>
      </c>
      <c r="Z35" s="26">
        <f t="shared" si="7"/>
        <v>1.507799680810354E-2</v>
      </c>
      <c r="AA35" s="7"/>
      <c r="AB35" s="93">
        <f>'Nonurban Pass Adoption'!G35</f>
        <v>1413.1718153444222</v>
      </c>
      <c r="AC35" s="26">
        <f t="shared" si="8"/>
        <v>1.3221013031286919E-2</v>
      </c>
      <c r="AD35" s="5"/>
      <c r="AE35" s="93">
        <f>'Nonurban Pass Adoption'!J35</f>
        <v>1502.7954548793296</v>
      </c>
      <c r="AF35" s="26">
        <f t="shared" si="9"/>
        <v>1.4059492325408407E-2</v>
      </c>
      <c r="AG35" s="24"/>
      <c r="AH35" s="93">
        <f>'Nonurban Pass Adoption'!M35</f>
        <v>14177.825046634045</v>
      </c>
      <c r="AI35" s="26">
        <f t="shared" si="10"/>
        <v>0.13264148609641646</v>
      </c>
    </row>
    <row r="36" spans="1:38" ht="14.4" x14ac:dyDescent="0.3">
      <c r="B36" s="19">
        <f>AVERAGE('Passenger TAM Data'!C157:E157)</f>
        <v>109379.91137101538</v>
      </c>
      <c r="C36" s="93">
        <f t="shared" si="11"/>
        <v>64246.016589244813</v>
      </c>
      <c r="D36" s="26">
        <f t="shared" si="0"/>
        <v>0.58736577662166023</v>
      </c>
      <c r="E36" s="7">
        <v>2040</v>
      </c>
      <c r="F36" s="7"/>
      <c r="G36" s="93">
        <f>'Urban Pass Adoption'!G36</f>
        <v>3082.1975975267196</v>
      </c>
      <c r="H36" s="26">
        <f t="shared" si="1"/>
        <v>2.8178826979224199E-2</v>
      </c>
      <c r="I36" s="5"/>
      <c r="J36" s="93">
        <f>'Urban Pass Adoption'!J36</f>
        <v>1889.3897009840828</v>
      </c>
      <c r="K36" s="26">
        <f t="shared" si="2"/>
        <v>1.7273644468181137E-2</v>
      </c>
      <c r="L36" s="24"/>
      <c r="M36" s="93">
        <f>'Urban Pass Adoption'!M36</f>
        <v>1067.3558670986795</v>
      </c>
      <c r="N36" s="26">
        <f t="shared" si="3"/>
        <v>9.7582440296392348E-3</v>
      </c>
      <c r="O36" s="24"/>
      <c r="P36" s="93">
        <f>'Urban Pass Adoption'!P36</f>
        <v>14032.620252404218</v>
      </c>
      <c r="Q36" s="26">
        <f t="shared" si="4"/>
        <v>0.12829248146678174</v>
      </c>
      <c r="R36" s="24"/>
      <c r="S36" s="93">
        <f>'Urban Pass Adoption'!S36</f>
        <v>9951.722762338437</v>
      </c>
      <c r="T36" s="26">
        <f t="shared" si="5"/>
        <v>9.0983094039839826E-2</v>
      </c>
      <c r="U36" s="24"/>
      <c r="V36" s="93">
        <f>'Private Car Analysis &amp; Split'!R37</f>
        <v>5694.5721398962514</v>
      </c>
      <c r="W36" s="26">
        <f t="shared" si="6"/>
        <v>5.2062321760166085E-2</v>
      </c>
      <c r="X36" s="24"/>
      <c r="Y36" s="93">
        <f>'Private Car Analysis &amp; Split'!U37</f>
        <v>1688.8023716693722</v>
      </c>
      <c r="Z36" s="26">
        <f t="shared" si="7"/>
        <v>1.5439785519124937E-2</v>
      </c>
      <c r="AA36" s="7"/>
      <c r="AB36" s="93">
        <f>'Nonurban Pass Adoption'!G36</f>
        <v>1459.4057035773117</v>
      </c>
      <c r="AC36" s="26">
        <f t="shared" si="8"/>
        <v>1.3342538728405297E-2</v>
      </c>
      <c r="AD36" s="5"/>
      <c r="AE36" s="93">
        <f>'Nonurban Pass Adoption'!J36</f>
        <v>1525.7061003891781</v>
      </c>
      <c r="AF36" s="26">
        <f t="shared" si="9"/>
        <v>1.3948686566530493E-2</v>
      </c>
      <c r="AG36" s="24"/>
      <c r="AH36" s="93">
        <f>'Nonurban Pass Adoption'!M36</f>
        <v>14693.845048224741</v>
      </c>
      <c r="AI36" s="26">
        <f t="shared" si="10"/>
        <v>0.13433769386028657</v>
      </c>
    </row>
    <row r="37" spans="1:38" ht="14.4" x14ac:dyDescent="0.3">
      <c r="B37" s="19">
        <f>AVERAGE('Passenger TAM Data'!C158:E158)</f>
        <v>111921.38305155796</v>
      </c>
      <c r="C37" s="93">
        <f t="shared" si="11"/>
        <v>65372.57576367892</v>
      </c>
      <c r="D37" s="26">
        <f t="shared" si="0"/>
        <v>0.58409370918481451</v>
      </c>
      <c r="E37" s="7">
        <v>2041</v>
      </c>
      <c r="F37" s="7"/>
      <c r="G37" s="93">
        <f>'Urban Pass Adoption'!G37</f>
        <v>3124.1583377172724</v>
      </c>
      <c r="H37" s="26">
        <f t="shared" si="1"/>
        <v>2.7913864647992156E-2</v>
      </c>
      <c r="I37" s="5"/>
      <c r="J37" s="93">
        <f>'Urban Pass Adoption'!J37</f>
        <v>1948.4469777463439</v>
      </c>
      <c r="K37" s="26">
        <f t="shared" si="2"/>
        <v>1.7409068085307414E-2</v>
      </c>
      <c r="L37" s="24"/>
      <c r="M37" s="93">
        <f>'Urban Pass Adoption'!M37</f>
        <v>1102.2220073213941</v>
      </c>
      <c r="N37" s="26">
        <f t="shared" si="3"/>
        <v>9.8481807253368372E-3</v>
      </c>
      <c r="O37" s="24"/>
      <c r="P37" s="93">
        <f>'Urban Pass Adoption'!P37</f>
        <v>14281.897778626735</v>
      </c>
      <c r="Q37" s="26">
        <f t="shared" si="4"/>
        <v>0.12760651619224186</v>
      </c>
      <c r="R37" s="24"/>
      <c r="S37" s="93">
        <f>'Urban Pass Adoption'!S37</f>
        <v>10291.225498075484</v>
      </c>
      <c r="T37" s="26">
        <f t="shared" si="5"/>
        <v>9.1950485398618637E-2</v>
      </c>
      <c r="U37" s="24"/>
      <c r="V37" s="93">
        <f>'Private Car Analysis &amp; Split'!R38</f>
        <v>6189.6096851458024</v>
      </c>
      <c r="W37" s="26">
        <f t="shared" si="6"/>
        <v>5.5303191547360367E-2</v>
      </c>
      <c r="X37" s="24"/>
      <c r="Y37" s="93">
        <f>'Private Car Analysis &amp; Split'!U38</f>
        <v>1773.9678323355033</v>
      </c>
      <c r="Z37" s="26">
        <f t="shared" si="7"/>
        <v>1.5850124292319575E-2</v>
      </c>
      <c r="AA37" s="7"/>
      <c r="AB37" s="93">
        <f>'Nonurban Pass Adoption'!G37</f>
        <v>1505.376487068183</v>
      </c>
      <c r="AC37" s="26">
        <f t="shared" si="8"/>
        <v>1.3450302757380265E-2</v>
      </c>
      <c r="AD37" s="5"/>
      <c r="AE37" s="93">
        <f>'Nonurban Pass Adoption'!J37</f>
        <v>1549.0997331986023</v>
      </c>
      <c r="AF37" s="26">
        <f t="shared" si="9"/>
        <v>1.3840963102510897E-2</v>
      </c>
      <c r="AG37" s="24"/>
      <c r="AH37" s="93">
        <f>'Nonurban Pass Adoption'!M37</f>
        <v>15074.028448719209</v>
      </c>
      <c r="AI37" s="26">
        <f t="shared" si="10"/>
        <v>0.13468407946473618</v>
      </c>
    </row>
    <row r="38" spans="1:38" ht="14.4" x14ac:dyDescent="0.3">
      <c r="B38" s="19">
        <f>AVERAGE('Passenger TAM Data'!C159:E159)</f>
        <v>114506.21818774793</v>
      </c>
      <c r="C38" s="93">
        <f t="shared" si="11"/>
        <v>66562.359360273316</v>
      </c>
      <c r="D38" s="26">
        <f t="shared" si="0"/>
        <v>0.58129908064150382</v>
      </c>
      <c r="E38" s="7">
        <v>2042</v>
      </c>
      <c r="F38" s="7"/>
      <c r="G38" s="93">
        <f>'Urban Pass Adoption'!G38</f>
        <v>3164.132983658973</v>
      </c>
      <c r="H38" s="26">
        <f t="shared" si="1"/>
        <v>2.7632848536408416E-2</v>
      </c>
      <c r="I38" s="5"/>
      <c r="J38" s="93">
        <f>'Urban Pass Adoption'!J38</f>
        <v>2009.7153937499979</v>
      </c>
      <c r="K38" s="26">
        <f t="shared" si="2"/>
        <v>1.7551146353072342E-2</v>
      </c>
      <c r="L38" s="24"/>
      <c r="M38" s="93">
        <f>'Urban Pass Adoption'!M38</f>
        <v>1137.5736590148065</v>
      </c>
      <c r="N38" s="26">
        <f t="shared" si="3"/>
        <v>9.9346016052124404E-3</v>
      </c>
      <c r="O38" s="24"/>
      <c r="P38" s="93">
        <f>'Urban Pass Adoption'!P38</f>
        <v>14515.230398521313</v>
      </c>
      <c r="Q38" s="26">
        <f t="shared" si="4"/>
        <v>0.12676368697044638</v>
      </c>
      <c r="R38" s="24"/>
      <c r="S38" s="93">
        <f>'Urban Pass Adoption'!S38</f>
        <v>10647.950987905604</v>
      </c>
      <c r="T38" s="26">
        <f t="shared" si="5"/>
        <v>9.2990155088755924E-2</v>
      </c>
      <c r="U38" s="24"/>
      <c r="V38" s="93">
        <f>'Private Car Analysis &amp; Split'!R39</f>
        <v>6708.601487037532</v>
      </c>
      <c r="W38" s="26">
        <f t="shared" si="6"/>
        <v>5.8587224285391225E-2</v>
      </c>
      <c r="X38" s="24"/>
      <c r="Y38" s="93">
        <f>'Private Car Analysis &amp; Split'!U39</f>
        <v>1867.9177133220844</v>
      </c>
      <c r="Z38" s="26">
        <f t="shared" si="7"/>
        <v>1.6312805914691801E-2</v>
      </c>
      <c r="AA38" s="7"/>
      <c r="AB38" s="93">
        <f>'Nonurban Pass Adoption'!G38</f>
        <v>1551.0856630760363</v>
      </c>
      <c r="AC38" s="26">
        <f t="shared" si="8"/>
        <v>1.3545864037993363E-2</v>
      </c>
      <c r="AD38" s="5"/>
      <c r="AE38" s="93">
        <f>'Nonurban Pass Adoption'!J38</f>
        <v>1573.1538746360056</v>
      </c>
      <c r="AF38" s="26">
        <f t="shared" si="9"/>
        <v>1.3738589043754934E-2</v>
      </c>
      <c r="AG38" s="24"/>
      <c r="AH38" s="93">
        <f>'Nonurban Pass Adoption'!M38</f>
        <v>15416.447654457876</v>
      </c>
      <c r="AI38" s="26">
        <f t="shared" si="10"/>
        <v>0.13463415261152537</v>
      </c>
    </row>
    <row r="39" spans="1:38" ht="14.4" x14ac:dyDescent="0.3">
      <c r="B39" s="19">
        <f>AVERAGE('Passenger TAM Data'!C160:E160)</f>
        <v>117138.39658386304</v>
      </c>
      <c r="C39" s="93">
        <f t="shared" si="11"/>
        <v>67794.972946319904</v>
      </c>
      <c r="D39" s="26">
        <f t="shared" si="0"/>
        <v>0.57875961190729941</v>
      </c>
      <c r="E39" s="7">
        <v>2043</v>
      </c>
      <c r="F39" s="7"/>
      <c r="G39" s="93">
        <f>'Urban Pass Adoption'!G39</f>
        <v>3202.095024740132</v>
      </c>
      <c r="H39" s="26">
        <f t="shared" si="1"/>
        <v>2.733599842684932E-2</v>
      </c>
      <c r="I39" s="5"/>
      <c r="J39" s="93">
        <f>'Urban Pass Adoption'!J39</f>
        <v>2073.3028730770166</v>
      </c>
      <c r="K39" s="26">
        <f t="shared" si="2"/>
        <v>1.7699600929680426E-2</v>
      </c>
      <c r="L39" s="24"/>
      <c r="M39" s="93">
        <f>'Urban Pass Adoption'!M39</f>
        <v>1173.4589245872194</v>
      </c>
      <c r="N39" s="26">
        <f t="shared" si="3"/>
        <v>1.0017713736990615E-2</v>
      </c>
      <c r="O39" s="24"/>
      <c r="P39" s="93">
        <f>'Urban Pass Adoption'!P39</f>
        <v>14751.761555572231</v>
      </c>
      <c r="Q39" s="26">
        <f t="shared" si="4"/>
        <v>0.12593446714127579</v>
      </c>
      <c r="R39" s="24"/>
      <c r="S39" s="93">
        <f>'Urban Pass Adoption'!S39</f>
        <v>11016.528713077625</v>
      </c>
      <c r="T39" s="26">
        <f t="shared" si="5"/>
        <v>9.4047118915363909E-2</v>
      </c>
      <c r="U39" s="24"/>
      <c r="V39" s="93">
        <f>'Private Car Analysis &amp; Split'!R40</f>
        <v>7251.9155492022528</v>
      </c>
      <c r="W39" s="26">
        <f t="shared" si="6"/>
        <v>6.1908953517307026E-2</v>
      </c>
      <c r="X39" s="24"/>
      <c r="Y39" s="93">
        <f>'Private Car Analysis &amp; Split'!U40</f>
        <v>1971.4116623404273</v>
      </c>
      <c r="Z39" s="26">
        <f t="shared" si="7"/>
        <v>1.6829764789626705E-2</v>
      </c>
      <c r="AA39" s="7"/>
      <c r="AB39" s="93">
        <f>'Nonurban Pass Adoption'!G39</f>
        <v>1596.5347203393699</v>
      </c>
      <c r="AC39" s="26">
        <f t="shared" si="8"/>
        <v>1.3629473912052064E-2</v>
      </c>
      <c r="AD39" s="5"/>
      <c r="AE39" s="93">
        <f>'Nonurban Pass Adoption'!J39</f>
        <v>1598.0460460297927</v>
      </c>
      <c r="AF39" s="26">
        <f t="shared" si="9"/>
        <v>1.3642375964107565E-2</v>
      </c>
      <c r="AG39" s="24"/>
      <c r="AH39" s="93">
        <f>'Nonurban Pass Adoption'!M39</f>
        <v>15724.897281654685</v>
      </c>
      <c r="AI39" s="26">
        <f t="shared" si="10"/>
        <v>0.13424203967481096</v>
      </c>
    </row>
    <row r="40" spans="1:38" ht="14.4" x14ac:dyDescent="0.3">
      <c r="B40" s="19">
        <f>AVERAGE('Passenger TAM Data'!C161:E161)</f>
        <v>119819.17449839209</v>
      </c>
      <c r="C40" s="93">
        <f t="shared" si="11"/>
        <v>69141.511857449761</v>
      </c>
      <c r="D40" s="26">
        <f t="shared" si="0"/>
        <v>0.57704880831387806</v>
      </c>
      <c r="E40" s="7">
        <v>2044</v>
      </c>
      <c r="F40" s="7"/>
      <c r="G40" s="93">
        <f>'Urban Pass Adoption'!G40</f>
        <v>3238.0179503490608</v>
      </c>
      <c r="H40" s="26">
        <f t="shared" si="1"/>
        <v>2.7024205131646214E-2</v>
      </c>
      <c r="I40" s="5"/>
      <c r="J40" s="93">
        <f>'Urban Pass Adoption'!J40</f>
        <v>2139.3173398093713</v>
      </c>
      <c r="K40" s="26">
        <f t="shared" si="2"/>
        <v>1.7854549146790188E-2</v>
      </c>
      <c r="L40" s="24"/>
      <c r="M40" s="93">
        <f>'Urban Pass Adoption'!M40</f>
        <v>1209.9259064469363</v>
      </c>
      <c r="N40" s="26">
        <f t="shared" si="3"/>
        <v>1.0097932250928443E-2</v>
      </c>
      <c r="O40" s="24"/>
      <c r="P40" s="93">
        <f>'Urban Pass Adoption'!P40</f>
        <v>14991.810706054765</v>
      </c>
      <c r="Q40" s="26">
        <f t="shared" si="4"/>
        <v>0.12512029705442468</v>
      </c>
      <c r="R40" s="24"/>
      <c r="S40" s="93">
        <f>'Urban Pass Adoption'!S40</f>
        <v>11397.31861130421</v>
      </c>
      <c r="T40" s="26">
        <f t="shared" si="5"/>
        <v>9.5120990935028987E-2</v>
      </c>
      <c r="U40" s="24"/>
      <c r="V40" s="93">
        <f>'Private Car Analysis &amp; Split'!R41</f>
        <v>7819.9198752707789</v>
      </c>
      <c r="W40" s="26">
        <f t="shared" si="6"/>
        <v>6.5264344442430774E-2</v>
      </c>
      <c r="X40" s="24"/>
      <c r="Y40" s="93">
        <f>'Private Car Analysis &amp; Split'!U41</f>
        <v>2085.209327101843</v>
      </c>
      <c r="Z40" s="26">
        <f t="shared" si="7"/>
        <v>1.7402968563515059E-2</v>
      </c>
      <c r="AA40" s="7"/>
      <c r="AB40" s="93">
        <f>'Nonurban Pass Adoption'!G40</f>
        <v>1641.7251391246673</v>
      </c>
      <c r="AC40" s="26">
        <f t="shared" si="8"/>
        <v>1.3701689616854256E-2</v>
      </c>
      <c r="AD40" s="5"/>
      <c r="AE40" s="93">
        <f>'Nonurban Pass Adoption'!J40</f>
        <v>1623.9537687083671</v>
      </c>
      <c r="AF40" s="26">
        <f t="shared" si="9"/>
        <v>1.35533713657004E-2</v>
      </c>
      <c r="AG40" s="24"/>
      <c r="AH40" s="93">
        <f>'Nonurban Pass Adoption'!M40</f>
        <v>15927.782628076564</v>
      </c>
      <c r="AI40" s="26">
        <f t="shared" si="10"/>
        <v>0.13293183411383214</v>
      </c>
    </row>
    <row r="41" spans="1:38" ht="14.4" x14ac:dyDescent="0.3">
      <c r="B41" s="19">
        <f>AVERAGE('Passenger TAM Data'!C162:E162)</f>
        <v>122594.27669503816</v>
      </c>
      <c r="C41" s="93">
        <f t="shared" si="11"/>
        <v>70545.757466097944</v>
      </c>
      <c r="D41" s="26">
        <f t="shared" si="0"/>
        <v>0.57544087185721937</v>
      </c>
      <c r="E41" s="7">
        <v>2045</v>
      </c>
      <c r="F41" s="7"/>
      <c r="G41" s="93">
        <f>'Urban Pass Adoption'!G41</f>
        <v>3271.8752498740714</v>
      </c>
      <c r="H41" s="26">
        <f t="shared" si="1"/>
        <v>2.6688645979886075E-2</v>
      </c>
      <c r="I41" s="5"/>
      <c r="J41" s="93">
        <f>'Urban Pass Adoption'!J41</f>
        <v>2207.8667180290336</v>
      </c>
      <c r="K41" s="26">
        <f t="shared" si="2"/>
        <v>1.8009541534481716E-2</v>
      </c>
      <c r="L41" s="24"/>
      <c r="M41" s="93">
        <f>'Urban Pass Adoption'!M41</f>
        <v>1247.0227070022595</v>
      </c>
      <c r="N41" s="26">
        <f t="shared" si="3"/>
        <v>1.0171948810500474E-2</v>
      </c>
      <c r="O41" s="24"/>
      <c r="P41" s="93">
        <f>'Urban Pass Adoption'!P41</f>
        <v>15223.356090196959</v>
      </c>
      <c r="Q41" s="26">
        <f t="shared" si="4"/>
        <v>0.12417672749981733</v>
      </c>
      <c r="R41" s="24"/>
      <c r="S41" s="93">
        <f>'Urban Pass Adoption'!S41</f>
        <v>11808.866692026739</v>
      </c>
      <c r="T41" s="26">
        <f t="shared" si="5"/>
        <v>9.6324779674683517E-2</v>
      </c>
      <c r="U41" s="24"/>
      <c r="V41" s="93">
        <f>'Private Car Analysis &amp; Split'!R42</f>
        <v>8412.9824688739209</v>
      </c>
      <c r="W41" s="26">
        <f t="shared" si="6"/>
        <v>6.862459403224673E-2</v>
      </c>
      <c r="X41" s="24"/>
      <c r="Y41" s="93">
        <f>'Private Car Analysis &amp; Split'!U42</f>
        <v>2210.0703553176431</v>
      </c>
      <c r="Z41" s="26">
        <f t="shared" si="7"/>
        <v>1.8027516576612689E-2</v>
      </c>
      <c r="AA41" s="7"/>
      <c r="AB41" s="93">
        <f>'Nonurban Pass Adoption'!G41</f>
        <v>1686.6583912746103</v>
      </c>
      <c r="AC41" s="26">
        <f t="shared" si="8"/>
        <v>1.3758051654159116E-2</v>
      </c>
      <c r="AD41" s="5"/>
      <c r="AE41" s="93">
        <f>'Nonurban Pass Adoption'!J41</f>
        <v>1651.0545640001333</v>
      </c>
      <c r="AF41" s="26">
        <f t="shared" si="9"/>
        <v>1.3467631675067891E-2</v>
      </c>
      <c r="AG41" s="24"/>
      <c r="AH41" s="93">
        <f>'Nonurban Pass Adoption'!M41</f>
        <v>16137.632684371572</v>
      </c>
      <c r="AI41" s="26">
        <f t="shared" si="10"/>
        <v>0.13163447038000853</v>
      </c>
    </row>
    <row r="42" spans="1:38" ht="14.4" x14ac:dyDescent="0.3">
      <c r="B42" s="19">
        <f>AVERAGE('Passenger TAM Data'!C163:E163)</f>
        <v>125331.41564940999</v>
      </c>
      <c r="C42" s="93">
        <f t="shared" si="11"/>
        <v>71836.642991440429</v>
      </c>
      <c r="D42" s="26">
        <f t="shared" si="0"/>
        <v>0.5731734746568995</v>
      </c>
      <c r="E42" s="7">
        <v>2046</v>
      </c>
      <c r="F42" s="7"/>
      <c r="G42" s="93">
        <f>'Urban Pass Adoption'!G42</f>
        <v>3303.6404127034748</v>
      </c>
      <c r="H42" s="26">
        <f t="shared" si="1"/>
        <v>2.635923639404792E-2</v>
      </c>
      <c r="I42" s="5"/>
      <c r="J42" s="93">
        <f>'Urban Pass Adoption'!J42</f>
        <v>2279.0589318179746</v>
      </c>
      <c r="K42" s="26">
        <f t="shared" si="2"/>
        <v>1.8184259070313177E-2</v>
      </c>
      <c r="L42" s="24"/>
      <c r="M42" s="93">
        <f>'Urban Pass Adoption'!M42</f>
        <v>1284.7974286614926</v>
      </c>
      <c r="N42" s="26">
        <f t="shared" si="3"/>
        <v>1.025120016401523E-2</v>
      </c>
      <c r="O42" s="24"/>
      <c r="P42" s="93">
        <f>'Urban Pass Adoption'!P42</f>
        <v>15483.740812415783</v>
      </c>
      <c r="Q42" s="26">
        <f t="shared" si="4"/>
        <v>0.12354237548651413</v>
      </c>
      <c r="R42" s="24"/>
      <c r="S42" s="93">
        <f>'Urban Pass Adoption'!S42</f>
        <v>12196.976927329213</v>
      </c>
      <c r="T42" s="26">
        <f t="shared" si="5"/>
        <v>9.7317794298660595E-2</v>
      </c>
      <c r="U42" s="24"/>
      <c r="V42" s="93">
        <f>'Private Car Analysis &amp; Split'!R43</f>
        <v>9031.4713336424975</v>
      </c>
      <c r="W42" s="26">
        <f t="shared" si="6"/>
        <v>7.2060714281774838E-2</v>
      </c>
      <c r="X42" s="24"/>
      <c r="Y42" s="93">
        <f>'Private Car Analysis &amp; Split'!U43</f>
        <v>2346.7543946991395</v>
      </c>
      <c r="Z42" s="26">
        <f t="shared" si="7"/>
        <v>1.8724390708740768E-2</v>
      </c>
      <c r="AA42" s="7"/>
      <c r="AB42" s="93">
        <f>'Nonurban Pass Adoption'!G42</f>
        <v>1731.3359402560161</v>
      </c>
      <c r="AC42" s="26">
        <f t="shared" si="8"/>
        <v>1.3814061951546835E-2</v>
      </c>
      <c r="AD42" s="5"/>
      <c r="AE42" s="93">
        <f>'Nonurban Pass Adoption'!J42</f>
        <v>1679.5259532334949</v>
      </c>
      <c r="AF42" s="26">
        <f t="shared" si="9"/>
        <v>1.3400678070465898E-2</v>
      </c>
      <c r="AG42" s="24"/>
      <c r="AH42" s="93">
        <f>'Nonurban Pass Adoption'!M42</f>
        <v>16354.447450539712</v>
      </c>
      <c r="AI42" s="26">
        <f t="shared" si="10"/>
        <v>0.13048960921568192</v>
      </c>
    </row>
    <row r="43" spans="1:38" ht="14.4" x14ac:dyDescent="0.3">
      <c r="B43" s="19">
        <f>AVERAGE('Passenger TAM Data'!C164:E164)</f>
        <v>128165.29601143197</v>
      </c>
      <c r="C43" s="93">
        <f t="shared" si="11"/>
        <v>73184.141131580167</v>
      </c>
      <c r="D43" s="26">
        <f t="shared" si="0"/>
        <v>0.57101370971009469</v>
      </c>
      <c r="E43" s="7">
        <v>2047</v>
      </c>
      <c r="F43" s="7"/>
      <c r="G43" s="93">
        <f>'Urban Pass Adoption'!G43</f>
        <v>3333.2869282255824</v>
      </c>
      <c r="H43" s="26">
        <f t="shared" si="1"/>
        <v>2.6007718407081611E-2</v>
      </c>
      <c r="I43" s="5"/>
      <c r="J43" s="93">
        <f>'Urban Pass Adoption'!J43</f>
        <v>2353.001905258167</v>
      </c>
      <c r="K43" s="26">
        <f t="shared" si="2"/>
        <v>1.8359118876051173E-2</v>
      </c>
      <c r="L43" s="24"/>
      <c r="M43" s="93">
        <f>'Urban Pass Adoption'!M43</f>
        <v>1323.2981738329386</v>
      </c>
      <c r="N43" s="26">
        <f t="shared" si="3"/>
        <v>1.032493362099288E-2</v>
      </c>
      <c r="O43" s="24"/>
      <c r="P43" s="93">
        <f>'Urban Pass Adoption'!P43</f>
        <v>15736.26068084482</v>
      </c>
      <c r="Q43" s="26">
        <f t="shared" si="4"/>
        <v>0.12278098026973848</v>
      </c>
      <c r="R43" s="24"/>
      <c r="S43" s="93">
        <f>'Urban Pass Adoption'!S43</f>
        <v>12616.574121982429</v>
      </c>
      <c r="T43" s="26">
        <f t="shared" si="5"/>
        <v>9.8439862541706044E-2</v>
      </c>
      <c r="U43" s="24"/>
      <c r="V43" s="93">
        <f>'Private Car Analysis &amp; Split'!R44</f>
        <v>9675.7544732073147</v>
      </c>
      <c r="W43" s="26">
        <f t="shared" si="6"/>
        <v>7.5494340311469857E-2</v>
      </c>
      <c r="X43" s="24"/>
      <c r="Y43" s="93">
        <f>'Private Car Analysis &amp; Split'!U44</f>
        <v>2496.0210929576442</v>
      </c>
      <c r="Z43" s="26">
        <f t="shared" si="7"/>
        <v>1.947501523918773E-2</v>
      </c>
      <c r="AA43" s="7"/>
      <c r="AB43" s="93">
        <f>'Nonurban Pass Adoption'!G43</f>
        <v>1775.7592412075016</v>
      </c>
      <c r="AC43" s="26">
        <f t="shared" si="8"/>
        <v>1.3855226777216737E-2</v>
      </c>
      <c r="AD43" s="5"/>
      <c r="AE43" s="93">
        <f>'Nonurban Pass Adoption'!J43</f>
        <v>1709.5454577368564</v>
      </c>
      <c r="AF43" s="26">
        <f t="shared" si="9"/>
        <v>1.3338598754411412E-2</v>
      </c>
      <c r="AG43" s="24"/>
      <c r="AH43" s="93">
        <f>'Nonurban Pass Adoption'!M43</f>
        <v>16578.226926580981</v>
      </c>
      <c r="AI43" s="26">
        <f t="shared" si="10"/>
        <v>0.1293503580337555</v>
      </c>
    </row>
    <row r="44" spans="1:38" ht="14.4" x14ac:dyDescent="0.3">
      <c r="B44" s="19">
        <f>AVERAGE('Passenger TAM Data'!C165:E165)</f>
        <v>131052.45988767326</v>
      </c>
      <c r="C44" s="93">
        <f t="shared" si="11"/>
        <v>74530.697185356985</v>
      </c>
      <c r="D44" s="26">
        <f t="shared" si="0"/>
        <v>0.56870887619536636</v>
      </c>
      <c r="E44" s="7">
        <v>2048</v>
      </c>
      <c r="F44" s="7"/>
      <c r="G44" s="93">
        <f>'Urban Pass Adoption'!G44</f>
        <v>3360.7882858287053</v>
      </c>
      <c r="H44" s="26">
        <f t="shared" si="1"/>
        <v>2.5644602846137187E-2</v>
      </c>
      <c r="I44" s="5"/>
      <c r="J44" s="93">
        <f>'Urban Pass Adoption'!J44</f>
        <v>2429.8035624315817</v>
      </c>
      <c r="K44" s="26">
        <f t="shared" si="2"/>
        <v>1.8540694043547121E-2</v>
      </c>
      <c r="L44" s="24"/>
      <c r="M44" s="93">
        <f>'Urban Pass Adoption'!M44</f>
        <v>1362.5730449248997</v>
      </c>
      <c r="N44" s="26">
        <f t="shared" si="3"/>
        <v>1.0397157337548478E-2</v>
      </c>
      <c r="O44" s="24"/>
      <c r="P44" s="93">
        <f>'Urban Pass Adoption'!P44</f>
        <v>15993.576367806574</v>
      </c>
      <c r="Q44" s="26">
        <f t="shared" si="4"/>
        <v>0.12203949762953609</v>
      </c>
      <c r="R44" s="24"/>
      <c r="S44" s="93">
        <f>'Urban Pass Adoption'!S44</f>
        <v>13049.815703873701</v>
      </c>
      <c r="T44" s="26">
        <f t="shared" si="5"/>
        <v>9.9577037432634727E-2</v>
      </c>
      <c r="U44" s="24"/>
      <c r="V44" s="93">
        <f>'Private Car Analysis &amp; Split'!R45</f>
        <v>10346.199891199187</v>
      </c>
      <c r="W44" s="26">
        <f t="shared" si="6"/>
        <v>7.8947010228324191E-2</v>
      </c>
      <c r="X44" s="24"/>
      <c r="Y44" s="93">
        <f>'Private Car Analysis &amp; Split'!U45</f>
        <v>2658.6300978044674</v>
      </c>
      <c r="Z44" s="26">
        <f t="shared" si="7"/>
        <v>2.028676226362491E-2</v>
      </c>
      <c r="AA44" s="7"/>
      <c r="AB44" s="93">
        <f>'Nonurban Pass Adoption'!G44</f>
        <v>1819.9297409868782</v>
      </c>
      <c r="AC44" s="26">
        <f t="shared" si="8"/>
        <v>1.3887032281170176E-2</v>
      </c>
      <c r="AD44" s="5"/>
      <c r="AE44" s="93">
        <f>'Nonurban Pass Adoption'!J44</f>
        <v>1741.2905988386215</v>
      </c>
      <c r="AF44" s="26">
        <f t="shared" si="9"/>
        <v>1.3286973783865666E-2</v>
      </c>
      <c r="AG44" s="24"/>
      <c r="AH44" s="93">
        <f>'Nonurban Pass Adoption'!M44</f>
        <v>16808.971112495379</v>
      </c>
      <c r="AI44" s="26">
        <f t="shared" si="10"/>
        <v>0.12826139339087997</v>
      </c>
    </row>
    <row r="45" spans="1:38" ht="14.4" x14ac:dyDescent="0.3">
      <c r="B45" s="19">
        <f>AVERAGE('Passenger TAM Data'!C166:E166)</f>
        <v>133993.88836168771</v>
      </c>
      <c r="C45" s="93">
        <f t="shared" si="11"/>
        <v>75881.365164784293</v>
      </c>
      <c r="D45" s="26">
        <f t="shared" si="0"/>
        <v>0.56630467323971412</v>
      </c>
      <c r="E45" s="7">
        <v>2049</v>
      </c>
      <c r="F45" s="7"/>
      <c r="G45" s="93">
        <f>'Urban Pass Adoption'!G45</f>
        <v>3386.1179749011549</v>
      </c>
      <c r="H45" s="26">
        <f t="shared" si="1"/>
        <v>2.5270689703108376E-2</v>
      </c>
      <c r="I45" s="5"/>
      <c r="J45" s="93">
        <f>'Urban Pass Adoption'!J45</f>
        <v>2509.5718274201899</v>
      </c>
      <c r="K45" s="26">
        <f t="shared" si="2"/>
        <v>1.872900218139905E-2</v>
      </c>
      <c r="L45" s="24"/>
      <c r="M45" s="93">
        <f>'Urban Pass Adoption'!M45</f>
        <v>1402.6701443456795</v>
      </c>
      <c r="N45" s="26">
        <f t="shared" si="3"/>
        <v>1.0468165089436564E-2</v>
      </c>
      <c r="O45" s="24"/>
      <c r="P45" s="93">
        <f>'Urban Pass Adoption'!P45</f>
        <v>16256.00732957632</v>
      </c>
      <c r="Q45" s="26">
        <f t="shared" si="4"/>
        <v>0.12131902080262587</v>
      </c>
      <c r="R45" s="24"/>
      <c r="S45" s="93">
        <f>'Urban Pass Adoption'!S45</f>
        <v>13497.038512424911</v>
      </c>
      <c r="T45" s="26">
        <f t="shared" si="5"/>
        <v>0.10072876216557397</v>
      </c>
      <c r="U45" s="24"/>
      <c r="V45" s="93">
        <f>'Private Car Analysis &amp; Split'!R46</f>
        <v>11043.175591248928</v>
      </c>
      <c r="W45" s="26">
        <f t="shared" si="6"/>
        <v>8.2415517052839365E-2</v>
      </c>
      <c r="X45" s="24"/>
      <c r="Y45" s="93">
        <f>'Private Car Analysis &amp; Split'!U46</f>
        <v>2835.3410569509233</v>
      </c>
      <c r="Z45" s="26">
        <f t="shared" si="7"/>
        <v>2.1160226720919759E-2</v>
      </c>
      <c r="AA45" s="7"/>
      <c r="AB45" s="93">
        <f>'Nonurban Pass Adoption'!G45</f>
        <v>1863.848878218274</v>
      </c>
      <c r="AC45" s="26">
        <f t="shared" si="8"/>
        <v>1.3909954409168382E-2</v>
      </c>
      <c r="AD45" s="5"/>
      <c r="AE45" s="93">
        <f>'Nonurban Pass Adoption'!J45</f>
        <v>1774.9388978671948</v>
      </c>
      <c r="AF45" s="26">
        <f t="shared" si="9"/>
        <v>1.3246416829670087E-2</v>
      </c>
      <c r="AG45" s="24"/>
      <c r="AH45" s="93">
        <f>'Nonurban Pass Adoption'!M45</f>
        <v>17040.851496374762</v>
      </c>
      <c r="AI45" s="26">
        <f t="shared" si="10"/>
        <v>0.12717633397111847</v>
      </c>
    </row>
    <row r="46" spans="1:38" ht="14.4" x14ac:dyDescent="0.3">
      <c r="A46" s="30"/>
      <c r="B46" s="19">
        <f>AVERAGE('Passenger TAM Data'!C167:E167)</f>
        <v>136967.50153648219</v>
      </c>
      <c r="C46" s="93">
        <f t="shared" si="11"/>
        <v>77209.10032831553</v>
      </c>
      <c r="D46" s="26">
        <f t="shared" si="0"/>
        <v>0.56370379441980534</v>
      </c>
      <c r="E46" s="33">
        <v>2050</v>
      </c>
      <c r="F46" s="33"/>
      <c r="G46" s="93">
        <f>'Urban Pass Adoption'!G46</f>
        <v>3409.2494848312431</v>
      </c>
      <c r="H46" s="26">
        <f t="shared" si="1"/>
        <v>2.4890937241219716E-2</v>
      </c>
      <c r="I46" s="30"/>
      <c r="J46" s="93">
        <f>'Urban Pass Adoption'!J46</f>
        <v>2592.4146243059631</v>
      </c>
      <c r="K46" s="26">
        <f t="shared" si="2"/>
        <v>1.892722430667582E-2</v>
      </c>
      <c r="L46" s="34"/>
      <c r="M46" s="93">
        <f>'Urban Pass Adoption'!M46</f>
        <v>1443.6375745035812</v>
      </c>
      <c r="N46" s="26">
        <f t="shared" si="3"/>
        <v>1.0540000790764654E-2</v>
      </c>
      <c r="O46" s="34"/>
      <c r="P46" s="93">
        <f>'Urban Pass Adoption'!P46</f>
        <v>16534.11259511764</v>
      </c>
      <c r="Q46" s="26">
        <f t="shared" si="4"/>
        <v>0.12071558880493757</v>
      </c>
      <c r="R46" s="34"/>
      <c r="S46" s="93">
        <f>'Urban Pass Adoption'!S46</f>
        <v>13947.350541401183</v>
      </c>
      <c r="T46" s="26">
        <f t="shared" si="5"/>
        <v>0.10182963392733141</v>
      </c>
      <c r="U46" s="34"/>
      <c r="V46" s="93">
        <f>'Private Car Analysis &amp; Split'!R47</f>
        <v>11767.049576987356</v>
      </c>
      <c r="W46" s="26">
        <f t="shared" si="6"/>
        <v>8.5911252267773353E-2</v>
      </c>
      <c r="X46" s="34"/>
      <c r="Y46" s="93">
        <f>'Private Car Analysis &amp; Split'!U47</f>
        <v>3026.9136181083218</v>
      </c>
      <c r="Z46" s="26">
        <f t="shared" si="7"/>
        <v>2.2099502321009219E-2</v>
      </c>
      <c r="AA46" s="33"/>
      <c r="AB46" s="93">
        <f>'Nonurban Pass Adoption'!G46</f>
        <v>1907.5180833389909</v>
      </c>
      <c r="AC46" s="26">
        <f t="shared" si="8"/>
        <v>1.3926793304548313E-2</v>
      </c>
      <c r="AD46" s="30"/>
      <c r="AE46" s="93">
        <f>'Nonurban Pass Adoption'!J46</f>
        <v>1810.6678761509797</v>
      </c>
      <c r="AF46" s="26">
        <f t="shared" si="9"/>
        <v>1.3219689750044075E-2</v>
      </c>
      <c r="AG46" s="34"/>
      <c r="AH46" s="93">
        <f>'Nonurban Pass Adoption'!M46</f>
        <v>17266.837774822601</v>
      </c>
      <c r="AI46" s="26">
        <f t="shared" si="10"/>
        <v>0.12606521679322205</v>
      </c>
      <c r="AK46" s="852" t="s">
        <v>222</v>
      </c>
      <c r="AL46" s="852"/>
    </row>
    <row r="47" spans="1:38" ht="14.4" x14ac:dyDescent="0.3">
      <c r="B47" s="19">
        <f>AVERAGE('Passenger TAM Data'!C168:E168)</f>
        <v>140043.53368741606</v>
      </c>
      <c r="C47" s="93">
        <f t="shared" si="11"/>
        <v>78612.171239683608</v>
      </c>
      <c r="D47" s="26">
        <f t="shared" si="0"/>
        <v>0.56134095712801546</v>
      </c>
      <c r="E47" s="7">
        <v>2051</v>
      </c>
      <c r="F47" s="7"/>
      <c r="G47" s="93">
        <f>'Urban Pass Adoption'!G47</f>
        <v>3430.1563050072805</v>
      </c>
      <c r="H47" s="26">
        <f t="shared" si="1"/>
        <v>2.4493500090218768E-2</v>
      </c>
      <c r="I47" s="5"/>
      <c r="J47" s="93">
        <f>'Urban Pass Adoption'!J47</f>
        <v>2678.4398771708738</v>
      </c>
      <c r="K47" s="26">
        <f t="shared" si="2"/>
        <v>1.9125766157467014E-2</v>
      </c>
      <c r="L47" s="24"/>
      <c r="M47" s="93">
        <f>'Urban Pass Adoption'!M47</f>
        <v>1485.5234378069072</v>
      </c>
      <c r="N47" s="26">
        <f t="shared" si="3"/>
        <v>1.0607583218534512E-2</v>
      </c>
      <c r="O47" s="24"/>
      <c r="P47" s="93">
        <f>'Urban Pass Adoption'!P47</f>
        <v>16797.492902640894</v>
      </c>
      <c r="Q47" s="26">
        <f t="shared" si="4"/>
        <v>0.11994479473885393</v>
      </c>
      <c r="R47" s="24"/>
      <c r="S47" s="93">
        <f>'Urban Pass Adoption'!S47</f>
        <v>14434.800248324351</v>
      </c>
      <c r="T47" s="26">
        <f t="shared" si="5"/>
        <v>0.10307366479728741</v>
      </c>
      <c r="U47" s="24"/>
      <c r="V47" s="93">
        <f>'Private Car Analysis &amp; Split'!R48</f>
        <v>12518.189852045274</v>
      </c>
      <c r="W47" s="26">
        <f t="shared" si="6"/>
        <v>8.938784621063961E-2</v>
      </c>
      <c r="X47" s="24"/>
      <c r="Y47" s="93">
        <f>'Private Car Analysis &amp; Split'!U48</f>
        <v>3234.107428987973</v>
      </c>
      <c r="Z47" s="26">
        <f t="shared" si="7"/>
        <v>2.3093586285866344E-2</v>
      </c>
      <c r="AA47" s="7"/>
      <c r="AB47" s="93">
        <f>'Nonurban Pass Adoption'!G47</f>
        <v>1950.9387786460934</v>
      </c>
      <c r="AC47" s="26">
        <f t="shared" si="8"/>
        <v>1.3930945094549551E-2</v>
      </c>
      <c r="AD47" s="5"/>
      <c r="AE47" s="93">
        <f>'Nonurban Pass Adoption'!J47</f>
        <v>1848.6550550183806</v>
      </c>
      <c r="AF47" s="26">
        <f t="shared" si="9"/>
        <v>1.320057418105907E-2</v>
      </c>
      <c r="AG47" s="24"/>
      <c r="AH47" s="93">
        <f>'Nonurban Pass Adoption'!M47</f>
        <v>17487.858810408805</v>
      </c>
      <c r="AI47" s="26">
        <f t="shared" si="10"/>
        <v>0.12487444689479596</v>
      </c>
      <c r="AK47" s="223" t="str">
        <f t="shared" ref="AK47:AK57" si="12">AK11</f>
        <v>Other</v>
      </c>
      <c r="AL47" s="222">
        <f>C46</f>
        <v>77209.10032831553</v>
      </c>
    </row>
    <row r="48" spans="1:38" ht="14.4" x14ac:dyDescent="0.3">
      <c r="B48" s="19">
        <f>AVERAGE('Passenger TAM Data'!C169:E169)</f>
        <v>143153.89276896894</v>
      </c>
      <c r="C48" s="93">
        <f t="shared" si="11"/>
        <v>79985.046333414022</v>
      </c>
      <c r="D48" s="26">
        <f t="shared" si="0"/>
        <v>0.55873469303764645</v>
      </c>
      <c r="E48" s="7">
        <v>2052</v>
      </c>
      <c r="F48" s="7"/>
      <c r="G48" s="93">
        <f>'Urban Pass Adoption'!G48</f>
        <v>3448.811924817579</v>
      </c>
      <c r="H48" s="26">
        <f t="shared" si="1"/>
        <v>2.4091639131207529E-2</v>
      </c>
      <c r="I48" s="5"/>
      <c r="J48" s="93">
        <f>'Urban Pass Adoption'!J48</f>
        <v>2767.755510096893</v>
      </c>
      <c r="K48" s="26">
        <f t="shared" si="2"/>
        <v>1.9334126767783233E-2</v>
      </c>
      <c r="L48" s="24"/>
      <c r="M48" s="93">
        <f>'Urban Pass Adoption'!M48</f>
        <v>1528.3758366639604</v>
      </c>
      <c r="N48" s="26">
        <f t="shared" si="3"/>
        <v>1.0676453200825999E-2</v>
      </c>
      <c r="O48" s="24"/>
      <c r="P48" s="93">
        <f>'Urban Pass Adoption'!P48</f>
        <v>17077.186426486271</v>
      </c>
      <c r="Q48" s="26">
        <f t="shared" si="4"/>
        <v>0.11929250470363767</v>
      </c>
      <c r="R48" s="24"/>
      <c r="S48" s="93">
        <f>'Urban Pass Adoption'!S48</f>
        <v>14926.056403720544</v>
      </c>
      <c r="T48" s="26">
        <f t="shared" si="5"/>
        <v>0.10426580873919498</v>
      </c>
      <c r="U48" s="24"/>
      <c r="V48" s="93">
        <f>'Private Car Analysis &amp; Split'!R49</f>
        <v>13296.9644200535</v>
      </c>
      <c r="W48" s="26">
        <f t="shared" si="6"/>
        <v>9.2885803961426358E-2</v>
      </c>
      <c r="X48" s="24"/>
      <c r="Y48" s="93">
        <f>'Private Car Analysis &amp; Split'!U49</f>
        <v>3457.6821373011908</v>
      </c>
      <c r="Z48" s="26">
        <f t="shared" si="7"/>
        <v>2.4153601906456171E-2</v>
      </c>
      <c r="AA48" s="7"/>
      <c r="AB48" s="93">
        <f>'Nonurban Pass Adoption'!G48</f>
        <v>1994.1123783427322</v>
      </c>
      <c r="AC48" s="26">
        <f t="shared" si="8"/>
        <v>1.3929850874268297E-2</v>
      </c>
      <c r="AD48" s="5"/>
      <c r="AE48" s="93">
        <f>'Nonurban Pass Adoption'!J48</f>
        <v>1889.0779557978008</v>
      </c>
      <c r="AF48" s="26">
        <f t="shared" si="9"/>
        <v>1.319613402931709E-2</v>
      </c>
      <c r="AG48" s="24"/>
      <c r="AH48" s="93">
        <f>'Nonurban Pass Adoption'!M48</f>
        <v>17708.879845995005</v>
      </c>
      <c r="AI48" s="26">
        <f t="shared" si="10"/>
        <v>0.12370519238743123</v>
      </c>
      <c r="AK48" s="223" t="str">
        <f t="shared" si="12"/>
        <v>Walking</v>
      </c>
      <c r="AL48" s="222">
        <f>G46</f>
        <v>3409.2494848312431</v>
      </c>
    </row>
    <row r="49" spans="1:38" ht="14.4" x14ac:dyDescent="0.3">
      <c r="B49" s="19">
        <f>AVERAGE('Passenger TAM Data'!C170:E170)</f>
        <v>146322.56345099362</v>
      </c>
      <c r="C49" s="93">
        <f t="shared" si="11"/>
        <v>81364.838613917789</v>
      </c>
      <c r="D49" s="26">
        <f t="shared" si="0"/>
        <v>0.55606487950280148</v>
      </c>
      <c r="E49" s="7">
        <v>2053</v>
      </c>
      <c r="F49" s="7"/>
      <c r="G49" s="93">
        <f>'Urban Pass Adoption'!G49</f>
        <v>3465.1898336504501</v>
      </c>
      <c r="H49" s="26">
        <f t="shared" si="1"/>
        <v>2.3681855702391463E-2</v>
      </c>
      <c r="I49" s="5"/>
      <c r="J49" s="93">
        <f>'Urban Pass Adoption'!J49</f>
        <v>2860.4694471659923</v>
      </c>
      <c r="K49" s="26">
        <f t="shared" si="2"/>
        <v>1.9549065979315085E-2</v>
      </c>
      <c r="L49" s="24"/>
      <c r="M49" s="93">
        <f>'Urban Pass Adoption'!M49</f>
        <v>1572.2428734830446</v>
      </c>
      <c r="N49" s="26">
        <f t="shared" si="3"/>
        <v>1.074504735566378E-2</v>
      </c>
      <c r="O49" s="24"/>
      <c r="P49" s="93">
        <f>'Urban Pass Adoption'!P49</f>
        <v>17363.273050240743</v>
      </c>
      <c r="Q49" s="26">
        <f t="shared" si="4"/>
        <v>0.11866435798232891</v>
      </c>
      <c r="R49" s="24"/>
      <c r="S49" s="93">
        <f>'Urban Pass Adoption'!S49</f>
        <v>15432.685824795173</v>
      </c>
      <c r="T49" s="26">
        <f t="shared" si="5"/>
        <v>0.10547030793349851</v>
      </c>
      <c r="U49" s="24"/>
      <c r="V49" s="93">
        <f>'Private Car Analysis &amp; Split'!R50</f>
        <v>14103.741284642852</v>
      </c>
      <c r="W49" s="26">
        <f t="shared" si="6"/>
        <v>9.6388013933110736E-2</v>
      </c>
      <c r="X49" s="24"/>
      <c r="Y49" s="93">
        <f>'Private Car Analysis &amp; Split'!U50</f>
        <v>3698.3973907592867</v>
      </c>
      <c r="Z49" s="26">
        <f t="shared" si="7"/>
        <v>2.5275646513655801E-2</v>
      </c>
      <c r="AA49" s="7"/>
      <c r="AB49" s="93">
        <f>'Nonurban Pass Adoption'!G49</f>
        <v>2037.0402885842041</v>
      </c>
      <c r="AC49" s="26">
        <f t="shared" si="8"/>
        <v>1.3921573273054705E-2</v>
      </c>
      <c r="AD49" s="5"/>
      <c r="AE49" s="93">
        <f>'Nonurban Pass Adoption'!J49</f>
        <v>1932.1140998176461</v>
      </c>
      <c r="AF49" s="26">
        <f t="shared" si="9"/>
        <v>1.3204485038049173E-2</v>
      </c>
      <c r="AG49" s="24"/>
      <c r="AH49" s="93">
        <f>'Nonurban Pass Adoption'!M49</f>
        <v>17925.256568731624</v>
      </c>
      <c r="AI49" s="26">
        <f t="shared" si="10"/>
        <v>0.12250507471962896</v>
      </c>
      <c r="AK49" s="223" t="str">
        <f t="shared" si="12"/>
        <v>Biking</v>
      </c>
      <c r="AL49" s="222">
        <f>J46</f>
        <v>2592.4146243059631</v>
      </c>
    </row>
    <row r="50" spans="1:38" ht="14.4" x14ac:dyDescent="0.3">
      <c r="B50" s="19">
        <f>AVERAGE('Passenger TAM Data'!C171:E171)</f>
        <v>149550.42108334723</v>
      </c>
      <c r="C50" s="93">
        <f t="shared" si="11"/>
        <v>82750.667888074415</v>
      </c>
      <c r="D50" s="26">
        <f t="shared" si="0"/>
        <v>0.55332955459855193</v>
      </c>
      <c r="E50" s="7">
        <v>2054</v>
      </c>
      <c r="F50" s="7"/>
      <c r="G50" s="93">
        <f>'Urban Pass Adoption'!G50</f>
        <v>3479.2635208942047</v>
      </c>
      <c r="H50" s="26">
        <f t="shared" si="1"/>
        <v>2.3264819287637756E-2</v>
      </c>
      <c r="I50" s="5"/>
      <c r="J50" s="93">
        <f>'Urban Pass Adoption'!J50</f>
        <v>2956.6896124601426</v>
      </c>
      <c r="K50" s="26">
        <f t="shared" si="2"/>
        <v>1.9770520143252049E-2</v>
      </c>
      <c r="L50" s="24"/>
      <c r="M50" s="93">
        <f>'Urban Pass Adoption'!M50</f>
        <v>1617.1726506724617</v>
      </c>
      <c r="N50" s="26">
        <f t="shared" si="3"/>
        <v>1.0813561332409632E-2</v>
      </c>
      <c r="O50" s="24"/>
      <c r="P50" s="93">
        <f>'Urban Pass Adoption'!P50</f>
        <v>17656.072230179583</v>
      </c>
      <c r="Q50" s="26">
        <f t="shared" si="4"/>
        <v>0.11806099977705529</v>
      </c>
      <c r="R50" s="24"/>
      <c r="S50" s="93">
        <f>'Urban Pass Adoption'!S50</f>
        <v>15955.016223476259</v>
      </c>
      <c r="T50" s="26">
        <f t="shared" si="5"/>
        <v>0.10668653493515898</v>
      </c>
      <c r="U50" s="24"/>
      <c r="V50" s="93">
        <f>'Private Car Analysis &amp; Split'!R51</f>
        <v>14938.888449444134</v>
      </c>
      <c r="W50" s="26">
        <f t="shared" si="6"/>
        <v>9.9891985199549616E-2</v>
      </c>
      <c r="X50" s="24"/>
      <c r="Y50" s="93">
        <f>'Private Car Analysis &amp; Split'!U51</f>
        <v>3957.012837073572</v>
      </c>
      <c r="Z50" s="26">
        <f t="shared" si="7"/>
        <v>2.6459389471516468E-2</v>
      </c>
      <c r="AA50" s="7"/>
      <c r="AB50" s="93">
        <f>'Nonurban Pass Adoption'!G50</f>
        <v>2079.7239075237508</v>
      </c>
      <c r="AC50" s="26">
        <f t="shared" si="8"/>
        <v>1.3906506531096171E-2</v>
      </c>
      <c r="AD50" s="5"/>
      <c r="AE50" s="93">
        <f>'Nonurban Pass Adoption'!J50</f>
        <v>1977.9410084063188</v>
      </c>
      <c r="AF50" s="26">
        <f t="shared" si="9"/>
        <v>1.3225914003304447E-2</v>
      </c>
      <c r="AG50" s="24"/>
      <c r="AH50" s="93">
        <f>'Nonurban Pass Adoption'!M50</f>
        <v>18136.988978618654</v>
      </c>
      <c r="AI50" s="26">
        <f t="shared" si="10"/>
        <v>0.12127674965562667</v>
      </c>
      <c r="AK50" s="223" t="str">
        <f t="shared" si="12"/>
        <v>E-Bikes</v>
      </c>
      <c r="AL50" s="222">
        <f>M46</f>
        <v>1443.6375745035812</v>
      </c>
    </row>
    <row r="51" spans="1:38" ht="14.4" x14ac:dyDescent="0.3">
      <c r="B51" s="19">
        <f>AVERAGE('Passenger TAM Data'!C172:E172)</f>
        <v>152838.35951504947</v>
      </c>
      <c r="C51" s="93">
        <f t="shared" si="11"/>
        <v>84141.672469882484</v>
      </c>
      <c r="D51" s="26">
        <f t="shared" si="0"/>
        <v>0.55052718922697774</v>
      </c>
      <c r="E51" s="7">
        <v>2055</v>
      </c>
      <c r="F51" s="7"/>
      <c r="G51" s="93">
        <f>'Urban Pass Adoption'!G51</f>
        <v>3491.0064759371548</v>
      </c>
      <c r="H51" s="26">
        <f t="shared" si="1"/>
        <v>2.2841166883850305E-2</v>
      </c>
      <c r="I51" s="5"/>
      <c r="J51" s="93">
        <f>'Urban Pass Adoption'!J51</f>
        <v>3056.5239300613166</v>
      </c>
      <c r="K51" s="26">
        <f t="shared" si="2"/>
        <v>1.9998408382290646E-2</v>
      </c>
      <c r="L51" s="24"/>
      <c r="M51" s="93">
        <f>'Urban Pass Adoption'!M51</f>
        <v>1663.2132706405159</v>
      </c>
      <c r="N51" s="26">
        <f t="shared" si="3"/>
        <v>1.0882171700336427E-2</v>
      </c>
      <c r="O51" s="24"/>
      <c r="P51" s="93">
        <f>'Urban Pass Adoption'!P51</f>
        <v>17955.903422578067</v>
      </c>
      <c r="Q51" s="26">
        <f t="shared" si="4"/>
        <v>0.11748296356720586</v>
      </c>
      <c r="R51" s="24"/>
      <c r="S51" s="93">
        <f>'Urban Pass Adoption'!S51</f>
        <v>16493.380634105572</v>
      </c>
      <c r="T51" s="26">
        <f t="shared" si="5"/>
        <v>0.10791388160955448</v>
      </c>
      <c r="U51" s="24"/>
      <c r="V51" s="93">
        <f>'Private Car Analysis &amp; Split'!R52</f>
        <v>15802.773918088162</v>
      </c>
      <c r="W51" s="26">
        <f t="shared" si="6"/>
        <v>0.10339533850160251</v>
      </c>
      <c r="X51" s="24"/>
      <c r="Y51" s="93">
        <f>'Private Car Analysis &amp; Split'!U52</f>
        <v>4234.2881239553581</v>
      </c>
      <c r="Z51" s="26">
        <f t="shared" si="7"/>
        <v>2.7704354701205899E-2</v>
      </c>
      <c r="AA51" s="7"/>
      <c r="AB51" s="93">
        <f>'Nonurban Pass Adoption'!G51</f>
        <v>2122.1646253580971</v>
      </c>
      <c r="AC51" s="26">
        <f t="shared" si="8"/>
        <v>1.388502619428557E-2</v>
      </c>
      <c r="AD51" s="5"/>
      <c r="AE51" s="93">
        <f>'Nonurban Pass Adoption'!J51</f>
        <v>2026.7362028922234</v>
      </c>
      <c r="AF51" s="26">
        <f t="shared" si="9"/>
        <v>1.3260651379162819E-2</v>
      </c>
      <c r="AG51" s="24"/>
      <c r="AH51" s="93">
        <f>'Nonurban Pass Adoption'!M51</f>
        <v>18344.077075656096</v>
      </c>
      <c r="AI51" s="26">
        <f t="shared" si="10"/>
        <v>0.12002272946308232</v>
      </c>
      <c r="AK51" s="223" t="str">
        <f t="shared" si="12"/>
        <v>Urban Public Transit</v>
      </c>
      <c r="AL51" s="222">
        <f>P46</f>
        <v>16534.11259511764</v>
      </c>
    </row>
    <row r="52" spans="1:38" ht="14.4" x14ac:dyDescent="0.3">
      <c r="B52" s="19">
        <f>AVERAGE('Passenger TAM Data'!C173:E173)</f>
        <v>156187.28018061578</v>
      </c>
      <c r="C52" s="93">
        <f t="shared" si="11"/>
        <v>85536.998266747512</v>
      </c>
      <c r="D52" s="26">
        <f t="shared" si="0"/>
        <v>0.54765662202345855</v>
      </c>
      <c r="E52" s="7">
        <v>2056</v>
      </c>
      <c r="F52" s="7"/>
      <c r="G52" s="93">
        <f>'Urban Pass Adoption'!G52</f>
        <v>3500.392188167611</v>
      </c>
      <c r="H52" s="26">
        <f t="shared" si="1"/>
        <v>2.2411506136221459E-2</v>
      </c>
      <c r="I52" s="5"/>
      <c r="J52" s="93">
        <f>'Urban Pass Adoption'!J52</f>
        <v>3160.0803240514851</v>
      </c>
      <c r="K52" s="26">
        <f t="shared" si="2"/>
        <v>2.0232635592329618E-2</v>
      </c>
      <c r="L52" s="24"/>
      <c r="M52" s="93">
        <f>'Urban Pass Adoption'!M52</f>
        <v>1710.412835795509</v>
      </c>
      <c r="N52" s="26">
        <f t="shared" si="3"/>
        <v>1.095103797068224E-2</v>
      </c>
      <c r="O52" s="24"/>
      <c r="P52" s="93">
        <f>'Urban Pass Adoption'!P52</f>
        <v>18263.086083711474</v>
      </c>
      <c r="Q52" s="26">
        <f t="shared" si="4"/>
        <v>0.1169306877140824</v>
      </c>
      <c r="R52" s="24"/>
      <c r="S52" s="93">
        <f>'Urban Pass Adoption'!S52</f>
        <v>17048.116881863039</v>
      </c>
      <c r="T52" s="26">
        <f t="shared" si="5"/>
        <v>0.10915176230835513</v>
      </c>
      <c r="U52" s="24"/>
      <c r="V52" s="93">
        <f>'Private Car Analysis &amp; Split'!R53</f>
        <v>16695.765694205755</v>
      </c>
      <c r="W52" s="26">
        <f t="shared" si="6"/>
        <v>0.1068958091523118</v>
      </c>
      <c r="X52" s="24"/>
      <c r="Y52" s="93">
        <f>'Private Car Analysis &amp; Split'!U53</f>
        <v>4530.9828991159575</v>
      </c>
      <c r="Z52" s="26">
        <f t="shared" si="7"/>
        <v>2.9009935340933688E-2</v>
      </c>
      <c r="AA52" s="7"/>
      <c r="AB52" s="93">
        <f>'Nonurban Pass Adoption'!G52</f>
        <v>2164.3638243727273</v>
      </c>
      <c r="AC52" s="26">
        <f t="shared" si="8"/>
        <v>1.3857490967701376E-2</v>
      </c>
      <c r="AD52" s="5"/>
      <c r="AE52" s="93">
        <f>'Nonurban Pass Adoption'!J52</f>
        <v>2078.6772046037649</v>
      </c>
      <c r="AF52" s="26">
        <f t="shared" si="9"/>
        <v>1.330887638353118E-2</v>
      </c>
      <c r="AG52" s="24"/>
      <c r="AH52" s="93">
        <f>'Nonurban Pass Adoption'!M52</f>
        <v>18546.520859843957</v>
      </c>
      <c r="AI52" s="26">
        <f t="shared" si="10"/>
        <v>0.11874539871874755</v>
      </c>
      <c r="AK52" s="223" t="str">
        <f t="shared" si="12"/>
        <v>Carpooling (IGNORED FOR PLOT)</v>
      </c>
      <c r="AL52" s="222">
        <f>S46</f>
        <v>13947.350541401183</v>
      </c>
    </row>
    <row r="53" spans="1:38" ht="14.4" x14ac:dyDescent="0.3">
      <c r="B53" s="19">
        <f>AVERAGE('Passenger TAM Data'!C174:E174)</f>
        <v>159598.17305010007</v>
      </c>
      <c r="C53" s="93">
        <f t="shared" si="11"/>
        <v>86935.879729479871</v>
      </c>
      <c r="D53" s="26">
        <f t="shared" si="0"/>
        <v>0.54471726128211695</v>
      </c>
      <c r="E53" s="7">
        <v>2057</v>
      </c>
      <c r="F53" s="7"/>
      <c r="G53" s="93">
        <f>'Urban Pass Adoption'!G53</f>
        <v>3507.3941469738847</v>
      </c>
      <c r="H53" s="26">
        <f t="shared" si="1"/>
        <v>2.1976405368204718E-2</v>
      </c>
      <c r="I53" s="5"/>
      <c r="J53" s="93">
        <f>'Urban Pass Adoption'!J53</f>
        <v>3267.46671851262</v>
      </c>
      <c r="K53" s="26">
        <f t="shared" si="2"/>
        <v>2.0473083469990081E-2</v>
      </c>
      <c r="L53" s="24"/>
      <c r="M53" s="93">
        <f>'Urban Pass Adoption'!M53</f>
        <v>1758.8194485457448</v>
      </c>
      <c r="N53" s="26">
        <f t="shared" si="3"/>
        <v>1.1020298133322786E-2</v>
      </c>
      <c r="O53" s="24"/>
      <c r="P53" s="93">
        <f>'Urban Pass Adoption'!P53</f>
        <v>18577.939669855074</v>
      </c>
      <c r="Q53" s="26">
        <f t="shared" si="4"/>
        <v>0.11640446325173912</v>
      </c>
      <c r="R53" s="24"/>
      <c r="S53" s="93">
        <f>'Urban Pass Adoption'!S53</f>
        <v>17619.581662898567</v>
      </c>
      <c r="T53" s="26">
        <f t="shared" si="5"/>
        <v>0.11039964509723765</v>
      </c>
      <c r="U53" s="24"/>
      <c r="V53" s="93">
        <f>'Private Car Analysis &amp; Split'!R54</f>
        <v>17618.231781427716</v>
      </c>
      <c r="W53" s="26">
        <f t="shared" si="6"/>
        <v>0.11039118709646575</v>
      </c>
      <c r="X53" s="24"/>
      <c r="Y53" s="93">
        <f>'Private Car Analysis &amp; Split'!U54</f>
        <v>4847.8568102666777</v>
      </c>
      <c r="Z53" s="26">
        <f t="shared" si="7"/>
        <v>3.0375390379593307E-2</v>
      </c>
      <c r="AA53" s="7"/>
      <c r="AB53" s="93">
        <f>'Nonurban Pass Adoption'!G53</f>
        <v>2206.3228789869086</v>
      </c>
      <c r="AC53" s="26">
        <f t="shared" si="8"/>
        <v>1.3824236435929085E-2</v>
      </c>
      <c r="AD53" s="5"/>
      <c r="AE53" s="93">
        <f>'Nonurban Pass Adoption'!J53</f>
        <v>2133.9415348693465</v>
      </c>
      <c r="AF53" s="26">
        <f t="shared" si="9"/>
        <v>1.3370714050714558E-2</v>
      </c>
      <c r="AG53" s="24"/>
      <c r="AH53" s="93">
        <f>'Nonurban Pass Adoption'!M53</f>
        <v>18744.320331182229</v>
      </c>
      <c r="AI53" s="26">
        <f t="shared" si="10"/>
        <v>0.11744696053192369</v>
      </c>
      <c r="AK53" s="223" t="str">
        <f t="shared" si="12"/>
        <v>Electric Cars</v>
      </c>
      <c r="AL53" s="222">
        <f>V46</f>
        <v>11767.049576987356</v>
      </c>
    </row>
    <row r="54" spans="1:38" ht="14.4" x14ac:dyDescent="0.3">
      <c r="B54" s="19">
        <f>AVERAGE('Passenger TAM Data'!C175:E175)</f>
        <v>163072.13013595738</v>
      </c>
      <c r="C54" s="93">
        <f t="shared" si="11"/>
        <v>88337.653359112301</v>
      </c>
      <c r="D54" s="26">
        <f t="shared" si="0"/>
        <v>0.5417090785866534</v>
      </c>
      <c r="E54" s="7">
        <v>2058</v>
      </c>
      <c r="F54" s="7"/>
      <c r="G54" s="93">
        <f>'Urban Pass Adoption'!G54</f>
        <v>3511.9858417442879</v>
      </c>
      <c r="H54" s="26">
        <f t="shared" si="1"/>
        <v>2.1536395206319166E-2</v>
      </c>
      <c r="I54" s="5"/>
      <c r="J54" s="93">
        <f>'Urban Pass Adoption'!J54</f>
        <v>3378.7910375266929</v>
      </c>
      <c r="K54" s="26">
        <f t="shared" si="2"/>
        <v>2.0719610608567564E-2</v>
      </c>
      <c r="L54" s="24"/>
      <c r="M54" s="93">
        <f>'Urban Pass Adoption'!M54</f>
        <v>1808.4812112995255</v>
      </c>
      <c r="N54" s="26">
        <f t="shared" si="3"/>
        <v>1.1090069221465057E-2</v>
      </c>
      <c r="O54" s="24"/>
      <c r="P54" s="93">
        <f>'Urban Pass Adoption'!P54</f>
        <v>18900.783637284145</v>
      </c>
      <c r="Q54" s="26">
        <f t="shared" si="4"/>
        <v>0.11590443824782372</v>
      </c>
      <c r="R54" s="24"/>
      <c r="S54" s="93">
        <f>'Urban Pass Adoption'!S54</f>
        <v>18208.151985277946</v>
      </c>
      <c r="T54" s="26">
        <f t="shared" si="5"/>
        <v>0.11165704384984329</v>
      </c>
      <c r="U54" s="24"/>
      <c r="V54" s="93">
        <f>'Private Car Analysis &amp; Split'!R55</f>
        <v>18570.540183384859</v>
      </c>
      <c r="W54" s="26">
        <f t="shared" si="6"/>
        <v>0.11387930094432523</v>
      </c>
      <c r="X54" s="24"/>
      <c r="Y54" s="93">
        <f>'Private Car Analysis &amp; Split'!U55</f>
        <v>5185.6695051188381</v>
      </c>
      <c r="Z54" s="26">
        <f t="shared" si="7"/>
        <v>3.1799851395792854E-2</v>
      </c>
      <c r="AA54" s="7"/>
      <c r="AB54" s="93">
        <f>'Nonurban Pass Adoption'!G54</f>
        <v>2248.0431557984534</v>
      </c>
      <c r="AC54" s="26">
        <f t="shared" si="8"/>
        <v>1.3785575462368724E-2</v>
      </c>
      <c r="AD54" s="5"/>
      <c r="AE54" s="93">
        <f>'Nonurban Pass Adoption'!J54</f>
        <v>2192.7067150173712</v>
      </c>
      <c r="AF54" s="26">
        <f t="shared" si="9"/>
        <v>1.3446238257814231E-2</v>
      </c>
      <c r="AG54" s="24"/>
      <c r="AH54" s="93">
        <f>'Nonurban Pass Adoption'!M54</f>
        <v>18937.47548967092</v>
      </c>
      <c r="AI54" s="26">
        <f t="shared" si="10"/>
        <v>0.11612944206887017</v>
      </c>
      <c r="AK54" s="223" t="str">
        <f t="shared" si="12"/>
        <v>Hybrid Cars</v>
      </c>
      <c r="AL54" s="222">
        <f>Y46</f>
        <v>3026.9136181083218</v>
      </c>
    </row>
    <row r="55" spans="1:38" ht="14.4" x14ac:dyDescent="0.3">
      <c r="B55" s="19">
        <f>AVERAGE('Passenger TAM Data'!C176:E176)</f>
        <v>166610.32382454554</v>
      </c>
      <c r="C55" s="93">
        <f t="shared" si="11"/>
        <v>89741.736038357325</v>
      </c>
      <c r="D55" s="26">
        <f t="shared" si="0"/>
        <v>0.53863250474720159</v>
      </c>
      <c r="E55" s="7">
        <v>2059</v>
      </c>
      <c r="F55" s="7"/>
      <c r="G55" s="93">
        <f>'Urban Pass Adoption'!G55</f>
        <v>3514.1407618671319</v>
      </c>
      <c r="H55" s="26">
        <f t="shared" si="1"/>
        <v>2.1091974862060846E-2</v>
      </c>
      <c r="I55" s="5"/>
      <c r="J55" s="93">
        <f>'Urban Pass Adoption'!J55</f>
        <v>3494.1612051756747</v>
      </c>
      <c r="K55" s="26">
        <f t="shared" si="2"/>
        <v>2.0972056982827281E-2</v>
      </c>
      <c r="L55" s="24"/>
      <c r="M55" s="93">
        <f>'Urban Pass Adoption'!M55</f>
        <v>1859.4462264651552</v>
      </c>
      <c r="N55" s="26">
        <f t="shared" si="3"/>
        <v>1.1160450227702012E-2</v>
      </c>
      <c r="O55" s="24"/>
      <c r="P55" s="93">
        <f>'Urban Pass Adoption'!P55</f>
        <v>19231.937442273964</v>
      </c>
      <c r="Q55" s="26">
        <f t="shared" si="4"/>
        <v>0.11543064679789462</v>
      </c>
      <c r="R55" s="24"/>
      <c r="S55" s="93">
        <f>'Urban Pass Adoption'!S55</f>
        <v>18814.222943595174</v>
      </c>
      <c r="T55" s="26">
        <f t="shared" si="5"/>
        <v>0.11292351225130627</v>
      </c>
      <c r="U55" s="24"/>
      <c r="V55" s="93">
        <f>'Private Car Analysis &amp; Split'!R56</f>
        <v>19553.058903708006</v>
      </c>
      <c r="W55" s="26">
        <f t="shared" si="6"/>
        <v>0.11735802713101377</v>
      </c>
      <c r="X55" s="24"/>
      <c r="Y55" s="93">
        <f>'Private Car Analysis &amp; Split'!U56</f>
        <v>5545.1806313837442</v>
      </c>
      <c r="Z55" s="26">
        <f t="shared" si="7"/>
        <v>3.3282335116419787E-2</v>
      </c>
      <c r="AA55" s="7"/>
      <c r="AB55" s="93">
        <f>'Nonurban Pass Adoption'!G55</f>
        <v>2289.5260136282304</v>
      </c>
      <c r="AC55" s="26">
        <f t="shared" si="8"/>
        <v>1.3741801594715648E-2</v>
      </c>
      <c r="AD55" s="5"/>
      <c r="AE55" s="93">
        <f>'Nonurban Pass Adoption'!J55</f>
        <v>2255.1502663762453</v>
      </c>
      <c r="AF55" s="26">
        <f t="shared" si="9"/>
        <v>1.3535477361841665E-2</v>
      </c>
      <c r="AG55" s="24"/>
      <c r="AH55" s="93">
        <f>'Nonurban Pass Adoption'!M55</f>
        <v>19125.986335310023</v>
      </c>
      <c r="AI55" s="26">
        <f t="shared" si="10"/>
        <v>0.1147947251783225</v>
      </c>
      <c r="AK55" s="223" t="str">
        <f t="shared" si="12"/>
        <v>Nonurban Telepresence</v>
      </c>
      <c r="AL55" s="222">
        <f>AB46</f>
        <v>1907.5180833389909</v>
      </c>
    </row>
    <row r="56" spans="1:38" ht="14.4" x14ac:dyDescent="0.3">
      <c r="B56" s="19">
        <f>AVERAGE('Passenger TAM Data'!C177:E177)</f>
        <v>170213.89430993746</v>
      </c>
      <c r="C56" s="93">
        <f t="shared" si="11"/>
        <v>91156.255233237636</v>
      </c>
      <c r="D56" s="26">
        <f t="shared" si="0"/>
        <v>0.53553944936630082</v>
      </c>
      <c r="E56" s="7">
        <v>2060</v>
      </c>
      <c r="F56" s="7"/>
      <c r="G56" s="93">
        <f>'Urban Pass Adoption'!G56</f>
        <v>3513.8323967307274</v>
      </c>
      <c r="H56" s="26">
        <f t="shared" si="1"/>
        <v>2.0643628482716538E-2</v>
      </c>
      <c r="I56" s="5"/>
      <c r="J56" s="93">
        <f>'Urban Pass Adoption'!J56</f>
        <v>3613.6851455415372</v>
      </c>
      <c r="K56" s="26">
        <f t="shared" si="2"/>
        <v>2.1230259493161496E-2</v>
      </c>
      <c r="L56" s="24"/>
      <c r="M56" s="93">
        <f>'Urban Pass Adoption'!M56</f>
        <v>1911.7625964509359</v>
      </c>
      <c r="N56" s="26">
        <f t="shared" si="3"/>
        <v>1.1231530799535459E-2</v>
      </c>
      <c r="O56" s="24"/>
      <c r="P56" s="93">
        <f>'Urban Pass Adoption'!P56</f>
        <v>19571.720541099799</v>
      </c>
      <c r="Q56" s="26">
        <f t="shared" si="4"/>
        <v>0.11498309594786799</v>
      </c>
      <c r="R56" s="24"/>
      <c r="S56" s="93">
        <f>'Urban Pass Adoption'!S56</f>
        <v>19438.187303438641</v>
      </c>
      <c r="T56" s="26">
        <f t="shared" si="5"/>
        <v>0.11419859337713183</v>
      </c>
      <c r="U56" s="24"/>
      <c r="V56" s="93">
        <f>'Private Car Analysis &amp; Split'!R57</f>
        <v>20566.155946027964</v>
      </c>
      <c r="W56" s="26">
        <f t="shared" si="6"/>
        <v>0.12082536522300381</v>
      </c>
      <c r="X56" s="24"/>
      <c r="Y56" s="93">
        <f>'Private Car Analysis &amp; Split'!U57</f>
        <v>5927.149836772709</v>
      </c>
      <c r="Z56" s="26">
        <f t="shared" si="7"/>
        <v>3.4821774455028549E-2</v>
      </c>
      <c r="AA56" s="7"/>
      <c r="AB56" s="93">
        <f>'Nonurban Pass Adoption'!G56</f>
        <v>2330.77280356442</v>
      </c>
      <c r="AC56" s="26">
        <f t="shared" si="8"/>
        <v>1.3693199447751219E-2</v>
      </c>
      <c r="AD56" s="5"/>
      <c r="AE56" s="93">
        <f>'Nonurban Pass Adoption'!J56</f>
        <v>2321.4497102743717</v>
      </c>
      <c r="AF56" s="26">
        <f t="shared" si="9"/>
        <v>1.3638426637765025E-2</v>
      </c>
      <c r="AG56" s="24"/>
      <c r="AH56" s="93">
        <f>'Nonurban Pass Adoption'!M56</f>
        <v>19301.110100237325</v>
      </c>
      <c r="AI56" s="26">
        <f t="shared" si="10"/>
        <v>0.11339327014686887</v>
      </c>
      <c r="AK56" s="223" t="str">
        <f t="shared" si="12"/>
        <v>High Speed Rail</v>
      </c>
      <c r="AL56" s="222">
        <f>AE46</f>
        <v>1810.6678761509797</v>
      </c>
    </row>
    <row r="57" spans="1:38" ht="14.4" x14ac:dyDescent="0.3">
      <c r="B57" s="5"/>
      <c r="C57" s="5"/>
      <c r="D57" s="5"/>
      <c r="F57" s="5"/>
      <c r="G57" s="5"/>
      <c r="H57" s="5"/>
      <c r="I57" s="5"/>
      <c r="J57" s="5"/>
      <c r="L57" s="5"/>
      <c r="M57" s="5"/>
      <c r="O57" s="5"/>
      <c r="P57" s="5"/>
      <c r="R57" s="5"/>
      <c r="S57" s="5"/>
      <c r="U57" s="5"/>
      <c r="V57" s="5"/>
      <c r="X57" s="5"/>
      <c r="Y57" s="5"/>
      <c r="AA57" s="5"/>
      <c r="AB57" s="5"/>
      <c r="AC57" s="5"/>
      <c r="AD57" s="5"/>
      <c r="AE57" s="5"/>
      <c r="AF57" s="5"/>
      <c r="AG57" s="5"/>
      <c r="AH57" s="5"/>
      <c r="AK57" s="223" t="str">
        <f t="shared" si="12"/>
        <v>Efficient Aviation</v>
      </c>
      <c r="AL57" s="222">
        <f>AH46</f>
        <v>17266.837774822601</v>
      </c>
    </row>
    <row r="58" spans="1:38" ht="14.4" x14ac:dyDescent="0.3">
      <c r="B58" s="5"/>
      <c r="C58" s="5"/>
      <c r="D58" s="5"/>
      <c r="F58" s="5"/>
      <c r="G58" s="5"/>
      <c r="H58" s="5"/>
      <c r="I58" s="5"/>
      <c r="J58" s="5"/>
      <c r="L58" s="5"/>
      <c r="M58" s="5"/>
      <c r="O58" s="5"/>
      <c r="P58" s="5"/>
      <c r="R58" s="5"/>
      <c r="S58" s="5"/>
      <c r="U58" s="5"/>
      <c r="V58" s="5"/>
      <c r="X58" s="5"/>
      <c r="Y58" s="5"/>
      <c r="AA58" s="5"/>
      <c r="AB58" s="5"/>
      <c r="AC58" s="5"/>
      <c r="AD58" s="5"/>
      <c r="AE58" s="5"/>
      <c r="AF58" s="5"/>
      <c r="AG58" s="5"/>
      <c r="AH58" s="5"/>
    </row>
    <row r="59" spans="1:38" ht="18.75" customHeight="1" x14ac:dyDescent="0.3">
      <c r="A59" s="5"/>
      <c r="B59" s="5"/>
      <c r="C59" s="5"/>
      <c r="D59" s="5"/>
      <c r="E59" s="5"/>
      <c r="F59" s="5"/>
      <c r="G59" s="92" t="s">
        <v>131</v>
      </c>
      <c r="H59" s="5"/>
      <c r="I59" s="5"/>
      <c r="J59" s="92" t="s">
        <v>131</v>
      </c>
      <c r="L59" s="5"/>
      <c r="M59" s="92" t="s">
        <v>131</v>
      </c>
      <c r="O59" s="5"/>
      <c r="P59" s="92" t="s">
        <v>131</v>
      </c>
      <c r="R59" s="5"/>
      <c r="S59" s="92" t="s">
        <v>131</v>
      </c>
      <c r="U59" s="5"/>
      <c r="V59" s="92" t="s">
        <v>131</v>
      </c>
      <c r="X59" s="5"/>
      <c r="Y59" s="92" t="s">
        <v>131</v>
      </c>
      <c r="AA59" s="5"/>
      <c r="AB59" s="92" t="s">
        <v>131</v>
      </c>
      <c r="AC59" s="5"/>
      <c r="AD59" s="5"/>
      <c r="AE59" s="92" t="s">
        <v>131</v>
      </c>
      <c r="AF59" s="5"/>
      <c r="AG59" s="5"/>
      <c r="AH59" s="92" t="s">
        <v>131</v>
      </c>
    </row>
    <row r="60" spans="1:38" ht="15.75" customHeight="1" x14ac:dyDescent="0.3">
      <c r="A60" s="4" t="s">
        <v>65</v>
      </c>
      <c r="B60" s="5"/>
      <c r="C60" s="5"/>
      <c r="D60" s="5"/>
      <c r="F60" s="5"/>
      <c r="G60" s="5"/>
      <c r="H60" s="5"/>
      <c r="I60" s="5"/>
      <c r="J60" s="5"/>
      <c r="K60" s="5"/>
      <c r="L60" s="5"/>
      <c r="M60" s="5"/>
      <c r="N60" s="5"/>
      <c r="O60" s="5"/>
      <c r="P60" s="5"/>
      <c r="Q60" s="5"/>
      <c r="R60" s="5"/>
      <c r="S60" s="5"/>
      <c r="T60" s="5"/>
      <c r="U60" s="5"/>
      <c r="V60" s="5"/>
      <c r="W60" s="5"/>
      <c r="X60" s="5"/>
      <c r="Y60" s="5"/>
      <c r="AB60" s="5"/>
      <c r="AC60" s="5"/>
      <c r="AD60" s="5"/>
      <c r="AE60" s="5"/>
      <c r="AF60" s="5"/>
      <c r="AG60" s="5"/>
      <c r="AH60" s="5"/>
      <c r="AI60" s="5"/>
    </row>
    <row r="61" spans="1:38" ht="45" customHeight="1" x14ac:dyDescent="0.3">
      <c r="A61" s="8" t="s">
        <v>129</v>
      </c>
      <c r="B61" s="66" t="s">
        <v>47</v>
      </c>
      <c r="C61" s="52" t="s">
        <v>66</v>
      </c>
      <c r="D61" s="52" t="s">
        <v>221</v>
      </c>
      <c r="E61" s="13"/>
      <c r="F61" s="14" t="s">
        <v>50</v>
      </c>
      <c r="G61" s="11" t="s">
        <v>384</v>
      </c>
      <c r="H61" s="11" t="s">
        <v>27</v>
      </c>
      <c r="I61" s="14" t="s">
        <v>51</v>
      </c>
      <c r="J61" s="11" t="s">
        <v>751</v>
      </c>
      <c r="K61" s="11" t="s">
        <v>27</v>
      </c>
      <c r="L61" s="14" t="s">
        <v>52</v>
      </c>
      <c r="M61" s="11" t="s">
        <v>3</v>
      </c>
      <c r="N61" s="11" t="s">
        <v>27</v>
      </c>
      <c r="O61" s="14" t="s">
        <v>53</v>
      </c>
      <c r="P61" s="11" t="s">
        <v>750</v>
      </c>
      <c r="Q61" s="11" t="s">
        <v>27</v>
      </c>
      <c r="R61" s="14" t="s">
        <v>54</v>
      </c>
      <c r="S61" s="11" t="s">
        <v>749</v>
      </c>
      <c r="T61" s="11" t="s">
        <v>27</v>
      </c>
      <c r="U61" s="14" t="s">
        <v>25</v>
      </c>
      <c r="V61" s="11" t="s">
        <v>380</v>
      </c>
      <c r="W61" s="11" t="s">
        <v>27</v>
      </c>
      <c r="X61" s="14" t="s">
        <v>26</v>
      </c>
      <c r="Y61" s="11" t="s">
        <v>377</v>
      </c>
      <c r="Z61" s="11" t="s">
        <v>27</v>
      </c>
      <c r="AA61" s="14" t="s">
        <v>217</v>
      </c>
      <c r="AB61" s="11" t="s">
        <v>752</v>
      </c>
      <c r="AC61" s="11" t="s">
        <v>27</v>
      </c>
      <c r="AD61" s="14" t="s">
        <v>218</v>
      </c>
      <c r="AE61" s="11" t="s">
        <v>6</v>
      </c>
      <c r="AF61" s="11" t="s">
        <v>27</v>
      </c>
      <c r="AG61" s="14" t="s">
        <v>219</v>
      </c>
      <c r="AH61" s="11" t="s">
        <v>609</v>
      </c>
      <c r="AI61" s="11" t="s">
        <v>27</v>
      </c>
    </row>
    <row r="62" spans="1:38" ht="18.75" customHeight="1" x14ac:dyDescent="0.3">
      <c r="A62" s="16"/>
      <c r="B62" s="17"/>
      <c r="C62" s="17"/>
      <c r="D62" s="17"/>
      <c r="E62" s="122" t="s">
        <v>134</v>
      </c>
      <c r="F62" s="17"/>
      <c r="G62" s="220" t="str">
        <f>'Urban Pass Adoption'!G62</f>
        <v>PDS2-5p2050-Oct21ComDat</v>
      </c>
      <c r="H62" s="17" t="s">
        <v>30</v>
      </c>
      <c r="I62" s="17"/>
      <c r="J62" s="220" t="str">
        <f>'Urban Pass Adoption'!J62</f>
        <v>PDS2-6p2050-Oct21ComDat</v>
      </c>
      <c r="K62" s="17" t="s">
        <v>30</v>
      </c>
      <c r="L62" s="17"/>
      <c r="M62" s="220" t="str">
        <f>'Urban Pass Adoption'!M62</f>
        <v>PDS2-3p2050-Oct21ComDat</v>
      </c>
      <c r="N62" s="17" t="s">
        <v>30</v>
      </c>
      <c r="O62" s="17"/>
      <c r="P62" s="220" t="str">
        <f>'Urban Pass Adoption'!P62</f>
        <v>PDS2-34p2050-Oct21ComDat</v>
      </c>
      <c r="Q62" s="17" t="s">
        <v>30</v>
      </c>
      <c r="R62" s="17"/>
      <c r="S62" s="220" t="str">
        <f>'Urban Pass Adoption'!S62</f>
        <v>PDS2-50p2050-Oct21ComDat2</v>
      </c>
      <c r="T62" s="17" t="s">
        <v>30</v>
      </c>
      <c r="U62" s="17"/>
      <c r="V62" s="220" t="str">
        <f>'Urban Pass Adoption'!V62</f>
        <v>PDS2-33p2050-LRate at 11%</v>
      </c>
      <c r="W62" s="17" t="s">
        <v>30</v>
      </c>
      <c r="X62" s="17"/>
      <c r="Y62" s="220" t="str">
        <f>'Urban Pass Adoption'!Y62</f>
        <v>PDS2-31p2050-Oct21ComDat-Conservative</v>
      </c>
      <c r="Z62" s="17" t="s">
        <v>30</v>
      </c>
      <c r="AA62" s="17"/>
      <c r="AB62" s="220" t="str">
        <f>'Nonurban Pass Adoption'!G62</f>
        <v>PDS2-29p2050-Bass Diffusion to 30%</v>
      </c>
      <c r="AC62" s="17" t="s">
        <v>30</v>
      </c>
      <c r="AD62" s="17"/>
      <c r="AE62" s="220" t="str">
        <f>'Nonurban Pass Adoption'!J62</f>
        <v>PDS2-4p2050-Oct21ComDat</v>
      </c>
      <c r="AF62" s="17" t="s">
        <v>30</v>
      </c>
      <c r="AG62" s="17"/>
      <c r="AH62" s="220" t="str">
        <f>'Nonurban Pass Adoption'!M62</f>
        <v>PDS2-79p2050-Oct21ComDatNewPDS2</v>
      </c>
      <c r="AI62" s="17" t="s">
        <v>30</v>
      </c>
    </row>
    <row r="63" spans="1:38" ht="14.4" hidden="1" x14ac:dyDescent="0.3">
      <c r="A63" s="831" t="s">
        <v>28</v>
      </c>
      <c r="B63" s="19">
        <f t="shared" ref="B63:B111" si="13">B8</f>
        <v>50116.801089708635</v>
      </c>
      <c r="C63" s="93">
        <f>B63-IF($G$59="Include",G63,0)-IF($J$59="Include",J63,0)-IF($M$59="Include",M63,0)-IF($P$59="Include",P63,0)-IF($V$59="Include",V63,0)-IF($Y$59="Include",Y63,0)-IF($AB$59="Include",AB63,0)-IF($AE$59="Include",AE63,0)-IF($AH$59="Include",AH63,0)</f>
        <v>50116.801089708635</v>
      </c>
      <c r="D63" s="26">
        <f t="shared" ref="D63:D111" si="14">C63/B63</f>
        <v>1</v>
      </c>
      <c r="E63" s="7">
        <v>2012</v>
      </c>
      <c r="F63" s="7"/>
      <c r="G63" s="93">
        <f>'Urban Pass Adoption'!G63</f>
        <v>0</v>
      </c>
      <c r="H63" s="26">
        <f t="shared" ref="H63:H111" si="15">G63/$B63</f>
        <v>0</v>
      </c>
      <c r="I63" s="5"/>
      <c r="J63" s="93">
        <f>'Urban Pass Adoption'!J63</f>
        <v>0</v>
      </c>
      <c r="K63" s="26">
        <f t="shared" ref="K63:K111" si="16">J63/$B63</f>
        <v>0</v>
      </c>
      <c r="L63" s="24"/>
      <c r="M63" s="93">
        <f>'Urban Pass Adoption'!M63</f>
        <v>0</v>
      </c>
      <c r="N63" s="26">
        <f t="shared" ref="N63:N111" si="17">M63/$B63</f>
        <v>0</v>
      </c>
      <c r="O63" s="24"/>
      <c r="P63" s="93">
        <f>'Urban Pass Adoption'!P63</f>
        <v>0</v>
      </c>
      <c r="Q63" s="26">
        <f t="shared" ref="Q63:Q111" si="18">P63/$B63</f>
        <v>0</v>
      </c>
      <c r="R63" s="24"/>
      <c r="S63" s="93">
        <f>'Urban Pass Adoption'!S63</f>
        <v>0</v>
      </c>
      <c r="T63" s="26">
        <f t="shared" ref="T63:T111" si="19">S63/$B63</f>
        <v>0</v>
      </c>
      <c r="U63" s="24"/>
      <c r="V63" s="93">
        <f>'Private Car Analysis &amp; Split'!R67</f>
        <v>0</v>
      </c>
      <c r="W63" s="26">
        <f t="shared" ref="W63:W111" si="20">V63/$B63</f>
        <v>0</v>
      </c>
      <c r="X63" s="24"/>
      <c r="Y63" s="93">
        <f>'Private Car Analysis &amp; Split'!U67</f>
        <v>0</v>
      </c>
      <c r="Z63" s="26">
        <f t="shared" ref="Z63:Z111" si="21">Y63/$B63</f>
        <v>0</v>
      </c>
      <c r="AA63" s="7"/>
      <c r="AB63" s="93">
        <f>'Nonurban Pass Adoption'!G63</f>
        <v>0</v>
      </c>
      <c r="AC63" s="26">
        <f t="shared" ref="AC63:AC111" si="22">AB63/$B63</f>
        <v>0</v>
      </c>
      <c r="AD63" s="5"/>
      <c r="AE63" s="93">
        <f>'Nonurban Pass Adoption'!J63</f>
        <v>0</v>
      </c>
      <c r="AF63" s="26">
        <f t="shared" ref="AF63:AF111" si="23">AE63/$B63</f>
        <v>0</v>
      </c>
      <c r="AG63" s="24"/>
      <c r="AH63" s="93">
        <f>'Nonurban Pass Adoption'!M63</f>
        <v>0</v>
      </c>
      <c r="AI63" s="26">
        <f t="shared" ref="AI63:AI111" si="24">AH63/$B63</f>
        <v>0</v>
      </c>
    </row>
    <row r="64" spans="1:38" ht="14.4" hidden="1" x14ac:dyDescent="0.3">
      <c r="A64" s="832"/>
      <c r="B64" s="19">
        <f t="shared" si="13"/>
        <v>51973.785259001328</v>
      </c>
      <c r="C64" s="93">
        <f t="shared" ref="C64:C111" si="25">B64-IF($G$59="Include",G64,0)-IF($J$59="Include",J64,0)-IF($M$59="Include",M64,0)-IF($P$59="Include",P64,0)-IF($V$59="Include",V64,0)-IF($Y$59="Include",Y64,0)-IF($AB$59="Include",AB64,0)-IF($AE$59="Include",AE64,0)-IF($AH$59="Include",AH64,0)</f>
        <v>51973.785259001328</v>
      </c>
      <c r="D64" s="26">
        <f t="shared" si="14"/>
        <v>1</v>
      </c>
      <c r="E64" s="7">
        <v>2013</v>
      </c>
      <c r="F64" s="7"/>
      <c r="G64" s="93">
        <f>'Urban Pass Adoption'!G64</f>
        <v>0</v>
      </c>
      <c r="H64" s="26">
        <f t="shared" si="15"/>
        <v>0</v>
      </c>
      <c r="I64" s="5"/>
      <c r="J64" s="93">
        <f>'Urban Pass Adoption'!J64</f>
        <v>0</v>
      </c>
      <c r="K64" s="26">
        <f t="shared" si="16"/>
        <v>0</v>
      </c>
      <c r="L64" s="24"/>
      <c r="M64" s="93">
        <f>'Urban Pass Adoption'!M64</f>
        <v>0</v>
      </c>
      <c r="N64" s="26">
        <f t="shared" si="17"/>
        <v>0</v>
      </c>
      <c r="O64" s="24"/>
      <c r="P64" s="93">
        <f>'Urban Pass Adoption'!P64</f>
        <v>0</v>
      </c>
      <c r="Q64" s="26">
        <f t="shared" si="18"/>
        <v>0</v>
      </c>
      <c r="R64" s="24"/>
      <c r="S64" s="93">
        <f>'Urban Pass Adoption'!S64</f>
        <v>0</v>
      </c>
      <c r="T64" s="26">
        <f t="shared" si="19"/>
        <v>0</v>
      </c>
      <c r="U64" s="24"/>
      <c r="V64" s="93">
        <f>'Private Car Analysis &amp; Split'!R68</f>
        <v>0</v>
      </c>
      <c r="W64" s="26">
        <f t="shared" si="20"/>
        <v>0</v>
      </c>
      <c r="X64" s="24"/>
      <c r="Y64" s="93">
        <f>'Private Car Analysis &amp; Split'!U68</f>
        <v>0</v>
      </c>
      <c r="Z64" s="26">
        <f t="shared" si="21"/>
        <v>0</v>
      </c>
      <c r="AA64" s="7"/>
      <c r="AB64" s="93">
        <f>'Nonurban Pass Adoption'!G64</f>
        <v>0</v>
      </c>
      <c r="AC64" s="26">
        <f t="shared" si="22"/>
        <v>0</v>
      </c>
      <c r="AD64" s="5"/>
      <c r="AE64" s="93">
        <f>'Nonurban Pass Adoption'!J64</f>
        <v>0</v>
      </c>
      <c r="AF64" s="26">
        <f t="shared" si="23"/>
        <v>0</v>
      </c>
      <c r="AG64" s="24"/>
      <c r="AH64" s="93">
        <f>'Nonurban Pass Adoption'!M64</f>
        <v>0</v>
      </c>
      <c r="AI64" s="26">
        <f t="shared" si="24"/>
        <v>0</v>
      </c>
    </row>
    <row r="65" spans="1:38" ht="14.4" hidden="1" x14ac:dyDescent="0.3">
      <c r="A65" s="30"/>
      <c r="B65" s="19">
        <f t="shared" si="13"/>
        <v>54233.120501427606</v>
      </c>
      <c r="C65" s="93">
        <f t="shared" si="25"/>
        <v>40977.172586077053</v>
      </c>
      <c r="D65" s="26">
        <f t="shared" si="14"/>
        <v>0.75557467848449533</v>
      </c>
      <c r="E65" s="33">
        <v>2014</v>
      </c>
      <c r="F65" s="33"/>
      <c r="G65" s="93">
        <f>'Urban Pass Adoption'!G65</f>
        <v>1133.5323623070581</v>
      </c>
      <c r="H65" s="26">
        <f t="shared" si="15"/>
        <v>2.0901108987029789E-2</v>
      </c>
      <c r="I65" s="30"/>
      <c r="J65" s="93">
        <f>'Urban Pass Adoption'!J65</f>
        <v>713.67726016146844</v>
      </c>
      <c r="K65" s="26">
        <f t="shared" si="16"/>
        <v>1.3159435665198022E-2</v>
      </c>
      <c r="L65" s="34"/>
      <c r="M65" s="93">
        <f>'Urban Pass Adoption'!M65</f>
        <v>264.30794551551298</v>
      </c>
      <c r="N65" s="26">
        <f t="shared" si="17"/>
        <v>4.873552232875028E-3</v>
      </c>
      <c r="O65" s="34"/>
      <c r="P65" s="93">
        <f>'Urban Pass Adoption'!P65</f>
        <v>9573.616099983481</v>
      </c>
      <c r="Q65" s="26">
        <f t="shared" si="18"/>
        <v>0.17652711131994461</v>
      </c>
      <c r="R65" s="34"/>
      <c r="S65" s="93">
        <f>'Urban Pass Adoption'!S65</f>
        <v>3141.4174626346876</v>
      </c>
      <c r="T65" s="26">
        <f t="shared" si="19"/>
        <v>5.7924335416989228E-2</v>
      </c>
      <c r="U65" s="34"/>
      <c r="V65" s="93">
        <f>'Private Car Analysis &amp; Split'!R69</f>
        <v>116.38899289627807</v>
      </c>
      <c r="W65" s="26">
        <f t="shared" si="20"/>
        <v>2.146086963467542E-3</v>
      </c>
      <c r="X65" s="34"/>
      <c r="Y65" s="93">
        <f>'Private Car Analysis &amp; Split'!U69</f>
        <v>252.99595444214927</v>
      </c>
      <c r="Z65" s="26">
        <f t="shared" si="21"/>
        <v>4.6649713699489139E-3</v>
      </c>
      <c r="AA65" s="117"/>
      <c r="AB65" s="93">
        <f>'Nonurban Pass Adoption'!G65</f>
        <v>198.50531656903408</v>
      </c>
      <c r="AC65" s="26">
        <f t="shared" si="22"/>
        <v>3.6602230285422859E-3</v>
      </c>
      <c r="AD65" s="114"/>
      <c r="AE65" s="93">
        <f>'Nonurban Pass Adoption'!J65</f>
        <v>512.4</v>
      </c>
      <c r="AF65" s="26">
        <f t="shared" si="23"/>
        <v>9.4481009992134195E-3</v>
      </c>
      <c r="AG65" s="118"/>
      <c r="AH65" s="93">
        <f>'Nonurban Pass Adoption'!M65</f>
        <v>490.52398347557431</v>
      </c>
      <c r="AI65" s="26">
        <f t="shared" si="24"/>
        <v>9.0447309492851704E-3</v>
      </c>
      <c r="AK65" s="852" t="s">
        <v>220</v>
      </c>
      <c r="AL65" s="852"/>
    </row>
    <row r="66" spans="1:38" ht="14.4" hidden="1" x14ac:dyDescent="0.3">
      <c r="B66" s="19">
        <f t="shared" si="13"/>
        <v>56161.293113241038</v>
      </c>
      <c r="C66" s="93">
        <f t="shared" si="25"/>
        <v>42804.059818129659</v>
      </c>
      <c r="D66" s="26">
        <f t="shared" si="14"/>
        <v>0.76216300311713847</v>
      </c>
      <c r="E66" s="7">
        <v>2015</v>
      </c>
      <c r="F66" s="7"/>
      <c r="G66" s="93">
        <f>'Urban Pass Adoption'!G66</f>
        <v>1183.6492717302899</v>
      </c>
      <c r="H66" s="26">
        <f t="shared" si="15"/>
        <v>2.1075890637767797E-2</v>
      </c>
      <c r="I66" s="5"/>
      <c r="J66" s="93">
        <f>'Urban Pass Adoption'!J66</f>
        <v>730.00794512110224</v>
      </c>
      <c r="K66" s="26">
        <f t="shared" si="16"/>
        <v>1.299841767619467E-2</v>
      </c>
      <c r="L66" s="24"/>
      <c r="M66" s="93">
        <f>'Urban Pass Adoption'!M66</f>
        <v>270.35595913663383</v>
      </c>
      <c r="N66" s="26">
        <f t="shared" si="17"/>
        <v>4.8139197683981488E-3</v>
      </c>
      <c r="O66" s="24"/>
      <c r="P66" s="93">
        <f>'Urban Pass Adoption'!P66</f>
        <v>9607.0706209386408</v>
      </c>
      <c r="Q66" s="26">
        <f t="shared" si="18"/>
        <v>0.17106213351546923</v>
      </c>
      <c r="R66" s="24"/>
      <c r="S66" s="93">
        <f>'Urban Pass Adoption'!S66</f>
        <v>3237.1081048085771</v>
      </c>
      <c r="T66" s="26">
        <f t="shared" si="19"/>
        <v>5.7639486652870005E-2</v>
      </c>
      <c r="U66" s="24"/>
      <c r="V66" s="93">
        <f>'Private Car Analysis &amp; Split'!R70</f>
        <v>121.57668884867235</v>
      </c>
      <c r="W66" s="26">
        <f t="shared" si="20"/>
        <v>2.1647772355157624E-3</v>
      </c>
      <c r="X66" s="24"/>
      <c r="Y66" s="93">
        <f>'Private Car Analysis &amp; Split'!U70</f>
        <v>291.45222628122792</v>
      </c>
      <c r="Z66" s="26">
        <f t="shared" si="21"/>
        <v>5.1895569016467821E-3</v>
      </c>
      <c r="AA66" s="7"/>
      <c r="AB66" s="93">
        <f>'Nonurban Pass Adoption'!G66</f>
        <v>215.36749823103926</v>
      </c>
      <c r="AC66" s="26">
        <f t="shared" si="22"/>
        <v>3.834803051930841E-3</v>
      </c>
      <c r="AD66" s="5"/>
      <c r="AE66" s="93">
        <f>'Nonurban Pass Adoption'!J66</f>
        <v>657.22498335369505</v>
      </c>
      <c r="AF66" s="26">
        <f t="shared" si="23"/>
        <v>1.1702454607455297E-2</v>
      </c>
      <c r="AG66" s="24"/>
      <c r="AH66" s="93">
        <f>'Nonurban Pass Adoption'!M66</f>
        <v>280.52810147008699</v>
      </c>
      <c r="AI66" s="26">
        <f t="shared" si="24"/>
        <v>4.9950434884831283E-3</v>
      </c>
      <c r="AK66" s="221" t="s">
        <v>221</v>
      </c>
      <c r="AL66" s="222">
        <f>C65</f>
        <v>40977.172586077053</v>
      </c>
    </row>
    <row r="67" spans="1:38" ht="14.4" hidden="1" x14ac:dyDescent="0.3">
      <c r="B67" s="19">
        <f t="shared" si="13"/>
        <v>58045.282977613118</v>
      </c>
      <c r="C67" s="93">
        <f t="shared" si="25"/>
        <v>44169.315649325232</v>
      </c>
      <c r="D67" s="26">
        <f t="shared" si="14"/>
        <v>0.76094582339034222</v>
      </c>
      <c r="E67" s="7">
        <v>2016</v>
      </c>
      <c r="F67" s="7"/>
      <c r="G67" s="93">
        <f>'Urban Pass Adoption'!G67</f>
        <v>1233.7661811535363</v>
      </c>
      <c r="H67" s="26">
        <f t="shared" si="15"/>
        <v>2.1255235875572778E-2</v>
      </c>
      <c r="I67" s="5"/>
      <c r="J67" s="93">
        <f>'Urban Pass Adoption'!J67</f>
        <v>746.33863008073604</v>
      </c>
      <c r="K67" s="26">
        <f t="shared" si="16"/>
        <v>1.2857868749965154E-2</v>
      </c>
      <c r="L67" s="24"/>
      <c r="M67" s="93">
        <f>'Urban Pass Adoption'!M67</f>
        <v>276.40397275775649</v>
      </c>
      <c r="N67" s="26">
        <f t="shared" si="17"/>
        <v>4.7618679516879927E-3</v>
      </c>
      <c r="O67" s="24"/>
      <c r="P67" s="93">
        <f>'Urban Pass Adoption'!P67</f>
        <v>9640.5251418938005</v>
      </c>
      <c r="Q67" s="26">
        <f t="shared" si="18"/>
        <v>0.16608628035480427</v>
      </c>
      <c r="R67" s="24"/>
      <c r="S67" s="93">
        <f>'Urban Pass Adoption'!S67</f>
        <v>3330.0461502061598</v>
      </c>
      <c r="T67" s="26">
        <f t="shared" si="19"/>
        <v>5.7369797843702316E-2</v>
      </c>
      <c r="U67" s="24"/>
      <c r="V67" s="93">
        <f>'Private Car Analysis &amp; Split'!R71</f>
        <v>126.76438480106481</v>
      </c>
      <c r="W67" s="26">
        <f t="shared" si="20"/>
        <v>2.1838877906746575E-3</v>
      </c>
      <c r="X67" s="24"/>
      <c r="Y67" s="93">
        <f>'Private Car Analysis &amp; Split'!U71</f>
        <v>334.13093232809371</v>
      </c>
      <c r="Z67" s="26">
        <f t="shared" si="21"/>
        <v>5.7563838987047611E-3</v>
      </c>
      <c r="AA67" s="7"/>
      <c r="AB67" s="93">
        <f>'Nonurban Pass Adoption'!G67</f>
        <v>232.22967989304448</v>
      </c>
      <c r="AC67" s="26">
        <f t="shared" si="22"/>
        <v>4.000836381185543E-3</v>
      </c>
      <c r="AD67" s="5"/>
      <c r="AE67" s="93">
        <f>'Nonurban Pass Adoption'!J67</f>
        <v>741.39563313262511</v>
      </c>
      <c r="AF67" s="26">
        <f t="shared" si="23"/>
        <v>1.2772711150681551E-2</v>
      </c>
      <c r="AG67" s="24"/>
      <c r="AH67" s="93">
        <f>'Nonurban Pass Adoption'!M67</f>
        <v>544.41277224722285</v>
      </c>
      <c r="AI67" s="26">
        <f t="shared" si="24"/>
        <v>9.3791044563809219E-3</v>
      </c>
      <c r="AK67" s="223" t="str">
        <f>G61</f>
        <v>Walking</v>
      </c>
      <c r="AL67" s="222">
        <f>G65</f>
        <v>1133.5323623070581</v>
      </c>
    </row>
    <row r="68" spans="1:38" ht="14.4" hidden="1" x14ac:dyDescent="0.3">
      <c r="B68" s="19">
        <f t="shared" si="13"/>
        <v>59973.154868069389</v>
      </c>
      <c r="C68" s="93">
        <f t="shared" si="25"/>
        <v>45529.485708487977</v>
      </c>
      <c r="D68" s="26">
        <f t="shared" si="14"/>
        <v>0.75916442629448133</v>
      </c>
      <c r="E68" s="7">
        <v>2017</v>
      </c>
      <c r="F68" s="7"/>
      <c r="G68" s="93">
        <f>'Urban Pass Adoption'!G68</f>
        <v>1283.8830905767682</v>
      </c>
      <c r="H68" s="26">
        <f t="shared" si="15"/>
        <v>2.1407629687000624E-2</v>
      </c>
      <c r="I68" s="5"/>
      <c r="J68" s="93">
        <f>'Urban Pass Adoption'!J68</f>
        <v>762.66931504036984</v>
      </c>
      <c r="K68" s="26">
        <f t="shared" si="16"/>
        <v>1.2716845007038749E-2</v>
      </c>
      <c r="L68" s="24"/>
      <c r="M68" s="93">
        <f>'Urban Pass Adoption'!M68</f>
        <v>282.45198637887916</v>
      </c>
      <c r="N68" s="26">
        <f t="shared" si="17"/>
        <v>4.7096402882293728E-3</v>
      </c>
      <c r="O68" s="24"/>
      <c r="P68" s="93">
        <f>'Urban Pass Adoption'!P68</f>
        <v>9673.9796628489603</v>
      </c>
      <c r="Q68" s="26">
        <f t="shared" si="18"/>
        <v>0.16130516535490003</v>
      </c>
      <c r="R68" s="24"/>
      <c r="S68" s="93">
        <f>'Urban Pass Adoption'!S68</f>
        <v>3422.7338233785767</v>
      </c>
      <c r="T68" s="26">
        <f t="shared" si="19"/>
        <v>5.7071098409079889E-2</v>
      </c>
      <c r="U68" s="24"/>
      <c r="V68" s="93">
        <f>'Private Car Analysis &amp; Split'!R72</f>
        <v>131.95208075345909</v>
      </c>
      <c r="W68" s="26">
        <f t="shared" si="20"/>
        <v>2.2001857505033868E-3</v>
      </c>
      <c r="X68" s="24"/>
      <c r="Y68" s="93">
        <f>'Private Car Analysis &amp; Split'!U72</f>
        <v>380.8746575800638</v>
      </c>
      <c r="Z68" s="26">
        <f t="shared" si="21"/>
        <v>6.3507524061044056E-3</v>
      </c>
      <c r="AA68" s="7"/>
      <c r="AB68" s="93">
        <f>'Nonurban Pass Adoption'!G68</f>
        <v>249.09186155504966</v>
      </c>
      <c r="AC68" s="26">
        <f t="shared" si="22"/>
        <v>4.1533893306598402E-3</v>
      </c>
      <c r="AD68" s="5"/>
      <c r="AE68" s="93">
        <f>'Nonurban Pass Adoption'!J68</f>
        <v>821.33675940267619</v>
      </c>
      <c r="AF68" s="26">
        <f t="shared" si="23"/>
        <v>1.3695073424259165E-2</v>
      </c>
      <c r="AG68" s="24"/>
      <c r="AH68" s="93">
        <f>'Nonurban Pass Adoption'!M68</f>
        <v>857.42974544519143</v>
      </c>
      <c r="AI68" s="26">
        <f t="shared" si="24"/>
        <v>1.429689245682321E-2</v>
      </c>
      <c r="AK68" s="223" t="str">
        <f>J61</f>
        <v>Biking</v>
      </c>
      <c r="AL68" s="222">
        <f>J65</f>
        <v>713.67726016146844</v>
      </c>
    </row>
    <row r="69" spans="1:38" ht="14.4" hidden="1" x14ac:dyDescent="0.3">
      <c r="B69" s="19">
        <f t="shared" si="13"/>
        <v>61917.143016633781</v>
      </c>
      <c r="C69" s="93">
        <f t="shared" si="25"/>
        <v>46953.84229438661</v>
      </c>
      <c r="D69" s="26">
        <f t="shared" si="14"/>
        <v>0.75833347610649049</v>
      </c>
      <c r="E69" s="7">
        <v>2018</v>
      </c>
      <c r="F69" s="7"/>
      <c r="G69" s="93">
        <f>'Urban Pass Adoption'!G69</f>
        <v>1334.0000000000146</v>
      </c>
      <c r="H69" s="26">
        <f t="shared" si="15"/>
        <v>2.1544921729376967E-2</v>
      </c>
      <c r="I69" s="5"/>
      <c r="J69" s="93">
        <f>'Urban Pass Adoption'!J69</f>
        <v>779.00000000000364</v>
      </c>
      <c r="K69" s="26">
        <f t="shared" si="16"/>
        <v>1.2581329855460685E-2</v>
      </c>
      <c r="L69" s="24"/>
      <c r="M69" s="93">
        <f>'Urban Pass Adoption'!M69</f>
        <v>288.5</v>
      </c>
      <c r="N69" s="26">
        <f t="shared" si="17"/>
        <v>4.6594527128374719E-3</v>
      </c>
      <c r="O69" s="24"/>
      <c r="P69" s="93">
        <f>'Urban Pass Adoption'!P69</f>
        <v>9673.0101265840403</v>
      </c>
      <c r="Q69" s="26">
        <f t="shared" si="18"/>
        <v>0.15622507201253499</v>
      </c>
      <c r="R69" s="24"/>
      <c r="S69" s="93">
        <f>'Urban Pass Adoption'!S69</f>
        <v>3515.2217174527982</v>
      </c>
      <c r="T69" s="26">
        <f t="shared" si="19"/>
        <v>5.6772996074906892E-2</v>
      </c>
      <c r="U69" s="24"/>
      <c r="V69" s="93">
        <f>'Private Car Analysis &amp; Split'!R73</f>
        <v>137.13977670585155</v>
      </c>
      <c r="W69" s="26">
        <f t="shared" si="20"/>
        <v>2.2148918703986313E-3</v>
      </c>
      <c r="X69" s="24"/>
      <c r="Y69" s="93">
        <f>'Private Car Analysis &amp; Split'!U73</f>
        <v>404.53037467026184</v>
      </c>
      <c r="Z69" s="26">
        <f t="shared" si="21"/>
        <v>6.5334147372010758E-3</v>
      </c>
      <c r="AA69" s="7"/>
      <c r="AB69" s="93">
        <f>'Nonurban Pass Adoption'!G69</f>
        <v>265.95404321705485</v>
      </c>
      <c r="AC69" s="26">
        <f t="shared" si="22"/>
        <v>4.2953216227306773E-3</v>
      </c>
      <c r="AD69" s="5"/>
      <c r="AE69" s="93">
        <f>'Nonurban Pass Adoption'!J69</f>
        <v>897.27986600846998</v>
      </c>
      <c r="AF69" s="26">
        <f t="shared" si="23"/>
        <v>1.4491622550598297E-2</v>
      </c>
      <c r="AG69" s="24"/>
      <c r="AH69" s="93">
        <f>'Nonurban Pass Adoption'!M69</f>
        <v>1183.8865350614719</v>
      </c>
      <c r="AI69" s="26">
        <f t="shared" si="24"/>
        <v>1.9120496802370643E-2</v>
      </c>
      <c r="AK69" s="223" t="str">
        <f>M61</f>
        <v>E-Bikes</v>
      </c>
      <c r="AL69" s="222">
        <f>M65</f>
        <v>264.30794551551298</v>
      </c>
    </row>
    <row r="70" spans="1:38" ht="14.4" hidden="1" x14ac:dyDescent="0.3">
      <c r="B70" s="19">
        <f t="shared" si="13"/>
        <v>63877.853677332525</v>
      </c>
      <c r="C70" s="93">
        <f t="shared" si="25"/>
        <v>47085.397128837882</v>
      </c>
      <c r="D70" s="26">
        <f t="shared" si="14"/>
        <v>0.73711614304828221</v>
      </c>
      <c r="E70" s="7">
        <v>2019</v>
      </c>
      <c r="F70" s="7"/>
      <c r="G70" s="93">
        <f>'Urban Pass Adoption'!G70</f>
        <v>1797.3007899192203</v>
      </c>
      <c r="H70" s="26">
        <f t="shared" si="15"/>
        <v>2.8136524420465998E-2</v>
      </c>
      <c r="I70" s="5"/>
      <c r="J70" s="93">
        <f>'Urban Pass Adoption'!J70</f>
        <v>795.33068495963744</v>
      </c>
      <c r="K70" s="26">
        <f t="shared" si="16"/>
        <v>1.2450804765249427E-2</v>
      </c>
      <c r="L70" s="24"/>
      <c r="M70" s="93">
        <f>'Urban Pass Adoption'!M70</f>
        <v>330.47340471498489</v>
      </c>
      <c r="N70" s="26">
        <f t="shared" si="17"/>
        <v>5.1735208008758683E-3</v>
      </c>
      <c r="O70" s="24"/>
      <c r="P70" s="93">
        <f>'Urban Pass Adoption'!P70</f>
        <v>9708.1710089633289</v>
      </c>
      <c r="Q70" s="26">
        <f t="shared" si="18"/>
        <v>0.151980231803066</v>
      </c>
      <c r="R70" s="24"/>
      <c r="S70" s="93">
        <f>'Urban Pass Adoption'!S70</f>
        <v>4705.4102103452597</v>
      </c>
      <c r="T70" s="26">
        <f t="shared" si="19"/>
        <v>7.3662622324691618E-2</v>
      </c>
      <c r="U70" s="24"/>
      <c r="V70" s="93">
        <f>'Private Car Analysis &amp; Split'!R74</f>
        <v>100.95610393109587</v>
      </c>
      <c r="W70" s="26">
        <f t="shared" si="20"/>
        <v>1.5804554805654155E-3</v>
      </c>
      <c r="X70" s="24"/>
      <c r="Y70" s="93">
        <f>'Private Car Analysis &amp; Split'!U74</f>
        <v>473.60267778239267</v>
      </c>
      <c r="Z70" s="26">
        <f t="shared" si="21"/>
        <v>7.414192095036745E-3</v>
      </c>
      <c r="AA70" s="7"/>
      <c r="AB70" s="93">
        <f>'Nonurban Pass Adoption'!G70</f>
        <v>455.57696355017856</v>
      </c>
      <c r="AC70" s="26">
        <f t="shared" si="22"/>
        <v>7.1320017396239322E-3</v>
      </c>
      <c r="AD70" s="5"/>
      <c r="AE70" s="93">
        <f>'Nonurban Pass Adoption'!J70</f>
        <v>969.45645679462791</v>
      </c>
      <c r="AF70" s="26">
        <f t="shared" si="23"/>
        <v>1.517672246302549E-2</v>
      </c>
      <c r="AG70" s="24"/>
      <c r="AH70" s="93">
        <f>'Nonurban Pass Adoption'!M70</f>
        <v>2161.5884578791765</v>
      </c>
      <c r="AI70" s="26">
        <f t="shared" si="24"/>
        <v>3.3839403383808905E-2</v>
      </c>
      <c r="AK70" s="223" t="str">
        <f>P61</f>
        <v>Urban Public Transit</v>
      </c>
      <c r="AL70" s="222">
        <f>P65</f>
        <v>9573.616099983481</v>
      </c>
    </row>
    <row r="71" spans="1:38" ht="14.4" x14ac:dyDescent="0.3">
      <c r="A71" s="30"/>
      <c r="B71" s="19">
        <f t="shared" si="13"/>
        <v>65867.186969489674</v>
      </c>
      <c r="C71" s="93">
        <f t="shared" si="25"/>
        <v>47609.23391813862</v>
      </c>
      <c r="D71" s="26">
        <f t="shared" si="14"/>
        <v>0.72280654615160178</v>
      </c>
      <c r="E71" s="33">
        <v>2020</v>
      </c>
      <c r="F71" s="33"/>
      <c r="G71" s="93">
        <f>'Urban Pass Adoption'!G71</f>
        <v>1878.9074055774972</v>
      </c>
      <c r="H71" s="26">
        <f t="shared" si="15"/>
        <v>2.8525696815439008E-2</v>
      </c>
      <c r="I71" s="30"/>
      <c r="J71" s="93">
        <f>'Urban Pass Adoption'!J71</f>
        <v>1195.3454260349342</v>
      </c>
      <c r="K71" s="26">
        <f t="shared" si="16"/>
        <v>1.8147813517353183E-2</v>
      </c>
      <c r="L71" s="34"/>
      <c r="M71" s="93">
        <f>'Urban Pass Adoption'!M71</f>
        <v>363.4459991656384</v>
      </c>
      <c r="N71" s="26">
        <f t="shared" si="17"/>
        <v>5.517861258201146E-3</v>
      </c>
      <c r="O71" s="34"/>
      <c r="P71" s="93">
        <f>'Urban Pass Adoption'!P71</f>
        <v>9749.4862370388182</v>
      </c>
      <c r="Q71" s="26">
        <f t="shared" si="18"/>
        <v>0.14801734650600573</v>
      </c>
      <c r="R71" s="34"/>
      <c r="S71" s="93">
        <f>'Urban Pass Adoption'!S71</f>
        <v>4916.5632753885529</v>
      </c>
      <c r="T71" s="26">
        <f t="shared" si="19"/>
        <v>7.4643589647542613E-2</v>
      </c>
      <c r="U71" s="34"/>
      <c r="V71" s="93">
        <f>'Private Car Analysis &amp; Split'!R75</f>
        <v>183.94918774375452</v>
      </c>
      <c r="W71" s="26">
        <f t="shared" si="20"/>
        <v>2.7927287653708604E-3</v>
      </c>
      <c r="X71" s="34"/>
      <c r="Y71" s="93">
        <f>'Private Car Analysis &amp; Split'!U75</f>
        <v>550.10315348453435</v>
      </c>
      <c r="Z71" s="26">
        <f t="shared" si="21"/>
        <v>8.35170255167186E-3</v>
      </c>
      <c r="AA71" s="33"/>
      <c r="AB71" s="93">
        <f>'Nonurban Pass Adoption'!G71</f>
        <v>532.07209173887907</v>
      </c>
      <c r="AC71" s="26">
        <f t="shared" si="22"/>
        <v>8.0779537766709261E-3</v>
      </c>
      <c r="AD71" s="30"/>
      <c r="AE71" s="93">
        <f>'Nonurban Pass Adoption'!J71</f>
        <v>1038.0980356057717</v>
      </c>
      <c r="AF71" s="26">
        <f t="shared" si="23"/>
        <v>1.5760473209317848E-2</v>
      </c>
      <c r="AG71" s="34"/>
      <c r="AH71" s="93">
        <f>'Nonurban Pass Adoption'!M71</f>
        <v>2766.5455149612299</v>
      </c>
      <c r="AI71" s="26">
        <f t="shared" si="24"/>
        <v>4.2001877448367739E-2</v>
      </c>
      <c r="AK71" s="223" t="str">
        <f>S61</f>
        <v>Carpooling (IGNORED FOR PLOT)</v>
      </c>
      <c r="AL71" s="222">
        <f>S65</f>
        <v>3141.4174626346876</v>
      </c>
    </row>
    <row r="72" spans="1:38" ht="14.4" x14ac:dyDescent="0.3">
      <c r="B72" s="19">
        <f t="shared" si="13"/>
        <v>67817.130028718326</v>
      </c>
      <c r="C72" s="93">
        <f t="shared" si="25"/>
        <v>48385.456613670111</v>
      </c>
      <c r="D72" s="26">
        <f t="shared" si="14"/>
        <v>0.71346954070719981</v>
      </c>
      <c r="E72" s="7">
        <v>2021</v>
      </c>
      <c r="F72" s="7"/>
      <c r="G72" s="93">
        <f>'Urban Pass Adoption'!G72</f>
        <v>1959.8086521002074</v>
      </c>
      <c r="H72" s="26">
        <f t="shared" si="15"/>
        <v>2.8898430990375038E-2</v>
      </c>
      <c r="I72" s="5"/>
      <c r="J72" s="93">
        <f>'Urban Pass Adoption'!J72</f>
        <v>1265.0444465469695</v>
      </c>
      <c r="K72" s="26">
        <f t="shared" si="16"/>
        <v>1.8653759691854621E-2</v>
      </c>
      <c r="L72" s="24"/>
      <c r="M72" s="93">
        <f>'Urban Pass Adoption'!M72</f>
        <v>397.16585610479069</v>
      </c>
      <c r="N72" s="26">
        <f t="shared" si="17"/>
        <v>5.8564238259065813E-3</v>
      </c>
      <c r="O72" s="24"/>
      <c r="P72" s="93">
        <f>'Urban Pass Adoption'!P72</f>
        <v>9796.407752946423</v>
      </c>
      <c r="Q72" s="26">
        <f t="shared" si="18"/>
        <v>0.14445329297771767</v>
      </c>
      <c r="R72" s="24"/>
      <c r="S72" s="93">
        <f>'Urban Pass Adoption'!S72</f>
        <v>5223.1300089008655</v>
      </c>
      <c r="T72" s="26">
        <f t="shared" si="19"/>
        <v>7.701785679649141E-2</v>
      </c>
      <c r="U72" s="24"/>
      <c r="V72" s="93">
        <f>'Private Car Analysis &amp; Split'!R76</f>
        <v>290.43608327460674</v>
      </c>
      <c r="W72" s="26">
        <f t="shared" si="20"/>
        <v>4.2826360117512582E-3</v>
      </c>
      <c r="X72" s="24"/>
      <c r="Y72" s="93">
        <f>'Private Car Analysis &amp; Split'!U76</f>
        <v>634.29548145312083</v>
      </c>
      <c r="Z72" s="26">
        <f t="shared" si="21"/>
        <v>9.3530274900237974E-3</v>
      </c>
      <c r="AA72" s="7"/>
      <c r="AB72" s="93">
        <f>'Nonurban Pass Adoption'!G72</f>
        <v>608.22000496821863</v>
      </c>
      <c r="AC72" s="26">
        <f t="shared" si="22"/>
        <v>8.9685305867508325E-3</v>
      </c>
      <c r="AD72" s="5"/>
      <c r="AE72" s="93">
        <f>'Nonurban Pass Adoption'!J72</f>
        <v>1103.4361062865223</v>
      </c>
      <c r="AF72" s="26">
        <f t="shared" si="23"/>
        <v>1.6270757931207844E-2</v>
      </c>
      <c r="AG72" s="24"/>
      <c r="AH72" s="93">
        <f>'Nonurban Pass Adoption'!M72</f>
        <v>3376.8590313673471</v>
      </c>
      <c r="AI72" s="26">
        <f t="shared" si="24"/>
        <v>4.9793599787212442E-2</v>
      </c>
      <c r="AK72" s="223" t="str">
        <f>V61</f>
        <v>Electric Cars</v>
      </c>
      <c r="AL72" s="222">
        <f>V65</f>
        <v>116.38899289627807</v>
      </c>
    </row>
    <row r="73" spans="1:38" ht="14.4" x14ac:dyDescent="0.3">
      <c r="B73" s="19">
        <f t="shared" si="13"/>
        <v>69788.258818993112</v>
      </c>
      <c r="C73" s="93">
        <f t="shared" si="25"/>
        <v>49443.343280700297</v>
      </c>
      <c r="D73" s="26">
        <f t="shared" si="14"/>
        <v>0.7084765276769468</v>
      </c>
      <c r="E73" s="7">
        <v>2022</v>
      </c>
      <c r="F73" s="7"/>
      <c r="G73" s="93">
        <f>'Urban Pass Adoption'!G73</f>
        <v>2039.9372303391337</v>
      </c>
      <c r="H73" s="26">
        <f t="shared" si="15"/>
        <v>2.9230378646213737E-2</v>
      </c>
      <c r="I73" s="5"/>
      <c r="J73" s="93">
        <f>'Urban Pass Adoption'!J73</f>
        <v>1333.6247707868076</v>
      </c>
      <c r="K73" s="26">
        <f t="shared" si="16"/>
        <v>1.9109586531536406E-2</v>
      </c>
      <c r="L73" s="24"/>
      <c r="M73" s="93">
        <f>'Urban Pass Adoption'!M73</f>
        <v>431.6248027175767</v>
      </c>
      <c r="N73" s="26">
        <f t="shared" si="17"/>
        <v>6.1847767808201649E-3</v>
      </c>
      <c r="O73" s="24"/>
      <c r="P73" s="93">
        <f>'Urban Pass Adoption'!P73</f>
        <v>9549.9565436913363</v>
      </c>
      <c r="Q73" s="26">
        <f t="shared" si="18"/>
        <v>0.13684188007126899</v>
      </c>
      <c r="R73" s="24"/>
      <c r="S73" s="93">
        <f>'Urban Pass Adoption'!S73</f>
        <v>5632.4097942228518</v>
      </c>
      <c r="T73" s="26">
        <f t="shared" si="19"/>
        <v>8.0707125948383349E-2</v>
      </c>
      <c r="U73" s="24"/>
      <c r="V73" s="93">
        <f>'Private Car Analysis &amp; Split'!R77</f>
        <v>421.08040300586612</v>
      </c>
      <c r="W73" s="26">
        <f t="shared" si="20"/>
        <v>6.0336854670354325E-3</v>
      </c>
      <c r="X73" s="24"/>
      <c r="Y73" s="93">
        <f>'Private Car Analysis &amp; Split'!U77</f>
        <v>726.4433413645869</v>
      </c>
      <c r="Z73" s="26">
        <f t="shared" si="21"/>
        <v>1.0409248685351681E-2</v>
      </c>
      <c r="AA73" s="7"/>
      <c r="AB73" s="93">
        <f>'Nonurban Pass Adoption'!G73</f>
        <v>684.01726660848465</v>
      </c>
      <c r="AC73" s="26">
        <f t="shared" si="22"/>
        <v>9.8013230045270461E-3</v>
      </c>
      <c r="AD73" s="5"/>
      <c r="AE73" s="93">
        <f>'Nonurban Pass Adoption'!J73</f>
        <v>1165.7021726815024</v>
      </c>
      <c r="AF73" s="26">
        <f t="shared" si="23"/>
        <v>1.6703413903833529E-2</v>
      </c>
      <c r="AG73" s="24"/>
      <c r="AH73" s="93">
        <f>'Nonurban Pass Adoption'!M73</f>
        <v>3992.5290070975279</v>
      </c>
      <c r="AI73" s="26">
        <f t="shared" si="24"/>
        <v>5.7209179232466358E-2</v>
      </c>
      <c r="AK73" s="223" t="str">
        <f>Y61</f>
        <v>Hybrid Cars</v>
      </c>
      <c r="AL73" s="222">
        <f>Y65</f>
        <v>252.99595444214927</v>
      </c>
    </row>
    <row r="74" spans="1:38" ht="14.4" x14ac:dyDescent="0.3">
      <c r="B74" s="19">
        <f t="shared" si="13"/>
        <v>71775.782892018935</v>
      </c>
      <c r="C74" s="93">
        <f t="shared" si="25"/>
        <v>49821.494381159857</v>
      </c>
      <c r="D74" s="26">
        <f t="shared" si="14"/>
        <v>0.69412679839539204</v>
      </c>
      <c r="E74" s="7">
        <v>2023</v>
      </c>
      <c r="F74" s="7"/>
      <c r="G74" s="93">
        <f>'Urban Pass Adoption'!G74</f>
        <v>2119.2258411460607</v>
      </c>
      <c r="H74" s="26">
        <f t="shared" si="15"/>
        <v>2.952563881238705E-2</v>
      </c>
      <c r="I74" s="5"/>
      <c r="J74" s="93">
        <f>'Urban Pass Adoption'!J74</f>
        <v>1401.129998827842</v>
      </c>
      <c r="K74" s="26">
        <f t="shared" si="16"/>
        <v>1.9520929516515798E-2</v>
      </c>
      <c r="L74" s="24"/>
      <c r="M74" s="93">
        <f>'Urban Pass Adoption'!M74</f>
        <v>466.81466618913163</v>
      </c>
      <c r="N74" s="26">
        <f t="shared" si="17"/>
        <v>6.5037906572390563E-3</v>
      </c>
      <c r="O74" s="24"/>
      <c r="P74" s="93">
        <f>'Urban Pass Adoption'!P74</f>
        <v>9965.6181269877852</v>
      </c>
      <c r="Q74" s="26">
        <f t="shared" si="18"/>
        <v>0.1388437398444024</v>
      </c>
      <c r="R74" s="24"/>
      <c r="S74" s="93">
        <f>'Urban Pass Adoption'!S74</f>
        <v>5844.7434763398942</v>
      </c>
      <c r="T74" s="26">
        <f t="shared" si="19"/>
        <v>8.1430577847306174E-2</v>
      </c>
      <c r="U74" s="24"/>
      <c r="V74" s="93">
        <f>'Private Car Analysis &amp; Split'!R78</f>
        <v>576.54575941974588</v>
      </c>
      <c r="W74" s="26">
        <f t="shared" si="20"/>
        <v>8.0325945073579201E-3</v>
      </c>
      <c r="X74" s="24"/>
      <c r="Y74" s="93">
        <f>'Private Car Analysis &amp; Split'!U78</f>
        <v>826.81041289536665</v>
      </c>
      <c r="Z74" s="26">
        <f t="shared" si="21"/>
        <v>1.1519350672067741E-2</v>
      </c>
      <c r="AA74" s="7"/>
      <c r="AB74" s="93">
        <f>'Nonurban Pass Adoption'!G74</f>
        <v>759.46052460603187</v>
      </c>
      <c r="AC74" s="26">
        <f t="shared" si="22"/>
        <v>1.0581013456148309E-2</v>
      </c>
      <c r="AD74" s="5"/>
      <c r="AE74" s="93">
        <f>'Nonurban Pass Adoption'!J74</f>
        <v>1225.1277386353324</v>
      </c>
      <c r="AF74" s="26">
        <f t="shared" si="23"/>
        <v>1.7068817493477453E-2</v>
      </c>
      <c r="AG74" s="24"/>
      <c r="AH74" s="93">
        <f>'Nonurban Pass Adoption'!M74</f>
        <v>4613.5554421517736</v>
      </c>
      <c r="AI74" s="26">
        <f t="shared" si="24"/>
        <v>6.4277326645012123E-2</v>
      </c>
      <c r="AK74" s="223" t="str">
        <f>AB61</f>
        <v>Nonurban Telepresence</v>
      </c>
      <c r="AL74" s="222">
        <f>AB65</f>
        <v>198.50531656903408</v>
      </c>
    </row>
    <row r="75" spans="1:38" ht="14.4" x14ac:dyDescent="0.3">
      <c r="B75" s="19">
        <f t="shared" si="13"/>
        <v>73779.841038869112</v>
      </c>
      <c r="C75" s="93">
        <f>B75-IF($G$59="Include",G75,0)-IF($J$59="Include",J75,0)-IF($M$59="Include",M75,0)-IF($P$59="Include",P75,0)-IF($V$59="Include",V75,0)-IF($Y$59="Include",Y75,0)-IF($AB$59="Include",AB75,0)-IF($AE$59="Include",AE75,0)-IF($AH$59="Include",AH75,0)</f>
        <v>50185.762634328952</v>
      </c>
      <c r="D75" s="26">
        <f t="shared" si="14"/>
        <v>0.6802096877369227</v>
      </c>
      <c r="E75" s="7">
        <v>2024</v>
      </c>
      <c r="F75" s="7"/>
      <c r="G75" s="93">
        <f>'Urban Pass Adoption'!G75</f>
        <v>2197.6071853727703</v>
      </c>
      <c r="H75" s="26">
        <f t="shared" si="15"/>
        <v>2.9786011387785648E-2</v>
      </c>
      <c r="I75" s="5"/>
      <c r="J75" s="93">
        <f>'Urban Pass Adoption'!J75</f>
        <v>1467.6037307434663</v>
      </c>
      <c r="K75" s="26">
        <f t="shared" si="16"/>
        <v>1.9891662953980815E-2</v>
      </c>
      <c r="L75" s="24"/>
      <c r="M75" s="93">
        <f>'Urban Pass Adoption'!M75</f>
        <v>502.72727370459057</v>
      </c>
      <c r="N75" s="26">
        <f t="shared" si="17"/>
        <v>6.8138839366669408E-3</v>
      </c>
      <c r="O75" s="24"/>
      <c r="P75" s="93">
        <f>'Urban Pass Adoption'!P75</f>
        <v>10376.554917813648</v>
      </c>
      <c r="Q75" s="26">
        <f t="shared" si="18"/>
        <v>0.1406421425108115</v>
      </c>
      <c r="R75" s="24"/>
      <c r="S75" s="93">
        <f>'Urban Pass Adoption'!S75</f>
        <v>6063.974345221829</v>
      </c>
      <c r="T75" s="26">
        <f t="shared" si="19"/>
        <v>8.2190124834061004E-2</v>
      </c>
      <c r="U75" s="24"/>
      <c r="V75" s="93">
        <f>'Private Car Analysis &amp; Split'!R79</f>
        <v>757.49576499845932</v>
      </c>
      <c r="W75" s="26">
        <f t="shared" si="20"/>
        <v>1.0266974749910224E-2</v>
      </c>
      <c r="X75" s="24"/>
      <c r="Y75" s="93">
        <f>'Private Car Analysis &amp; Split'!U79</f>
        <v>935.66037572189475</v>
      </c>
      <c r="Z75" s="26">
        <f t="shared" si="21"/>
        <v>1.2681788989338767E-2</v>
      </c>
      <c r="AA75" s="7"/>
      <c r="AB75" s="93">
        <f>'Nonurban Pass Adoption'!G75</f>
        <v>834.54651166261465</v>
      </c>
      <c r="AC75" s="26">
        <f t="shared" si="22"/>
        <v>1.1311308074287584E-2</v>
      </c>
      <c r="AD75" s="5"/>
      <c r="AE75" s="93">
        <f>'Nonurban Pass Adoption'!J75</f>
        <v>1281.9443079926345</v>
      </c>
      <c r="AF75" s="26">
        <f t="shared" si="23"/>
        <v>1.7375265247823908E-2</v>
      </c>
      <c r="AG75" s="24"/>
      <c r="AH75" s="93">
        <f>'Nonurban Pass Adoption'!M75</f>
        <v>5239.9383365300819</v>
      </c>
      <c r="AI75" s="26">
        <f t="shared" si="24"/>
        <v>7.1021274412471941E-2</v>
      </c>
      <c r="AK75" s="223" t="str">
        <f>AE61</f>
        <v>High Speed Rail</v>
      </c>
      <c r="AL75" s="222">
        <f>AE65</f>
        <v>512.4</v>
      </c>
    </row>
    <row r="76" spans="1:38" ht="14.4" x14ac:dyDescent="0.3">
      <c r="B76" s="19">
        <f t="shared" si="13"/>
        <v>75793.728942057758</v>
      </c>
      <c r="C76" s="93">
        <f t="shared" si="25"/>
        <v>50522.531506411498</v>
      </c>
      <c r="D76" s="26">
        <f t="shared" si="14"/>
        <v>0.66657930954993116</v>
      </c>
      <c r="E76" s="7">
        <v>2025</v>
      </c>
      <c r="F76" s="7"/>
      <c r="G76" s="93">
        <f>'Urban Pass Adoption'!G76</f>
        <v>2275.0139638710466</v>
      </c>
      <c r="H76" s="26">
        <f t="shared" si="15"/>
        <v>3.001586009325696E-2</v>
      </c>
      <c r="I76" s="5"/>
      <c r="J76" s="93">
        <f>'Urban Pass Adoption'!J76</f>
        <v>1533.0895666070742</v>
      </c>
      <c r="K76" s="26">
        <f t="shared" si="16"/>
        <v>2.0227129447333028E-2</v>
      </c>
      <c r="L76" s="24"/>
      <c r="M76" s="93">
        <f>'Urban Pass Adoption'!M76</f>
        <v>539.35445244908851</v>
      </c>
      <c r="N76" s="26">
        <f t="shared" si="17"/>
        <v>7.1160828208018407E-3</v>
      </c>
      <c r="O76" s="24"/>
      <c r="P76" s="93">
        <f>'Urban Pass Adoption'!P76</f>
        <v>10782.543099270131</v>
      </c>
      <c r="Q76" s="26">
        <f t="shared" si="18"/>
        <v>0.14226167850262508</v>
      </c>
      <c r="R76" s="24"/>
      <c r="S76" s="93">
        <f>'Urban Pass Adoption'!S76</f>
        <v>6288.5627370836346</v>
      </c>
      <c r="T76" s="26">
        <f t="shared" si="19"/>
        <v>8.2969433287694155E-2</v>
      </c>
      <c r="U76" s="24"/>
      <c r="V76" s="93">
        <f>'Private Car Analysis &amp; Split'!R80</f>
        <v>964.59403222421997</v>
      </c>
      <c r="W76" s="26">
        <f t="shared" si="20"/>
        <v>1.2726567826760784E-2</v>
      </c>
      <c r="X76" s="24"/>
      <c r="Y76" s="93">
        <f>'Private Car Analysis &amp; Split'!U80</f>
        <v>1053.2569095206054</v>
      </c>
      <c r="Z76" s="26">
        <f t="shared" si="21"/>
        <v>1.3896359556683002E-2</v>
      </c>
      <c r="AA76" s="7"/>
      <c r="AB76" s="93">
        <f>'Nonurban Pass Adoption'!G76</f>
        <v>909.27204537602029</v>
      </c>
      <c r="AC76" s="26">
        <f t="shared" si="22"/>
        <v>1.1996665925635273E-2</v>
      </c>
      <c r="AD76" s="5"/>
      <c r="AE76" s="93">
        <f>'Nonurban Pass Adoption'!J76</f>
        <v>1336.38338459803</v>
      </c>
      <c r="AF76" s="26">
        <f t="shared" si="23"/>
        <v>1.7631846371085117E-2</v>
      </c>
      <c r="AG76" s="24"/>
      <c r="AH76" s="93">
        <f>'Nonurban Pass Adoption'!M76</f>
        <v>5877.68998173004</v>
      </c>
      <c r="AI76" s="26">
        <f t="shared" si="24"/>
        <v>7.754849990588765E-2</v>
      </c>
      <c r="AK76" s="223" t="str">
        <f>AH61</f>
        <v>Efficient Aviation</v>
      </c>
      <c r="AL76" s="222">
        <f>AH65</f>
        <v>490.52398347557431</v>
      </c>
    </row>
    <row r="77" spans="1:38" ht="14.4" x14ac:dyDescent="0.3">
      <c r="B77" s="19">
        <f t="shared" si="13"/>
        <v>77840.43369048828</v>
      </c>
      <c r="C77" s="93">
        <f t="shared" si="25"/>
        <v>50854.670529722804</v>
      </c>
      <c r="D77" s="26">
        <f t="shared" si="14"/>
        <v>0.65331946545843811</v>
      </c>
      <c r="E77" s="7">
        <v>2026</v>
      </c>
      <c r="F77" s="7"/>
      <c r="G77" s="93">
        <f>'Urban Pass Adoption'!G77</f>
        <v>2351.3788774926729</v>
      </c>
      <c r="H77" s="26">
        <f t="shared" si="15"/>
        <v>3.0207679556903597E-2</v>
      </c>
      <c r="I77" s="5"/>
      <c r="J77" s="93">
        <f>'Urban Pass Adoption'!J77</f>
        <v>1597.6311064920596</v>
      </c>
      <c r="K77" s="26">
        <f t="shared" si="16"/>
        <v>2.0524437374599087E-2</v>
      </c>
      <c r="L77" s="24"/>
      <c r="M77" s="93">
        <f>'Urban Pass Adoption'!M77</f>
        <v>576.68802960776088</v>
      </c>
      <c r="N77" s="26">
        <f t="shared" si="17"/>
        <v>7.4085921964516157E-3</v>
      </c>
      <c r="O77" s="24"/>
      <c r="P77" s="93">
        <f>'Urban Pass Adoption'!P77</f>
        <v>11183.578449818533</v>
      </c>
      <c r="Q77" s="26">
        <f t="shared" si="18"/>
        <v>0.14367312615814873</v>
      </c>
      <c r="R77" s="24"/>
      <c r="S77" s="93">
        <f>'Urban Pass Adoption'!S77</f>
        <v>6525.1840328015996</v>
      </c>
      <c r="T77" s="26">
        <f t="shared" si="19"/>
        <v>8.3827693698974665E-2</v>
      </c>
      <c r="U77" s="24"/>
      <c r="V77" s="93">
        <f>'Private Car Analysis &amp; Split'!R81</f>
        <v>1198.5041735792411</v>
      </c>
      <c r="W77" s="26">
        <f t="shared" si="20"/>
        <v>1.5396935972180901E-2</v>
      </c>
      <c r="X77" s="24"/>
      <c r="Y77" s="93">
        <f>'Private Car Analysis &amp; Split'!U81</f>
        <v>1179.8636939679329</v>
      </c>
      <c r="Z77" s="26">
        <f t="shared" si="21"/>
        <v>1.5157465574502657E-2</v>
      </c>
      <c r="AA77" s="7"/>
      <c r="AB77" s="93">
        <f>'Nonurban Pass Adoption'!G77</f>
        <v>983.63402834241811</v>
      </c>
      <c r="AC77" s="26">
        <f t="shared" si="22"/>
        <v>1.2636543525098748E-2</v>
      </c>
      <c r="AD77" s="5"/>
      <c r="AE77" s="93">
        <f>'Nonurban Pass Adoption'!J77</f>
        <v>1388.6764722961407</v>
      </c>
      <c r="AF77" s="26">
        <f t="shared" si="23"/>
        <v>1.784004027801081E-2</v>
      </c>
      <c r="AG77" s="24"/>
      <c r="AH77" s="93">
        <f>'Nonurban Pass Adoption'!M77</f>
        <v>6525.8083291687171</v>
      </c>
      <c r="AI77" s="26">
        <f t="shared" si="24"/>
        <v>8.3835713905665701E-2</v>
      </c>
    </row>
    <row r="78" spans="1:38" ht="14.4" x14ac:dyDescent="0.3">
      <c r="B78" s="19">
        <f t="shared" si="13"/>
        <v>79900.817573960405</v>
      </c>
      <c r="C78" s="93">
        <f t="shared" si="25"/>
        <v>51167.147786097456</v>
      </c>
      <c r="D78" s="26">
        <f t="shared" si="14"/>
        <v>0.64038328191991833</v>
      </c>
      <c r="E78" s="7">
        <v>2027</v>
      </c>
      <c r="F78" s="7"/>
      <c r="G78" s="93">
        <f>'Urban Pass Adoption'!G78</f>
        <v>2426.6346270894328</v>
      </c>
      <c r="H78" s="26">
        <f t="shared" si="15"/>
        <v>3.0370585693234139E-2</v>
      </c>
      <c r="I78" s="5"/>
      <c r="J78" s="93">
        <f>'Urban Pass Adoption'!J78</f>
        <v>1661.2719504718161</v>
      </c>
      <c r="K78" s="26">
        <f t="shared" si="16"/>
        <v>2.0791676492346967E-2</v>
      </c>
      <c r="L78" s="24"/>
      <c r="M78" s="93">
        <f>'Urban Pass Adoption'!M78</f>
        <v>614.71983236574238</v>
      </c>
      <c r="N78" s="26">
        <f t="shared" si="17"/>
        <v>7.6935361993852609E-3</v>
      </c>
      <c r="O78" s="24"/>
      <c r="P78" s="93">
        <f>'Urban Pass Adoption'!P78</f>
        <v>11579.787724975431</v>
      </c>
      <c r="Q78" s="26">
        <f t="shared" si="18"/>
        <v>0.14492702423547255</v>
      </c>
      <c r="R78" s="24"/>
      <c r="S78" s="93">
        <f>'Urban Pass Adoption'!S78</f>
        <v>6768.4560729676596</v>
      </c>
      <c r="T78" s="26">
        <f t="shared" si="19"/>
        <v>8.4710723600574175E-2</v>
      </c>
      <c r="U78" s="24"/>
      <c r="V78" s="93">
        <f>'Private Car Analysis &amp; Split'!R82</f>
        <v>1459.889801545736</v>
      </c>
      <c r="W78" s="26">
        <f t="shared" si="20"/>
        <v>1.8271274886447628E-2</v>
      </c>
      <c r="X78" s="24"/>
      <c r="Y78" s="93">
        <f>'Private Car Analysis &amp; Split'!U82</f>
        <v>1315.7444087403114</v>
      </c>
      <c r="Z78" s="26">
        <f t="shared" si="21"/>
        <v>1.6467220845673938E-2</v>
      </c>
      <c r="AA78" s="7"/>
      <c r="AB78" s="93">
        <f>'Nonurban Pass Adoption'!G78</f>
        <v>1057.6294482208611</v>
      </c>
      <c r="AC78" s="26">
        <f t="shared" si="22"/>
        <v>1.3236778800690789E-2</v>
      </c>
      <c r="AD78" s="5"/>
      <c r="AE78" s="93">
        <f>'Nonurban Pass Adoption'!J78</f>
        <v>1439.0550749315878</v>
      </c>
      <c r="AF78" s="26">
        <f t="shared" si="23"/>
        <v>1.8010517521920507E-2</v>
      </c>
      <c r="AG78" s="24"/>
      <c r="AH78" s="93">
        <f>'Nonurban Pass Adoption'!M78</f>
        <v>7178.9369195220461</v>
      </c>
      <c r="AI78" s="26">
        <f t="shared" si="24"/>
        <v>8.9848103404910021E-2</v>
      </c>
    </row>
    <row r="79" spans="1:38" ht="14.4" x14ac:dyDescent="0.3">
      <c r="B79" s="19">
        <f t="shared" si="13"/>
        <v>81983.569645360854</v>
      </c>
      <c r="C79" s="93">
        <f t="shared" si="25"/>
        <v>51467.511705931189</v>
      </c>
      <c r="D79" s="26">
        <f t="shared" si="14"/>
        <v>0.62777836984368907</v>
      </c>
      <c r="E79" s="7">
        <v>2028</v>
      </c>
      <c r="F79" s="7"/>
      <c r="G79" s="93">
        <f>'Urban Pass Adoption'!G79</f>
        <v>2500.7139135131092</v>
      </c>
      <c r="H79" s="26">
        <f t="shared" si="15"/>
        <v>3.0502622956411065E-2</v>
      </c>
      <c r="I79" s="5"/>
      <c r="J79" s="93">
        <f>'Urban Pass Adoption'!J79</f>
        <v>1724.0556986197378</v>
      </c>
      <c r="K79" s="26">
        <f t="shared" si="16"/>
        <v>2.1029283136579008E-2</v>
      </c>
      <c r="L79" s="24"/>
      <c r="M79" s="93">
        <f>'Urban Pass Adoption'!M79</f>
        <v>653.44168790816832</v>
      </c>
      <c r="N79" s="26">
        <f t="shared" si="17"/>
        <v>7.9703981021414846E-3</v>
      </c>
      <c r="O79" s="24"/>
      <c r="P79" s="93">
        <f>'Urban Pass Adoption'!P79</f>
        <v>11971.187550369123</v>
      </c>
      <c r="Q79" s="26">
        <f t="shared" si="18"/>
        <v>0.14601935000090019</v>
      </c>
      <c r="R79" s="24"/>
      <c r="S79" s="93">
        <f>'Urban Pass Adoption'!S79</f>
        <v>7021.0601528473817</v>
      </c>
      <c r="T79" s="26">
        <f t="shared" si="19"/>
        <v>8.5639844461745482E-2</v>
      </c>
      <c r="U79" s="24"/>
      <c r="V79" s="93">
        <f>'Private Car Analysis &amp; Split'!R83</f>
        <v>1749.4145286059179</v>
      </c>
      <c r="W79" s="26">
        <f t="shared" si="20"/>
        <v>2.1338599138503243E-2</v>
      </c>
      <c r="X79" s="24"/>
      <c r="Y79" s="93">
        <f>'Private Car Analysis &amp; Split'!U83</f>
        <v>1461.1627335141757</v>
      </c>
      <c r="Z79" s="26">
        <f t="shared" si="21"/>
        <v>1.7822628849106931E-2</v>
      </c>
      <c r="AA79" s="7"/>
      <c r="AB79" s="93">
        <f>'Nonurban Pass Adoption'!G79</f>
        <v>1131.2553777604028</v>
      </c>
      <c r="AC79" s="26">
        <f t="shared" si="22"/>
        <v>1.3798562110114418E-2</v>
      </c>
      <c r="AD79" s="5"/>
      <c r="AE79" s="93">
        <f>'Nonurban Pass Adoption'!J79</f>
        <v>1487.750696348993</v>
      </c>
      <c r="AF79" s="26">
        <f t="shared" si="23"/>
        <v>1.8146937280050224E-2</v>
      </c>
      <c r="AG79" s="24"/>
      <c r="AH79" s="93">
        <f>'Nonurban Pass Adoption'!M79</f>
        <v>7837.0757527900314</v>
      </c>
      <c r="AI79" s="26">
        <f t="shared" si="24"/>
        <v>9.5593248582504273E-2</v>
      </c>
    </row>
    <row r="80" spans="1:38" ht="14.4" x14ac:dyDescent="0.3">
      <c r="B80" s="19">
        <f t="shared" si="13"/>
        <v>84090.280256563652</v>
      </c>
      <c r="C80" s="93">
        <f t="shared" si="25"/>
        <v>51756.195557822313</v>
      </c>
      <c r="D80" s="26">
        <f t="shared" si="14"/>
        <v>0.61548368491473182</v>
      </c>
      <c r="E80" s="7">
        <v>2029</v>
      </c>
      <c r="F80" s="7"/>
      <c r="G80" s="93">
        <f>'Urban Pass Adoption'!G80</f>
        <v>2573.5494376154857</v>
      </c>
      <c r="H80" s="26">
        <f t="shared" si="15"/>
        <v>3.0604600552685251E-2</v>
      </c>
      <c r="I80" s="5"/>
      <c r="J80" s="93">
        <f>'Urban Pass Adoption'!J80</f>
        <v>1786.025951009218</v>
      </c>
      <c r="K80" s="26">
        <f t="shared" si="16"/>
        <v>2.1239386354284507E-2</v>
      </c>
      <c r="L80" s="24"/>
      <c r="M80" s="93">
        <f>'Urban Pass Adoption'!M80</f>
        <v>692.8454234201738</v>
      </c>
      <c r="N80" s="26">
        <f t="shared" si="17"/>
        <v>8.2393044868713447E-3</v>
      </c>
      <c r="O80" s="24"/>
      <c r="P80" s="93">
        <f>'Urban Pass Adoption'!P80</f>
        <v>12357.810927332541</v>
      </c>
      <c r="Q80" s="26">
        <f t="shared" si="18"/>
        <v>0.14695885053097982</v>
      </c>
      <c r="R80" s="24"/>
      <c r="S80" s="93">
        <f>'Urban Pass Adoption'!S80</f>
        <v>7283.683363148567</v>
      </c>
      <c r="T80" s="26">
        <f t="shared" si="19"/>
        <v>8.6617422857025617E-2</v>
      </c>
      <c r="U80" s="24"/>
      <c r="V80" s="93">
        <f>'Private Car Analysis &amp; Split'!R84</f>
        <v>2067.7419672420006</v>
      </c>
      <c r="W80" s="26">
        <f t="shared" si="20"/>
        <v>2.4589547816147316E-2</v>
      </c>
      <c r="X80" s="24"/>
      <c r="Y80" s="93">
        <f>'Private Car Analysis &amp; Split'!U84</f>
        <v>1616.3823479659602</v>
      </c>
      <c r="Z80" s="26">
        <f t="shared" si="21"/>
        <v>1.9221987880576646E-2</v>
      </c>
      <c r="AA80" s="7"/>
      <c r="AB80" s="93">
        <f>'Nonurban Pass Adoption'!G80</f>
        <v>1204.5089747903125</v>
      </c>
      <c r="AC80" s="26">
        <f t="shared" si="22"/>
        <v>1.4323997626304675E-2</v>
      </c>
      <c r="AD80" s="5"/>
      <c r="AE80" s="93">
        <f>'Nonurban Pass Adoption'!J80</f>
        <v>1534.9948403929779</v>
      </c>
      <c r="AF80" s="26">
        <f t="shared" si="23"/>
        <v>1.8254129201491918E-2</v>
      </c>
      <c r="AG80" s="24"/>
      <c r="AH80" s="93">
        <f>'Nonurban Pass Adoption'!M80</f>
        <v>8500.2248289726685</v>
      </c>
      <c r="AI80" s="26">
        <f t="shared" si="24"/>
        <v>0.10108451063592673</v>
      </c>
    </row>
    <row r="81" spans="2:35" ht="14.4" x14ac:dyDescent="0.3">
      <c r="B81" s="19">
        <f t="shared" si="13"/>
        <v>86208.652199155025</v>
      </c>
      <c r="C81" s="93">
        <f t="shared" si="25"/>
        <v>52019.744277857098</v>
      </c>
      <c r="D81" s="26">
        <f t="shared" si="14"/>
        <v>0.60341674473327367</v>
      </c>
      <c r="E81" s="7">
        <v>2030</v>
      </c>
      <c r="F81" s="7"/>
      <c r="G81" s="93">
        <f>'Urban Pass Adoption'!G81</f>
        <v>2645.0739002483451</v>
      </c>
      <c r="H81" s="26">
        <f t="shared" si="15"/>
        <v>3.0682232383564288E-2</v>
      </c>
      <c r="I81" s="5"/>
      <c r="J81" s="93">
        <f>'Urban Pass Adoption'!J81</f>
        <v>1847.2263077136508</v>
      </c>
      <c r="K81" s="26">
        <f t="shared" si="16"/>
        <v>2.1427388789773429E-2</v>
      </c>
      <c r="L81" s="24"/>
      <c r="M81" s="93">
        <f>'Urban Pass Adoption'!M81</f>
        <v>732.92286608689381</v>
      </c>
      <c r="N81" s="26">
        <f t="shared" si="17"/>
        <v>8.5017321044960903E-3</v>
      </c>
      <c r="O81" s="24"/>
      <c r="P81" s="93">
        <f>'Urban Pass Adoption'!P81</f>
        <v>12739.69154438873</v>
      </c>
      <c r="Q81" s="26">
        <f t="shared" si="18"/>
        <v>0.14777741235251093</v>
      </c>
      <c r="R81" s="24"/>
      <c r="S81" s="93">
        <f>'Urban Pass Adoption'!S81</f>
        <v>7552.7092044681376</v>
      </c>
      <c r="T81" s="26">
        <f t="shared" si="19"/>
        <v>8.7609642556761444E-2</v>
      </c>
      <c r="U81" s="24"/>
      <c r="V81" s="93">
        <f>'Private Car Analysis &amp; Split'!R85</f>
        <v>2415.5357299361967</v>
      </c>
      <c r="W81" s="26">
        <f t="shared" si="20"/>
        <v>2.8019643832917652E-2</v>
      </c>
      <c r="X81" s="24"/>
      <c r="Y81" s="93">
        <f>'Private Car Analysis &amp; Split'!U85</f>
        <v>1781.6669317720989</v>
      </c>
      <c r="Z81" s="26">
        <f t="shared" si="21"/>
        <v>2.0666915516277633E-2</v>
      </c>
      <c r="AA81" s="7"/>
      <c r="AB81" s="93">
        <f>'Nonurban Pass Adoption'!G81</f>
        <v>1277.3874821738989</v>
      </c>
      <c r="AC81" s="26">
        <f t="shared" si="22"/>
        <v>1.4817393029448374E-2</v>
      </c>
      <c r="AD81" s="5"/>
      <c r="AE81" s="93">
        <f>'Nonurban Pass Adoption'!J81</f>
        <v>1581.0190109081641</v>
      </c>
      <c r="AF81" s="26">
        <f t="shared" si="23"/>
        <v>1.8339447034339096E-2</v>
      </c>
      <c r="AG81" s="24"/>
      <c r="AH81" s="93">
        <f>'Nonurban Pass Adoption'!M81</f>
        <v>9168.3841480699593</v>
      </c>
      <c r="AI81" s="26">
        <f t="shared" si="24"/>
        <v>0.10635109022339899</v>
      </c>
    </row>
    <row r="82" spans="2:35" ht="14.4" x14ac:dyDescent="0.3">
      <c r="B82" s="19">
        <f t="shared" si="13"/>
        <v>88381.730885313416</v>
      </c>
      <c r="C82" s="93">
        <f t="shared" si="25"/>
        <v>52300.067563854893</v>
      </c>
      <c r="D82" s="26">
        <f t="shared" si="14"/>
        <v>0.59175201752634732</v>
      </c>
      <c r="E82" s="7">
        <v>2031</v>
      </c>
      <c r="F82" s="7"/>
      <c r="G82" s="93">
        <f>'Urban Pass Adoption'!G82</f>
        <v>2715.2200022634715</v>
      </c>
      <c r="H82" s="26">
        <f t="shared" si="15"/>
        <v>3.0721507432195646E-2</v>
      </c>
      <c r="I82" s="5"/>
      <c r="J82" s="93">
        <f>'Urban Pass Adoption'!J82</f>
        <v>1907.7003688064297</v>
      </c>
      <c r="K82" s="26">
        <f t="shared" si="16"/>
        <v>2.1584781715600417E-2</v>
      </c>
      <c r="L82" s="24"/>
      <c r="M82" s="93">
        <f>'Urban Pass Adoption'!M82</f>
        <v>773.66584309346365</v>
      </c>
      <c r="N82" s="26">
        <f t="shared" si="17"/>
        <v>8.7536851263684112E-3</v>
      </c>
      <c r="O82" s="24"/>
      <c r="P82" s="93">
        <f>'Urban Pass Adoption'!P82</f>
        <v>13116.840863967875</v>
      </c>
      <c r="Q82" s="26">
        <f t="shared" si="18"/>
        <v>0.14841122404570975</v>
      </c>
      <c r="R82" s="24"/>
      <c r="S82" s="93">
        <f>'Urban Pass Adoption'!S82</f>
        <v>7841.8596354267829</v>
      </c>
      <c r="T82" s="26">
        <f t="shared" si="19"/>
        <v>8.8727156131424914E-2</v>
      </c>
      <c r="U82" s="24"/>
      <c r="V82" s="93">
        <f>'Private Car Analysis &amp; Split'!R86</f>
        <v>2793.4594291707203</v>
      </c>
      <c r="W82" s="26">
        <f t="shared" si="20"/>
        <v>3.1606751770856249E-2</v>
      </c>
      <c r="X82" s="24"/>
      <c r="Y82" s="93">
        <f>'Private Car Analysis &amp; Split'!U86</f>
        <v>1957.2801646090265</v>
      </c>
      <c r="Z82" s="26">
        <f t="shared" si="21"/>
        <v>2.2145755067287012E-2</v>
      </c>
      <c r="AA82" s="7"/>
      <c r="AB82" s="93">
        <f>'Nonurban Pass Adoption'!G82</f>
        <v>1349.8882277264674</v>
      </c>
      <c r="AC82" s="26">
        <f t="shared" si="22"/>
        <v>1.5273385282283279E-2</v>
      </c>
      <c r="AD82" s="5"/>
      <c r="AE82" s="93">
        <f>'Nonurban Pass Adoption'!J82</f>
        <v>1626.0547117391732</v>
      </c>
      <c r="AF82" s="26">
        <f t="shared" si="23"/>
        <v>1.8398086295109868E-2</v>
      </c>
      <c r="AG82" s="24"/>
      <c r="AH82" s="93">
        <f>'Nonurban Pass Adoption'!M82</f>
        <v>9841.5537100819056</v>
      </c>
      <c r="AI82" s="26">
        <f t="shared" si="24"/>
        <v>0.1113528057382422</v>
      </c>
    </row>
    <row r="83" spans="2:35" ht="14.4" x14ac:dyDescent="0.3">
      <c r="B83" s="19">
        <f t="shared" si="13"/>
        <v>90569.783505081257</v>
      </c>
      <c r="C83" s="93">
        <f t="shared" si="25"/>
        <v>52556.232879839823</v>
      </c>
      <c r="D83" s="26">
        <f t="shared" si="14"/>
        <v>0.58028440442160545</v>
      </c>
      <c r="E83" s="7">
        <v>2032</v>
      </c>
      <c r="F83" s="7"/>
      <c r="G83" s="93">
        <f>'Urban Pass Adoption'!G83</f>
        <v>2783.9204445126488</v>
      </c>
      <c r="H83" s="26">
        <f t="shared" si="15"/>
        <v>3.0737850271624664E-2</v>
      </c>
      <c r="I83" s="5"/>
      <c r="J83" s="93">
        <f>'Urban Pass Adoption'!J83</f>
        <v>1967.4917343609484</v>
      </c>
      <c r="K83" s="26">
        <f t="shared" si="16"/>
        <v>2.1723489426808289E-2</v>
      </c>
      <c r="L83" s="24"/>
      <c r="M83" s="93">
        <f>'Urban Pass Adoption'!M83</f>
        <v>815.0661816250182</v>
      </c>
      <c r="N83" s="26">
        <f t="shared" si="17"/>
        <v>8.9993168812122683E-3</v>
      </c>
      <c r="O83" s="24"/>
      <c r="P83" s="93">
        <f>'Urban Pass Adoption'!P83</f>
        <v>13489.334275324771</v>
      </c>
      <c r="Q83" s="26">
        <f t="shared" si="18"/>
        <v>0.14893857259323112</v>
      </c>
      <c r="R83" s="24"/>
      <c r="S83" s="93">
        <f>'Urban Pass Adoption'!S83</f>
        <v>8138.9492953407389</v>
      </c>
      <c r="T83" s="26">
        <f t="shared" si="19"/>
        <v>8.9863848409046015E-2</v>
      </c>
      <c r="U83" s="24"/>
      <c r="V83" s="93">
        <f>'Private Car Analysis &amp; Split'!R87</f>
        <v>3202.1766774277844</v>
      </c>
      <c r="W83" s="26">
        <f t="shared" si="20"/>
        <v>3.5355905176124573E-2</v>
      </c>
      <c r="X83" s="24"/>
      <c r="Y83" s="93">
        <f>'Private Car Analysis &amp; Split'!U87</f>
        <v>2143.485726153177</v>
      </c>
      <c r="Z83" s="26">
        <f t="shared" si="21"/>
        <v>2.3666676050218455E-2</v>
      </c>
      <c r="AA83" s="7"/>
      <c r="AB83" s="93">
        <f>'Nonurban Pass Adoption'!G83</f>
        <v>1422.0086240979629</v>
      </c>
      <c r="AC83" s="26">
        <f t="shared" si="22"/>
        <v>1.5700695850931163E-2</v>
      </c>
      <c r="AD83" s="5"/>
      <c r="AE83" s="93">
        <f>'Nonurban Pass Adoption'!J83</f>
        <v>1670.3334467306265</v>
      </c>
      <c r="AF83" s="26">
        <f t="shared" si="23"/>
        <v>1.8442502367656818E-2</v>
      </c>
      <c r="AG83" s="24"/>
      <c r="AH83" s="93">
        <f>'Nonurban Pass Adoption'!M83</f>
        <v>10519.733515008505</v>
      </c>
      <c r="AI83" s="26">
        <f t="shared" si="24"/>
        <v>0.11615058696058729</v>
      </c>
    </row>
    <row r="84" spans="2:35" ht="14.4" x14ac:dyDescent="0.3">
      <c r="B84" s="19">
        <f t="shared" si="13"/>
        <v>92789.054911386993</v>
      </c>
      <c r="C84" s="93">
        <f t="shared" si="25"/>
        <v>52803.137501297373</v>
      </c>
      <c r="D84" s="26">
        <f t="shared" si="14"/>
        <v>0.56906644379257942</v>
      </c>
      <c r="E84" s="7">
        <v>2033</v>
      </c>
      <c r="F84" s="7"/>
      <c r="G84" s="93">
        <f>'Urban Pass Adoption'!G84</f>
        <v>2851.1079278476591</v>
      </c>
      <c r="H84" s="26">
        <f t="shared" si="15"/>
        <v>3.0726769774414131E-2</v>
      </c>
      <c r="I84" s="5"/>
      <c r="J84" s="93">
        <f>'Urban Pass Adoption'!J84</f>
        <v>2026.6440044506005</v>
      </c>
      <c r="K84" s="26">
        <f t="shared" si="16"/>
        <v>2.1841412291417707E-2</v>
      </c>
      <c r="L84" s="24"/>
      <c r="M84" s="93">
        <f>'Urban Pass Adoption'!M84</f>
        <v>857.11570886669278</v>
      </c>
      <c r="N84" s="26">
        <f t="shared" si="17"/>
        <v>9.2372501227136472E-3</v>
      </c>
      <c r="O84" s="24"/>
      <c r="P84" s="93">
        <f>'Urban Pass Adoption'!P84</f>
        <v>13857.394934456308</v>
      </c>
      <c r="Q84" s="26">
        <f t="shared" si="18"/>
        <v>0.14934299037413454</v>
      </c>
      <c r="R84" s="24"/>
      <c r="S84" s="93">
        <f>'Urban Pass Adoption'!S84</f>
        <v>8449.1735354241773</v>
      </c>
      <c r="T84" s="26">
        <f t="shared" si="19"/>
        <v>9.1057868231259484E-2</v>
      </c>
      <c r="U84" s="24"/>
      <c r="V84" s="93">
        <f>'Private Car Analysis &amp; Split'!R88</f>
        <v>3642.3510871896019</v>
      </c>
      <c r="W84" s="26">
        <f t="shared" si="20"/>
        <v>3.9254102659715913E-2</v>
      </c>
      <c r="X84" s="24"/>
      <c r="Y84" s="93">
        <f>'Private Car Analysis &amp; Split'!U88</f>
        <v>2340.5472960809852</v>
      </c>
      <c r="Z84" s="26">
        <f t="shared" si="21"/>
        <v>2.5224389862750454E-2</v>
      </c>
      <c r="AA84" s="7"/>
      <c r="AB84" s="93">
        <f>'Nonurban Pass Adoption'!G84</f>
        <v>1493.7461686208626</v>
      </c>
      <c r="AC84" s="26">
        <f t="shared" si="22"/>
        <v>1.6098301357281648E-2</v>
      </c>
      <c r="AD84" s="5"/>
      <c r="AE84" s="93">
        <f>'Nonurban Pass Adoption'!J84</f>
        <v>1714.0867197271457</v>
      </c>
      <c r="AF84" s="26">
        <f t="shared" si="23"/>
        <v>1.8472940815746949E-2</v>
      </c>
      <c r="AG84" s="24"/>
      <c r="AH84" s="93">
        <f>'Nonurban Pass Adoption'!M84</f>
        <v>11202.923562849759</v>
      </c>
      <c r="AI84" s="26">
        <f t="shared" si="24"/>
        <v>0.12073539894924554</v>
      </c>
    </row>
    <row r="85" spans="2:35" ht="14.4" x14ac:dyDescent="0.3">
      <c r="B85" s="19">
        <f t="shared" si="13"/>
        <v>95042.273850452329</v>
      </c>
      <c r="C85" s="93">
        <f t="shared" si="25"/>
        <v>53042.085669132226</v>
      </c>
      <c r="D85" s="26">
        <f t="shared" si="14"/>
        <v>0.5580894008553835</v>
      </c>
      <c r="E85" s="7">
        <v>2034</v>
      </c>
      <c r="F85" s="7"/>
      <c r="G85" s="93">
        <f>'Urban Pass Adoption'!G85</f>
        <v>2916.7151531202853</v>
      </c>
      <c r="H85" s="26">
        <f t="shared" si="15"/>
        <v>3.0688608710158757E-2</v>
      </c>
      <c r="I85" s="5"/>
      <c r="J85" s="93">
        <f>'Urban Pass Adoption'!J85</f>
        <v>2085.2007791487804</v>
      </c>
      <c r="K85" s="26">
        <f t="shared" si="16"/>
        <v>2.1939718976313784E-2</v>
      </c>
      <c r="L85" s="24"/>
      <c r="M85" s="93">
        <f>'Urban Pass Adoption'!M85</f>
        <v>899.80625200362238</v>
      </c>
      <c r="N85" s="26">
        <f t="shared" si="17"/>
        <v>9.467431865313479E-3</v>
      </c>
      <c r="O85" s="24"/>
      <c r="P85" s="93">
        <f>'Urban Pass Adoption'!P85</f>
        <v>14221.322840737213</v>
      </c>
      <c r="Q85" s="26">
        <f t="shared" si="18"/>
        <v>0.14963155093610517</v>
      </c>
      <c r="R85" s="24"/>
      <c r="S85" s="93">
        <f>'Urban Pass Adoption'!S85</f>
        <v>8773.460532620189</v>
      </c>
      <c r="T85" s="26">
        <f t="shared" si="19"/>
        <v>9.2311138793092273E-2</v>
      </c>
      <c r="U85" s="24"/>
      <c r="V85" s="93">
        <f>'Private Car Analysis &amp; Split'!R89</f>
        <v>4114.6462709383868</v>
      </c>
      <c r="W85" s="26">
        <f t="shared" si="20"/>
        <v>4.3292801237191827E-2</v>
      </c>
      <c r="X85" s="24"/>
      <c r="Y85" s="93">
        <f>'Private Car Analysis &amp; Split'!U89</f>
        <v>2548.7285540688849</v>
      </c>
      <c r="Z85" s="26">
        <f t="shared" si="21"/>
        <v>2.6816788475402777E-2</v>
      </c>
      <c r="AA85" s="7"/>
      <c r="AB85" s="93">
        <f>'Nonurban Pass Adoption'!G85</f>
        <v>1565.0984431239096</v>
      </c>
      <c r="AC85" s="26">
        <f t="shared" si="22"/>
        <v>1.6467392663464364E-2</v>
      </c>
      <c r="AD85" s="5"/>
      <c r="AE85" s="93">
        <f>'Nonurban Pass Adoption'!J85</f>
        <v>1757.5460345733522</v>
      </c>
      <c r="AF85" s="26">
        <f t="shared" si="23"/>
        <v>1.849225574441565E-2</v>
      </c>
      <c r="AG85" s="24"/>
      <c r="AH85" s="93">
        <f>'Nonurban Pass Adoption'!M85</f>
        <v>11891.123853605666</v>
      </c>
      <c r="AI85" s="26">
        <f t="shared" si="24"/>
        <v>0.12511405053625066</v>
      </c>
    </row>
    <row r="86" spans="2:35" ht="14.4" x14ac:dyDescent="0.3">
      <c r="B86" s="19">
        <f t="shared" si="13"/>
        <v>97316.870764327265</v>
      </c>
      <c r="C86" s="93">
        <f t="shared" si="25"/>
        <v>53249.710539251493</v>
      </c>
      <c r="D86" s="26">
        <f t="shared" si="14"/>
        <v>0.54717861477694418</v>
      </c>
      <c r="E86" s="7">
        <v>2035</v>
      </c>
      <c r="F86" s="7"/>
      <c r="G86" s="93">
        <f>'Urban Pass Adoption'!G86</f>
        <v>2980.6748211823124</v>
      </c>
      <c r="H86" s="26">
        <f t="shared" si="15"/>
        <v>3.0628551840724789E-2</v>
      </c>
      <c r="I86" s="5"/>
      <c r="J86" s="93">
        <f>'Urban Pass Adoption'!J86</f>
        <v>2143.205658528881</v>
      </c>
      <c r="K86" s="26">
        <f t="shared" si="16"/>
        <v>2.2022961092934158E-2</v>
      </c>
      <c r="L86" s="24"/>
      <c r="M86" s="93">
        <f>'Urban Pass Adoption'!M86</f>
        <v>943.12963822094207</v>
      </c>
      <c r="N86" s="26">
        <f t="shared" si="17"/>
        <v>9.691327216068463E-3</v>
      </c>
      <c r="O86" s="24"/>
      <c r="P86" s="93">
        <f>'Urban Pass Adoption'!P86</f>
        <v>14581.359070785407</v>
      </c>
      <c r="Q86" s="26">
        <f t="shared" si="18"/>
        <v>0.14983382589538</v>
      </c>
      <c r="R86" s="24"/>
      <c r="S86" s="93">
        <f>'Urban Pass Adoption'!S86</f>
        <v>9107.6198180840565</v>
      </c>
      <c r="T86" s="26">
        <f t="shared" si="19"/>
        <v>9.3587265461299335E-2</v>
      </c>
      <c r="U86" s="24"/>
      <c r="V86" s="93">
        <f>'Private Car Analysis &amp; Split'!R90</f>
        <v>4619.7258411563525</v>
      </c>
      <c r="W86" s="26">
        <f t="shared" si="20"/>
        <v>4.7470965772666129E-2</v>
      </c>
      <c r="X86" s="24"/>
      <c r="Y86" s="93">
        <f>'Private Car Analysis &amp; Split'!U90</f>
        <v>2768.2931797933115</v>
      </c>
      <c r="Z86" s="26">
        <f t="shared" si="21"/>
        <v>2.844617955808814E-2</v>
      </c>
      <c r="AA86" s="7"/>
      <c r="AB86" s="93">
        <f>'Nonurban Pass Adoption'!G86</f>
        <v>1636.0631137122898</v>
      </c>
      <c r="AC86" s="26">
        <f t="shared" si="22"/>
        <v>1.6811711071910148E-2</v>
      </c>
      <c r="AD86" s="5"/>
      <c r="AE86" s="93">
        <f>'Nonurban Pass Adoption'!J86</f>
        <v>1800.9428951138677</v>
      </c>
      <c r="AF86" s="26">
        <f t="shared" si="23"/>
        <v>1.8505967988584629E-2</v>
      </c>
      <c r="AG86" s="24"/>
      <c r="AH86" s="93">
        <f>'Nonurban Pass Adoption'!M86</f>
        <v>12593.766006582413</v>
      </c>
      <c r="AI86" s="26">
        <f t="shared" si="24"/>
        <v>0.1294098947866994</v>
      </c>
    </row>
    <row r="87" spans="2:35" ht="14.4" x14ac:dyDescent="0.3">
      <c r="B87" s="19">
        <f t="shared" si="13"/>
        <v>99659.990407611054</v>
      </c>
      <c r="C87" s="93">
        <f t="shared" si="25"/>
        <v>53511.553817478241</v>
      </c>
      <c r="D87" s="26">
        <f t="shared" si="14"/>
        <v>0.53694118972533589</v>
      </c>
      <c r="E87" s="7">
        <v>2036</v>
      </c>
      <c r="F87" s="7"/>
      <c r="G87" s="93">
        <f>'Urban Pass Adoption'!G87</f>
        <v>3042.9196328855232</v>
      </c>
      <c r="H87" s="26">
        <f t="shared" si="15"/>
        <v>3.0533011496789535E-2</v>
      </c>
      <c r="I87" s="5"/>
      <c r="J87" s="93">
        <f>'Urban Pass Adoption'!J87</f>
        <v>2200.7022426642961</v>
      </c>
      <c r="K87" s="26">
        <f t="shared" si="16"/>
        <v>2.2082103697415447E-2</v>
      </c>
      <c r="L87" s="24"/>
      <c r="M87" s="93">
        <f>'Urban Pass Adoption'!M87</f>
        <v>987.07769470378685</v>
      </c>
      <c r="N87" s="26">
        <f t="shared" si="17"/>
        <v>9.9044530374388182E-3</v>
      </c>
      <c r="O87" s="24"/>
      <c r="P87" s="93">
        <f>'Urban Pass Adoption'!P87</f>
        <v>14937.642683843538</v>
      </c>
      <c r="Q87" s="26">
        <f t="shared" si="18"/>
        <v>0.14988605379900524</v>
      </c>
      <c r="R87" s="24"/>
      <c r="S87" s="93">
        <f>'Urban Pass Adoption'!S87</f>
        <v>9467.9905421050789</v>
      </c>
      <c r="T87" s="26">
        <f t="shared" si="19"/>
        <v>9.5002924477323711E-2</v>
      </c>
      <c r="U87" s="24"/>
      <c r="V87" s="93">
        <f>'Private Car Analysis &amp; Split'!R91</f>
        <v>5158.2534103257112</v>
      </c>
      <c r="W87" s="26">
        <f t="shared" si="20"/>
        <v>5.1758518029435555E-2</v>
      </c>
      <c r="X87" s="24"/>
      <c r="Y87" s="93">
        <f>'Private Car Analysis &amp; Split'!U91</f>
        <v>2999.5048529306982</v>
      </c>
      <c r="Z87" s="26">
        <f t="shared" si="21"/>
        <v>3.0097382516922514E-2</v>
      </c>
      <c r="AA87" s="7"/>
      <c r="AB87" s="93">
        <f>'Nonurban Pass Adoption'!G87</f>
        <v>1706.6379305148716</v>
      </c>
      <c r="AC87" s="26">
        <f t="shared" si="22"/>
        <v>1.7124604603459156E-2</v>
      </c>
      <c r="AD87" s="5"/>
      <c r="AE87" s="93">
        <f>'Nonurban Pass Adoption'!J87</f>
        <v>1844.5088051933139</v>
      </c>
      <c r="AF87" s="26">
        <f t="shared" si="23"/>
        <v>1.850801708538443E-2</v>
      </c>
      <c r="AG87" s="24"/>
      <c r="AH87" s="93">
        <f>'Nonurban Pass Adoption'!M87</f>
        <v>13271.189337071091</v>
      </c>
      <c r="AI87" s="26">
        <f t="shared" si="24"/>
        <v>0.13316466600881358</v>
      </c>
    </row>
    <row r="88" spans="2:35" ht="14.4" x14ac:dyDescent="0.3">
      <c r="B88" s="19">
        <f t="shared" si="13"/>
        <v>102027.97591712078</v>
      </c>
      <c r="C88" s="93">
        <f t="shared" si="25"/>
        <v>53744.738182759713</v>
      </c>
      <c r="D88" s="26">
        <f t="shared" si="14"/>
        <v>0.52676472016280673</v>
      </c>
      <c r="E88" s="7">
        <v>2037</v>
      </c>
      <c r="F88" s="7"/>
      <c r="G88" s="93">
        <f>'Urban Pass Adoption'!G88</f>
        <v>3103.3822890817005</v>
      </c>
      <c r="H88" s="26">
        <f t="shared" si="15"/>
        <v>3.0416973983710464E-2</v>
      </c>
      <c r="I88" s="5"/>
      <c r="J88" s="93">
        <f>'Urban Pass Adoption'!J88</f>
        <v>2257.7341316284201</v>
      </c>
      <c r="K88" s="26">
        <f t="shared" si="16"/>
        <v>2.2128579062103707E-2</v>
      </c>
      <c r="L88" s="24"/>
      <c r="M88" s="93">
        <f>'Urban Pass Adoption'!M88</f>
        <v>1031.6422486372921</v>
      </c>
      <c r="N88" s="26">
        <f t="shared" si="17"/>
        <v>1.011136641067264E-2</v>
      </c>
      <c r="O88" s="24"/>
      <c r="P88" s="93">
        <f>'Urban Pass Adoption'!P88</f>
        <v>15290.180631642479</v>
      </c>
      <c r="Q88" s="26">
        <f t="shared" si="18"/>
        <v>0.14986262830562253</v>
      </c>
      <c r="R88" s="24"/>
      <c r="S88" s="93">
        <f>'Urban Pass Adoption'!S88</f>
        <v>9840.0991028363005</v>
      </c>
      <c r="T88" s="26">
        <f t="shared" si="19"/>
        <v>9.6445107475518238E-2</v>
      </c>
      <c r="U88" s="24"/>
      <c r="V88" s="93">
        <f>'Private Car Analysis &amp; Split'!R92</f>
        <v>5730.8925909286791</v>
      </c>
      <c r="W88" s="26">
        <f t="shared" si="20"/>
        <v>5.6169815576700151E-2</v>
      </c>
      <c r="X88" s="24"/>
      <c r="Y88" s="93">
        <f>'Private Car Analysis &amp; Split'!U92</f>
        <v>3242.6272531574796</v>
      </c>
      <c r="Z88" s="26">
        <f t="shared" si="21"/>
        <v>3.1781746369167668E-2</v>
      </c>
      <c r="AA88" s="7"/>
      <c r="AB88" s="93">
        <f>'Nonurban Pass Adoption'!G88</f>
        <v>1776.8207273991472</v>
      </c>
      <c r="AC88" s="26">
        <f t="shared" si="22"/>
        <v>1.7415034567014164E-2</v>
      </c>
      <c r="AD88" s="5"/>
      <c r="AE88" s="93">
        <f>'Nonurban Pass Adoption'!J88</f>
        <v>1888.4752686563122</v>
      </c>
      <c r="AF88" s="26">
        <f t="shared" si="23"/>
        <v>1.8509386780252855E-2</v>
      </c>
      <c r="AG88" s="24"/>
      <c r="AH88" s="93">
        <f>'Nonurban Pass Adoption'!M88</f>
        <v>13961.482593229579</v>
      </c>
      <c r="AI88" s="26">
        <f t="shared" si="24"/>
        <v>0.13683974878194927</v>
      </c>
    </row>
    <row r="89" spans="2:35" ht="14.4" x14ac:dyDescent="0.3">
      <c r="B89" s="19">
        <f t="shared" si="13"/>
        <v>104437.10931317744</v>
      </c>
      <c r="C89" s="93">
        <f t="shared" si="25"/>
        <v>53964.477499945264</v>
      </c>
      <c r="D89" s="26">
        <f t="shared" si="14"/>
        <v>0.51671745660942237</v>
      </c>
      <c r="E89" s="7">
        <v>2038</v>
      </c>
      <c r="F89" s="7"/>
      <c r="G89" s="93">
        <f>'Urban Pass Adoption'!G89</f>
        <v>3161.9954906226276</v>
      </c>
      <c r="H89" s="26">
        <f t="shared" si="15"/>
        <v>3.0276551231810667E-2</v>
      </c>
      <c r="I89" s="5"/>
      <c r="J89" s="93">
        <f>'Urban Pass Adoption'!J89</f>
        <v>2314.3449254946468</v>
      </c>
      <c r="K89" s="26">
        <f t="shared" si="16"/>
        <v>2.216017793593443E-2</v>
      </c>
      <c r="L89" s="24"/>
      <c r="M89" s="93">
        <f>'Urban Pass Adoption'!M89</f>
        <v>1076.8151272065929</v>
      </c>
      <c r="N89" s="26">
        <f t="shared" si="17"/>
        <v>1.0310656186179263E-2</v>
      </c>
      <c r="O89" s="24"/>
      <c r="P89" s="93">
        <f>'Urban Pass Adoption'!P89</f>
        <v>15638.916228250859</v>
      </c>
      <c r="Q89" s="26">
        <f t="shared" si="18"/>
        <v>0.14974482088884861</v>
      </c>
      <c r="R89" s="24"/>
      <c r="S89" s="93">
        <f>'Urban Pass Adoption'!S89</f>
        <v>10230.020290933669</v>
      </c>
      <c r="T89" s="26">
        <f t="shared" si="19"/>
        <v>9.795388208473603E-2</v>
      </c>
      <c r="U89" s="24"/>
      <c r="V89" s="93">
        <f>'Private Car Analysis &amp; Split'!R93</f>
        <v>6338.3069954474668</v>
      </c>
      <c r="W89" s="26">
        <f t="shared" si="20"/>
        <v>6.0690180311680893E-2</v>
      </c>
      <c r="X89" s="24"/>
      <c r="Y89" s="93">
        <f>'Private Car Analysis &amp; Split'!U93</f>
        <v>3497.924060150091</v>
      </c>
      <c r="Z89" s="26">
        <f t="shared" si="21"/>
        <v>3.3493114498801407E-2</v>
      </c>
      <c r="AA89" s="7"/>
      <c r="AB89" s="93">
        <f>'Nonurban Pass Adoption'!G89</f>
        <v>1846.6094216545273</v>
      </c>
      <c r="AC89" s="26">
        <f t="shared" si="22"/>
        <v>1.7681544747825857E-2</v>
      </c>
      <c r="AD89" s="5"/>
      <c r="AE89" s="93">
        <f>'Nonurban Pass Adoption'!J89</f>
        <v>1933.0737893474836</v>
      </c>
      <c r="AF89" s="26">
        <f t="shared" si="23"/>
        <v>1.8509453220796647E-2</v>
      </c>
      <c r="AG89" s="24"/>
      <c r="AH89" s="93">
        <f>'Nonurban Pass Adoption'!M89</f>
        <v>14664.645775057872</v>
      </c>
      <c r="AI89" s="26">
        <f t="shared" si="24"/>
        <v>0.14041604436869978</v>
      </c>
    </row>
    <row r="90" spans="2:35" ht="14.4" x14ac:dyDescent="0.3">
      <c r="B90" s="19">
        <f t="shared" si="13"/>
        <v>106888.31574405199</v>
      </c>
      <c r="C90" s="93">
        <f t="shared" si="25"/>
        <v>54256.476422316897</v>
      </c>
      <c r="D90" s="26">
        <f t="shared" si="14"/>
        <v>0.50759969454693277</v>
      </c>
      <c r="E90" s="7">
        <v>2039</v>
      </c>
      <c r="F90" s="7"/>
      <c r="G90" s="93">
        <f>'Urban Pass Adoption'!G90</f>
        <v>3218.6919383600889</v>
      </c>
      <c r="H90" s="26">
        <f t="shared" si="15"/>
        <v>3.0112664007798245E-2</v>
      </c>
      <c r="I90" s="5"/>
      <c r="J90" s="93">
        <f>'Urban Pass Adoption'!J90</f>
        <v>2370.5782243363692</v>
      </c>
      <c r="K90" s="26">
        <f t="shared" si="16"/>
        <v>2.2178085676013516E-2</v>
      </c>
      <c r="L90" s="24"/>
      <c r="M90" s="93">
        <f>'Urban Pass Adoption'!M90</f>
        <v>1122.588157596824</v>
      </c>
      <c r="N90" s="26">
        <f t="shared" si="17"/>
        <v>1.0502440325516053E-2</v>
      </c>
      <c r="O90" s="24"/>
      <c r="P90" s="93">
        <f>'Urban Pass Adoption'!P90</f>
        <v>15983.713832246103</v>
      </c>
      <c r="Q90" s="26">
        <f t="shared" si="18"/>
        <v>0.14953658611779136</v>
      </c>
      <c r="R90" s="24"/>
      <c r="S90" s="93">
        <f>'Urban Pass Adoption'!S90</f>
        <v>10638.698991303783</v>
      </c>
      <c r="T90" s="26">
        <f t="shared" si="19"/>
        <v>9.9530981634873367E-2</v>
      </c>
      <c r="U90" s="24"/>
      <c r="V90" s="93">
        <f>'Private Car Analysis &amp; Split'!R94</f>
        <v>6981.1602363642887</v>
      </c>
      <c r="W90" s="26">
        <f t="shared" si="20"/>
        <v>6.531266011414133E-2</v>
      </c>
      <c r="X90" s="24"/>
      <c r="Y90" s="93">
        <f>'Private Car Analysis &amp; Split'!U94</f>
        <v>3765.6589535849657</v>
      </c>
      <c r="Z90" s="26">
        <f t="shared" si="21"/>
        <v>3.5229846474538667E-2</v>
      </c>
      <c r="AA90" s="7"/>
      <c r="AB90" s="93">
        <f>'Nonurban Pass Adoption'!G90</f>
        <v>1916.0020136446519</v>
      </c>
      <c r="AC90" s="26">
        <f t="shared" si="22"/>
        <v>1.7925270880239048E-2</v>
      </c>
      <c r="AD90" s="5"/>
      <c r="AE90" s="93">
        <f>'Nonurban Pass Adoption'!J90</f>
        <v>1978.5358711114511</v>
      </c>
      <c r="AF90" s="26">
        <f t="shared" si="23"/>
        <v>1.8510310105822308E-2</v>
      </c>
      <c r="AG90" s="24"/>
      <c r="AH90" s="93">
        <f>'Nonurban Pass Adoption'!M90</f>
        <v>15294.910094490353</v>
      </c>
      <c r="AI90" s="26">
        <f t="shared" si="24"/>
        <v>0.14309244175120675</v>
      </c>
    </row>
    <row r="91" spans="2:35" ht="14.4" x14ac:dyDescent="0.3">
      <c r="B91" s="19">
        <f t="shared" si="13"/>
        <v>109379.91137101538</v>
      </c>
      <c r="C91" s="93">
        <f t="shared" si="25"/>
        <v>54618.723925020167</v>
      </c>
      <c r="D91" s="26">
        <f t="shared" si="14"/>
        <v>0.49934876743275186</v>
      </c>
      <c r="E91" s="7">
        <v>2040</v>
      </c>
      <c r="F91" s="7"/>
      <c r="G91" s="93">
        <f>'Urban Pass Adoption'!G91</f>
        <v>3273.404333145867</v>
      </c>
      <c r="H91" s="26">
        <f t="shared" si="15"/>
        <v>2.9926924351241408E-2</v>
      </c>
      <c r="I91" s="5"/>
      <c r="J91" s="93">
        <f>'Urban Pass Adoption'!J91</f>
        <v>2426.4776282269813</v>
      </c>
      <c r="K91" s="26">
        <f t="shared" si="16"/>
        <v>2.2183942168287171E-2</v>
      </c>
      <c r="L91" s="24"/>
      <c r="M91" s="93">
        <f>'Urban Pass Adoption'!M91</f>
        <v>1168.9531669931209</v>
      </c>
      <c r="N91" s="26">
        <f t="shared" si="17"/>
        <v>1.0687091919722311E-2</v>
      </c>
      <c r="O91" s="24"/>
      <c r="P91" s="93">
        <f>'Urban Pass Adoption'!P91</f>
        <v>16324.463344821199</v>
      </c>
      <c r="Q91" s="26">
        <f t="shared" si="18"/>
        <v>0.14924553457946049</v>
      </c>
      <c r="R91" s="24"/>
      <c r="S91" s="93">
        <f>'Urban Pass Adoption'!S91</f>
        <v>11066.113709350495</v>
      </c>
      <c r="T91" s="26">
        <f t="shared" si="19"/>
        <v>0.10117135377642031</v>
      </c>
      <c r="U91" s="24"/>
      <c r="V91" s="93">
        <f>'Private Car Analysis &amp; Split'!R95</f>
        <v>7660.1159261613575</v>
      </c>
      <c r="W91" s="26">
        <f t="shared" si="20"/>
        <v>7.0032200887220813E-2</v>
      </c>
      <c r="X91" s="24"/>
      <c r="Y91" s="93">
        <f>'Private Car Analysis &amp; Split'!U95</f>
        <v>4046.0956131385383</v>
      </c>
      <c r="Z91" s="26">
        <f t="shared" si="21"/>
        <v>3.6991213125180084E-2</v>
      </c>
      <c r="AA91" s="7"/>
      <c r="AB91" s="93">
        <f>'Nonurban Pass Adoption'!G91</f>
        <v>1984.9965864293968</v>
      </c>
      <c r="AC91" s="26">
        <f t="shared" si="22"/>
        <v>1.8147725313986694E-2</v>
      </c>
      <c r="AD91" s="5"/>
      <c r="AE91" s="93">
        <f>'Nonurban Pass Adoption'!J91</f>
        <v>2025.0930177928346</v>
      </c>
      <c r="AF91" s="26">
        <f t="shared" si="23"/>
        <v>1.8514304797009232E-2</v>
      </c>
      <c r="AG91" s="24"/>
      <c r="AH91" s="93">
        <f>'Nonurban Pass Adoption'!M91</f>
        <v>15851.587829285945</v>
      </c>
      <c r="AI91" s="26">
        <f t="shared" si="24"/>
        <v>0.14492229542514024</v>
      </c>
    </row>
    <row r="92" spans="2:35" ht="14.4" x14ac:dyDescent="0.3">
      <c r="B92" s="19">
        <f t="shared" si="13"/>
        <v>111921.38305155796</v>
      </c>
      <c r="C92" s="93">
        <f t="shared" si="25"/>
        <v>55132.541816239704</v>
      </c>
      <c r="D92" s="26">
        <f>C92/B92</f>
        <v>0.49260061226050272</v>
      </c>
      <c r="E92" s="7">
        <v>2041</v>
      </c>
      <c r="F92" s="7"/>
      <c r="G92" s="93">
        <f>'Urban Pass Adoption'!G92</f>
        <v>3326.0653758317458</v>
      </c>
      <c r="H92" s="26">
        <f t="shared" si="15"/>
        <v>2.9717872359561113E-2</v>
      </c>
      <c r="I92" s="5"/>
      <c r="J92" s="93">
        <f>'Urban Pass Adoption'!J92</f>
        <v>2482.0867372398761</v>
      </c>
      <c r="K92" s="26">
        <f t="shared" si="16"/>
        <v>2.2177055622127833E-2</v>
      </c>
      <c r="L92" s="24"/>
      <c r="M92" s="93">
        <f>'Urban Pass Adoption'!M92</f>
        <v>1215.9019825806186</v>
      </c>
      <c r="N92" s="26">
        <f t="shared" si="17"/>
        <v>1.0863893470834777E-2</v>
      </c>
      <c r="O92" s="24"/>
      <c r="P92" s="93">
        <f>'Urban Pass Adoption'!P92</f>
        <v>16661.157444247587</v>
      </c>
      <c r="Q92" s="26">
        <f t="shared" si="18"/>
        <v>0.1488648280603575</v>
      </c>
      <c r="R92" s="24"/>
      <c r="S92" s="93">
        <f>'Urban Pass Adoption'!S92</f>
        <v>11516.286436297019</v>
      </c>
      <c r="T92" s="26">
        <f t="shared" si="19"/>
        <v>0.10289621270130213</v>
      </c>
      <c r="U92" s="24"/>
      <c r="V92" s="93">
        <f>'Private Car Analysis &amp; Split'!R96</f>
        <v>8375.8376773208875</v>
      </c>
      <c r="W92" s="26">
        <f t="shared" si="20"/>
        <v>7.4836795694907157E-2</v>
      </c>
      <c r="X92" s="24"/>
      <c r="Y92" s="93">
        <f>'Private Car Analysis &amp; Split'!U96</f>
        <v>4339.4977184872432</v>
      </c>
      <c r="Z92" s="26">
        <f t="shared" si="21"/>
        <v>3.877273135990645E-2</v>
      </c>
      <c r="AA92" s="7"/>
      <c r="AB92" s="93">
        <f>'Nonurban Pass Adoption'!G92</f>
        <v>2053.5913053572672</v>
      </c>
      <c r="AC92" s="26">
        <f t="shared" si="22"/>
        <v>1.8348516158089783E-2</v>
      </c>
      <c r="AD92" s="5"/>
      <c r="AE92" s="93">
        <f>'Nonurban Pass Adoption'!J92</f>
        <v>2072.9767332362571</v>
      </c>
      <c r="AF92" s="26">
        <f t="shared" si="23"/>
        <v>1.8521721915117105E-2</v>
      </c>
      <c r="AG92" s="24"/>
      <c r="AH92" s="93">
        <f>'Nonurban Pass Adoption'!M92</f>
        <v>16261.726261016773</v>
      </c>
      <c r="AI92" s="26">
        <f t="shared" si="24"/>
        <v>0.14529597309859554</v>
      </c>
    </row>
    <row r="93" spans="2:35" ht="14.4" x14ac:dyDescent="0.3">
      <c r="B93" s="19">
        <f t="shared" si="13"/>
        <v>114506.21818774793</v>
      </c>
      <c r="C93" s="93">
        <f t="shared" si="25"/>
        <v>55684.458677009032</v>
      </c>
      <c r="D93" s="26">
        <f t="shared" si="14"/>
        <v>0.48630074032928999</v>
      </c>
      <c r="E93" s="7">
        <v>2042</v>
      </c>
      <c r="F93" s="7"/>
      <c r="G93" s="93">
        <f>'Urban Pass Adoption'!G93</f>
        <v>3376.6077672695073</v>
      </c>
      <c r="H93" s="26">
        <f t="shared" si="15"/>
        <v>2.9488422731184058E-2</v>
      </c>
      <c r="I93" s="5"/>
      <c r="J93" s="93">
        <f>'Urban Pass Adoption'!J93</f>
        <v>2537.4491514484494</v>
      </c>
      <c r="K93" s="26">
        <f t="shared" si="16"/>
        <v>2.2159924514212576E-2</v>
      </c>
      <c r="L93" s="24"/>
      <c r="M93" s="93">
        <f>'Urban Pass Adoption'!M93</f>
        <v>1263.4264315444518</v>
      </c>
      <c r="N93" s="26">
        <f t="shared" si="17"/>
        <v>1.1033692768307995E-2</v>
      </c>
      <c r="O93" s="24"/>
      <c r="P93" s="93">
        <f>'Urban Pass Adoption'!P93</f>
        <v>16993.830150698068</v>
      </c>
      <c r="Q93" s="26">
        <f t="shared" si="18"/>
        <v>0.14840967084280487</v>
      </c>
      <c r="R93" s="24"/>
      <c r="S93" s="93">
        <f>'Urban Pass Adoption'!S93</f>
        <v>11987.297845681742</v>
      </c>
      <c r="T93" s="26">
        <f t="shared" si="19"/>
        <v>0.1046868723410898</v>
      </c>
      <c r="U93" s="24"/>
      <c r="V93" s="93">
        <f>'Private Car Analysis &amp; Split'!R97</f>
        <v>9128.9891023250893</v>
      </c>
      <c r="W93" s="26">
        <f t="shared" si="20"/>
        <v>7.972483282398618E-2</v>
      </c>
      <c r="X93" s="24"/>
      <c r="Y93" s="93">
        <f>'Private Car Analysis &amp; Split'!U97</f>
        <v>4646.1289493075155</v>
      </c>
      <c r="Z93" s="26">
        <f t="shared" si="21"/>
        <v>4.0575341870863112E-2</v>
      </c>
      <c r="AA93" s="7"/>
      <c r="AB93" s="93">
        <f>'Nonurban Pass Adoption'!G93</f>
        <v>2121.7844176288772</v>
      </c>
      <c r="AC93" s="26">
        <f t="shared" si="22"/>
        <v>1.8529861969154671E-2</v>
      </c>
      <c r="AD93" s="5"/>
      <c r="AE93" s="93">
        <f>'Nonurban Pass Adoption'!J93</f>
        <v>2122.4185212863385</v>
      </c>
      <c r="AF93" s="26">
        <f t="shared" si="23"/>
        <v>1.8535399691625092E-2</v>
      </c>
      <c r="AG93" s="24"/>
      <c r="AH93" s="93">
        <f>'Nonurban Pass Adoption'!M93</f>
        <v>16631.125019230611</v>
      </c>
      <c r="AI93" s="26">
        <f t="shared" si="24"/>
        <v>0.14524211245857149</v>
      </c>
    </row>
    <row r="94" spans="2:35" ht="14.4" x14ac:dyDescent="0.3">
      <c r="B94" s="19">
        <f t="shared" si="13"/>
        <v>117138.39658386304</v>
      </c>
      <c r="C94" s="93">
        <f t="shared" si="25"/>
        <v>56273.273316107588</v>
      </c>
      <c r="D94" s="26">
        <f t="shared" si="14"/>
        <v>0.48039989411857614</v>
      </c>
      <c r="E94" s="7">
        <v>2043</v>
      </c>
      <c r="F94" s="7"/>
      <c r="G94" s="93">
        <f>'Urban Pass Adoption'!G94</f>
        <v>3424.9642083109361</v>
      </c>
      <c r="H94" s="26">
        <f t="shared" si="15"/>
        <v>2.9238612685456192E-2</v>
      </c>
      <c r="I94" s="5"/>
      <c r="J94" s="93">
        <f>'Urban Pass Adoption'!J94</f>
        <v>2592.6084709260931</v>
      </c>
      <c r="K94" s="26">
        <f t="shared" si="16"/>
        <v>2.2132866306309423E-2</v>
      </c>
      <c r="L94" s="24"/>
      <c r="M94" s="93">
        <f>'Urban Pass Adoption'!M94</f>
        <v>1311.5183410697562</v>
      </c>
      <c r="N94" s="26">
        <f t="shared" si="17"/>
        <v>1.1196314610050166E-2</v>
      </c>
      <c r="O94" s="24"/>
      <c r="P94" s="93">
        <f>'Urban Pass Adoption'!P94</f>
        <v>17322.443609140006</v>
      </c>
      <c r="Q94" s="26">
        <f t="shared" si="18"/>
        <v>0.14788014958646226</v>
      </c>
      <c r="R94" s="24"/>
      <c r="S94" s="93">
        <f>'Urban Pass Adoption'!S94</f>
        <v>12481.221292502711</v>
      </c>
      <c r="T94" s="26">
        <f t="shared" si="19"/>
        <v>0.10655106827902509</v>
      </c>
      <c r="U94" s="24"/>
      <c r="V94" s="93">
        <f>'Private Car Analysis &amp; Split'!R98</f>
        <v>9920.2338136561793</v>
      </c>
      <c r="W94" s="26">
        <f t="shared" si="20"/>
        <v>8.4688147549928039E-2</v>
      </c>
      <c r="X94" s="24"/>
      <c r="Y94" s="93">
        <f>'Private Car Analysis &amp; Split'!U98</f>
        <v>4966.2529852757889</v>
      </c>
      <c r="Z94" s="26">
        <f t="shared" si="21"/>
        <v>4.2396456927087038E-2</v>
      </c>
      <c r="AA94" s="7"/>
      <c r="AB94" s="93">
        <f>'Nonurban Pass Adoption'!G94</f>
        <v>2189.5742518322259</v>
      </c>
      <c r="AC94" s="26">
        <f t="shared" si="22"/>
        <v>1.8692199276132665E-2</v>
      </c>
      <c r="AD94" s="5"/>
      <c r="AE94" s="93">
        <f>'Nonurban Pass Adoption'!J94</f>
        <v>2173.6498857877018</v>
      </c>
      <c r="AF94" s="26">
        <f t="shared" si="23"/>
        <v>1.8556254389494889E-2</v>
      </c>
      <c r="AG94" s="24"/>
      <c r="AH94" s="93">
        <f>'Nonurban Pass Adoption'!M94</f>
        <v>16963.877701756788</v>
      </c>
      <c r="AI94" s="26">
        <f t="shared" si="24"/>
        <v>0.14481910455050337</v>
      </c>
    </row>
    <row r="95" spans="2:35" ht="14.4" x14ac:dyDescent="0.3">
      <c r="B95" s="19">
        <f t="shared" si="13"/>
        <v>119819.17449839209</v>
      </c>
      <c r="C95" s="93">
        <f t="shared" si="25"/>
        <v>56976.397259623307</v>
      </c>
      <c r="D95" s="26">
        <f t="shared" si="14"/>
        <v>0.47551986147582664</v>
      </c>
      <c r="E95" s="7">
        <v>2044</v>
      </c>
      <c r="F95" s="7"/>
      <c r="G95" s="93">
        <f>'Urban Pass Adoption'!G95</f>
        <v>3471.0673998078155</v>
      </c>
      <c r="H95" s="26">
        <f t="shared" si="15"/>
        <v>2.8969214771667411E-2</v>
      </c>
      <c r="I95" s="5"/>
      <c r="J95" s="93">
        <f>'Urban Pass Adoption'!J95</f>
        <v>2647.6082957462008</v>
      </c>
      <c r="K95" s="26">
        <f t="shared" si="16"/>
        <v>2.2096699521008054E-2</v>
      </c>
      <c r="L95" s="24"/>
      <c r="M95" s="93">
        <f>'Urban Pass Adoption'!M95</f>
        <v>1360.1695383416668</v>
      </c>
      <c r="N95" s="26">
        <f t="shared" si="17"/>
        <v>1.1351852022314838E-2</v>
      </c>
      <c r="O95" s="24"/>
      <c r="P95" s="93">
        <f>'Urban Pass Adoption'!P95</f>
        <v>17646.95293896896</v>
      </c>
      <c r="Q95" s="26">
        <f t="shared" si="18"/>
        <v>0.14727987413405</v>
      </c>
      <c r="R95" s="24"/>
      <c r="S95" s="93">
        <f>'Urban Pass Adoption'!S95</f>
        <v>12999.156743431946</v>
      </c>
      <c r="T95" s="26">
        <f t="shared" si="19"/>
        <v>0.10848978719684292</v>
      </c>
      <c r="U95" s="24"/>
      <c r="V95" s="93">
        <f>'Private Car Analysis &amp; Split'!R99</f>
        <v>10750.235423796372</v>
      </c>
      <c r="W95" s="26">
        <f t="shared" si="20"/>
        <v>8.9720493141443189E-2</v>
      </c>
      <c r="X95" s="24"/>
      <c r="Y95" s="93">
        <f>'Private Car Analysis &amp; Split'!U99</f>
        <v>5300.1335060684978</v>
      </c>
      <c r="Z95" s="26">
        <f t="shared" si="21"/>
        <v>4.4234435166632051E-2</v>
      </c>
      <c r="AA95" s="7"/>
      <c r="AB95" s="93">
        <f>'Nonurban Pass Adoption'!G95</f>
        <v>2256.9592174504946</v>
      </c>
      <c r="AC95" s="26">
        <f t="shared" si="22"/>
        <v>1.8836377624023622E-2</v>
      </c>
      <c r="AD95" s="5"/>
      <c r="AE95" s="93">
        <f>'Nonurban Pass Adoption'!J95</f>
        <v>2226.9023305849678</v>
      </c>
      <c r="AF95" s="26">
        <f t="shared" si="23"/>
        <v>1.8585525563062959E-2</v>
      </c>
      <c r="AG95" s="24"/>
      <c r="AH95" s="93">
        <f>'Nonurban Pass Adoption'!M95</f>
        <v>17182.748588003818</v>
      </c>
      <c r="AI95" s="26">
        <f t="shared" si="24"/>
        <v>0.14340566657997131</v>
      </c>
    </row>
    <row r="96" spans="2:35" ht="14.4" x14ac:dyDescent="0.3">
      <c r="B96" s="19">
        <f t="shared" si="13"/>
        <v>122594.27669503816</v>
      </c>
      <c r="C96" s="93">
        <f t="shared" si="25"/>
        <v>57717.078918638712</v>
      </c>
      <c r="D96" s="26">
        <f t="shared" si="14"/>
        <v>0.47079749948045274</v>
      </c>
      <c r="E96" s="7">
        <v>2045</v>
      </c>
      <c r="F96" s="7"/>
      <c r="G96" s="93">
        <f>'Urban Pass Adoption'!G96</f>
        <v>3514.8500426119281</v>
      </c>
      <c r="H96" s="26">
        <f t="shared" si="15"/>
        <v>2.8670588361603237E-2</v>
      </c>
      <c r="I96" s="5"/>
      <c r="J96" s="93">
        <f>'Urban Pass Adoption'!J96</f>
        <v>2702.4922259821678</v>
      </c>
      <c r="K96" s="26">
        <f t="shared" si="16"/>
        <v>2.2044195690348631E-2</v>
      </c>
      <c r="L96" s="24"/>
      <c r="M96" s="93">
        <f>'Urban Pass Adoption'!M96</f>
        <v>1409.3718505453182</v>
      </c>
      <c r="N96" s="26">
        <f t="shared" si="17"/>
        <v>1.149622876809518E-2</v>
      </c>
      <c r="O96" s="24"/>
      <c r="P96" s="93">
        <f>'Urban Pass Adoption'!P96</f>
        <v>17967.313816207643</v>
      </c>
      <c r="Q96" s="26">
        <f t="shared" si="18"/>
        <v>0.14655915676147421</v>
      </c>
      <c r="R96" s="24"/>
      <c r="S96" s="93">
        <f>'Urban Pass Adoption'!S96</f>
        <v>13559.968477958084</v>
      </c>
      <c r="T96" s="26">
        <f t="shared" si="19"/>
        <v>0.11060849530267594</v>
      </c>
      <c r="U96" s="24"/>
      <c r="V96" s="93">
        <f>'Private Car Analysis &amp; Split'!R100</f>
        <v>11619.657545227876</v>
      </c>
      <c r="W96" s="26">
        <f t="shared" si="20"/>
        <v>9.4781403002463044E-2</v>
      </c>
      <c r="X96" s="24"/>
      <c r="Y96" s="93">
        <f>'Private Car Analysis &amp; Split'!U100</f>
        <v>5648.0341913620759</v>
      </c>
      <c r="Z96" s="26">
        <f t="shared" si="21"/>
        <v>4.6070945101392917E-2</v>
      </c>
      <c r="AA96" s="7"/>
      <c r="AB96" s="93">
        <f>'Nonurban Pass Adoption'!G96</f>
        <v>2323.9378043430888</v>
      </c>
      <c r="AC96" s="26">
        <f t="shared" si="22"/>
        <v>1.8956331951156632E-2</v>
      </c>
      <c r="AD96" s="5"/>
      <c r="AE96" s="93">
        <f>'Nonurban Pass Adoption'!J96</f>
        <v>2282.4073595227583</v>
      </c>
      <c r="AF96" s="26">
        <f t="shared" si="23"/>
        <v>1.8617568625984116E-2</v>
      </c>
      <c r="AG96" s="24"/>
      <c r="AH96" s="93">
        <f>'Nonurban Pass Adoption'!M96</f>
        <v>17409.132940596595</v>
      </c>
      <c r="AI96" s="26">
        <f t="shared" si="24"/>
        <v>0.14200608225702926</v>
      </c>
    </row>
    <row r="97" spans="1:38" ht="14.4" x14ac:dyDescent="0.3">
      <c r="B97" s="19">
        <f t="shared" si="13"/>
        <v>125331.41564940999</v>
      </c>
      <c r="C97" s="93">
        <f t="shared" si="25"/>
        <v>58361.933495210091</v>
      </c>
      <c r="D97" s="26">
        <f t="shared" si="14"/>
        <v>0.46566084961863141</v>
      </c>
      <c r="E97" s="7">
        <v>2046</v>
      </c>
      <c r="F97" s="7"/>
      <c r="G97" s="93">
        <f>'Urban Pass Adoption'!G97</f>
        <v>3556.2448375750582</v>
      </c>
      <c r="H97" s="26">
        <f t="shared" si="15"/>
        <v>2.837472806916148E-2</v>
      </c>
      <c r="I97" s="5"/>
      <c r="J97" s="93">
        <f>'Urban Pass Adoption'!J97</f>
        <v>2757.3038617073867</v>
      </c>
      <c r="K97" s="26">
        <f t="shared" si="16"/>
        <v>2.2000101470332087E-2</v>
      </c>
      <c r="L97" s="24"/>
      <c r="M97" s="93">
        <f>'Urban Pass Adoption'!M97</f>
        <v>1459.1171048658462</v>
      </c>
      <c r="N97" s="26">
        <f t="shared" si="17"/>
        <v>1.1642069925607795E-2</v>
      </c>
      <c r="O97" s="24"/>
      <c r="P97" s="93">
        <f>'Urban Pass Adoption'!P97</f>
        <v>18283.498020604271</v>
      </c>
      <c r="Q97" s="26">
        <f t="shared" si="18"/>
        <v>0.14588120564877974</v>
      </c>
      <c r="R97" s="24"/>
      <c r="S97" s="93">
        <f>'Urban Pass Adoption'!S97</f>
        <v>14111.559580640234</v>
      </c>
      <c r="T97" s="26">
        <f t="shared" si="19"/>
        <v>0.11259395345947859</v>
      </c>
      <c r="U97" s="24"/>
      <c r="V97" s="93">
        <f>'Private Car Analysis &amp; Split'!R101</f>
        <v>12529.163790432909</v>
      </c>
      <c r="W97" s="26">
        <f t="shared" si="20"/>
        <v>9.9968261951822068E-2</v>
      </c>
      <c r="X97" s="24"/>
      <c r="Y97" s="93">
        <f>'Private Car Analysis &amp; Split'!U101</f>
        <v>6010.2187208329588</v>
      </c>
      <c r="Z97" s="26">
        <f t="shared" si="21"/>
        <v>4.7954606510193461E-2</v>
      </c>
      <c r="AA97" s="7"/>
      <c r="AB97" s="93">
        <f>'Nonurban Pass Adoption'!G97</f>
        <v>2390.5085822006631</v>
      </c>
      <c r="AC97" s="26">
        <f t="shared" si="22"/>
        <v>1.9073498610178003E-2</v>
      </c>
      <c r="AD97" s="5"/>
      <c r="AE97" s="93">
        <f>'Nonurban Pass Adoption'!J97</f>
        <v>2340.396476445695</v>
      </c>
      <c r="AF97" s="26">
        <f t="shared" si="23"/>
        <v>1.8673661861384333E-2</v>
      </c>
      <c r="AG97" s="24"/>
      <c r="AH97" s="93">
        <f>'Nonurban Pass Adoption'!M97</f>
        <v>17643.030759535115</v>
      </c>
      <c r="AI97" s="26">
        <f t="shared" si="24"/>
        <v>0.14077101633390968</v>
      </c>
    </row>
    <row r="98" spans="1:38" ht="14.4" x14ac:dyDescent="0.3">
      <c r="B98" s="19">
        <f t="shared" si="13"/>
        <v>128165.29601143197</v>
      </c>
      <c r="C98" s="93">
        <f t="shared" si="25"/>
        <v>59044.57018203078</v>
      </c>
      <c r="D98" s="26">
        <f t="shared" si="14"/>
        <v>0.46069077995001217</v>
      </c>
      <c r="E98" s="7">
        <v>2047</v>
      </c>
      <c r="F98" s="7"/>
      <c r="G98" s="93">
        <f>'Urban Pass Adoption'!G98</f>
        <v>3595.1844855489881</v>
      </c>
      <c r="H98" s="26">
        <f t="shared" si="15"/>
        <v>2.8051154231550388E-2</v>
      </c>
      <c r="I98" s="5"/>
      <c r="J98" s="93">
        <f>'Urban Pass Adoption'!J98</f>
        <v>2812.0868029952512</v>
      </c>
      <c r="K98" s="26">
        <f t="shared" si="16"/>
        <v>2.1941093966220165E-2</v>
      </c>
      <c r="L98" s="24"/>
      <c r="M98" s="93">
        <f>'Urban Pass Adoption'!M98</f>
        <v>1509.3971284883853</v>
      </c>
      <c r="N98" s="26">
        <f t="shared" si="17"/>
        <v>1.1776956597937023E-2</v>
      </c>
      <c r="O98" s="24"/>
      <c r="P98" s="93">
        <f>'Urban Pass Adoption'!P98</f>
        <v>18595.475436324639</v>
      </c>
      <c r="Q98" s="26">
        <f t="shared" si="18"/>
        <v>0.14508978651027324</v>
      </c>
      <c r="R98" s="24"/>
      <c r="S98" s="93">
        <f>'Urban Pass Adoption'!S98</f>
        <v>14708.324350316518</v>
      </c>
      <c r="T98" s="26">
        <f t="shared" si="19"/>
        <v>0.11476058502611017</v>
      </c>
      <c r="U98" s="24"/>
      <c r="V98" s="93">
        <f>'Private Car Analysis &amp; Split'!R102</f>
        <v>13479.417771893683</v>
      </c>
      <c r="W98" s="26">
        <f t="shared" si="20"/>
        <v>0.10517213466811919</v>
      </c>
      <c r="X98" s="24"/>
      <c r="Y98" s="93">
        <f>'Private Car Analysis &amp; Split'!U102</f>
        <v>6386.9507741575808</v>
      </c>
      <c r="Z98" s="26">
        <f t="shared" si="21"/>
        <v>4.9833698925705154E-2</v>
      </c>
      <c r="AA98" s="7"/>
      <c r="AB98" s="93">
        <f>'Nonurban Pass Adoption'!G98</f>
        <v>2456.6701999748707</v>
      </c>
      <c r="AC98" s="26">
        <f t="shared" si="22"/>
        <v>1.9167982881697888E-2</v>
      </c>
      <c r="AD98" s="5"/>
      <c r="AE98" s="93">
        <f>'Nonurban Pass Adoption'!J98</f>
        <v>2401.101185198399</v>
      </c>
      <c r="AF98" s="26">
        <f t="shared" si="23"/>
        <v>1.8734409859157409E-2</v>
      </c>
      <c r="AG98" s="24"/>
      <c r="AH98" s="93">
        <f>'Nonurban Pass Adoption'!M98</f>
        <v>17884.442044819378</v>
      </c>
      <c r="AI98" s="26">
        <f t="shared" si="24"/>
        <v>0.13954200240932724</v>
      </c>
    </row>
    <row r="99" spans="1:38" ht="14.4" x14ac:dyDescent="0.3">
      <c r="B99" s="19">
        <f t="shared" si="13"/>
        <v>131052.45988767326</v>
      </c>
      <c r="C99" s="93">
        <f t="shared" si="25"/>
        <v>59720.452727655873</v>
      </c>
      <c r="D99" s="26">
        <f t="shared" si="14"/>
        <v>0.45569883067317496</v>
      </c>
      <c r="E99" s="7">
        <v>2048</v>
      </c>
      <c r="F99" s="7"/>
      <c r="G99" s="93">
        <f>'Urban Pass Adoption'!G99</f>
        <v>3631.6016873855024</v>
      </c>
      <c r="H99" s="26">
        <f t="shared" si="15"/>
        <v>2.7711053195782778E-2</v>
      </c>
      <c r="I99" s="5"/>
      <c r="J99" s="93">
        <f>'Urban Pass Adoption'!J99</f>
        <v>2866.8846499191559</v>
      </c>
      <c r="K99" s="26">
        <f t="shared" si="16"/>
        <v>2.1875855305397544E-2</v>
      </c>
      <c r="L99" s="24"/>
      <c r="M99" s="93">
        <f>'Urban Pass Adoption'!M99</f>
        <v>1560.2037485980709</v>
      </c>
      <c r="N99" s="26">
        <f t="shared" si="17"/>
        <v>1.190518476292121E-2</v>
      </c>
      <c r="O99" s="24"/>
      <c r="P99" s="93">
        <f>'Urban Pass Adoption'!P99</f>
        <v>18903.19876965143</v>
      </c>
      <c r="Q99" s="26">
        <f t="shared" si="18"/>
        <v>0.14424146472224636</v>
      </c>
      <c r="R99" s="24"/>
      <c r="S99" s="93">
        <f>'Urban Pass Adoption'!S99</f>
        <v>15333.677909207168</v>
      </c>
      <c r="T99" s="26">
        <f t="shared" si="19"/>
        <v>0.1170041212683063</v>
      </c>
      <c r="U99" s="24"/>
      <c r="V99" s="93">
        <f>'Private Car Analysis &amp; Split'!R103</f>
        <v>14471.083102092409</v>
      </c>
      <c r="W99" s="26">
        <f t="shared" si="20"/>
        <v>0.11042206391620393</v>
      </c>
      <c r="X99" s="24"/>
      <c r="Y99" s="93">
        <f>'Private Car Analysis &amp; Split'!U103</f>
        <v>6778.4940310123757</v>
      </c>
      <c r="Z99" s="26">
        <f t="shared" si="21"/>
        <v>5.1723516192082999E-2</v>
      </c>
      <c r="AA99" s="7"/>
      <c r="AB99" s="93">
        <f>'Nonurban Pass Adoption'!G99</f>
        <v>2522.4213852835874</v>
      </c>
      <c r="AC99" s="26">
        <f t="shared" si="22"/>
        <v>1.9247417312468509E-2</v>
      </c>
      <c r="AD99" s="5"/>
      <c r="AE99" s="93">
        <f>'Nonurban Pass Adoption'!J99</f>
        <v>2464.7529896254923</v>
      </c>
      <c r="AF99" s="26">
        <f t="shared" si="23"/>
        <v>1.8807376769105009E-2</v>
      </c>
      <c r="AG99" s="24"/>
      <c r="AH99" s="93">
        <f>'Nonurban Pass Adoption'!M99</f>
        <v>18133.366796449387</v>
      </c>
      <c r="AI99" s="26">
        <f t="shared" si="24"/>
        <v>0.13836723715061683</v>
      </c>
    </row>
    <row r="100" spans="1:38" ht="14.4" x14ac:dyDescent="0.3">
      <c r="B100" s="19">
        <f t="shared" si="13"/>
        <v>133993.88836168771</v>
      </c>
      <c r="C100" s="93">
        <f t="shared" si="25"/>
        <v>60395.776389813014</v>
      </c>
      <c r="D100" s="26">
        <f t="shared" si="14"/>
        <v>0.45073530687300895</v>
      </c>
      <c r="E100" s="7">
        <v>2049</v>
      </c>
      <c r="F100" s="7"/>
      <c r="G100" s="93">
        <f>'Urban Pass Adoption'!G100</f>
        <v>3665.4291439363833</v>
      </c>
      <c r="H100" s="26">
        <f t="shared" si="15"/>
        <v>2.735519648509897E-2</v>
      </c>
      <c r="I100" s="5"/>
      <c r="J100" s="93">
        <f>'Urban Pass Adoption'!J100</f>
        <v>2921.7410025524932</v>
      </c>
      <c r="K100" s="26">
        <f t="shared" si="16"/>
        <v>2.1805031843436629E-2</v>
      </c>
      <c r="L100" s="24"/>
      <c r="M100" s="93">
        <f>'Urban Pass Adoption'!M100</f>
        <v>1611.5287923800381</v>
      </c>
      <c r="N100" s="26">
        <f t="shared" si="17"/>
        <v>1.2026882808490954E-2</v>
      </c>
      <c r="O100" s="24"/>
      <c r="P100" s="93">
        <f>'Urban Pass Adoption'!P100</f>
        <v>19206.615862835726</v>
      </c>
      <c r="Q100" s="26">
        <f t="shared" si="18"/>
        <v>0.14333949180571276</v>
      </c>
      <c r="R100" s="24"/>
      <c r="S100" s="93">
        <f>'Urban Pass Adoption'!S100</f>
        <v>15988.792143485587</v>
      </c>
      <c r="T100" s="26">
        <f t="shared" si="19"/>
        <v>0.11932478666733871</v>
      </c>
      <c r="U100" s="24"/>
      <c r="V100" s="93">
        <f>'Private Car Analysis &amp; Split'!R104</f>
        <v>15504.823393511306</v>
      </c>
      <c r="W100" s="26">
        <f t="shared" si="20"/>
        <v>0.11571291484324543</v>
      </c>
      <c r="X100" s="24"/>
      <c r="Y100" s="93">
        <f>'Private Car Analysis &amp; Split'!U104</f>
        <v>7185.1121710737771</v>
      </c>
      <c r="Z100" s="26">
        <f t="shared" si="21"/>
        <v>5.3622685772645916E-2</v>
      </c>
      <c r="AA100" s="7"/>
      <c r="AB100" s="93">
        <f>'Nonurban Pass Adoption'!G100</f>
        <v>2587.7609437923611</v>
      </c>
      <c r="AC100" s="26">
        <f t="shared" si="22"/>
        <v>1.9312529664093758E-2</v>
      </c>
      <c r="AD100" s="5"/>
      <c r="AE100" s="93">
        <f>'Nonurban Pass Adoption'!J100</f>
        <v>2531.5833935715959</v>
      </c>
      <c r="AF100" s="26">
        <f t="shared" si="23"/>
        <v>1.8893275092802222E-2</v>
      </c>
      <c r="AG100" s="24"/>
      <c r="AH100" s="93">
        <f>'Nonurban Pass Adoption'!M100</f>
        <v>18383.517268221018</v>
      </c>
      <c r="AI100" s="26">
        <f t="shared" si="24"/>
        <v>0.13719668481146441</v>
      </c>
    </row>
    <row r="101" spans="1:38" ht="14.4" x14ac:dyDescent="0.3">
      <c r="A101" s="30"/>
      <c r="B101" s="19">
        <f t="shared" si="13"/>
        <v>136967.50153648219</v>
      </c>
      <c r="C101" s="93">
        <f t="shared" si="25"/>
        <v>61054.964516606764</v>
      </c>
      <c r="D101" s="26">
        <f t="shared" si="14"/>
        <v>0.44576241686312995</v>
      </c>
      <c r="E101" s="33">
        <v>2050</v>
      </c>
      <c r="F101" s="33"/>
      <c r="G101" s="93">
        <f>'Urban Pass Adoption'!G101</f>
        <v>3696.5995560534147</v>
      </c>
      <c r="H101" s="26">
        <f t="shared" si="15"/>
        <v>2.6988880680347382E-2</v>
      </c>
      <c r="I101" s="30"/>
      <c r="J101" s="93">
        <f>'Urban Pass Adoption'!J101</f>
        <v>2976.6994609686576</v>
      </c>
      <c r="K101" s="26">
        <f t="shared" si="16"/>
        <v>2.173288866027679E-2</v>
      </c>
      <c r="L101" s="34"/>
      <c r="M101" s="93">
        <f>'Urban Pass Adoption'!M101</f>
        <v>1663.364087019422</v>
      </c>
      <c r="N101" s="26">
        <f t="shared" si="17"/>
        <v>1.2144224493840053E-2</v>
      </c>
      <c r="O101" s="34"/>
      <c r="P101" s="93">
        <f>'Urban Pass Adoption'!P101</f>
        <v>19505.681891643311</v>
      </c>
      <c r="Q101" s="26">
        <f t="shared" si="18"/>
        <v>0.14241102212445517</v>
      </c>
      <c r="R101" s="34"/>
      <c r="S101" s="93">
        <f>'Urban Pass Adoption'!S101</f>
        <v>16665.002030071722</v>
      </c>
      <c r="T101" s="26">
        <f t="shared" si="19"/>
        <v>0.12167121282878107</v>
      </c>
      <c r="U101" s="34"/>
      <c r="V101" s="93">
        <f>'Private Car Analysis &amp; Split'!R105</f>
        <v>16581.302258632579</v>
      </c>
      <c r="W101" s="26">
        <f t="shared" si="20"/>
        <v>0.12106012063172548</v>
      </c>
      <c r="X101" s="34"/>
      <c r="Y101" s="93">
        <f>'Private Car Analysis &amp; Split'!U105</f>
        <v>7607.0688740182213</v>
      </c>
      <c r="Z101" s="26">
        <f t="shared" si="21"/>
        <v>5.5539224916007018E-2</v>
      </c>
      <c r="AA101" s="33"/>
      <c r="AB101" s="93">
        <f>'Nonurban Pass Adoption'!G101</f>
        <v>2652.6877585728439</v>
      </c>
      <c r="AC101" s="26">
        <f t="shared" si="22"/>
        <v>1.9367278579337181E-2</v>
      </c>
      <c r="AD101" s="30"/>
      <c r="AE101" s="93">
        <f>'Nonurban Pass Adoption'!J101</f>
        <v>2601.8239008813325</v>
      </c>
      <c r="AF101" s="26">
        <f t="shared" si="23"/>
        <v>1.8995921453588898E-2</v>
      </c>
      <c r="AG101" s="34"/>
      <c r="AH101" s="93">
        <f>'Nonurban Pass Adoption'!M101</f>
        <v>18627.309232085652</v>
      </c>
      <c r="AI101" s="26">
        <f t="shared" si="24"/>
        <v>0.13599802159729216</v>
      </c>
      <c r="AK101" s="852" t="s">
        <v>222</v>
      </c>
      <c r="AL101" s="852"/>
    </row>
    <row r="102" spans="1:38" ht="14.4" x14ac:dyDescent="0.3">
      <c r="B102" s="19">
        <f t="shared" si="13"/>
        <v>140043.53368741606</v>
      </c>
      <c r="C102" s="93">
        <f t="shared" si="25"/>
        <v>61766.150675913683</v>
      </c>
      <c r="D102" s="26">
        <f t="shared" si="14"/>
        <v>0.44104964398983759</v>
      </c>
      <c r="E102" s="7">
        <v>2051</v>
      </c>
      <c r="F102" s="7"/>
      <c r="G102" s="93">
        <f>'Urban Pass Adoption'!G102</f>
        <v>3725.0456245883806</v>
      </c>
      <c r="H102" s="26">
        <f t="shared" si="15"/>
        <v>2.6599197595962288E-2</v>
      </c>
      <c r="I102" s="5"/>
      <c r="J102" s="93">
        <f>'Urban Pass Adoption'!J102</f>
        <v>3031.8036252410429</v>
      </c>
      <c r="K102" s="26">
        <f t="shared" si="16"/>
        <v>2.1649008314858546E-2</v>
      </c>
      <c r="L102" s="24"/>
      <c r="M102" s="93">
        <f>'Urban Pass Adoption'!M102</f>
        <v>1715.7014597013576</v>
      </c>
      <c r="N102" s="26">
        <f t="shared" si="17"/>
        <v>1.2251200855377488E-2</v>
      </c>
      <c r="O102" s="24"/>
      <c r="P102" s="93">
        <f>'Urban Pass Adoption'!P102</f>
        <v>19800.369631046498</v>
      </c>
      <c r="Q102" s="26">
        <f t="shared" si="18"/>
        <v>0.14138724659177682</v>
      </c>
      <c r="R102" s="24"/>
      <c r="S102" s="93">
        <f>'Urban Pass Adoption'!S102</f>
        <v>17393.093701068628</v>
      </c>
      <c r="T102" s="26">
        <f t="shared" si="19"/>
        <v>0.12419776367462175</v>
      </c>
      <c r="U102" s="24"/>
      <c r="V102" s="93">
        <f>'Private Car Analysis &amp; Split'!R106</f>
        <v>17701.183309938446</v>
      </c>
      <c r="W102" s="26">
        <f t="shared" si="20"/>
        <v>0.12639771965086474</v>
      </c>
      <c r="X102" s="24"/>
      <c r="Y102" s="93">
        <f>'Private Car Analysis &amp; Split'!U106</f>
        <v>8044.6278195221403</v>
      </c>
      <c r="Z102" s="26">
        <f t="shared" si="21"/>
        <v>5.7443764861561823E-2</v>
      </c>
      <c r="AA102" s="7"/>
      <c r="AB102" s="93">
        <f>'Nonurban Pass Adoption'!G102</f>
        <v>2717.2007894389635</v>
      </c>
      <c r="AC102" s="26">
        <f t="shared" si="22"/>
        <v>1.9402543751173024E-2</v>
      </c>
      <c r="AD102" s="5"/>
      <c r="AE102" s="93">
        <f>'Nonurban Pass Adoption'!J102</f>
        <v>2675.7060153993216</v>
      </c>
      <c r="AF102" s="26">
        <f t="shared" si="23"/>
        <v>1.910624464369506E-2</v>
      </c>
      <c r="AG102" s="24"/>
      <c r="AH102" s="93">
        <f>'Nonurban Pass Adoption'!M102</f>
        <v>18865.74473662622</v>
      </c>
      <c r="AI102" s="26">
        <f t="shared" si="24"/>
        <v>0.13471342974489259</v>
      </c>
      <c r="AK102" s="223" t="str">
        <f t="shared" ref="AK102:AK112" si="26">AK66</f>
        <v>Other</v>
      </c>
      <c r="AL102" s="222">
        <f>C101</f>
        <v>61054.964516606764</v>
      </c>
    </row>
    <row r="103" spans="1:38" ht="14.4" x14ac:dyDescent="0.3">
      <c r="B103" s="19">
        <f t="shared" si="13"/>
        <v>143153.89276896894</v>
      </c>
      <c r="C103" s="93">
        <f t="shared" si="25"/>
        <v>62454.777758317534</v>
      </c>
      <c r="D103" s="26">
        <f t="shared" si="14"/>
        <v>0.43627718778916558</v>
      </c>
      <c r="E103" s="7">
        <v>2052</v>
      </c>
      <c r="F103" s="7"/>
      <c r="G103" s="93">
        <f>'Urban Pass Adoption'!G103</f>
        <v>3750.7000503930631</v>
      </c>
      <c r="H103" s="26">
        <f t="shared" si="15"/>
        <v>2.6200475431333095E-2</v>
      </c>
      <c r="I103" s="5"/>
      <c r="J103" s="93">
        <f>'Urban Pass Adoption'!J103</f>
        <v>3087.0970954430427</v>
      </c>
      <c r="K103" s="26">
        <f t="shared" si="16"/>
        <v>2.1564884026068369E-2</v>
      </c>
      <c r="L103" s="24"/>
      <c r="M103" s="93">
        <f>'Urban Pass Adoption'!M103</f>
        <v>1768.5327376109801</v>
      </c>
      <c r="N103" s="26">
        <f t="shared" si="17"/>
        <v>1.2354066685878764E-2</v>
      </c>
      <c r="O103" s="24"/>
      <c r="P103" s="93">
        <f>'Urban Pass Adoption'!P103</f>
        <v>20090.661725632639</v>
      </c>
      <c r="Q103" s="26">
        <f t="shared" si="18"/>
        <v>0.14034310445232709</v>
      </c>
      <c r="R103" s="24"/>
      <c r="S103" s="93">
        <f>'Urban Pass Adoption'!S103</f>
        <v>18144.745802105797</v>
      </c>
      <c r="T103" s="26">
        <f t="shared" si="19"/>
        <v>0.12674992940212229</v>
      </c>
      <c r="U103" s="24"/>
      <c r="V103" s="93">
        <f>'Private Car Analysis &amp; Split'!R107</f>
        <v>18865.130159911125</v>
      </c>
      <c r="W103" s="26">
        <f t="shared" si="20"/>
        <v>0.13178216669494905</v>
      </c>
      <c r="X103" s="24"/>
      <c r="Y103" s="93">
        <f>'Private Car Analysis &amp; Split'!U107</f>
        <v>8498.0526872619721</v>
      </c>
      <c r="Z103" s="26">
        <f t="shared" si="21"/>
        <v>5.9363056937450399E-2</v>
      </c>
      <c r="AA103" s="7"/>
      <c r="AB103" s="93">
        <f>'Nonurban Pass Adoption'!G103</f>
        <v>2781.2990722616041</v>
      </c>
      <c r="AC103" s="26">
        <f t="shared" si="22"/>
        <v>1.9428735177675155E-2</v>
      </c>
      <c r="AD103" s="5"/>
      <c r="AE103" s="93">
        <f>'Nonurban Pass Adoption'!J103</f>
        <v>2753.4612409701876</v>
      </c>
      <c r="AF103" s="26">
        <f t="shared" si="23"/>
        <v>1.9234274302368449E-2</v>
      </c>
      <c r="AG103" s="24"/>
      <c r="AH103" s="93">
        <f>'Nonurban Pass Adoption'!M103</f>
        <v>19104.180241166792</v>
      </c>
      <c r="AI103" s="26">
        <f t="shared" si="24"/>
        <v>0.13345204850278405</v>
      </c>
      <c r="AK103" s="223" t="str">
        <f t="shared" si="26"/>
        <v>Walking</v>
      </c>
      <c r="AL103" s="222">
        <f>G101</f>
        <v>3696.5995560534147</v>
      </c>
    </row>
    <row r="104" spans="1:38" ht="14.4" x14ac:dyDescent="0.3">
      <c r="B104" s="19">
        <f t="shared" si="13"/>
        <v>146322.56345099362</v>
      </c>
      <c r="C104" s="93">
        <f t="shared" si="25"/>
        <v>63148.735827896802</v>
      </c>
      <c r="D104" s="26">
        <f t="shared" si="14"/>
        <v>0.43157209891997683</v>
      </c>
      <c r="E104" s="7">
        <v>2053</v>
      </c>
      <c r="F104" s="7"/>
      <c r="G104" s="93">
        <f>'Urban Pass Adoption'!G104</f>
        <v>3773.495534319246</v>
      </c>
      <c r="H104" s="26">
        <f t="shared" si="15"/>
        <v>2.5788883445737786E-2</v>
      </c>
      <c r="I104" s="5"/>
      <c r="J104" s="93">
        <f>'Urban Pass Adoption'!J104</f>
        <v>3142.6234716480512</v>
      </c>
      <c r="K104" s="26">
        <f t="shared" si="16"/>
        <v>2.1477367519607316E-2</v>
      </c>
      <c r="L104" s="24"/>
      <c r="M104" s="93">
        <f>'Urban Pass Adoption'!M104</f>
        <v>1821.8497479334246</v>
      </c>
      <c r="N104" s="26">
        <f t="shared" si="17"/>
        <v>1.2450914643411089E-2</v>
      </c>
      <c r="O104" s="24"/>
      <c r="P104" s="93">
        <f>'Urban Pass Adoption'!P104</f>
        <v>20376.536988755313</v>
      </c>
      <c r="Q104" s="26">
        <f t="shared" si="18"/>
        <v>0.13925765451464242</v>
      </c>
      <c r="R104" s="24"/>
      <c r="S104" s="93">
        <f>'Urban Pass Adoption'!S104</f>
        <v>18931.041388034278</v>
      </c>
      <c r="T104" s="26">
        <f t="shared" si="19"/>
        <v>0.12937882539472231</v>
      </c>
      <c r="U104" s="24"/>
      <c r="V104" s="93">
        <f>'Private Car Analysis &amp; Split'!R108</f>
        <v>20073.806421032823</v>
      </c>
      <c r="W104" s="26">
        <f t="shared" si="20"/>
        <v>0.13718872843391611</v>
      </c>
      <c r="X104" s="24"/>
      <c r="Y104" s="93">
        <f>'Private Car Analysis &amp; Split'!U108</f>
        <v>8967.6071569141459</v>
      </c>
      <c r="Z104" s="26">
        <f t="shared" si="21"/>
        <v>6.128656405010003E-2</v>
      </c>
      <c r="AA104" s="7"/>
      <c r="AB104" s="93">
        <f>'Nonurban Pass Adoption'!G104</f>
        <v>2844.9817182625516</v>
      </c>
      <c r="AC104" s="26">
        <f t="shared" si="22"/>
        <v>1.9443219495094435E-2</v>
      </c>
      <c r="AD104" s="5"/>
      <c r="AE104" s="93">
        <f>'Nonurban Pass Adoption'!J104</f>
        <v>2835.3210814385493</v>
      </c>
      <c r="AF104" s="26">
        <f t="shared" si="23"/>
        <v>1.9377196616625403E-2</v>
      </c>
      <c r="AG104" s="24"/>
      <c r="AH104" s="93">
        <f>'Nonurban Pass Adoption'!M104</f>
        <v>19337.605502792707</v>
      </c>
      <c r="AI104" s="26">
        <f t="shared" si="24"/>
        <v>0.13215737236088856</v>
      </c>
      <c r="AK104" s="223" t="str">
        <f t="shared" si="26"/>
        <v>Biking</v>
      </c>
      <c r="AL104" s="222">
        <f>J101</f>
        <v>2976.6994609686576</v>
      </c>
    </row>
    <row r="105" spans="1:38" ht="14.4" x14ac:dyDescent="0.3">
      <c r="B105" s="19">
        <f t="shared" si="13"/>
        <v>149550.42108334723</v>
      </c>
      <c r="C105" s="93">
        <f t="shared" si="25"/>
        <v>63847.789047386359</v>
      </c>
      <c r="D105" s="26">
        <f t="shared" si="14"/>
        <v>0.42693152306005744</v>
      </c>
      <c r="E105" s="7">
        <v>2054</v>
      </c>
      <c r="F105" s="7"/>
      <c r="G105" s="93">
        <f>'Urban Pass Adoption'!G105</f>
        <v>3793.3647772187132</v>
      </c>
      <c r="H105" s="26">
        <f t="shared" si="15"/>
        <v>2.5365122677284878E-2</v>
      </c>
      <c r="I105" s="5"/>
      <c r="J105" s="93">
        <f>'Urban Pass Adoption'!J105</f>
        <v>3198.4263539294616</v>
      </c>
      <c r="K105" s="26">
        <f t="shared" si="16"/>
        <v>2.1386943151078919E-2</v>
      </c>
      <c r="L105" s="24"/>
      <c r="M105" s="93">
        <f>'Urban Pass Adoption'!M105</f>
        <v>1875.6443178538261</v>
      </c>
      <c r="N105" s="26">
        <f t="shared" si="17"/>
        <v>1.2541885902203476E-2</v>
      </c>
      <c r="O105" s="24"/>
      <c r="P105" s="93">
        <f>'Urban Pass Adoption'!P105</f>
        <v>20657.980497576547</v>
      </c>
      <c r="Q105" s="26">
        <f t="shared" si="18"/>
        <v>0.13813388386291117</v>
      </c>
      <c r="R105" s="24"/>
      <c r="S105" s="93">
        <f>'Urban Pass Adoption'!S105</f>
        <v>19753.211530264121</v>
      </c>
      <c r="T105" s="26">
        <f t="shared" si="19"/>
        <v>0.13208395795325303</v>
      </c>
      <c r="U105" s="24"/>
      <c r="V105" s="93">
        <f>'Private Car Analysis &amp; Split'!R109</f>
        <v>21327.875705785755</v>
      </c>
      <c r="W105" s="26">
        <f t="shared" si="20"/>
        <v>0.14261327752396855</v>
      </c>
      <c r="X105" s="24"/>
      <c r="Y105" s="93">
        <f>'Private Car Analysis &amp; Split'!U109</f>
        <v>9453.5549081551017</v>
      </c>
      <c r="Z105" s="26">
        <f t="shared" si="21"/>
        <v>6.3213161418559025E-2</v>
      </c>
      <c r="AA105" s="7"/>
      <c r="AB105" s="93">
        <f>'Nonurban Pass Adoption'!G105</f>
        <v>2908.2479132884714</v>
      </c>
      <c r="AC105" s="26">
        <f t="shared" si="22"/>
        <v>1.9446604644915381E-2</v>
      </c>
      <c r="AD105" s="5"/>
      <c r="AE105" s="93">
        <f>'Nonurban Pass Adoption'!J105</f>
        <v>2921.5170406490306</v>
      </c>
      <c r="AF105" s="26">
        <f t="shared" si="23"/>
        <v>1.9535331425250983E-2</v>
      </c>
      <c r="AG105" s="24"/>
      <c r="AH105" s="93">
        <f>'Nonurban Pass Adoption'!M105</f>
        <v>19566.020521503968</v>
      </c>
      <c r="AI105" s="26">
        <f t="shared" si="24"/>
        <v>0.13083226633377021</v>
      </c>
      <c r="AK105" s="223" t="str">
        <f t="shared" si="26"/>
        <v>E-Bikes</v>
      </c>
      <c r="AL105" s="222">
        <f>M101</f>
        <v>1663.364087019422</v>
      </c>
    </row>
    <row r="106" spans="1:38" ht="14.4" x14ac:dyDescent="0.3">
      <c r="B106" s="19">
        <f t="shared" si="13"/>
        <v>152838.35951504947</v>
      </c>
      <c r="C106" s="93">
        <f t="shared" si="25"/>
        <v>64551.715013591645</v>
      </c>
      <c r="D106" s="26">
        <f t="shared" si="14"/>
        <v>0.42235283876647117</v>
      </c>
      <c r="E106" s="7">
        <v>2055</v>
      </c>
      <c r="F106" s="7"/>
      <c r="G106" s="93">
        <f>'Urban Pass Adoption'!G106</f>
        <v>3810.240479943247</v>
      </c>
      <c r="H106" s="26">
        <f t="shared" si="15"/>
        <v>2.4929870302409691E-2</v>
      </c>
      <c r="I106" s="5"/>
      <c r="J106" s="93">
        <f>'Urban Pass Adoption'!J106</f>
        <v>3254.5493423606672</v>
      </c>
      <c r="K106" s="26">
        <f t="shared" si="16"/>
        <v>2.1294060945741849E-2</v>
      </c>
      <c r="L106" s="24"/>
      <c r="M106" s="93">
        <f>'Urban Pass Adoption'!M106</f>
        <v>1929.9082745573198</v>
      </c>
      <c r="N106" s="26">
        <f t="shared" si="17"/>
        <v>1.2627119792968522E-2</v>
      </c>
      <c r="O106" s="24"/>
      <c r="P106" s="93">
        <f>'Urban Pass Adoption'!P106</f>
        <v>20934.982320470641</v>
      </c>
      <c r="Q106" s="26">
        <f t="shared" si="18"/>
        <v>0.13697465994071498</v>
      </c>
      <c r="R106" s="24"/>
      <c r="S106" s="93">
        <f>'Urban Pass Adoption'!S106</f>
        <v>20612.508645420425</v>
      </c>
      <c r="T106" s="26">
        <f t="shared" si="19"/>
        <v>0.13486475980783333</v>
      </c>
      <c r="U106" s="24"/>
      <c r="V106" s="93">
        <f>'Private Car Analysis &amp; Split'!R110</f>
        <v>22628.001626652134</v>
      </c>
      <c r="W106" s="26">
        <f t="shared" si="20"/>
        <v>0.14805184836090859</v>
      </c>
      <c r="X106" s="24"/>
      <c r="Y106" s="93">
        <f>'Private Car Analysis &amp; Split'!U110</f>
        <v>9956.1596206612703</v>
      </c>
      <c r="Z106" s="26">
        <f t="shared" si="21"/>
        <v>6.5141759256326759E-2</v>
      </c>
      <c r="AA106" s="7"/>
      <c r="AB106" s="93">
        <f>'Nonurban Pass Adoption'!G106</f>
        <v>2971.0969170656813</v>
      </c>
      <c r="AC106" s="26">
        <f t="shared" si="22"/>
        <v>1.9439471389858302E-2</v>
      </c>
      <c r="AD106" s="5"/>
      <c r="AE106" s="93">
        <f>'Nonurban Pass Adoption'!J106</f>
        <v>3012.2806224462511</v>
      </c>
      <c r="AF106" s="26">
        <f t="shared" si="23"/>
        <v>1.9708930611425739E-2</v>
      </c>
      <c r="AG106" s="24"/>
      <c r="AH106" s="93">
        <f>'Nonurban Pass Adoption'!M106</f>
        <v>19789.425297300579</v>
      </c>
      <c r="AI106" s="26">
        <f t="shared" si="24"/>
        <v>0.12947944063317418</v>
      </c>
      <c r="AK106" s="223" t="str">
        <f t="shared" si="26"/>
        <v>Urban Public Transit</v>
      </c>
      <c r="AL106" s="222">
        <f>P101</f>
        <v>19505.681891643311</v>
      </c>
    </row>
    <row r="107" spans="1:38" ht="14.4" x14ac:dyDescent="0.3">
      <c r="B107" s="19">
        <f t="shared" si="13"/>
        <v>156187.28018061578</v>
      </c>
      <c r="C107" s="93">
        <f t="shared" si="25"/>
        <v>65260.296343393144</v>
      </c>
      <c r="D107" s="26">
        <f t="shared" si="14"/>
        <v>0.41783361787160772</v>
      </c>
      <c r="E107" s="7">
        <v>2056</v>
      </c>
      <c r="F107" s="7"/>
      <c r="G107" s="93">
        <f>'Urban Pass Adoption'!G107</f>
        <v>3824.0553433446312</v>
      </c>
      <c r="H107" s="26">
        <f t="shared" si="15"/>
        <v>2.448378215513116E-2</v>
      </c>
      <c r="I107" s="5"/>
      <c r="J107" s="93">
        <f>'Urban Pass Adoption'!J107</f>
        <v>3311.0360370150629</v>
      </c>
      <c r="K107" s="26">
        <f t="shared" si="16"/>
        <v>2.1199140116827463E-2</v>
      </c>
      <c r="L107" s="24"/>
      <c r="M107" s="93">
        <f>'Urban Pass Adoption'!M107</f>
        <v>1984.6334452290407</v>
      </c>
      <c r="N107" s="26">
        <f t="shared" si="17"/>
        <v>1.2706754627739214E-2</v>
      </c>
      <c r="O107" s="24"/>
      <c r="P107" s="93">
        <f>'Urban Pass Adoption'!P107</f>
        <v>21207.535018116807</v>
      </c>
      <c r="Q107" s="26">
        <f t="shared" si="18"/>
        <v>0.13578272823236504</v>
      </c>
      <c r="R107" s="24"/>
      <c r="S107" s="93">
        <f>'Urban Pass Adoption'!S107</f>
        <v>21510.207017774152</v>
      </c>
      <c r="T107" s="26">
        <f t="shared" si="19"/>
        <v>0.13772060690793539</v>
      </c>
      <c r="U107" s="24"/>
      <c r="V107" s="93">
        <f>'Private Car Analysis &amp; Split'!R111</f>
        <v>23974.847796114173</v>
      </c>
      <c r="W107" s="26">
        <f t="shared" si="20"/>
        <v>0.15350064210343847</v>
      </c>
      <c r="X107" s="24"/>
      <c r="Y107" s="93">
        <f>'Private Car Analysis &amp; Split'!U111</f>
        <v>10475.684974109086</v>
      </c>
      <c r="Z107" s="26">
        <f t="shared" si="21"/>
        <v>6.7071306715853873E-2</v>
      </c>
      <c r="AA107" s="7"/>
      <c r="AB107" s="93">
        <f>'Nonurban Pass Adoption'!G107</f>
        <v>3033.528062436485</v>
      </c>
      <c r="AC107" s="26">
        <f t="shared" si="22"/>
        <v>1.9422375874197293E-2</v>
      </c>
      <c r="AD107" s="5"/>
      <c r="AE107" s="93">
        <f>'Nonurban Pass Adoption'!J107</f>
        <v>3107.8433306748329</v>
      </c>
      <c r="AF107" s="26">
        <f t="shared" si="23"/>
        <v>1.9898184583795216E-2</v>
      </c>
      <c r="AG107" s="24"/>
      <c r="AH107" s="93">
        <f>'Nonurban Pass Adoption'!M107</f>
        <v>20007.819830182532</v>
      </c>
      <c r="AI107" s="26">
        <f t="shared" si="24"/>
        <v>0.12810146771904463</v>
      </c>
      <c r="AK107" s="223" t="str">
        <f t="shared" si="26"/>
        <v>Carpooling (IGNORED FOR PLOT)</v>
      </c>
      <c r="AL107" s="222">
        <f>S101</f>
        <v>16665.002030071722</v>
      </c>
    </row>
    <row r="108" spans="1:38" ht="14.4" x14ac:dyDescent="0.3">
      <c r="B108" s="19">
        <f t="shared" si="13"/>
        <v>159598.17305010007</v>
      </c>
      <c r="C108" s="93">
        <f t="shared" si="25"/>
        <v>65973.392388044638</v>
      </c>
      <c r="D108" s="26">
        <f t="shared" si="14"/>
        <v>0.413371852115968</v>
      </c>
      <c r="E108" s="7">
        <v>2057</v>
      </c>
      <c r="F108" s="7"/>
      <c r="G108" s="93">
        <f>'Urban Pass Adoption'!G108</f>
        <v>3834.7420682746506</v>
      </c>
      <c r="H108" s="26">
        <f t="shared" si="15"/>
        <v>2.4027480985455089E-2</v>
      </c>
      <c r="I108" s="5"/>
      <c r="J108" s="93">
        <f>'Urban Pass Adoption'!J108</f>
        <v>3367.9300379660408</v>
      </c>
      <c r="K108" s="26">
        <f t="shared" si="16"/>
        <v>2.1102560095777545E-2</v>
      </c>
      <c r="L108" s="24"/>
      <c r="M108" s="93">
        <f>'Urban Pass Adoption'!M108</f>
        <v>2039.8116570541242</v>
      </c>
      <c r="N108" s="26">
        <f t="shared" si="17"/>
        <v>1.2780921097472708E-2</v>
      </c>
      <c r="O108" s="24"/>
      <c r="P108" s="93">
        <f>'Urban Pass Adoption'!P108</f>
        <v>21475.642880024498</v>
      </c>
      <c r="Q108" s="26">
        <f t="shared" si="18"/>
        <v>0.1345607062386798</v>
      </c>
      <c r="R108" s="24"/>
      <c r="S108" s="93">
        <f>'Urban Pass Adoption'!S108</f>
        <v>22447.61722830751</v>
      </c>
      <c r="T108" s="26">
        <f t="shared" si="19"/>
        <v>0.140650840791648</v>
      </c>
      <c r="U108" s="24"/>
      <c r="V108" s="93">
        <f>'Private Car Analysis &amp; Split'!R112</f>
        <v>25369.077826654087</v>
      </c>
      <c r="W108" s="26">
        <f t="shared" si="20"/>
        <v>0.15895594129821514</v>
      </c>
      <c r="X108" s="24"/>
      <c r="Y108" s="93">
        <f>'Private Car Analysis &amp; Split'!U112</f>
        <v>11012.394648174984</v>
      </c>
      <c r="Z108" s="26">
        <f t="shared" si="21"/>
        <v>6.9000756322680726E-2</v>
      </c>
      <c r="AA108" s="7"/>
      <c r="AB108" s="93">
        <f>'Nonurban Pass Adoption'!G108</f>
        <v>3095.5407545778266</v>
      </c>
      <c r="AC108" s="26">
        <f t="shared" si="22"/>
        <v>1.9395840788265752E-2</v>
      </c>
      <c r="AD108" s="5"/>
      <c r="AE108" s="93">
        <f>'Nonurban Pass Adoption'!J108</f>
        <v>3208.4366691793985</v>
      </c>
      <c r="AF108" s="26">
        <f t="shared" si="23"/>
        <v>2.0103216771611952E-2</v>
      </c>
      <c r="AG108" s="24"/>
      <c r="AH108" s="93">
        <f>'Nonurban Pass Adoption'!M108</f>
        <v>20221.204120149836</v>
      </c>
      <c r="AI108" s="26">
        <f t="shared" si="24"/>
        <v>0.12670072428587337</v>
      </c>
      <c r="AK108" s="223" t="str">
        <f t="shared" si="26"/>
        <v>Electric Cars</v>
      </c>
      <c r="AL108" s="222">
        <f>V101</f>
        <v>16581.302258632579</v>
      </c>
    </row>
    <row r="109" spans="1:38" ht="14.4" x14ac:dyDescent="0.3">
      <c r="B109" s="19">
        <f t="shared" si="13"/>
        <v>163072.13013595738</v>
      </c>
      <c r="C109" s="93">
        <f t="shared" si="25"/>
        <v>66690.94136880734</v>
      </c>
      <c r="D109" s="26">
        <f t="shared" si="14"/>
        <v>0.40896590553643597</v>
      </c>
      <c r="E109" s="7">
        <v>2058</v>
      </c>
      <c r="F109" s="7"/>
      <c r="G109" s="93">
        <f>'Urban Pass Adoption'!G109</f>
        <v>3842.2333555850855</v>
      </c>
      <c r="H109" s="26">
        <f t="shared" si="15"/>
        <v>2.3561557406417133E-2</v>
      </c>
      <c r="I109" s="5"/>
      <c r="J109" s="93">
        <f>'Urban Pass Adoption'!J109</f>
        <v>3425.2749452869966</v>
      </c>
      <c r="K109" s="26">
        <f t="shared" si="16"/>
        <v>2.1004661817020834E-2</v>
      </c>
      <c r="L109" s="24"/>
      <c r="M109" s="93">
        <f>'Urban Pass Adoption'!M109</f>
        <v>2095.4347372177049</v>
      </c>
      <c r="N109" s="26">
        <f t="shared" si="17"/>
        <v>1.2849741617225994E-2</v>
      </c>
      <c r="O109" s="24"/>
      <c r="P109" s="93">
        <f>'Urban Pass Adoption'!P109</f>
        <v>21739.333296560701</v>
      </c>
      <c r="Q109" s="26">
        <f t="shared" si="18"/>
        <v>0.13331115058370835</v>
      </c>
      <c r="R109" s="24"/>
      <c r="S109" s="93">
        <f>'Urban Pass Adoption'!S109</f>
        <v>23426.082018807931</v>
      </c>
      <c r="T109" s="26">
        <f t="shared" si="19"/>
        <v>0.14365472505496193</v>
      </c>
      <c r="U109" s="24"/>
      <c r="V109" s="93">
        <f>'Private Car Analysis &amp; Split'!R113</f>
        <v>26811.35533075409</v>
      </c>
      <c r="W109" s="26">
        <f t="shared" si="20"/>
        <v>0.16441408662780563</v>
      </c>
      <c r="X109" s="24"/>
      <c r="Y109" s="93">
        <f>'Private Car Analysis &amp; Split'!U113</f>
        <v>11566.552322535399</v>
      </c>
      <c r="Z109" s="26">
        <f t="shared" si="21"/>
        <v>7.0929056442030097E-2</v>
      </c>
      <c r="AA109" s="7"/>
      <c r="AB109" s="93">
        <f>'Nonurban Pass Adoption'!G109</f>
        <v>3157.1344702030233</v>
      </c>
      <c r="AC109" s="26">
        <f t="shared" si="22"/>
        <v>1.9360355859525721E-2</v>
      </c>
      <c r="AD109" s="5"/>
      <c r="AE109" s="93">
        <f>'Nonurban Pass Adoption'!J109</f>
        <v>3314.292141804568</v>
      </c>
      <c r="AF109" s="26">
        <f t="shared" si="23"/>
        <v>2.0324086887448876E-2</v>
      </c>
      <c r="AG109" s="24"/>
      <c r="AH109" s="93">
        <f>'Nonurban Pass Adoption'!M109</f>
        <v>20429.578167202482</v>
      </c>
      <c r="AI109" s="26">
        <f t="shared" si="24"/>
        <v>0.12527939722238143</v>
      </c>
      <c r="AK109" s="223" t="str">
        <f t="shared" si="26"/>
        <v>Hybrid Cars</v>
      </c>
      <c r="AL109" s="222">
        <f>Y101</f>
        <v>7607.0688740182213</v>
      </c>
    </row>
    <row r="110" spans="1:38" ht="14.4" x14ac:dyDescent="0.3">
      <c r="B110" s="19">
        <f t="shared" si="13"/>
        <v>166610.32382454554</v>
      </c>
      <c r="C110" s="93">
        <f t="shared" si="25"/>
        <v>67412.949891858065</v>
      </c>
      <c r="D110" s="26">
        <f t="shared" si="14"/>
        <v>0.40461448213046797</v>
      </c>
      <c r="E110" s="7">
        <v>2059</v>
      </c>
      <c r="F110" s="7"/>
      <c r="G110" s="93">
        <f>'Urban Pass Adoption'!G110</f>
        <v>3846.4619061277226</v>
      </c>
      <c r="H110" s="26">
        <f t="shared" si="15"/>
        <v>2.3086576016612063E-2</v>
      </c>
      <c r="I110" s="5"/>
      <c r="J110" s="93">
        <f>'Urban Pass Adoption'!J110</f>
        <v>3483.1143590513229</v>
      </c>
      <c r="K110" s="26">
        <f t="shared" si="16"/>
        <v>2.090575349171838E-2</v>
      </c>
      <c r="L110" s="24"/>
      <c r="M110" s="93">
        <f>'Urban Pass Adoption'!M110</f>
        <v>2151.4945129049183</v>
      </c>
      <c r="N110" s="26">
        <f t="shared" si="17"/>
        <v>1.2913332520562293E-2</v>
      </c>
      <c r="O110" s="24"/>
      <c r="P110" s="93">
        <f>'Urban Pass Adoption'!P110</f>
        <v>21998.645576357565</v>
      </c>
      <c r="Q110" s="26">
        <f t="shared" si="18"/>
        <v>0.13203650933134228</v>
      </c>
      <c r="R110" s="24"/>
      <c r="S110" s="93">
        <f>'Urban Pass Adoption'!S110</f>
        <v>24446.979242919359</v>
      </c>
      <c r="T110" s="26">
        <f t="shared" si="19"/>
        <v>0.14673147906887241</v>
      </c>
      <c r="U110" s="24"/>
      <c r="V110" s="93">
        <f>'Private Car Analysis &amp; Split'!R114</f>
        <v>28302.34392089639</v>
      </c>
      <c r="W110" s="26">
        <f t="shared" si="20"/>
        <v>0.16987148978055586</v>
      </c>
      <c r="X110" s="24"/>
      <c r="Y110" s="93">
        <f>'Private Car Analysis &amp; Split'!U114</f>
        <v>12138.421676866765</v>
      </c>
      <c r="Z110" s="26">
        <f t="shared" si="21"/>
        <v>7.2855159261616509E-2</v>
      </c>
      <c r="AA110" s="7"/>
      <c r="AB110" s="93">
        <f>'Nonurban Pass Adoption'!G110</f>
        <v>3218.3087567473367</v>
      </c>
      <c r="AC110" s="26">
        <f t="shared" si="22"/>
        <v>1.9316382579848305E-2</v>
      </c>
      <c r="AD110" s="5"/>
      <c r="AE110" s="93">
        <f>'Nonurban Pass Adoption'!J110</f>
        <v>3425.6412523949639</v>
      </c>
      <c r="AF110" s="26">
        <f t="shared" si="23"/>
        <v>2.0560798237223569E-2</v>
      </c>
      <c r="AG110" s="24"/>
      <c r="AH110" s="93">
        <f>'Nonurban Pass Adoption'!M110</f>
        <v>20632.941971340471</v>
      </c>
      <c r="AI110" s="26">
        <f t="shared" si="24"/>
        <v>0.12383951665005265</v>
      </c>
      <c r="AK110" s="223" t="str">
        <f t="shared" si="26"/>
        <v>Nonurban Telepresence</v>
      </c>
      <c r="AL110" s="222">
        <f>AB101</f>
        <v>2652.6877585728439</v>
      </c>
    </row>
    <row r="111" spans="1:38" ht="14.4" x14ac:dyDescent="0.3">
      <c r="B111" s="19">
        <f t="shared" si="13"/>
        <v>170213.89430993746</v>
      </c>
      <c r="C111" s="93">
        <f t="shared" si="25"/>
        <v>68148.822840501118</v>
      </c>
      <c r="D111" s="26">
        <f t="shared" si="14"/>
        <v>0.40037168009569735</v>
      </c>
      <c r="E111" s="7">
        <v>2060</v>
      </c>
      <c r="F111" s="7"/>
      <c r="G111" s="93">
        <f>'Urban Pass Adoption'!G111</f>
        <v>3847.3604207543431</v>
      </c>
      <c r="H111" s="26">
        <f t="shared" si="15"/>
        <v>2.2603092634428525E-2</v>
      </c>
      <c r="I111" s="5"/>
      <c r="J111" s="93">
        <f>'Urban Pass Adoption'!J111</f>
        <v>3541.4918793324127</v>
      </c>
      <c r="K111" s="26">
        <f t="shared" si="16"/>
        <v>2.080612686578814E-2</v>
      </c>
      <c r="L111" s="24"/>
      <c r="M111" s="93">
        <f>'Urban Pass Adoption'!M111</f>
        <v>2207.9828113008994</v>
      </c>
      <c r="N111" s="26">
        <f t="shared" si="17"/>
        <v>1.2971813025324764E-2</v>
      </c>
      <c r="O111" s="24"/>
      <c r="P111" s="93">
        <f>'Urban Pass Adoption'!P111</f>
        <v>22253.62010804897</v>
      </c>
      <c r="Q111" s="26">
        <f t="shared" si="18"/>
        <v>0.13073915145568557</v>
      </c>
      <c r="R111" s="24"/>
      <c r="S111" s="93">
        <f>'Urban Pass Adoption'!S111</f>
        <v>25511.699363383497</v>
      </c>
      <c r="T111" s="26">
        <f t="shared" si="19"/>
        <v>0.14988024019314192</v>
      </c>
      <c r="U111" s="24"/>
      <c r="V111" s="93">
        <f>'Private Car Analysis &amp; Split'!R115</f>
        <v>29842.70720956321</v>
      </c>
      <c r="W111" s="26">
        <f t="shared" si="20"/>
        <v>0.17532474261603759</v>
      </c>
      <c r="X111" s="24"/>
      <c r="Y111" s="93">
        <f>'Private Car Analysis &amp; Split'!U115</f>
        <v>12728.266390845516</v>
      </c>
      <c r="Z111" s="26">
        <f t="shared" si="21"/>
        <v>7.4778069337095313E-2</v>
      </c>
      <c r="AA111" s="7"/>
      <c r="AB111" s="93">
        <f>'Nonurban Pass Adoption'!G111</f>
        <v>3279.0632315381345</v>
      </c>
      <c r="AC111" s="26">
        <f t="shared" si="22"/>
        <v>1.9264368780420385E-2</v>
      </c>
      <c r="AD111" s="5"/>
      <c r="AE111" s="93">
        <f>'Nonurban Pass Adoption'!J111</f>
        <v>3542.7155047952083</v>
      </c>
      <c r="AF111" s="26">
        <f t="shared" si="23"/>
        <v>2.0813315617727316E-2</v>
      </c>
      <c r="AG111" s="24"/>
      <c r="AH111" s="93">
        <f>'Nonurban Pass Adoption'!M111</f>
        <v>20821.863913257628</v>
      </c>
      <c r="AI111" s="26">
        <f t="shared" si="24"/>
        <v>0.12232763957179495</v>
      </c>
      <c r="AK111" s="223" t="str">
        <f t="shared" si="26"/>
        <v>High Speed Rail</v>
      </c>
      <c r="AL111" s="222">
        <f>AE101</f>
        <v>2601.8239008813325</v>
      </c>
    </row>
    <row r="112" spans="1:38" ht="14.4" x14ac:dyDescent="0.3">
      <c r="B112" s="5"/>
      <c r="C112" s="5"/>
      <c r="D112" s="5"/>
      <c r="F112" s="5"/>
      <c r="G112" s="5"/>
      <c r="H112" s="5"/>
      <c r="I112" s="5"/>
      <c r="J112" s="5"/>
      <c r="L112" s="5"/>
      <c r="M112" s="5"/>
      <c r="O112" s="5"/>
      <c r="P112" s="5"/>
      <c r="R112" s="5"/>
      <c r="S112" s="5"/>
      <c r="U112" s="5"/>
      <c r="V112" s="5"/>
      <c r="X112" s="5"/>
      <c r="Y112" s="5"/>
      <c r="AA112" s="5"/>
      <c r="AB112" s="5"/>
      <c r="AC112" s="5"/>
      <c r="AD112" s="5"/>
      <c r="AE112" s="5"/>
      <c r="AF112" s="5"/>
      <c r="AG112" s="5"/>
      <c r="AH112" s="5"/>
      <c r="AK112" s="223" t="str">
        <f t="shared" si="26"/>
        <v>Efficient Aviation</v>
      </c>
      <c r="AL112" s="222">
        <f>AH101</f>
        <v>18627.309232085652</v>
      </c>
    </row>
    <row r="113" spans="1:38" ht="14.4" x14ac:dyDescent="0.3">
      <c r="B113" s="5"/>
      <c r="C113" s="5"/>
      <c r="D113" s="5"/>
      <c r="F113" s="5"/>
      <c r="G113" s="5"/>
      <c r="H113" s="5"/>
      <c r="I113" s="5"/>
      <c r="J113" s="5"/>
      <c r="L113" s="5"/>
      <c r="M113" s="5"/>
      <c r="O113" s="5"/>
      <c r="P113" s="5"/>
      <c r="R113" s="5"/>
      <c r="S113" s="5"/>
      <c r="U113" s="5"/>
      <c r="V113" s="5"/>
      <c r="X113" s="5"/>
      <c r="Y113" s="5"/>
      <c r="AA113" s="5"/>
      <c r="AB113" s="5"/>
      <c r="AC113" s="5"/>
      <c r="AD113" s="5"/>
      <c r="AE113" s="5"/>
      <c r="AF113" s="5"/>
      <c r="AG113" s="5"/>
      <c r="AH113" s="5"/>
    </row>
    <row r="114" spans="1:38" ht="18.75" customHeight="1" x14ac:dyDescent="0.3">
      <c r="A114" s="5"/>
      <c r="B114" s="5"/>
      <c r="C114" s="5"/>
      <c r="D114" s="5"/>
      <c r="E114" s="5"/>
      <c r="F114" s="5"/>
      <c r="G114" s="92" t="s">
        <v>131</v>
      </c>
      <c r="H114" s="5"/>
      <c r="I114" s="5"/>
      <c r="J114" s="92" t="s">
        <v>131</v>
      </c>
      <c r="L114" s="5"/>
      <c r="M114" s="92" t="s">
        <v>131</v>
      </c>
      <c r="O114" s="5"/>
      <c r="P114" s="92" t="s">
        <v>131</v>
      </c>
      <c r="R114" s="5"/>
      <c r="S114" s="92" t="s">
        <v>131</v>
      </c>
      <c r="U114" s="5"/>
      <c r="V114" s="92" t="s">
        <v>131</v>
      </c>
      <c r="X114" s="5"/>
      <c r="Y114" s="92" t="s">
        <v>131</v>
      </c>
      <c r="AA114" s="5"/>
      <c r="AB114" s="92" t="s">
        <v>131</v>
      </c>
      <c r="AC114" s="5"/>
      <c r="AD114" s="5"/>
      <c r="AE114" s="92" t="s">
        <v>131</v>
      </c>
      <c r="AF114" s="5"/>
      <c r="AG114" s="5"/>
      <c r="AH114" s="92" t="s">
        <v>131</v>
      </c>
    </row>
    <row r="115" spans="1:38" ht="15.75" customHeight="1" x14ac:dyDescent="0.3">
      <c r="A115" s="65" t="s">
        <v>68</v>
      </c>
      <c r="B115" s="5"/>
      <c r="C115" s="5"/>
      <c r="D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row>
    <row r="116" spans="1:38" ht="45" customHeight="1" x14ac:dyDescent="0.3">
      <c r="A116" s="8" t="s">
        <v>130</v>
      </c>
      <c r="B116" s="66" t="s">
        <v>69</v>
      </c>
      <c r="C116" s="52" t="s">
        <v>66</v>
      </c>
      <c r="D116" s="52" t="s">
        <v>221</v>
      </c>
      <c r="E116" s="13"/>
      <c r="F116" s="14" t="s">
        <v>50</v>
      </c>
      <c r="G116" s="11" t="s">
        <v>384</v>
      </c>
      <c r="H116" s="11" t="s">
        <v>27</v>
      </c>
      <c r="I116" s="14" t="s">
        <v>51</v>
      </c>
      <c r="J116" s="11" t="s">
        <v>751</v>
      </c>
      <c r="K116" s="11" t="s">
        <v>27</v>
      </c>
      <c r="L116" s="14" t="s">
        <v>52</v>
      </c>
      <c r="M116" s="11" t="s">
        <v>3</v>
      </c>
      <c r="N116" s="11" t="s">
        <v>27</v>
      </c>
      <c r="O116" s="14" t="s">
        <v>53</v>
      </c>
      <c r="P116" s="11" t="s">
        <v>750</v>
      </c>
      <c r="Q116" s="11" t="s">
        <v>27</v>
      </c>
      <c r="R116" s="14" t="s">
        <v>54</v>
      </c>
      <c r="S116" s="11" t="s">
        <v>749</v>
      </c>
      <c r="T116" s="11" t="s">
        <v>27</v>
      </c>
      <c r="U116" s="14" t="s">
        <v>25</v>
      </c>
      <c r="V116" s="11" t="s">
        <v>380</v>
      </c>
      <c r="W116" s="11" t="s">
        <v>27</v>
      </c>
      <c r="X116" s="14" t="s">
        <v>26</v>
      </c>
      <c r="Y116" s="11" t="s">
        <v>377</v>
      </c>
      <c r="Z116" s="11" t="s">
        <v>27</v>
      </c>
      <c r="AA116" s="14" t="s">
        <v>217</v>
      </c>
      <c r="AB116" s="11" t="s">
        <v>752</v>
      </c>
      <c r="AC116" s="11" t="s">
        <v>27</v>
      </c>
      <c r="AD116" s="14" t="s">
        <v>218</v>
      </c>
      <c r="AE116" s="11" t="s">
        <v>6</v>
      </c>
      <c r="AF116" s="11" t="s">
        <v>27</v>
      </c>
      <c r="AG116" s="14" t="s">
        <v>219</v>
      </c>
      <c r="AH116" s="11" t="s">
        <v>609</v>
      </c>
      <c r="AI116" s="11" t="s">
        <v>27</v>
      </c>
    </row>
    <row r="117" spans="1:38" ht="18.75" customHeight="1" x14ac:dyDescent="0.3">
      <c r="A117" s="16"/>
      <c r="B117" s="17"/>
      <c r="C117" s="17"/>
      <c r="D117" s="17"/>
      <c r="E117" s="122" t="s">
        <v>134</v>
      </c>
      <c r="F117" s="17"/>
      <c r="G117" s="220" t="str">
        <f>'Urban Pass Adoption'!G117</f>
        <v>PDS3-7p2050-Oct21ComDat</v>
      </c>
      <c r="H117" s="17" t="s">
        <v>30</v>
      </c>
      <c r="I117" s="17"/>
      <c r="J117" s="220" t="str">
        <f>'Urban Pass Adoption'!J117</f>
        <v>PDS3-10p2050-Oct21ComDat</v>
      </c>
      <c r="K117" s="17" t="s">
        <v>30</v>
      </c>
      <c r="L117" s="17"/>
      <c r="M117" s="220" t="str">
        <f>'Urban Pass Adoption'!M117</f>
        <v>PDS3-3p2050-Oct21ComDat</v>
      </c>
      <c r="N117" s="17" t="s">
        <v>30</v>
      </c>
      <c r="O117" s="17"/>
      <c r="P117" s="220" t="str">
        <f>'Urban Pass Adoption'!P117</f>
        <v>PDS3-45p2050-Oct21ComDat</v>
      </c>
      <c r="Q117" s="17" t="s">
        <v>30</v>
      </c>
      <c r="R117" s="17"/>
      <c r="S117" s="220" t="str">
        <f>'Urban Pass Adoption'!S117</f>
        <v>PDS3-100p2050-3.0 Veh Occupancy</v>
      </c>
      <c r="T117" s="17" t="s">
        <v>30</v>
      </c>
      <c r="U117" s="17"/>
      <c r="V117" s="220" t="str">
        <f>'Urban Pass Adoption'!V117</f>
        <v>PDS3-100p2050-LRate at 11%</v>
      </c>
      <c r="W117" s="17" t="s">
        <v>30</v>
      </c>
      <c r="X117" s="17"/>
      <c r="Y117" s="220" t="str">
        <f>'Urban Pass Adoption'!Y117</f>
        <v>PDS3-0p2050-Oct21ComDat-PeakandDecline</v>
      </c>
      <c r="Z117" s="17" t="s">
        <v>30</v>
      </c>
      <c r="AA117" s="17"/>
      <c r="AB117" s="220" t="str">
        <f>'Nonurban Pass Adoption'!G118</f>
        <v>PDS3-71p2050-Bass Diffusion to 75%</v>
      </c>
      <c r="AC117" s="17" t="s">
        <v>30</v>
      </c>
      <c r="AD117" s="17"/>
      <c r="AE117" s="220" t="str">
        <f>'Nonurban Pass Adoption'!J118</f>
        <v>PDS3-9p2050-Oct21ComDat</v>
      </c>
      <c r="AF117" s="17" t="s">
        <v>30</v>
      </c>
      <c r="AG117" s="17"/>
      <c r="AH117" s="220" t="str">
        <f>'Nonurban Pass Adoption'!M118</f>
        <v>PDS3-100p2050-Oct21ComDatNewPDS3</v>
      </c>
      <c r="AI117" s="17" t="s">
        <v>30</v>
      </c>
    </row>
    <row r="118" spans="1:38" ht="18.75" customHeight="1" x14ac:dyDescent="0.3">
      <c r="A118" s="8"/>
      <c r="B118" s="19">
        <f t="shared" ref="B118:B166" si="27">B63</f>
        <v>50116.801089708635</v>
      </c>
      <c r="C118" s="93">
        <f>B118-IF($G$114="Include",G118,0)-IF($J$114="Include",J118,0)-IF($M$114="Include",M118,0)-IF($P$114="Include",P118,0)-IF($V$114="Include",V118,0)-IF($Y$114="Include",Y118,0)-IF($AB$114="Include",AB118,0)-IF($AE$114="Include",AE118,0)-IF($AH$114="Include",AH118,0)</f>
        <v>50116.801089708635</v>
      </c>
      <c r="D118" s="69">
        <f t="shared" ref="D118:D166" si="28">C118/B118</f>
        <v>1</v>
      </c>
      <c r="E118" s="7">
        <v>2012</v>
      </c>
      <c r="F118" s="7"/>
      <c r="G118" s="93">
        <f>'Urban Pass Adoption'!G118</f>
        <v>0</v>
      </c>
      <c r="H118" s="26">
        <f t="shared" ref="H118:H166" si="29">G118/$B118</f>
        <v>0</v>
      </c>
      <c r="I118" s="5"/>
      <c r="J118" s="93">
        <f>'Urban Pass Adoption'!J118</f>
        <v>0</v>
      </c>
      <c r="K118" s="26">
        <f t="shared" ref="K118:K166" si="30">J118/$B118</f>
        <v>0</v>
      </c>
      <c r="L118" s="24"/>
      <c r="M118" s="93">
        <f>'Urban Pass Adoption'!M118</f>
        <v>0</v>
      </c>
      <c r="N118" s="26">
        <f t="shared" ref="N118:N166" si="31">M118/$B118</f>
        <v>0</v>
      </c>
      <c r="O118" s="24"/>
      <c r="P118" s="93">
        <f>'Urban Pass Adoption'!P118</f>
        <v>0</v>
      </c>
      <c r="Q118" s="26">
        <f t="shared" ref="Q118:Q166" si="32">P118/$B118</f>
        <v>0</v>
      </c>
      <c r="R118" s="24"/>
      <c r="S118" s="93">
        <f>'Urban Pass Adoption'!S118</f>
        <v>0</v>
      </c>
      <c r="T118" s="26">
        <f t="shared" ref="T118:T166" si="33">S118/$B118</f>
        <v>0</v>
      </c>
      <c r="U118" s="24"/>
      <c r="V118" s="93">
        <f>'Private Car Analysis &amp; Split'!R125</f>
        <v>0</v>
      </c>
      <c r="W118" s="26">
        <f t="shared" ref="W118:W166" si="34">V118/$B118</f>
        <v>0</v>
      </c>
      <c r="X118" s="24"/>
      <c r="Y118" s="93">
        <f>'Private Car Analysis &amp; Split'!U125</f>
        <v>0</v>
      </c>
      <c r="Z118" s="26">
        <f t="shared" ref="Z118:Z166" si="35">Y118/$B118</f>
        <v>0</v>
      </c>
      <c r="AA118" s="7"/>
      <c r="AB118" s="93">
        <f>'Nonurban Pass Adoption'!G119</f>
        <v>0</v>
      </c>
      <c r="AC118" s="26">
        <f>AB118/$B118</f>
        <v>0</v>
      </c>
      <c r="AD118" s="5"/>
      <c r="AE118" s="93">
        <f>'Nonurban Pass Adoption'!J119</f>
        <v>0</v>
      </c>
      <c r="AF118" s="26">
        <f>AE118/$B118</f>
        <v>0</v>
      </c>
      <c r="AG118" s="24"/>
      <c r="AH118" s="93">
        <f>'Nonurban Pass Adoption'!M119</f>
        <v>0</v>
      </c>
      <c r="AI118" s="26">
        <f>AH118/$B118</f>
        <v>0</v>
      </c>
    </row>
    <row r="119" spans="1:38" ht="18.75" customHeight="1" x14ac:dyDescent="0.3">
      <c r="A119" s="8"/>
      <c r="B119" s="19">
        <f t="shared" si="27"/>
        <v>51973.785259001328</v>
      </c>
      <c r="C119" s="93">
        <f t="shared" ref="C119:C166" si="36">B119-IF($G$114="Include",G119,0)-IF($J$114="Include",J119,0)-IF($M$114="Include",M119,0)-IF($P$114="Include",P119,0)-IF($V$114="Include",V119,0)-IF($Y$114="Include",Y119,0)-IF($AB$114="Include",AB119,0)-IF($AE$114="Include",AE119,0)-IF($AH$114="Include",AH119,0)</f>
        <v>51973.785259001328</v>
      </c>
      <c r="D119" s="69">
        <f t="shared" si="28"/>
        <v>1</v>
      </c>
      <c r="E119" s="7">
        <v>2013</v>
      </c>
      <c r="F119" s="7"/>
      <c r="G119" s="93">
        <f>'Urban Pass Adoption'!G119</f>
        <v>0</v>
      </c>
      <c r="H119" s="26">
        <f t="shared" si="29"/>
        <v>0</v>
      </c>
      <c r="I119" s="5"/>
      <c r="J119" s="93">
        <f>'Urban Pass Adoption'!J119</f>
        <v>0</v>
      </c>
      <c r="K119" s="26">
        <f t="shared" si="30"/>
        <v>0</v>
      </c>
      <c r="L119" s="24"/>
      <c r="M119" s="93">
        <f>'Urban Pass Adoption'!M119</f>
        <v>0</v>
      </c>
      <c r="N119" s="26">
        <f t="shared" si="31"/>
        <v>0</v>
      </c>
      <c r="O119" s="24"/>
      <c r="P119" s="93">
        <f>'Urban Pass Adoption'!P119</f>
        <v>0</v>
      </c>
      <c r="Q119" s="26">
        <f t="shared" si="32"/>
        <v>0</v>
      </c>
      <c r="R119" s="24"/>
      <c r="S119" s="93">
        <f>'Urban Pass Adoption'!S119</f>
        <v>0</v>
      </c>
      <c r="T119" s="26">
        <f t="shared" si="33"/>
        <v>0</v>
      </c>
      <c r="U119" s="24"/>
      <c r="V119" s="93">
        <f>'Private Car Analysis &amp; Split'!R126</f>
        <v>0</v>
      </c>
      <c r="W119" s="26">
        <f t="shared" si="34"/>
        <v>0</v>
      </c>
      <c r="X119" s="24"/>
      <c r="Y119" s="93">
        <f>'Private Car Analysis &amp; Split'!U126</f>
        <v>0</v>
      </c>
      <c r="Z119" s="26">
        <f t="shared" si="35"/>
        <v>0</v>
      </c>
      <c r="AA119" s="7"/>
      <c r="AB119" s="93">
        <f>'Nonurban Pass Adoption'!G120</f>
        <v>0</v>
      </c>
      <c r="AC119" s="26">
        <f t="shared" ref="AC119:AC166" si="37">AB119/$B119</f>
        <v>0</v>
      </c>
      <c r="AD119" s="5"/>
      <c r="AE119" s="93">
        <f>'Nonurban Pass Adoption'!J120</f>
        <v>0</v>
      </c>
      <c r="AF119" s="26">
        <f t="shared" ref="AF119:AF166" si="38">AE119/$B119</f>
        <v>0</v>
      </c>
      <c r="AG119" s="24"/>
      <c r="AH119" s="93">
        <f>'Nonurban Pass Adoption'!M120</f>
        <v>0</v>
      </c>
      <c r="AI119" s="26">
        <f t="shared" ref="AI119:AI166" si="39">AH119/$B119</f>
        <v>0</v>
      </c>
    </row>
    <row r="120" spans="1:38" ht="14.4" x14ac:dyDescent="0.3">
      <c r="A120" s="847" t="s">
        <v>28</v>
      </c>
      <c r="B120" s="19">
        <f t="shared" si="27"/>
        <v>54233.120501427606</v>
      </c>
      <c r="C120" s="93">
        <f t="shared" si="36"/>
        <v>40977.172586077053</v>
      </c>
      <c r="D120" s="69">
        <f t="shared" si="28"/>
        <v>0.75557467848449533</v>
      </c>
      <c r="E120" s="117">
        <v>2014</v>
      </c>
      <c r="F120" s="117"/>
      <c r="G120" s="93">
        <f>'Urban Pass Adoption'!G120</f>
        <v>1133.5323623070581</v>
      </c>
      <c r="H120" s="26">
        <f t="shared" si="29"/>
        <v>2.0901108987029789E-2</v>
      </c>
      <c r="I120" s="114"/>
      <c r="J120" s="93">
        <f>'Urban Pass Adoption'!J120</f>
        <v>713.67726016146844</v>
      </c>
      <c r="K120" s="26">
        <f t="shared" si="30"/>
        <v>1.3159435665198022E-2</v>
      </c>
      <c r="L120" s="118"/>
      <c r="M120" s="93">
        <f>'Urban Pass Adoption'!M120</f>
        <v>264.30794551551298</v>
      </c>
      <c r="N120" s="26">
        <f t="shared" si="31"/>
        <v>4.873552232875028E-3</v>
      </c>
      <c r="O120" s="118"/>
      <c r="P120" s="93">
        <f>'Urban Pass Adoption'!P120</f>
        <v>9573.616099983481</v>
      </c>
      <c r="Q120" s="26">
        <f t="shared" si="32"/>
        <v>0.17652711131994461</v>
      </c>
      <c r="R120" s="118"/>
      <c r="S120" s="93">
        <f>'Urban Pass Adoption'!S120</f>
        <v>3141.4174626346876</v>
      </c>
      <c r="T120" s="26">
        <f t="shared" si="33"/>
        <v>5.7924335416989228E-2</v>
      </c>
      <c r="U120" s="118"/>
      <c r="V120" s="93">
        <f>'Private Car Analysis &amp; Split'!R127</f>
        <v>116.38899289627807</v>
      </c>
      <c r="W120" s="26">
        <f t="shared" si="34"/>
        <v>2.146086963467542E-3</v>
      </c>
      <c r="X120" s="118"/>
      <c r="Y120" s="93">
        <f>'Private Car Analysis &amp; Split'!U127</f>
        <v>252.99595444214927</v>
      </c>
      <c r="Z120" s="26">
        <f t="shared" si="35"/>
        <v>4.6649713699489139E-3</v>
      </c>
      <c r="AA120" s="117"/>
      <c r="AB120" s="93">
        <f>'Nonurban Pass Adoption'!G121</f>
        <v>198.50531656903408</v>
      </c>
      <c r="AC120" s="26">
        <f t="shared" si="37"/>
        <v>3.6602230285422859E-3</v>
      </c>
      <c r="AD120" s="114"/>
      <c r="AE120" s="93">
        <f>'Nonurban Pass Adoption'!J121</f>
        <v>512.4</v>
      </c>
      <c r="AF120" s="26">
        <f t="shared" si="38"/>
        <v>9.4481009992134195E-3</v>
      </c>
      <c r="AG120" s="118"/>
      <c r="AH120" s="93">
        <f>'Nonurban Pass Adoption'!M121</f>
        <v>490.52398347557431</v>
      </c>
      <c r="AI120" s="26">
        <f t="shared" si="39"/>
        <v>9.0447309492851704E-3</v>
      </c>
      <c r="AK120" s="852" t="s">
        <v>220</v>
      </c>
      <c r="AL120" s="852"/>
    </row>
    <row r="121" spans="1:38" ht="14.4" x14ac:dyDescent="0.3">
      <c r="A121" s="848"/>
      <c r="B121" s="19">
        <f t="shared" si="27"/>
        <v>56161.293113241038</v>
      </c>
      <c r="C121" s="93">
        <f t="shared" si="36"/>
        <v>42790.91914123181</v>
      </c>
      <c r="D121" s="69">
        <f t="shared" si="28"/>
        <v>0.76192902209267466</v>
      </c>
      <c r="E121" s="7">
        <v>2015</v>
      </c>
      <c r="F121" s="7"/>
      <c r="G121" s="93">
        <f>'Urban Pass Adoption'!G121</f>
        <v>1183.6492717302899</v>
      </c>
      <c r="H121" s="26">
        <f t="shared" si="29"/>
        <v>2.1075890637767797E-2</v>
      </c>
      <c r="I121" s="5"/>
      <c r="J121" s="93">
        <f>'Urban Pass Adoption'!J121</f>
        <v>730.00794512110224</v>
      </c>
      <c r="K121" s="26">
        <f t="shared" si="30"/>
        <v>1.299841767619467E-2</v>
      </c>
      <c r="L121" s="24"/>
      <c r="M121" s="93">
        <f>'Urban Pass Adoption'!M121</f>
        <v>270.35595913663383</v>
      </c>
      <c r="N121" s="26">
        <f t="shared" si="31"/>
        <v>4.8139197683981488E-3</v>
      </c>
      <c r="O121" s="24"/>
      <c r="P121" s="93">
        <f>'Urban Pass Adoption'!P121</f>
        <v>9607.0706209386408</v>
      </c>
      <c r="Q121" s="26">
        <f t="shared" si="32"/>
        <v>0.17106213351546923</v>
      </c>
      <c r="R121" s="24"/>
      <c r="S121" s="93">
        <f>'Urban Pass Adoption'!S121</f>
        <v>3237.1081048085771</v>
      </c>
      <c r="T121" s="26">
        <f t="shared" si="33"/>
        <v>5.7639486652870005E-2</v>
      </c>
      <c r="U121" s="24"/>
      <c r="V121" s="93">
        <f>'Private Car Analysis &amp; Split'!R128</f>
        <v>121.57668884867235</v>
      </c>
      <c r="W121" s="26">
        <f t="shared" si="34"/>
        <v>2.1647772355157624E-3</v>
      </c>
      <c r="X121" s="24"/>
      <c r="Y121" s="93">
        <f>'Private Car Analysis &amp; Split'!U128</f>
        <v>291.45222628122792</v>
      </c>
      <c r="Z121" s="26">
        <f t="shared" si="35"/>
        <v>5.1895569016467821E-3</v>
      </c>
      <c r="AA121" s="7"/>
      <c r="AB121" s="93">
        <f>'Nonurban Pass Adoption'!G122</f>
        <v>215.36749823103926</v>
      </c>
      <c r="AC121" s="26">
        <f t="shared" si="37"/>
        <v>3.834803051930841E-3</v>
      </c>
      <c r="AD121" s="5"/>
      <c r="AE121" s="93">
        <f>'Nonurban Pass Adoption'!J122</f>
        <v>670.36566025154173</v>
      </c>
      <c r="AF121" s="26">
        <f t="shared" si="38"/>
        <v>1.1936435631919077E-2</v>
      </c>
      <c r="AG121" s="24"/>
      <c r="AH121" s="93">
        <f>'Nonurban Pass Adoption'!M122</f>
        <v>280.52810147008699</v>
      </c>
      <c r="AI121" s="26">
        <f t="shared" si="39"/>
        <v>4.9950434884831283E-3</v>
      </c>
      <c r="AK121" s="221" t="s">
        <v>221</v>
      </c>
      <c r="AL121" s="222">
        <f>C120</f>
        <v>40977.172586077053</v>
      </c>
    </row>
    <row r="122" spans="1:38" ht="14.4" x14ac:dyDescent="0.3">
      <c r="B122" s="19">
        <f t="shared" si="27"/>
        <v>58045.282977613118</v>
      </c>
      <c r="C122" s="93">
        <f t="shared" si="36"/>
        <v>44121.4074176496</v>
      </c>
      <c r="D122" s="69">
        <f t="shared" si="28"/>
        <v>0.76012046378801057</v>
      </c>
      <c r="E122" s="7">
        <v>2016</v>
      </c>
      <c r="F122" s="7"/>
      <c r="G122" s="93">
        <f>'Urban Pass Adoption'!G122</f>
        <v>1233.7661811535363</v>
      </c>
      <c r="H122" s="26">
        <f t="shared" si="29"/>
        <v>2.1255235875572778E-2</v>
      </c>
      <c r="I122" s="5"/>
      <c r="J122" s="93">
        <f>'Urban Pass Adoption'!J122</f>
        <v>746.33863008073604</v>
      </c>
      <c r="K122" s="26">
        <f t="shared" si="30"/>
        <v>1.2857868749965154E-2</v>
      </c>
      <c r="L122" s="24"/>
      <c r="M122" s="93">
        <f>'Urban Pass Adoption'!M122</f>
        <v>276.40397275775649</v>
      </c>
      <c r="N122" s="26">
        <f t="shared" si="31"/>
        <v>4.7618679516879927E-3</v>
      </c>
      <c r="O122" s="24"/>
      <c r="P122" s="93">
        <f>'Urban Pass Adoption'!P122</f>
        <v>9640.5251418938005</v>
      </c>
      <c r="Q122" s="26">
        <f t="shared" si="32"/>
        <v>0.16608628035480427</v>
      </c>
      <c r="R122" s="24"/>
      <c r="S122" s="93">
        <f>'Urban Pass Adoption'!S122</f>
        <v>3330.0461502061598</v>
      </c>
      <c r="T122" s="26">
        <f t="shared" si="33"/>
        <v>5.7369797843702316E-2</v>
      </c>
      <c r="U122" s="24"/>
      <c r="V122" s="93">
        <f>'Private Car Analysis &amp; Split'!R129</f>
        <v>126.76438480106481</v>
      </c>
      <c r="W122" s="26">
        <f t="shared" si="34"/>
        <v>2.1838877906746575E-3</v>
      </c>
      <c r="X122" s="24"/>
      <c r="Y122" s="93">
        <f>'Private Car Analysis &amp; Split'!U129</f>
        <v>334.13093232809371</v>
      </c>
      <c r="Z122" s="26">
        <f t="shared" si="35"/>
        <v>5.7563838987047611E-3</v>
      </c>
      <c r="AA122" s="7"/>
      <c r="AB122" s="93">
        <f>'Nonurban Pass Adoption'!G123</f>
        <v>232.22967989304448</v>
      </c>
      <c r="AC122" s="26">
        <f t="shared" si="37"/>
        <v>4.000836381185543E-3</v>
      </c>
      <c r="AD122" s="5"/>
      <c r="AE122" s="93">
        <f>'Nonurban Pass Adoption'!J123</f>
        <v>789.30386480825962</v>
      </c>
      <c r="AF122" s="26">
        <f t="shared" si="38"/>
        <v>1.3598070753013265E-2</v>
      </c>
      <c r="AG122" s="24"/>
      <c r="AH122" s="93">
        <f>'Nonurban Pass Adoption'!M123</f>
        <v>544.41277224722285</v>
      </c>
      <c r="AI122" s="26">
        <f t="shared" si="39"/>
        <v>9.3791044563809219E-3</v>
      </c>
      <c r="AK122" s="223" t="str">
        <f>G116</f>
        <v>Walking</v>
      </c>
      <c r="AL122" s="222">
        <f>G120</f>
        <v>1133.5323623070581</v>
      </c>
    </row>
    <row r="123" spans="1:38" ht="14.4" x14ac:dyDescent="0.3">
      <c r="B123" s="19">
        <f t="shared" si="27"/>
        <v>59973.154868069389</v>
      </c>
      <c r="C123" s="93">
        <f t="shared" si="36"/>
        <v>45447.1677363376</v>
      </c>
      <c r="D123" s="69">
        <f t="shared" si="28"/>
        <v>0.75779184597364502</v>
      </c>
      <c r="E123" s="7">
        <v>2017</v>
      </c>
      <c r="F123" s="7"/>
      <c r="G123" s="93">
        <f>'Urban Pass Adoption'!G123</f>
        <v>1283.8830905767682</v>
      </c>
      <c r="H123" s="26">
        <f t="shared" si="29"/>
        <v>2.1407629687000624E-2</v>
      </c>
      <c r="I123" s="5"/>
      <c r="J123" s="93">
        <f>'Urban Pass Adoption'!J123</f>
        <v>762.66931504036984</v>
      </c>
      <c r="K123" s="26">
        <f t="shared" si="30"/>
        <v>1.2716845007038749E-2</v>
      </c>
      <c r="L123" s="24"/>
      <c r="M123" s="93">
        <f>'Urban Pass Adoption'!M123</f>
        <v>282.45198637887916</v>
      </c>
      <c r="N123" s="26">
        <f t="shared" si="31"/>
        <v>4.7096402882293728E-3</v>
      </c>
      <c r="O123" s="24"/>
      <c r="P123" s="93">
        <f>'Urban Pass Adoption'!P123</f>
        <v>9673.9796628489603</v>
      </c>
      <c r="Q123" s="26">
        <f t="shared" si="32"/>
        <v>0.16130516535490003</v>
      </c>
      <c r="R123" s="24"/>
      <c r="S123" s="93">
        <f>'Urban Pass Adoption'!S123</f>
        <v>3422.7338233785767</v>
      </c>
      <c r="T123" s="26">
        <f t="shared" si="33"/>
        <v>5.7071098409079889E-2</v>
      </c>
      <c r="U123" s="24"/>
      <c r="V123" s="93">
        <f>'Private Car Analysis &amp; Split'!R130</f>
        <v>131.95208075345909</v>
      </c>
      <c r="W123" s="26">
        <f t="shared" si="34"/>
        <v>2.2001857505033868E-3</v>
      </c>
      <c r="X123" s="24"/>
      <c r="Y123" s="93">
        <f>'Private Car Analysis &amp; Split'!U130</f>
        <v>380.8746575800638</v>
      </c>
      <c r="Z123" s="26">
        <f t="shared" si="35"/>
        <v>6.3507524061044056E-3</v>
      </c>
      <c r="AA123" s="7"/>
      <c r="AB123" s="93">
        <f>'Nonurban Pass Adoption'!G124</f>
        <v>249.09186155504966</v>
      </c>
      <c r="AC123" s="26">
        <f t="shared" si="37"/>
        <v>4.1533893306598402E-3</v>
      </c>
      <c r="AD123" s="5"/>
      <c r="AE123" s="93">
        <f>'Nonurban Pass Adoption'!J124</f>
        <v>903.65473155305415</v>
      </c>
      <c r="AF123" s="26">
        <f t="shared" si="38"/>
        <v>1.5067653745095434E-2</v>
      </c>
      <c r="AG123" s="24"/>
      <c r="AH123" s="93">
        <f>'Nonurban Pass Adoption'!M124</f>
        <v>857.42974544519143</v>
      </c>
      <c r="AI123" s="26">
        <f t="shared" si="39"/>
        <v>1.429689245682321E-2</v>
      </c>
      <c r="AK123" s="223" t="str">
        <f>J116</f>
        <v>Biking</v>
      </c>
      <c r="AL123" s="222">
        <f>J120</f>
        <v>713.67726016146844</v>
      </c>
    </row>
    <row r="124" spans="1:38" ht="14.4" x14ac:dyDescent="0.3">
      <c r="B124" s="19">
        <f t="shared" si="27"/>
        <v>61917.143016633781</v>
      </c>
      <c r="C124" s="93">
        <f t="shared" si="36"/>
        <v>46858.510931378165</v>
      </c>
      <c r="D124" s="69">
        <f t="shared" si="28"/>
        <v>0.7567938158708295</v>
      </c>
      <c r="E124" s="7">
        <v>2018</v>
      </c>
      <c r="F124" s="7"/>
      <c r="G124" s="93">
        <f>'Urban Pass Adoption'!G124</f>
        <v>1334.0000000000146</v>
      </c>
      <c r="H124" s="26">
        <f t="shared" si="29"/>
        <v>2.1544921729376967E-2</v>
      </c>
      <c r="I124" s="5"/>
      <c r="J124" s="93">
        <f>'Urban Pass Adoption'!J124</f>
        <v>779.00000000000364</v>
      </c>
      <c r="K124" s="26">
        <f t="shared" si="30"/>
        <v>1.2581329855460685E-2</v>
      </c>
      <c r="L124" s="24"/>
      <c r="M124" s="93">
        <f>'Urban Pass Adoption'!M124</f>
        <v>288.5</v>
      </c>
      <c r="N124" s="26">
        <f t="shared" si="31"/>
        <v>4.6594527128374719E-3</v>
      </c>
      <c r="O124" s="24"/>
      <c r="P124" s="93">
        <f>'Urban Pass Adoption'!P124</f>
        <v>9673.0101265840403</v>
      </c>
      <c r="Q124" s="26">
        <f t="shared" si="32"/>
        <v>0.15622507201253499</v>
      </c>
      <c r="R124" s="24"/>
      <c r="S124" s="93">
        <f>'Urban Pass Adoption'!S124</f>
        <v>3515.2217174527982</v>
      </c>
      <c r="T124" s="26">
        <f t="shared" si="33"/>
        <v>5.6772996074906892E-2</v>
      </c>
      <c r="U124" s="24"/>
      <c r="V124" s="93">
        <f>'Private Car Analysis &amp; Split'!R131</f>
        <v>137.13977670585155</v>
      </c>
      <c r="W124" s="26">
        <f t="shared" si="34"/>
        <v>2.2148918703986313E-3</v>
      </c>
      <c r="X124" s="24"/>
      <c r="Y124" s="93">
        <f>'Private Car Analysis &amp; Split'!U131</f>
        <v>383.15358371927999</v>
      </c>
      <c r="Z124" s="26">
        <f t="shared" si="35"/>
        <v>6.1881663954738248E-3</v>
      </c>
      <c r="AA124" s="7"/>
      <c r="AB124" s="93">
        <f>'Nonurban Pass Adoption'!G125</f>
        <v>265.95404321705485</v>
      </c>
      <c r="AC124" s="26">
        <f t="shared" si="37"/>
        <v>4.2953216227306773E-3</v>
      </c>
      <c r="AD124" s="5"/>
      <c r="AE124" s="93">
        <f>'Nonurban Pass Adoption'!J125</f>
        <v>1013.9880199679051</v>
      </c>
      <c r="AF124" s="26">
        <f t="shared" si="38"/>
        <v>1.6376531127986663E-2</v>
      </c>
      <c r="AG124" s="24"/>
      <c r="AH124" s="93">
        <f>'Nonurban Pass Adoption'!M125</f>
        <v>1183.8865350614719</v>
      </c>
      <c r="AI124" s="26">
        <f t="shared" si="39"/>
        <v>1.9120496802370643E-2</v>
      </c>
      <c r="AK124" s="223" t="str">
        <f>M116</f>
        <v>E-Bikes</v>
      </c>
      <c r="AL124" s="222">
        <f>M120</f>
        <v>264.30794551551298</v>
      </c>
    </row>
    <row r="125" spans="1:38" ht="14.4" x14ac:dyDescent="0.3">
      <c r="B125" s="19">
        <f t="shared" si="27"/>
        <v>63877.853677332525</v>
      </c>
      <c r="C125" s="93">
        <f t="shared" si="36"/>
        <v>46031.640978607262</v>
      </c>
      <c r="D125" s="69">
        <f t="shared" si="28"/>
        <v>0.72061971917728807</v>
      </c>
      <c r="E125" s="7">
        <v>2019</v>
      </c>
      <c r="F125" s="7"/>
      <c r="G125" s="93">
        <f>'Urban Pass Adoption'!G125</f>
        <v>1972.6830099777953</v>
      </c>
      <c r="H125" s="26">
        <f t="shared" si="29"/>
        <v>3.0882111661773237E-2</v>
      </c>
      <c r="I125" s="5"/>
      <c r="J125" s="93">
        <f>'Urban Pass Adoption'!J125</f>
        <v>795.33068495963744</v>
      </c>
      <c r="K125" s="26">
        <f t="shared" si="30"/>
        <v>1.2450804765249427E-2</v>
      </c>
      <c r="L125" s="24"/>
      <c r="M125" s="93">
        <f>'Urban Pass Adoption'!M125</f>
        <v>350.78084379788152</v>
      </c>
      <c r="N125" s="26">
        <f t="shared" si="31"/>
        <v>5.4914312802334872E-3</v>
      </c>
      <c r="O125" s="24"/>
      <c r="P125" s="93">
        <f>'Urban Pass Adoption'!P125</f>
        <v>9708.1710089633289</v>
      </c>
      <c r="Q125" s="26">
        <f t="shared" si="32"/>
        <v>0.151980231803066</v>
      </c>
      <c r="R125" s="24"/>
      <c r="S125" s="93">
        <f>'Urban Pass Adoption'!S125</f>
        <v>4897.2967581974644</v>
      </c>
      <c r="T125" s="26">
        <f t="shared" si="33"/>
        <v>7.6666582802472932E-2</v>
      </c>
      <c r="U125" s="24"/>
      <c r="V125" s="93">
        <f>'Private Car Analysis &amp; Split'!R132</f>
        <v>296.83399761980957</v>
      </c>
      <c r="W125" s="26">
        <f t="shared" si="34"/>
        <v>4.6468999900844046E-3</v>
      </c>
      <c r="X125" s="24"/>
      <c r="Y125" s="93">
        <f>'Private Car Analysis &amp; Split'!U132</f>
        <v>487.83448316095041</v>
      </c>
      <c r="Z125" s="26">
        <f t="shared" si="35"/>
        <v>7.636989270571902E-3</v>
      </c>
      <c r="AA125" s="7"/>
      <c r="AB125" s="93">
        <f>'Nonurban Pass Adoption'!G126</f>
        <v>426.40658501823657</v>
      </c>
      <c r="AC125" s="26">
        <f t="shared" si="37"/>
        <v>6.6753430253332028E-3</v>
      </c>
      <c r="AD125" s="5"/>
      <c r="AE125" s="93">
        <f>'Nonurban Pass Adoption'!J126</f>
        <v>1120.8734895347925</v>
      </c>
      <c r="AF125" s="26">
        <f t="shared" si="38"/>
        <v>1.7547137622949623E-2</v>
      </c>
      <c r="AG125" s="24"/>
      <c r="AH125" s="93">
        <f>'Nonurban Pass Adoption'!M126</f>
        <v>2687.298595692826</v>
      </c>
      <c r="AI125" s="26">
        <f t="shared" si="39"/>
        <v>4.2069331403450573E-2</v>
      </c>
      <c r="AK125" s="223" t="str">
        <f>P116</f>
        <v>Urban Public Transit</v>
      </c>
      <c r="AL125" s="222">
        <f>P120</f>
        <v>9573.616099983481</v>
      </c>
    </row>
    <row r="126" spans="1:38" ht="14.4" x14ac:dyDescent="0.3">
      <c r="A126" s="30"/>
      <c r="B126" s="19">
        <f t="shared" si="27"/>
        <v>65867.186969489674</v>
      </c>
      <c r="C126" s="93">
        <f t="shared" si="36"/>
        <v>45991.016090989928</v>
      </c>
      <c r="D126" s="26">
        <f t="shared" si="28"/>
        <v>0.69823865580130839</v>
      </c>
      <c r="E126" s="33">
        <v>2020</v>
      </c>
      <c r="F126" s="33"/>
      <c r="G126" s="93">
        <f>'Urban Pass Adoption'!G126</f>
        <v>2082.4144903693159</v>
      </c>
      <c r="H126" s="26">
        <f t="shared" si="29"/>
        <v>3.1615354870611227E-2</v>
      </c>
      <c r="I126" s="30"/>
      <c r="J126" s="93">
        <f>'Urban Pass Adoption'!J126</f>
        <v>1044.7173210092587</v>
      </c>
      <c r="K126" s="26">
        <f t="shared" si="30"/>
        <v>1.5860967639215896E-2</v>
      </c>
      <c r="L126" s="34"/>
      <c r="M126" s="93">
        <f>'Urban Pass Adoption'!M126</f>
        <v>386.2559698422632</v>
      </c>
      <c r="N126" s="26">
        <f t="shared" si="31"/>
        <v>5.8641637454652611E-3</v>
      </c>
      <c r="O126" s="34"/>
      <c r="P126" s="93">
        <f>'Urban Pass Adoption'!P126</f>
        <v>9749.4862370388182</v>
      </c>
      <c r="Q126" s="26">
        <f t="shared" si="32"/>
        <v>0.14801734650600573</v>
      </c>
      <c r="R126" s="34"/>
      <c r="S126" s="93">
        <f>'Urban Pass Adoption'!S126</f>
        <v>5406.4329541612615</v>
      </c>
      <c r="T126" s="26">
        <f t="shared" si="33"/>
        <v>8.2080823592262625E-2</v>
      </c>
      <c r="U126" s="34"/>
      <c r="V126" s="93">
        <f>'Private Car Analysis &amp; Split'!R133</f>
        <v>450.81365153839374</v>
      </c>
      <c r="W126" s="26">
        <f t="shared" si="34"/>
        <v>6.8442827495762805E-3</v>
      </c>
      <c r="X126" s="34"/>
      <c r="Y126" s="93">
        <f>'Private Car Analysis &amp; Split'!U133</f>
        <v>601.84849183167535</v>
      </c>
      <c r="Z126" s="26">
        <f t="shared" si="35"/>
        <v>9.1373037095155967E-3</v>
      </c>
      <c r="AA126" s="33"/>
      <c r="AB126" s="93">
        <f>'Nonurban Pass Adoption'!G127</f>
        <v>631.47876759046039</v>
      </c>
      <c r="AC126" s="26">
        <f t="shared" si="37"/>
        <v>9.5871525207683085E-3</v>
      </c>
      <c r="AD126" s="30"/>
      <c r="AE126" s="93">
        <f>'Nonurban Pass Adoption'!J127</f>
        <v>1224.8808997356955</v>
      </c>
      <c r="AF126" s="26">
        <f t="shared" si="38"/>
        <v>1.8596223037474977E-2</v>
      </c>
      <c r="AG126" s="34"/>
      <c r="AH126" s="93">
        <f>'Nonurban Pass Adoption'!M127</f>
        <v>3704.2750495438659</v>
      </c>
      <c r="AI126" s="26">
        <f t="shared" si="39"/>
        <v>5.6238549420058313E-2</v>
      </c>
      <c r="AK126" s="223" t="str">
        <f>S116</f>
        <v>Carpooling (IGNORED FOR PLOT)</v>
      </c>
      <c r="AL126" s="222">
        <f>S120</f>
        <v>3141.4174626346876</v>
      </c>
    </row>
    <row r="127" spans="1:38" ht="14.4" x14ac:dyDescent="0.3">
      <c r="B127" s="19">
        <f t="shared" si="27"/>
        <v>67817.130028718326</v>
      </c>
      <c r="C127" s="93">
        <f t="shared" si="36"/>
        <v>45960.31261577909</v>
      </c>
      <c r="D127" s="69">
        <f t="shared" si="28"/>
        <v>0.67770949015855442</v>
      </c>
      <c r="E127" s="7">
        <v>2021</v>
      </c>
      <c r="F127" s="7"/>
      <c r="G127" s="93">
        <f>'Urban Pass Adoption'!G127</f>
        <v>2190.307327019997</v>
      </c>
      <c r="H127" s="26">
        <f t="shared" si="29"/>
        <v>3.2297257729610111E-2</v>
      </c>
      <c r="I127" s="5"/>
      <c r="J127" s="93">
        <f>'Urban Pass Adoption'!J127</f>
        <v>1177.5759815138881</v>
      </c>
      <c r="K127" s="26">
        <f t="shared" si="30"/>
        <v>1.7363990204469333E-2</v>
      </c>
      <c r="L127" s="24"/>
      <c r="M127" s="93">
        <f>'Urban Pass Adoption'!M127</f>
        <v>421.90274558193664</v>
      </c>
      <c r="N127" s="26">
        <f t="shared" si="31"/>
        <v>6.2211825449303843E-3</v>
      </c>
      <c r="O127" s="24"/>
      <c r="P127" s="93">
        <f>'Urban Pass Adoption'!P127</f>
        <v>9796.407752946423</v>
      </c>
      <c r="Q127" s="26">
        <f t="shared" si="32"/>
        <v>0.14445329297771767</v>
      </c>
      <c r="R127" s="24"/>
      <c r="S127" s="93">
        <f>'Urban Pass Adoption'!S127</f>
        <v>5966.3948653136049</v>
      </c>
      <c r="T127" s="26">
        <f t="shared" si="33"/>
        <v>8.7977696236733002E-2</v>
      </c>
      <c r="U127" s="24"/>
      <c r="V127" s="93">
        <f>'Private Car Analysis &amp; Split'!R134</f>
        <v>643.95809479607919</v>
      </c>
      <c r="W127" s="26">
        <f t="shared" si="34"/>
        <v>9.4955079125787854E-3</v>
      </c>
      <c r="X127" s="24"/>
      <c r="Y127" s="93">
        <f>'Private Car Analysis &amp; Split'!U134</f>
        <v>733.16895309070435</v>
      </c>
      <c r="Z127" s="26">
        <f t="shared" si="35"/>
        <v>1.0810969924268859E-2</v>
      </c>
      <c r="AA127" s="7"/>
      <c r="AB127" s="93">
        <f>'Nonurban Pass Adoption'!G128</f>
        <v>839.91736875621655</v>
      </c>
      <c r="AC127" s="26">
        <f t="shared" si="37"/>
        <v>1.2385032637042281E-2</v>
      </c>
      <c r="AD127" s="5"/>
      <c r="AE127" s="93">
        <f>'Nonurban Pass Adoption'!J128</f>
        <v>1326.5800100525944</v>
      </c>
      <c r="AF127" s="26">
        <f t="shared" si="38"/>
        <v>1.9561134620277081E-2</v>
      </c>
      <c r="AG127" s="24"/>
      <c r="AH127" s="93">
        <f>'Nonurban Pass Adoption'!M128</f>
        <v>4726.9991791814009</v>
      </c>
      <c r="AI127" s="26">
        <f t="shared" si="39"/>
        <v>6.9702141290551106E-2</v>
      </c>
      <c r="AK127" s="223" t="str">
        <f>V116</f>
        <v>Electric Cars</v>
      </c>
      <c r="AL127" s="222">
        <f>V120</f>
        <v>116.38899289627807</v>
      </c>
    </row>
    <row r="128" spans="1:38" ht="14.4" x14ac:dyDescent="0.3">
      <c r="B128" s="19">
        <f t="shared" si="27"/>
        <v>69788.258818993112</v>
      </c>
      <c r="C128" s="93">
        <f t="shared" si="36"/>
        <v>44102.592783854489</v>
      </c>
      <c r="D128" s="69">
        <f t="shared" si="28"/>
        <v>0.63194860468207892</v>
      </c>
      <c r="E128" s="7">
        <v>2022</v>
      </c>
      <c r="F128" s="7"/>
      <c r="G128" s="93">
        <f>'Urban Pass Adoption'!G128</f>
        <v>2296.428881634838</v>
      </c>
      <c r="H128" s="26">
        <f t="shared" si="29"/>
        <v>3.2905662363507157E-2</v>
      </c>
      <c r="I128" s="5"/>
      <c r="J128" s="93">
        <f>'Urban Pass Adoption'!J128</f>
        <v>1310.4346420185175</v>
      </c>
      <c r="K128" s="26">
        <f t="shared" si="30"/>
        <v>1.8777293834158222E-2</v>
      </c>
      <c r="L128" s="24"/>
      <c r="M128" s="93">
        <f>'Urban Pass Adoption'!M128</f>
        <v>457.75757666535378</v>
      </c>
      <c r="N128" s="26">
        <f t="shared" si="31"/>
        <v>6.5592348112971334E-3</v>
      </c>
      <c r="O128" s="24"/>
      <c r="P128" s="93">
        <f>'Urban Pass Adoption'!P128</f>
        <v>11627.279466017459</v>
      </c>
      <c r="Q128" s="26">
        <f t="shared" si="32"/>
        <v>0.16660796046186863</v>
      </c>
      <c r="R128" s="24"/>
      <c r="S128" s="93">
        <f>'Urban Pass Adoption'!S128</f>
        <v>5886.3257481541159</v>
      </c>
      <c r="T128" s="26">
        <f t="shared" si="33"/>
        <v>8.4345502349058923E-2</v>
      </c>
      <c r="U128" s="24"/>
      <c r="V128" s="93">
        <f>'Private Car Analysis &amp; Split'!R135</f>
        <v>878.81358812276108</v>
      </c>
      <c r="W128" s="26">
        <f t="shared" si="34"/>
        <v>1.2592570770422903E-2</v>
      </c>
      <c r="X128" s="24"/>
      <c r="Y128" s="93">
        <f>'Private Car Analysis &amp; Split'!U135</f>
        <v>881.55948616017656</v>
      </c>
      <c r="Z128" s="26">
        <f t="shared" si="35"/>
        <v>1.2631916902335113E-2</v>
      </c>
      <c r="AA128" s="7"/>
      <c r="AB128" s="93">
        <f>'Nonurban Pass Adoption'!G129</f>
        <v>1051.3808299466054</v>
      </c>
      <c r="AC128" s="26">
        <f t="shared" si="37"/>
        <v>1.5065296766803252E-2</v>
      </c>
      <c r="AD128" s="5"/>
      <c r="AE128" s="93">
        <f>'Nonurban Pass Adoption'!J129</f>
        <v>1426.5405799674688</v>
      </c>
      <c r="AF128" s="26">
        <f t="shared" si="38"/>
        <v>2.0440982539304032E-2</v>
      </c>
      <c r="AG128" s="24"/>
      <c r="AH128" s="93">
        <f>'Nonurban Pass Adoption'!M129</f>
        <v>5755.470984605432</v>
      </c>
      <c r="AI128" s="26">
        <f t="shared" si="39"/>
        <v>8.2470476868224438E-2</v>
      </c>
      <c r="AK128" s="223" t="str">
        <f>Y116</f>
        <v>Hybrid Cars</v>
      </c>
      <c r="AL128" s="222">
        <f>Y120</f>
        <v>252.99595444214927</v>
      </c>
    </row>
    <row r="129" spans="2:38" ht="14.4" x14ac:dyDescent="0.3">
      <c r="B129" s="19">
        <f t="shared" si="27"/>
        <v>71775.782892018935</v>
      </c>
      <c r="C129" s="93">
        <f t="shared" si="36"/>
        <v>43639.692827639185</v>
      </c>
      <c r="D129" s="69">
        <f t="shared" si="28"/>
        <v>0.60800023447033236</v>
      </c>
      <c r="E129" s="7">
        <v>2023</v>
      </c>
      <c r="F129" s="7"/>
      <c r="G129" s="93">
        <f>'Urban Pass Adoption'!G129</f>
        <v>2400.8465159188386</v>
      </c>
      <c r="H129" s="26">
        <f t="shared" si="29"/>
        <v>3.3449255712483479E-2</v>
      </c>
      <c r="I129" s="5"/>
      <c r="J129" s="93">
        <f>'Urban Pass Adoption'!J129</f>
        <v>1443.2933025231468</v>
      </c>
      <c r="K129" s="26">
        <f t="shared" si="30"/>
        <v>2.0108360290468291E-2</v>
      </c>
      <c r="L129" s="24"/>
      <c r="M129" s="93">
        <f>'Urban Pass Adoption'!M129</f>
        <v>493.85686874096689</v>
      </c>
      <c r="N129" s="26">
        <f t="shared" si="31"/>
        <v>6.8805500802956903E-3</v>
      </c>
      <c r="O129" s="24"/>
      <c r="P129" s="93">
        <f>'Urban Pass Adoption'!P129</f>
        <v>12012.856193915453</v>
      </c>
      <c r="Q129" s="26">
        <f t="shared" si="32"/>
        <v>0.16736642513517211</v>
      </c>
      <c r="R129" s="24"/>
      <c r="S129" s="93">
        <f>'Urban Pass Adoption'!S129</f>
        <v>6326.6241587603117</v>
      </c>
      <c r="T129" s="26">
        <f t="shared" si="33"/>
        <v>8.8144272397254433E-2</v>
      </c>
      <c r="U129" s="24"/>
      <c r="V129" s="93">
        <f>'Private Car Analysis &amp; Split'!R136</f>
        <v>1157.9263922483353</v>
      </c>
      <c r="W129" s="26">
        <f t="shared" si="34"/>
        <v>1.6132549804303009E-2</v>
      </c>
      <c r="X129" s="24"/>
      <c r="Y129" s="93">
        <f>'Private Car Analysis &amp; Split'!U136</f>
        <v>1046.7837102622302</v>
      </c>
      <c r="Z129" s="26">
        <f t="shared" si="35"/>
        <v>1.4584079310385713E-2</v>
      </c>
      <c r="AA129" s="7"/>
      <c r="AB129" s="93">
        <f>'Nonurban Pass Adoption'!G130</f>
        <v>1265.5042459925214</v>
      </c>
      <c r="AC129" s="26">
        <f t="shared" si="37"/>
        <v>1.7631354128123881E-2</v>
      </c>
      <c r="AD129" s="5"/>
      <c r="AE129" s="93">
        <f>'Nonurban Pass Adoption'!J130</f>
        <v>1525.3323689622982</v>
      </c>
      <c r="AF129" s="26">
        <f t="shared" si="38"/>
        <v>2.1251351187029779E-2</v>
      </c>
      <c r="AG129" s="24"/>
      <c r="AH129" s="93">
        <f>'Nonurban Pass Adoption'!M130</f>
        <v>6789.6904658159565</v>
      </c>
      <c r="AI129" s="26">
        <f t="shared" si="39"/>
        <v>9.459583988140563E-2</v>
      </c>
      <c r="AK129" s="223" t="str">
        <f>AB116</f>
        <v>Nonurban Telepresence</v>
      </c>
      <c r="AL129" s="222">
        <f>AB120</f>
        <v>198.50531656903408</v>
      </c>
    </row>
    <row r="130" spans="2:38" ht="14.4" x14ac:dyDescent="0.3">
      <c r="B130" s="19">
        <f t="shared" si="27"/>
        <v>73779.841038869112</v>
      </c>
      <c r="C130" s="93">
        <f t="shared" si="36"/>
        <v>43102.469786945207</v>
      </c>
      <c r="D130" s="69">
        <f t="shared" si="28"/>
        <v>0.58420388523523281</v>
      </c>
      <c r="E130" s="7">
        <v>2024</v>
      </c>
      <c r="F130" s="7"/>
      <c r="G130" s="93">
        <f>'Urban Pass Adoption'!G130</f>
        <v>2503.6275915769975</v>
      </c>
      <c r="H130" s="26">
        <f t="shared" si="29"/>
        <v>3.3933762343809092E-2</v>
      </c>
      <c r="I130" s="5"/>
      <c r="J130" s="93">
        <f>'Urban Pass Adoption'!J130</f>
        <v>1576.1519630277762</v>
      </c>
      <c r="K130" s="26">
        <f t="shared" si="30"/>
        <v>2.1362908090265725E-2</v>
      </c>
      <c r="L130" s="24"/>
      <c r="M130" s="93">
        <f>'Urban Pass Adoption'!M130</f>
        <v>530.23702745722812</v>
      </c>
      <c r="N130" s="26">
        <f t="shared" si="31"/>
        <v>7.1867466775631253E-3</v>
      </c>
      <c r="O130" s="24"/>
      <c r="P130" s="93">
        <f>'Urban Pass Adoption'!P130</f>
        <v>12419.822370408252</v>
      </c>
      <c r="Q130" s="26">
        <f t="shared" si="32"/>
        <v>0.1683362581909762</v>
      </c>
      <c r="R130" s="24"/>
      <c r="S130" s="93">
        <f>'Urban Pass Adoption'!S130</f>
        <v>6770.002141089114</v>
      </c>
      <c r="T130" s="26">
        <f t="shared" si="33"/>
        <v>9.175951107732129E-2</v>
      </c>
      <c r="U130" s="24"/>
      <c r="V130" s="93">
        <f>'Private Car Analysis &amp; Split'!R137</f>
        <v>1483.8427679026972</v>
      </c>
      <c r="W130" s="26">
        <f t="shared" si="34"/>
        <v>2.0111764230028237E-2</v>
      </c>
      <c r="X130" s="24"/>
      <c r="Y130" s="93">
        <f>'Private Car Analysis &amp; Split'!U137</f>
        <v>1228.6052446190042</v>
      </c>
      <c r="Z130" s="26">
        <f t="shared" si="35"/>
        <v>1.6652316233261379E-2</v>
      </c>
      <c r="AA130" s="7"/>
      <c r="AB130" s="93">
        <f>'Nonurban Pass Adoption'!G131</f>
        <v>1481.9015275999175</v>
      </c>
      <c r="AC130" s="26">
        <f t="shared" si="37"/>
        <v>2.0085452973790142E-2</v>
      </c>
      <c r="AD130" s="5"/>
      <c r="AE130" s="93">
        <f>'Nonurban Pass Adoption'!J131</f>
        <v>1623.5251365190627</v>
      </c>
      <c r="AF130" s="26">
        <f t="shared" si="38"/>
        <v>2.2004996400896933E-2</v>
      </c>
      <c r="AG130" s="24"/>
      <c r="AH130" s="93">
        <f>'Nonurban Pass Adoption'!M131</f>
        <v>7829.6576228129761</v>
      </c>
      <c r="AI130" s="26">
        <f t="shared" si="39"/>
        <v>0.1061219096241765</v>
      </c>
      <c r="AK130" s="223" t="str">
        <f>AE116</f>
        <v>High Speed Rail</v>
      </c>
      <c r="AL130" s="222">
        <f>AE120</f>
        <v>512.4</v>
      </c>
    </row>
    <row r="131" spans="2:38" ht="14.4" x14ac:dyDescent="0.3">
      <c r="B131" s="19">
        <f t="shared" si="27"/>
        <v>75793.728942057758</v>
      </c>
      <c r="C131" s="93">
        <f t="shared" si="36"/>
        <v>42856.405881880986</v>
      </c>
      <c r="D131" s="69">
        <f t="shared" si="28"/>
        <v>0.56543471973312653</v>
      </c>
      <c r="E131" s="7">
        <v>2025</v>
      </c>
      <c r="F131" s="7"/>
      <c r="G131" s="93">
        <f>'Urban Pass Adoption'!G131</f>
        <v>2604.8394703143135</v>
      </c>
      <c r="H131" s="26">
        <f t="shared" si="29"/>
        <v>3.4367480089357291E-2</v>
      </c>
      <c r="I131" s="5"/>
      <c r="J131" s="93">
        <f>'Urban Pass Adoption'!J131</f>
        <v>1709.0106235324056</v>
      </c>
      <c r="K131" s="26">
        <f t="shared" si="30"/>
        <v>2.2548179742401878E-2</v>
      </c>
      <c r="L131" s="24"/>
      <c r="M131" s="93">
        <f>'Urban Pass Adoption'!M131</f>
        <v>566.93445846258942</v>
      </c>
      <c r="N131" s="26">
        <f t="shared" si="31"/>
        <v>7.4799652474678395E-3</v>
      </c>
      <c r="O131" s="24"/>
      <c r="P131" s="93">
        <f>'Urban Pass Adoption'!P131</f>
        <v>12846.718481387034</v>
      </c>
      <c r="Q131" s="26">
        <f t="shared" si="32"/>
        <v>0.16949579682519644</v>
      </c>
      <c r="R131" s="24"/>
      <c r="S131" s="93">
        <f>'Urban Pass Adoption'!S131</f>
        <v>7213.5356899911567</v>
      </c>
      <c r="T131" s="26">
        <f t="shared" si="33"/>
        <v>9.5173252334711078E-2</v>
      </c>
      <c r="U131" s="24"/>
      <c r="V131" s="93">
        <f>'Private Car Analysis &amp; Split'!R138</f>
        <v>1859.1089758157423</v>
      </c>
      <c r="W131" s="26">
        <f t="shared" si="34"/>
        <v>2.4528532924366082E-2</v>
      </c>
      <c r="X131" s="24"/>
      <c r="Y131" s="93">
        <f>'Private Car Analysis &amp; Split'!U138</f>
        <v>1426.7877084526367</v>
      </c>
      <c r="Z131" s="26">
        <f t="shared" si="35"/>
        <v>1.8824614230860407E-2</v>
      </c>
      <c r="AA131" s="7"/>
      <c r="AB131" s="93">
        <f>'Nonurban Pass Adoption'!G132</f>
        <v>1700.1679027557084</v>
      </c>
      <c r="AC131" s="26">
        <f t="shared" si="37"/>
        <v>2.2431511504803259E-2</v>
      </c>
      <c r="AD131" s="5"/>
      <c r="AE131" s="93">
        <f>'Nonurban Pass Adoption'!J132</f>
        <v>1721.6886421197416</v>
      </c>
      <c r="AF131" s="26">
        <f t="shared" si="38"/>
        <v>2.271544976281515E-2</v>
      </c>
      <c r="AG131" s="24"/>
      <c r="AH131" s="93">
        <f>'Nonurban Pass Adoption'!M132</f>
        <v>8502.0667973366035</v>
      </c>
      <c r="AI131" s="26">
        <f t="shared" si="39"/>
        <v>0.11217374993960519</v>
      </c>
      <c r="AK131" s="223" t="str">
        <f>AH116</f>
        <v>Efficient Aviation</v>
      </c>
      <c r="AL131" s="222">
        <f>AH120</f>
        <v>490.52398347557431</v>
      </c>
    </row>
    <row r="132" spans="2:38" ht="14.4" x14ac:dyDescent="0.3">
      <c r="B132" s="19">
        <f t="shared" si="27"/>
        <v>77840.43369048828</v>
      </c>
      <c r="C132" s="93">
        <f t="shared" si="36"/>
        <v>43012.803849418029</v>
      </c>
      <c r="D132" s="69">
        <f t="shared" si="28"/>
        <v>0.55257662130258633</v>
      </c>
      <c r="E132" s="7">
        <v>2026</v>
      </c>
      <c r="F132" s="7"/>
      <c r="G132" s="93">
        <f>'Urban Pass Adoption'!G132</f>
        <v>2704.5495138357869</v>
      </c>
      <c r="H132" s="26">
        <f t="shared" si="29"/>
        <v>3.4744789894024825E-2</v>
      </c>
      <c r="I132" s="5"/>
      <c r="J132" s="93">
        <f>'Urban Pass Adoption'!J132</f>
        <v>1841.8692840370932</v>
      </c>
      <c r="K132" s="26">
        <f t="shared" si="30"/>
        <v>2.3662114876707843E-2</v>
      </c>
      <c r="L132" s="24"/>
      <c r="M132" s="93">
        <f>'Urban Pass Adoption'!M132</f>
        <v>603.98556740550305</v>
      </c>
      <c r="N132" s="26">
        <f t="shared" si="31"/>
        <v>7.7592780354627843E-3</v>
      </c>
      <c r="O132" s="24"/>
      <c r="P132" s="93">
        <f>'Urban Pass Adoption'!P132</f>
        <v>13292.04438006793</v>
      </c>
      <c r="Q132" s="26">
        <f t="shared" si="32"/>
        <v>0.17076015317335203</v>
      </c>
      <c r="R132" s="24"/>
      <c r="S132" s="93">
        <f>'Urban Pass Adoption'!S132</f>
        <v>7665.4923733277428</v>
      </c>
      <c r="T132" s="26">
        <f t="shared" si="33"/>
        <v>9.8476999804594206E-2</v>
      </c>
      <c r="U132" s="24"/>
      <c r="V132" s="93">
        <f>'Private Car Analysis &amp; Split'!R139</f>
        <v>2286.2712767173666</v>
      </c>
      <c r="W132" s="26">
        <f t="shared" si="34"/>
        <v>2.9371255635703603E-2</v>
      </c>
      <c r="X132" s="24"/>
      <c r="Y132" s="93">
        <f>'Private Car Analysis &amp; Split'!U139</f>
        <v>1641.094720985267</v>
      </c>
      <c r="Z132" s="26">
        <f t="shared" si="35"/>
        <v>2.108280546727993E-2</v>
      </c>
      <c r="AA132" s="7"/>
      <c r="AB132" s="93">
        <f>'Nonurban Pass Adoption'!G133</f>
        <v>1919.8827283789531</v>
      </c>
      <c r="AC132" s="26">
        <f t="shared" si="37"/>
        <v>2.4664337508869164E-2</v>
      </c>
      <c r="AD132" s="5"/>
      <c r="AE132" s="93">
        <f>'Nonurban Pass Adoption'!J133</f>
        <v>1820.3926452463152</v>
      </c>
      <c r="AF132" s="26">
        <f t="shared" si="38"/>
        <v>2.3386208926900652E-2</v>
      </c>
      <c r="AG132" s="24"/>
      <c r="AH132" s="93">
        <f>'Nonurban Pass Adoption'!M133</f>
        <v>8717.5397243960542</v>
      </c>
      <c r="AI132" s="26">
        <f t="shared" si="39"/>
        <v>0.11199243517911302</v>
      </c>
    </row>
    <row r="133" spans="2:38" ht="14.4" x14ac:dyDescent="0.3">
      <c r="B133" s="19">
        <f t="shared" si="27"/>
        <v>79900.817573960405</v>
      </c>
      <c r="C133" s="93">
        <f t="shared" si="36"/>
        <v>43096.546617547632</v>
      </c>
      <c r="D133" s="69">
        <f t="shared" si="28"/>
        <v>0.53937553990176879</v>
      </c>
      <c r="E133" s="7">
        <v>2027</v>
      </c>
      <c r="F133" s="7"/>
      <c r="G133" s="93">
        <f>'Urban Pass Adoption'!G133</f>
        <v>2802.8250838464164</v>
      </c>
      <c r="H133" s="26">
        <f t="shared" si="29"/>
        <v>3.5078803558574026E-2</v>
      </c>
      <c r="I133" s="5"/>
      <c r="J133" s="93">
        <f>'Urban Pass Adoption'!J133</f>
        <v>1974.7279445417225</v>
      </c>
      <c r="K133" s="26">
        <f t="shared" si="30"/>
        <v>2.4714740155365875E-2</v>
      </c>
      <c r="L133" s="24"/>
      <c r="M133" s="93">
        <f>'Urban Pass Adoption'!M133</f>
        <v>641.42675993442117</v>
      </c>
      <c r="N133" s="26">
        <f t="shared" si="31"/>
        <v>8.0277871917979159E-3</v>
      </c>
      <c r="O133" s="24"/>
      <c r="P133" s="93">
        <f>'Urban Pass Adoption'!P133</f>
        <v>13754.283705936179</v>
      </c>
      <c r="Q133" s="26">
        <f t="shared" si="32"/>
        <v>0.17214196454503722</v>
      </c>
      <c r="R133" s="24"/>
      <c r="S133" s="93">
        <f>'Urban Pass Adoption'!S133</f>
        <v>8118.3704244389519</v>
      </c>
      <c r="T133" s="26">
        <f t="shared" si="33"/>
        <v>0.10160559892799796</v>
      </c>
      <c r="U133" s="24"/>
      <c r="V133" s="93">
        <f>'Private Car Analysis &amp; Split'!R140</f>
        <v>2767.8759313374649</v>
      </c>
      <c r="W133" s="26">
        <f t="shared" si="34"/>
        <v>3.4641396863997954E-2</v>
      </c>
      <c r="X133" s="24"/>
      <c r="Y133" s="93">
        <f>'Private Car Analysis &amp; Split'!U140</f>
        <v>1871.289901439033</v>
      </c>
      <c r="Z133" s="26">
        <f t="shared" si="35"/>
        <v>2.342015962110611E-2</v>
      </c>
      <c r="AA133" s="7"/>
      <c r="AB133" s="93">
        <f>'Nonurban Pass Adoption'!G134</f>
        <v>2140.6125751069367</v>
      </c>
      <c r="AC133" s="26">
        <f t="shared" si="37"/>
        <v>2.679087198482635E-2</v>
      </c>
      <c r="AD133" s="5"/>
      <c r="AE133" s="93">
        <f>'Nonurban Pass Adoption'!J134</f>
        <v>1920.2069053807627</v>
      </c>
      <c r="AF133" s="26">
        <f t="shared" si="38"/>
        <v>2.4032381190634475E-2</v>
      </c>
      <c r="AG133" s="24"/>
      <c r="AH133" s="93">
        <f>'Nonurban Pass Adoption'!M134</f>
        <v>8931.0221488898442</v>
      </c>
      <c r="AI133" s="26">
        <f t="shared" si="39"/>
        <v>0.11177635498689134</v>
      </c>
    </row>
    <row r="134" spans="2:38" ht="14.4" x14ac:dyDescent="0.3">
      <c r="B134" s="19">
        <f t="shared" si="27"/>
        <v>81983.569645360854</v>
      </c>
      <c r="C134" s="93">
        <f t="shared" si="36"/>
        <v>43115.186804300698</v>
      </c>
      <c r="D134" s="69">
        <f t="shared" si="28"/>
        <v>0.52590033577222295</v>
      </c>
      <c r="E134" s="7">
        <v>2028</v>
      </c>
      <c r="F134" s="7"/>
      <c r="G134" s="93">
        <f>'Urban Pass Adoption'!G134</f>
        <v>2899.7335420512009</v>
      </c>
      <c r="H134" s="26">
        <f t="shared" si="29"/>
        <v>3.5369691202696805E-2</v>
      </c>
      <c r="I134" s="5"/>
      <c r="J134" s="93">
        <f>'Urban Pass Adoption'!J134</f>
        <v>2107.5866050463519</v>
      </c>
      <c r="K134" s="26">
        <f t="shared" si="30"/>
        <v>2.5707426672968884E-2</v>
      </c>
      <c r="L134" s="24"/>
      <c r="M134" s="93">
        <f>'Urban Pass Adoption'!M134</f>
        <v>679.29444169779595</v>
      </c>
      <c r="N134" s="26">
        <f t="shared" si="31"/>
        <v>8.2857387722472114E-3</v>
      </c>
      <c r="O134" s="24"/>
      <c r="P134" s="93">
        <f>'Urban Pass Adoption'!P134</f>
        <v>14231.948039200684</v>
      </c>
      <c r="Q134" s="26">
        <f t="shared" si="32"/>
        <v>0.1735951252277049</v>
      </c>
      <c r="R134" s="24"/>
      <c r="S134" s="93">
        <f>'Urban Pass Adoption'!S134</f>
        <v>8575.5157141342061</v>
      </c>
      <c r="T134" s="26">
        <f t="shared" si="33"/>
        <v>0.10460041873304138</v>
      </c>
      <c r="U134" s="24"/>
      <c r="V134" s="93">
        <f>'Private Car Analysis &amp; Split'!R141</f>
        <v>3306.469200405933</v>
      </c>
      <c r="W134" s="26">
        <f t="shared" si="34"/>
        <v>4.0330876231772297E-2</v>
      </c>
      <c r="X134" s="24"/>
      <c r="Y134" s="93">
        <f>'Private Car Analysis &amp; Split'!U141</f>
        <v>2117.1368690360732</v>
      </c>
      <c r="Z134" s="26">
        <f t="shared" si="35"/>
        <v>2.5823916648106991E-2</v>
      </c>
      <c r="AA134" s="7"/>
      <c r="AB134" s="93">
        <f>'Nonurban Pass Adoption'!G135</f>
        <v>2361.9145403687407</v>
      </c>
      <c r="AC134" s="26">
        <f t="shared" si="37"/>
        <v>2.8809608444542677E-2</v>
      </c>
      <c r="AD134" s="5"/>
      <c r="AE134" s="93">
        <f>'Nonurban Pass Adoption'!J135</f>
        <v>2021.7011820050641</v>
      </c>
      <c r="AF134" s="26">
        <f t="shared" si="38"/>
        <v>2.4659833558728979E-2</v>
      </c>
      <c r="AG134" s="24"/>
      <c r="AH134" s="93">
        <f>'Nonurban Pass Adoption'!M135</f>
        <v>9142.5984212483163</v>
      </c>
      <c r="AI134" s="26">
        <f t="shared" si="39"/>
        <v>0.11151744746900835</v>
      </c>
    </row>
    <row r="135" spans="2:38" ht="14.4" x14ac:dyDescent="0.3">
      <c r="B135" s="19">
        <f t="shared" si="27"/>
        <v>84090.280256563652</v>
      </c>
      <c r="C135" s="93">
        <f t="shared" si="36"/>
        <v>43069.180583474656</v>
      </c>
      <c r="D135" s="69">
        <f t="shared" si="28"/>
        <v>0.51217786945255062</v>
      </c>
      <c r="E135" s="7">
        <v>2029</v>
      </c>
      <c r="F135" s="7"/>
      <c r="G135" s="93">
        <f>'Urban Pass Adoption'!G135</f>
        <v>2995.3422501551404</v>
      </c>
      <c r="H135" s="26">
        <f t="shared" si="29"/>
        <v>3.5620552589623933E-2</v>
      </c>
      <c r="I135" s="5"/>
      <c r="J135" s="93">
        <f>'Urban Pass Adoption'!J135</f>
        <v>2240.4452655509813</v>
      </c>
      <c r="K135" s="26">
        <f t="shared" si="30"/>
        <v>2.6643332127271675E-2</v>
      </c>
      <c r="L135" s="24"/>
      <c r="M135" s="93">
        <f>'Urban Pass Adoption'!M135</f>
        <v>717.62501834407942</v>
      </c>
      <c r="N135" s="26">
        <f t="shared" si="31"/>
        <v>8.5339829544457402E-3</v>
      </c>
      <c r="O135" s="24"/>
      <c r="P135" s="93">
        <f>'Urban Pass Adoption'!P135</f>
        <v>14723.552686713268</v>
      </c>
      <c r="Q135" s="26">
        <f t="shared" si="32"/>
        <v>0.17509220615974846</v>
      </c>
      <c r="R135" s="24"/>
      <c r="S135" s="93">
        <f>'Urban Pass Adoption'!S135</f>
        <v>9037.8128522958505</v>
      </c>
      <c r="T135" s="26">
        <f t="shared" si="33"/>
        <v>0.10747749709860678</v>
      </c>
      <c r="U135" s="24"/>
      <c r="V135" s="93">
        <f>'Private Car Analysis &amp; Split'!R142</f>
        <v>3904.5973446526673</v>
      </c>
      <c r="W135" s="26">
        <f t="shared" si="34"/>
        <v>4.6433396734313945E-2</v>
      </c>
      <c r="X135" s="24"/>
      <c r="Y135" s="93">
        <f>'Private Car Analysis &amp; Split'!U142</f>
        <v>2378.3992429985274</v>
      </c>
      <c r="Z135" s="26">
        <f t="shared" si="35"/>
        <v>2.8283878181187081E-2</v>
      </c>
      <c r="AA135" s="7"/>
      <c r="AB135" s="93">
        <f>'Nonurban Pass Adoption'!G136</f>
        <v>2583.3397381712975</v>
      </c>
      <c r="AC135" s="26">
        <f t="shared" si="37"/>
        <v>3.0721026619121721E-2</v>
      </c>
      <c r="AD135" s="5"/>
      <c r="AE135" s="93">
        <f>'Nonurban Pass Adoption'!J136</f>
        <v>2125.4452346011994</v>
      </c>
      <c r="AF135" s="26">
        <f t="shared" si="38"/>
        <v>2.5275753964862046E-2</v>
      </c>
      <c r="AG135" s="24"/>
      <c r="AH135" s="93">
        <f>'Nonurban Pass Adoption'!M136</f>
        <v>9352.3528919018208</v>
      </c>
      <c r="AI135" s="26">
        <f t="shared" si="39"/>
        <v>0.11121800121687458</v>
      </c>
    </row>
    <row r="136" spans="2:38" ht="14.4" x14ac:dyDescent="0.3">
      <c r="B136" s="19">
        <f t="shared" si="27"/>
        <v>86208.652199155025</v>
      </c>
      <c r="C136" s="93">
        <f t="shared" si="36"/>
        <v>42953.288715160088</v>
      </c>
      <c r="D136" s="69">
        <f t="shared" si="28"/>
        <v>0.4982480020210906</v>
      </c>
      <c r="E136" s="7">
        <v>2030</v>
      </c>
      <c r="F136" s="7"/>
      <c r="G136" s="93">
        <f>'Urban Pass Adoption'!G136</f>
        <v>3089.7185698632338</v>
      </c>
      <c r="H136" s="26">
        <f t="shared" si="29"/>
        <v>3.584000551041578E-2</v>
      </c>
      <c r="I136" s="5"/>
      <c r="J136" s="93">
        <f>'Urban Pass Adoption'!J136</f>
        <v>2373.3039260556106</v>
      </c>
      <c r="K136" s="26">
        <f t="shared" si="30"/>
        <v>2.752976488453757E-2</v>
      </c>
      <c r="L136" s="24"/>
      <c r="M136" s="93">
        <f>'Urban Pass Adoption'!M136</f>
        <v>756.45489552172364</v>
      </c>
      <c r="N136" s="26">
        <f t="shared" si="31"/>
        <v>8.7746980868486195E-3</v>
      </c>
      <c r="O136" s="24"/>
      <c r="P136" s="93">
        <f>'Urban Pass Adoption'!P136</f>
        <v>15227.611873723567</v>
      </c>
      <c r="Q136" s="26">
        <f t="shared" si="32"/>
        <v>0.17663670043866919</v>
      </c>
      <c r="R136" s="24"/>
      <c r="S136" s="93">
        <f>'Urban Pass Adoption'!S136</f>
        <v>9499.8155604171261</v>
      </c>
      <c r="T136" s="26">
        <f t="shared" si="33"/>
        <v>0.11019561631089088</v>
      </c>
      <c r="U136" s="24"/>
      <c r="V136" s="93">
        <f>'Private Car Analysis &amp; Split'!R143</f>
        <v>4564.806624807562</v>
      </c>
      <c r="W136" s="26">
        <f t="shared" si="34"/>
        <v>5.2950678480185122E-2</v>
      </c>
      <c r="X136" s="24"/>
      <c r="Y136" s="93">
        <f>'Private Car Analysis &amp; Split'!U143</f>
        <v>2654.8406425485332</v>
      </c>
      <c r="Z136" s="26">
        <f t="shared" si="35"/>
        <v>3.0795524286999058E-2</v>
      </c>
      <c r="AA136" s="7"/>
      <c r="AB136" s="93">
        <f>'Nonurban Pass Adoption'!G137</f>
        <v>2804.4369085974408</v>
      </c>
      <c r="AC136" s="26">
        <f t="shared" si="37"/>
        <v>3.2530805633276427E-2</v>
      </c>
      <c r="AD136" s="5"/>
      <c r="AE136" s="93">
        <f>'Nonurban Pass Adoption'!J137</f>
        <v>2232.008822651148</v>
      </c>
      <c r="AF136" s="26">
        <f t="shared" si="38"/>
        <v>2.5890775063909712E-2</v>
      </c>
      <c r="AG136" s="24"/>
      <c r="AH136" s="93">
        <f>'Nonurban Pass Adoption'!M137</f>
        <v>9552.1812202261171</v>
      </c>
      <c r="AI136" s="26">
        <f t="shared" si="39"/>
        <v>0.11080304559406791</v>
      </c>
    </row>
    <row r="137" spans="2:38" ht="14.4" x14ac:dyDescent="0.3">
      <c r="B137" s="19">
        <f t="shared" si="27"/>
        <v>88381.730885313416</v>
      </c>
      <c r="C137" s="93">
        <f t="shared" si="36"/>
        <v>42803.63065116814</v>
      </c>
      <c r="D137" s="69">
        <f t="shared" si="28"/>
        <v>0.48430405494899526</v>
      </c>
      <c r="E137" s="7">
        <v>2031</v>
      </c>
      <c r="F137" s="7"/>
      <c r="G137" s="93">
        <f>'Urban Pass Adoption'!G137</f>
        <v>3182.92986288048</v>
      </c>
      <c r="H137" s="26">
        <f t="shared" si="29"/>
        <v>3.6013436611812208E-2</v>
      </c>
      <c r="I137" s="5"/>
      <c r="J137" s="93">
        <f>'Urban Pass Adoption'!J137</f>
        <v>2506.16258656024</v>
      </c>
      <c r="K137" s="26">
        <f t="shared" si="30"/>
        <v>2.8356115697850567E-2</v>
      </c>
      <c r="L137" s="24"/>
      <c r="M137" s="93">
        <f>'Urban Pass Adoption'!M137</f>
        <v>795.82047887918088</v>
      </c>
      <c r="N137" s="26">
        <f t="shared" si="31"/>
        <v>9.0043549827266856E-3</v>
      </c>
      <c r="O137" s="24"/>
      <c r="P137" s="93">
        <f>'Urban Pass Adoption'!P137</f>
        <v>15742.62973435658</v>
      </c>
      <c r="Q137" s="26">
        <f t="shared" si="32"/>
        <v>0.17812085797216001</v>
      </c>
      <c r="R137" s="24"/>
      <c r="S137" s="93">
        <f>'Urban Pass Adoption'!S137</f>
        <v>9982.4784839569184</v>
      </c>
      <c r="T137" s="26">
        <f t="shared" si="33"/>
        <v>0.11294730691471136</v>
      </c>
      <c r="U137" s="24"/>
      <c r="V137" s="93">
        <f>'Private Car Analysis &amp; Split'!R144</f>
        <v>5289.643301600514</v>
      </c>
      <c r="W137" s="26">
        <f t="shared" si="34"/>
        <v>5.9849962753778851E-2</v>
      </c>
      <c r="X137" s="24"/>
      <c r="Y137" s="93">
        <f>'Private Car Analysis &amp; Split'!U144</f>
        <v>2946.2246869082287</v>
      </c>
      <c r="Z137" s="26">
        <f t="shared" si="35"/>
        <v>3.3335222759229864E-2</v>
      </c>
      <c r="AA137" s="7"/>
      <c r="AB137" s="93">
        <f>'Nonurban Pass Adoption'!G138</f>
        <v>3024.7560861383254</v>
      </c>
      <c r="AC137" s="26">
        <f t="shared" si="37"/>
        <v>3.4223770634944146E-2</v>
      </c>
      <c r="AD137" s="5"/>
      <c r="AE137" s="93">
        <f>'Nonurban Pass Adoption'!J138</f>
        <v>2341.9617056368893</v>
      </c>
      <c r="AF137" s="26">
        <f t="shared" si="38"/>
        <v>2.649825571617152E-2</v>
      </c>
      <c r="AG137" s="24"/>
      <c r="AH137" s="93">
        <f>'Nonurban Pass Adoption'!M138</f>
        <v>9747.9717911848329</v>
      </c>
      <c r="AI137" s="26">
        <f t="shared" si="39"/>
        <v>0.11029396792233082</v>
      </c>
    </row>
    <row r="138" spans="2:38" ht="14.4" x14ac:dyDescent="0.3">
      <c r="B138" s="19">
        <f t="shared" si="27"/>
        <v>90569.783505081257</v>
      </c>
      <c r="C138" s="93">
        <f t="shared" si="36"/>
        <v>42577.873938003089</v>
      </c>
      <c r="D138" s="69">
        <f t="shared" si="28"/>
        <v>0.47011124781604818</v>
      </c>
      <c r="E138" s="7">
        <v>2032</v>
      </c>
      <c r="F138" s="7"/>
      <c r="G138" s="93">
        <f>'Urban Pass Adoption'!G138</f>
        <v>3275.043490911879</v>
      </c>
      <c r="H138" s="26">
        <f t="shared" si="29"/>
        <v>3.6160442966369007E-2</v>
      </c>
      <c r="I138" s="5"/>
      <c r="J138" s="93">
        <f>'Urban Pass Adoption'!J138</f>
        <v>2639.0212470648694</v>
      </c>
      <c r="K138" s="26">
        <f t="shared" si="30"/>
        <v>2.9137987802706978E-2</v>
      </c>
      <c r="L138" s="24"/>
      <c r="M138" s="93">
        <f>'Urban Pass Adoption'!M138</f>
        <v>835.7581740649033</v>
      </c>
      <c r="N138" s="26">
        <f t="shared" si="31"/>
        <v>9.2277815152115774E-3</v>
      </c>
      <c r="O138" s="24"/>
      <c r="P138" s="93">
        <f>'Urban Pass Adoption'!P138</f>
        <v>16267.112356351709</v>
      </c>
      <c r="Q138" s="26">
        <f t="shared" si="32"/>
        <v>0.17960860373966855</v>
      </c>
      <c r="R138" s="24"/>
      <c r="S138" s="93">
        <f>'Urban Pass Adoption'!S138</f>
        <v>10467.778682059103</v>
      </c>
      <c r="T138" s="26">
        <f t="shared" si="33"/>
        <v>0.11557694273909605</v>
      </c>
      <c r="U138" s="24"/>
      <c r="V138" s="93">
        <f>'Private Car Analysis &amp; Split'!R145</f>
        <v>6081.6536357614177</v>
      </c>
      <c r="W138" s="26">
        <f t="shared" si="34"/>
        <v>6.7148814984417146E-2</v>
      </c>
      <c r="X138" s="24"/>
      <c r="Y138" s="93">
        <f>'Private Car Analysis &amp; Split'!U145</f>
        <v>3252.3149952997537</v>
      </c>
      <c r="Z138" s="26">
        <f t="shared" si="35"/>
        <v>3.5909492873164355E-2</v>
      </c>
      <c r="AA138" s="7"/>
      <c r="AB138" s="93">
        <f>'Nonurban Pass Adoption'!G139</f>
        <v>3243.8522638383015</v>
      </c>
      <c r="AC138" s="26">
        <f t="shared" si="37"/>
        <v>3.5816054077862633E-2</v>
      </c>
      <c r="AD138" s="5"/>
      <c r="AE138" s="93">
        <f>'Nonurban Pass Adoption'!J139</f>
        <v>2455.8736430404033</v>
      </c>
      <c r="AF138" s="26">
        <f t="shared" si="38"/>
        <v>2.7115816644329518E-2</v>
      </c>
      <c r="AG138" s="24"/>
      <c r="AH138" s="93">
        <f>'Nonurban Pass Adoption'!M139</f>
        <v>9941.2797607449356</v>
      </c>
      <c r="AI138" s="26">
        <f t="shared" si="39"/>
        <v>0.10976375758022208</v>
      </c>
    </row>
    <row r="139" spans="2:38" ht="14.4" x14ac:dyDescent="0.3">
      <c r="B139" s="19">
        <f t="shared" si="27"/>
        <v>92789.054911386993</v>
      </c>
      <c r="C139" s="93">
        <f t="shared" si="36"/>
        <v>42291.099287510304</v>
      </c>
      <c r="D139" s="69">
        <f t="shared" si="28"/>
        <v>0.45577680824422728</v>
      </c>
      <c r="E139" s="7">
        <v>2033</v>
      </c>
      <c r="F139" s="7"/>
      <c r="G139" s="93">
        <f>'Urban Pass Adoption'!G139</f>
        <v>3366.1268156624287</v>
      </c>
      <c r="H139" s="26">
        <f t="shared" si="29"/>
        <v>3.6277196905142105E-2</v>
      </c>
      <c r="I139" s="5"/>
      <c r="J139" s="93">
        <f>'Urban Pass Adoption'!J139</f>
        <v>2771.8799075694988</v>
      </c>
      <c r="K139" s="26">
        <f t="shared" si="30"/>
        <v>2.9872918850360398E-2</v>
      </c>
      <c r="L139" s="24"/>
      <c r="M139" s="93">
        <f>'Urban Pass Adoption'!M139</f>
        <v>876.30438672734306</v>
      </c>
      <c r="N139" s="26">
        <f t="shared" si="31"/>
        <v>9.4440490590642252E-3</v>
      </c>
      <c r="O139" s="24"/>
      <c r="P139" s="93">
        <f>'Urban Pass Adoption'!P139</f>
        <v>16799.579305227424</v>
      </c>
      <c r="Q139" s="26">
        <f t="shared" si="32"/>
        <v>0.18105130310111386</v>
      </c>
      <c r="R139" s="24"/>
      <c r="S139" s="93">
        <f>'Urban Pass Adoption'!S139</f>
        <v>10964.259891852453</v>
      </c>
      <c r="T139" s="26">
        <f t="shared" si="33"/>
        <v>0.11816328878792069</v>
      </c>
      <c r="U139" s="24"/>
      <c r="V139" s="93">
        <f>'Private Car Analysis &amp; Split'!R146</f>
        <v>6943.3838880201693</v>
      </c>
      <c r="W139" s="26">
        <f t="shared" si="34"/>
        <v>7.4829772699496297E-2</v>
      </c>
      <c r="X139" s="24"/>
      <c r="Y139" s="93">
        <f>'Private Car Analysis &amp; Split'!U146</f>
        <v>3572.8751869452472</v>
      </c>
      <c r="Z139" s="26">
        <f t="shared" si="35"/>
        <v>3.8505351631798836E-2</v>
      </c>
      <c r="AA139" s="7"/>
      <c r="AB139" s="93">
        <f>'Nonurban Pass Adoption'!G140</f>
        <v>3461.2889899296247</v>
      </c>
      <c r="AC139" s="26">
        <f t="shared" si="37"/>
        <v>3.7302772328429636E-2</v>
      </c>
      <c r="AD139" s="5"/>
      <c r="AE139" s="93">
        <f>'Nonurban Pass Adoption'!J140</f>
        <v>2574.3143943436708</v>
      </c>
      <c r="AF139" s="26">
        <f t="shared" si="38"/>
        <v>2.7743729007716763E-2</v>
      </c>
      <c r="AG139" s="24"/>
      <c r="AH139" s="93">
        <f>'Nonurban Pass Adoption'!M140</f>
        <v>10132.202749451289</v>
      </c>
      <c r="AI139" s="26">
        <f t="shared" si="39"/>
        <v>0.10919609817265069</v>
      </c>
    </row>
    <row r="140" spans="2:38" ht="14.4" x14ac:dyDescent="0.3">
      <c r="B140" s="19">
        <f t="shared" si="27"/>
        <v>95042.273850452329</v>
      </c>
      <c r="C140" s="93">
        <f t="shared" si="36"/>
        <v>41944.854062907223</v>
      </c>
      <c r="D140" s="69">
        <f t="shared" si="28"/>
        <v>0.44132839381459726</v>
      </c>
      <c r="E140" s="7">
        <v>2034</v>
      </c>
      <c r="F140" s="7"/>
      <c r="G140" s="93">
        <f>'Urban Pass Adoption'!G140</f>
        <v>3456.2471988371299</v>
      </c>
      <c r="H140" s="26">
        <f t="shared" si="29"/>
        <v>3.636536731302837E-2</v>
      </c>
      <c r="I140" s="5"/>
      <c r="J140" s="93">
        <f>'Urban Pass Adoption'!J140</f>
        <v>2904.7385680741281</v>
      </c>
      <c r="K140" s="26">
        <f t="shared" si="30"/>
        <v>3.0562595468251245E-2</v>
      </c>
      <c r="L140" s="24"/>
      <c r="M140" s="93">
        <f>'Urban Pass Adoption'!M140</f>
        <v>917.49552251495209</v>
      </c>
      <c r="N140" s="26">
        <f t="shared" si="31"/>
        <v>9.6535518916415902E-3</v>
      </c>
      <c r="O140" s="24"/>
      <c r="P140" s="93">
        <f>'Urban Pass Adoption'!P140</f>
        <v>17338.555365861655</v>
      </c>
      <c r="Q140" s="26">
        <f t="shared" si="32"/>
        <v>0.18242993000297558</v>
      </c>
      <c r="R140" s="24"/>
      <c r="S140" s="93">
        <f>'Urban Pass Adoption'!S140</f>
        <v>11474.262332217639</v>
      </c>
      <c r="T140" s="26">
        <f t="shared" si="33"/>
        <v>0.12072798626716599</v>
      </c>
      <c r="U140" s="24"/>
      <c r="V140" s="93">
        <f>'Private Car Analysis &amp; Split'!R147</f>
        <v>7877.3803191066627</v>
      </c>
      <c r="W140" s="26">
        <f t="shared" si="34"/>
        <v>8.2882910940258112E-2</v>
      </c>
      <c r="X140" s="24"/>
      <c r="Y140" s="93">
        <f>'Private Car Analysis &amp; Split'!U147</f>
        <v>3907.6688810668456</v>
      </c>
      <c r="Z140" s="26">
        <f t="shared" si="35"/>
        <v>4.1115060938204266E-2</v>
      </c>
      <c r="AA140" s="7"/>
      <c r="AB140" s="93">
        <f>'Nonurban Pass Adoption'!G141</f>
        <v>3676.6418352063042</v>
      </c>
      <c r="AC140" s="26">
        <f t="shared" si="37"/>
        <v>3.8684278966130879E-2</v>
      </c>
      <c r="AD140" s="5"/>
      <c r="AE140" s="93">
        <f>'Nonurban Pass Adoption'!J141</f>
        <v>2697.8537190286697</v>
      </c>
      <c r="AF140" s="26">
        <f t="shared" si="38"/>
        <v>2.8385828849946334E-2</v>
      </c>
      <c r="AG140" s="24"/>
      <c r="AH140" s="93">
        <f>'Nonurban Pass Adoption'!M141</f>
        <v>10320.838377848766</v>
      </c>
      <c r="AI140" s="26">
        <f t="shared" si="39"/>
        <v>0.10859208181496645</v>
      </c>
    </row>
    <row r="141" spans="2:38" ht="14.4" x14ac:dyDescent="0.3">
      <c r="B141" s="19">
        <f t="shared" si="27"/>
        <v>97316.870764327265</v>
      </c>
      <c r="C141" s="93">
        <f t="shared" si="36"/>
        <v>41525.377966630964</v>
      </c>
      <c r="D141" s="69">
        <f t="shared" si="28"/>
        <v>0.42670276633938603</v>
      </c>
      <c r="E141" s="7">
        <v>2035</v>
      </c>
      <c r="F141" s="7"/>
      <c r="G141" s="93">
        <f>'Urban Pass Adoption'!G141</f>
        <v>3545.4720021409807</v>
      </c>
      <c r="H141" s="26">
        <f t="shared" si="29"/>
        <v>3.6432244217213555E-2</v>
      </c>
      <c r="I141" s="5"/>
      <c r="J141" s="93">
        <f>'Urban Pass Adoption'!J141</f>
        <v>3037.5972285787575</v>
      </c>
      <c r="K141" s="26">
        <f t="shared" si="30"/>
        <v>3.121347002550998E-2</v>
      </c>
      <c r="L141" s="24"/>
      <c r="M141" s="93">
        <f>'Urban Pass Adoption'!M141</f>
        <v>959.36798707618254</v>
      </c>
      <c r="N141" s="26">
        <f t="shared" si="31"/>
        <v>9.8581877894480252E-3</v>
      </c>
      <c r="O141" s="24"/>
      <c r="P141" s="93">
        <f>'Urban Pass Adoption'!P141</f>
        <v>17882.559377427391</v>
      </c>
      <c r="Q141" s="26">
        <f t="shared" si="32"/>
        <v>0.18375600486305885</v>
      </c>
      <c r="R141" s="24"/>
      <c r="S141" s="93">
        <f>'Urban Pass Adoption'!S141</f>
        <v>11991.773399006335</v>
      </c>
      <c r="T141" s="26">
        <f t="shared" si="33"/>
        <v>0.12322399297082692</v>
      </c>
      <c r="U141" s="24"/>
      <c r="V141" s="93">
        <f>'Private Car Analysis &amp; Split'!R148</f>
        <v>8886.1891897507976</v>
      </c>
      <c r="W141" s="26">
        <f t="shared" si="34"/>
        <v>9.1311908407644193E-2</v>
      </c>
      <c r="X141" s="24"/>
      <c r="Y141" s="93">
        <f>'Private Car Analysis &amp; Split'!U148</f>
        <v>4256.459696886689</v>
      </c>
      <c r="Z141" s="26">
        <f t="shared" si="35"/>
        <v>4.3738148005134467E-2</v>
      </c>
      <c r="AA141" s="7"/>
      <c r="AB141" s="93">
        <f>'Nonurban Pass Adoption'!G142</f>
        <v>3889.5016727759012</v>
      </c>
      <c r="AC141" s="26">
        <f t="shared" si="37"/>
        <v>3.9967393548803333E-2</v>
      </c>
      <c r="AD141" s="5"/>
      <c r="AE141" s="93">
        <f>'Nonurban Pass Adoption'!J142</f>
        <v>2827.061376577381</v>
      </c>
      <c r="AF141" s="26">
        <f t="shared" si="38"/>
        <v>2.9050064540440158E-2</v>
      </c>
      <c r="AG141" s="24"/>
      <c r="AH141" s="93">
        <f>'Nonurban Pass Adoption'!M142</f>
        <v>10507.284266482231</v>
      </c>
      <c r="AI141" s="26">
        <f t="shared" si="39"/>
        <v>0.10796981226336153</v>
      </c>
    </row>
    <row r="142" spans="2:38" ht="14.4" x14ac:dyDescent="0.3">
      <c r="B142" s="19">
        <f t="shared" si="27"/>
        <v>99659.990407611054</v>
      </c>
      <c r="C142" s="93">
        <f t="shared" si="36"/>
        <v>41078.628185238507</v>
      </c>
      <c r="D142" s="69">
        <f t="shared" si="28"/>
        <v>0.41218775977427069</v>
      </c>
      <c r="E142" s="7">
        <v>2036</v>
      </c>
      <c r="F142" s="7"/>
      <c r="G142" s="93">
        <f>'Urban Pass Adoption'!G142</f>
        <v>3633.8685872789806</v>
      </c>
      <c r="H142" s="26">
        <f t="shared" si="29"/>
        <v>3.6462662422667276E-2</v>
      </c>
      <c r="I142" s="5"/>
      <c r="J142" s="93">
        <f>'Urban Pass Adoption'!J142</f>
        <v>3170.4558890833869</v>
      </c>
      <c r="K142" s="26">
        <f t="shared" si="30"/>
        <v>3.1812725208141886E-2</v>
      </c>
      <c r="L142" s="24"/>
      <c r="M142" s="93">
        <f>'Urban Pass Adoption'!M142</f>
        <v>1001.9581860594869</v>
      </c>
      <c r="N142" s="26">
        <f t="shared" si="31"/>
        <v>1.0053765628126803E-2</v>
      </c>
      <c r="O142" s="24"/>
      <c r="P142" s="93">
        <f>'Urban Pass Adoption'!P142</f>
        <v>18430.088666374559</v>
      </c>
      <c r="Q142" s="26">
        <f t="shared" si="32"/>
        <v>0.18492966526481874</v>
      </c>
      <c r="R142" s="24"/>
      <c r="S142" s="93">
        <f>'Urban Pass Adoption'!S142</f>
        <v>12545.11300201536</v>
      </c>
      <c r="T142" s="26">
        <f t="shared" si="33"/>
        <v>0.12587913114084834</v>
      </c>
      <c r="U142" s="24"/>
      <c r="V142" s="93">
        <f>'Private Car Analysis &amp; Split'!R149</f>
        <v>9972.3567606824654</v>
      </c>
      <c r="W142" s="26">
        <f t="shared" si="34"/>
        <v>0.10006379410529097</v>
      </c>
      <c r="X142" s="24"/>
      <c r="Y142" s="93">
        <f>'Private Car Analysis &amp; Split'!U149</f>
        <v>4619.0112536269171</v>
      </c>
      <c r="Z142" s="26">
        <f t="shared" si="35"/>
        <v>4.6347699159262234E-2</v>
      </c>
      <c r="AA142" s="7"/>
      <c r="AB142" s="93">
        <f>'Nonurban Pass Adoption'!G143</f>
        <v>4099.4777168984074</v>
      </c>
      <c r="AC142" s="26">
        <f t="shared" si="37"/>
        <v>4.113463888699441E-2</v>
      </c>
      <c r="AD142" s="5"/>
      <c r="AE142" s="93">
        <f>'Nonurban Pass Adoption'!J143</f>
        <v>2962.507126471784</v>
      </c>
      <c r="AF142" s="26">
        <f t="shared" si="38"/>
        <v>2.9726143002373164E-2</v>
      </c>
      <c r="AG142" s="24"/>
      <c r="AH142" s="93">
        <f>'Nonurban Pass Adoption'!M143</f>
        <v>10691.638035896554</v>
      </c>
      <c r="AI142" s="26">
        <f t="shared" si="39"/>
        <v>0.10728114654805376</v>
      </c>
    </row>
    <row r="143" spans="2:38" ht="14.4" x14ac:dyDescent="0.3">
      <c r="B143" s="19">
        <f t="shared" si="27"/>
        <v>102027.97591712078</v>
      </c>
      <c r="C143" s="93">
        <f t="shared" si="36"/>
        <v>40559.743337291977</v>
      </c>
      <c r="D143" s="69">
        <f t="shared" si="28"/>
        <v>0.39753550898862688</v>
      </c>
      <c r="E143" s="7">
        <v>2037</v>
      </c>
      <c r="F143" s="7"/>
      <c r="G143" s="93">
        <f>'Urban Pass Adoption'!G143</f>
        <v>3721.5043159561296</v>
      </c>
      <c r="H143" s="26">
        <f t="shared" si="29"/>
        <v>3.6475332206719231E-2</v>
      </c>
      <c r="I143" s="5"/>
      <c r="J143" s="93">
        <f>'Urban Pass Adoption'!J143</f>
        <v>3303.3145495880162</v>
      </c>
      <c r="K143" s="26">
        <f t="shared" si="30"/>
        <v>3.2376556722749847E-2</v>
      </c>
      <c r="L143" s="24"/>
      <c r="M143" s="93">
        <f>'Urban Pass Adoption'!M143</f>
        <v>1045.3025251133167</v>
      </c>
      <c r="N143" s="26">
        <f t="shared" si="31"/>
        <v>1.0245253968013983E-2</v>
      </c>
      <c r="O143" s="24"/>
      <c r="P143" s="93">
        <f>'Urban Pass Adoption'!P143</f>
        <v>18979.636417037538</v>
      </c>
      <c r="Q143" s="26">
        <f t="shared" si="32"/>
        <v>0.18602384538584837</v>
      </c>
      <c r="R143" s="24"/>
      <c r="S143" s="93">
        <f>'Urban Pass Adoption'!S143</f>
        <v>13111.381646902686</v>
      </c>
      <c r="T143" s="26">
        <f t="shared" si="33"/>
        <v>0.12850771103754233</v>
      </c>
      <c r="U143" s="24"/>
      <c r="V143" s="93">
        <f>'Private Car Analysis &amp; Split'!R150</f>
        <v>11138.429292631563</v>
      </c>
      <c r="W143" s="26">
        <f t="shared" si="34"/>
        <v>0.10917034462860967</v>
      </c>
      <c r="X143" s="24"/>
      <c r="Y143" s="93">
        <f>'Private Car Analysis &amp; Split'!U150</f>
        <v>4995.0871705096661</v>
      </c>
      <c r="Z143" s="26">
        <f t="shared" si="35"/>
        <v>4.8958014952362357E-2</v>
      </c>
      <c r="AA143" s="7"/>
      <c r="AB143" s="93">
        <f>'Nonurban Pass Adoption'!G144</f>
        <v>4306.2002741621045</v>
      </c>
      <c r="AC143" s="26">
        <f t="shared" si="37"/>
        <v>4.2206073730798217E-2</v>
      </c>
      <c r="AD143" s="5"/>
      <c r="AE143" s="93">
        <f>'Nonurban Pass Adoption'!J144</f>
        <v>3104.7607281938585</v>
      </c>
      <c r="AF143" s="26">
        <f t="shared" si="38"/>
        <v>3.0430484387104897E-2</v>
      </c>
      <c r="AG143" s="24"/>
      <c r="AH143" s="93">
        <f>'Nonurban Pass Adoption'!M144</f>
        <v>10873.997306636604</v>
      </c>
      <c r="AI143" s="26">
        <f t="shared" si="39"/>
        <v>0.10657858502916645</v>
      </c>
    </row>
    <row r="144" spans="2:38" ht="14.4" x14ac:dyDescent="0.3">
      <c r="B144" s="19">
        <f t="shared" si="27"/>
        <v>104437.10931317744</v>
      </c>
      <c r="C144" s="93">
        <f t="shared" si="36"/>
        <v>39983.76202797256</v>
      </c>
      <c r="D144" s="69">
        <f t="shared" si="28"/>
        <v>0.38285014101714104</v>
      </c>
      <c r="E144" s="7">
        <v>2038</v>
      </c>
      <c r="F144" s="7"/>
      <c r="G144" s="93">
        <f>'Urban Pass Adoption'!G144</f>
        <v>3808.4465498774262</v>
      </c>
      <c r="H144" s="26">
        <f t="shared" si="29"/>
        <v>3.6466410980956675E-2</v>
      </c>
      <c r="I144" s="5"/>
      <c r="J144" s="93">
        <f>'Urban Pass Adoption'!J144</f>
        <v>3436.1732100926456</v>
      </c>
      <c r="K144" s="26">
        <f t="shared" si="30"/>
        <v>3.2901841430602326E-2</v>
      </c>
      <c r="L144" s="24"/>
      <c r="M144" s="93">
        <f>'Urban Pass Adoption'!M144</f>
        <v>1089.4374098861247</v>
      </c>
      <c r="N144" s="26">
        <f t="shared" si="31"/>
        <v>1.0431516316860217E-2</v>
      </c>
      <c r="O144" s="24"/>
      <c r="P144" s="93">
        <f>'Urban Pass Adoption'!P144</f>
        <v>19529.711193805098</v>
      </c>
      <c r="Q144" s="26">
        <f t="shared" si="32"/>
        <v>0.18699972952373664</v>
      </c>
      <c r="R144" s="24"/>
      <c r="S144" s="93">
        <f>'Urban Pass Adoption'!S144</f>
        <v>13702.013287193102</v>
      </c>
      <c r="T144" s="26">
        <f t="shared" si="33"/>
        <v>0.13119870300225017</v>
      </c>
      <c r="U144" s="24"/>
      <c r="V144" s="93">
        <f>'Private Car Analysis &amp; Split'!R151</f>
        <v>12386.953046327988</v>
      </c>
      <c r="W144" s="26">
        <f t="shared" si="34"/>
        <v>0.11860681636814563</v>
      </c>
      <c r="X144" s="24"/>
      <c r="Y144" s="93">
        <f>'Private Car Analysis &amp; Split'!U151</f>
        <v>5384.4510667570758</v>
      </c>
      <c r="Z144" s="26">
        <f t="shared" si="35"/>
        <v>5.1556875732845356E-2</v>
      </c>
      <c r="AA144" s="7"/>
      <c r="AB144" s="93">
        <f>'Nonurban Pass Adoption'!G145</f>
        <v>4509.3231679856935</v>
      </c>
      <c r="AC144" s="26">
        <f t="shared" si="37"/>
        <v>4.3177403105475708E-2</v>
      </c>
      <c r="AD144" s="5"/>
      <c r="AE144" s="93">
        <f>'Nonurban Pass Adoption'!J145</f>
        <v>3254.3919412255846</v>
      </c>
      <c r="AF144" s="26">
        <f t="shared" si="38"/>
        <v>3.1161260232381392E-2</v>
      </c>
      <c r="AG144" s="24"/>
      <c r="AH144" s="93">
        <f>'Nonurban Pass Adoption'!M145</f>
        <v>11054.459699247243</v>
      </c>
      <c r="AI144" s="26">
        <f t="shared" si="39"/>
        <v>0.10584800529185499</v>
      </c>
    </row>
    <row r="145" spans="1:38" ht="14.4" x14ac:dyDescent="0.3">
      <c r="B145" s="19">
        <f t="shared" si="27"/>
        <v>106888.31574405199</v>
      </c>
      <c r="C145" s="93">
        <f t="shared" si="36"/>
        <v>39350.339551313067</v>
      </c>
      <c r="D145" s="69">
        <f t="shared" si="28"/>
        <v>0.36814444382806916</v>
      </c>
      <c r="E145" s="7">
        <v>2039</v>
      </c>
      <c r="F145" s="7"/>
      <c r="G145" s="93">
        <f>'Urban Pass Adoption'!G145</f>
        <v>3894.762650747869</v>
      </c>
      <c r="H145" s="26">
        <f t="shared" si="29"/>
        <v>3.6437683797675528E-2</v>
      </c>
      <c r="I145" s="5"/>
      <c r="J145" s="93">
        <f>'Urban Pass Adoption'!J145</f>
        <v>3569.031870597275</v>
      </c>
      <c r="K145" s="26">
        <f t="shared" si="30"/>
        <v>3.339029009628567E-2</v>
      </c>
      <c r="L145" s="24"/>
      <c r="M145" s="93">
        <f>'Urban Pass Adoption'!M145</f>
        <v>1134.3992460263626</v>
      </c>
      <c r="N145" s="26">
        <f t="shared" si="31"/>
        <v>1.0612939666321652E-2</v>
      </c>
      <c r="O145" s="24"/>
      <c r="P145" s="93">
        <f>'Urban Pass Adoption'!P145</f>
        <v>20078.822415895214</v>
      </c>
      <c r="Q145" s="26">
        <f t="shared" si="32"/>
        <v>0.18784861821543428</v>
      </c>
      <c r="R145" s="24"/>
      <c r="S145" s="93">
        <f>'Urban Pass Adoption'!S145</f>
        <v>14319.999236306076</v>
      </c>
      <c r="T145" s="26">
        <f t="shared" si="33"/>
        <v>0.133971605190186</v>
      </c>
      <c r="U145" s="24"/>
      <c r="V145" s="93">
        <f>'Private Car Analysis &amp; Split'!R152</f>
        <v>13720.474282501631</v>
      </c>
      <c r="W145" s="26">
        <f t="shared" si="34"/>
        <v>0.12836271380078448</v>
      </c>
      <c r="X145" s="24"/>
      <c r="Y145" s="93">
        <f>'Private Car Analysis &amp; Split'!U152</f>
        <v>5786.8665615912851</v>
      </c>
      <c r="Z145" s="26">
        <f t="shared" si="35"/>
        <v>5.4139374554728233E-2</v>
      </c>
      <c r="AA145" s="7"/>
      <c r="AB145" s="93">
        <f>'Nonurban Pass Adoption'!G146</f>
        <v>4708.5258060569968</v>
      </c>
      <c r="AC145" s="26">
        <f t="shared" si="37"/>
        <v>4.4050893432840084E-2</v>
      </c>
      <c r="AD145" s="5"/>
      <c r="AE145" s="93">
        <f>'Nonurban Pass Adoption'!J146</f>
        <v>3411.9705250489419</v>
      </c>
      <c r="AF145" s="26">
        <f t="shared" si="38"/>
        <v>3.192089332962296E-2</v>
      </c>
      <c r="AG145" s="24"/>
      <c r="AH145" s="93">
        <f>'Nonurban Pass Adoption'!M146</f>
        <v>11233.122834273345</v>
      </c>
      <c r="AI145" s="26">
        <f t="shared" si="39"/>
        <v>0.10509214927823797</v>
      </c>
    </row>
    <row r="146" spans="1:38" ht="14.4" x14ac:dyDescent="0.3">
      <c r="B146" s="19">
        <f t="shared" si="27"/>
        <v>109379.91137101538</v>
      </c>
      <c r="C146" s="93">
        <f t="shared" si="36"/>
        <v>38656.509268929862</v>
      </c>
      <c r="D146" s="69">
        <f t="shared" si="28"/>
        <v>0.35341507214983414</v>
      </c>
      <c r="E146" s="7">
        <v>2040</v>
      </c>
      <c r="F146" s="7"/>
      <c r="G146" s="93">
        <f>'Urban Pass Adoption'!G146</f>
        <v>3980.5199802724587</v>
      </c>
      <c r="H146" s="26">
        <f t="shared" si="29"/>
        <v>3.6391691402734655E-2</v>
      </c>
      <c r="I146" s="5"/>
      <c r="J146" s="93">
        <f>'Urban Pass Adoption'!J146</f>
        <v>3701.8905311019043</v>
      </c>
      <c r="K146" s="26">
        <f t="shared" si="30"/>
        <v>3.3844336539505276E-2</v>
      </c>
      <c r="L146" s="24"/>
      <c r="M146" s="93">
        <f>'Urban Pass Adoption'!M146</f>
        <v>1180.2244391824829</v>
      </c>
      <c r="N146" s="26">
        <f t="shared" si="31"/>
        <v>1.0790138923948983E-2</v>
      </c>
      <c r="O146" s="24"/>
      <c r="P146" s="93">
        <f>'Urban Pass Adoption'!P146</f>
        <v>20625.465174529145</v>
      </c>
      <c r="Q146" s="26">
        <f t="shared" si="32"/>
        <v>0.18856721418037914</v>
      </c>
      <c r="R146" s="24"/>
      <c r="S146" s="93">
        <f>'Urban Pass Adoption'!S146</f>
        <v>14966.777978649277</v>
      </c>
      <c r="T146" s="26">
        <f t="shared" si="33"/>
        <v>0.13683296860501323</v>
      </c>
      <c r="U146" s="24"/>
      <c r="V146" s="93">
        <f>'Private Car Analysis &amp; Split'!R153</f>
        <v>15141.53926188239</v>
      </c>
      <c r="W146" s="26">
        <f t="shared" si="34"/>
        <v>0.1384307143066012</v>
      </c>
      <c r="X146" s="24"/>
      <c r="Y146" s="93">
        <f>'Private Car Analysis &amp; Split'!U153</f>
        <v>6202.0972742344329</v>
      </c>
      <c r="Z146" s="26">
        <f t="shared" si="35"/>
        <v>5.6702343204475564E-2</v>
      </c>
      <c r="AA146" s="7"/>
      <c r="AB146" s="93">
        <f>'Nonurban Pass Adoption'!G147</f>
        <v>4903.5148694770223</v>
      </c>
      <c r="AC146" s="26">
        <f t="shared" si="37"/>
        <v>4.4830122899298733E-2</v>
      </c>
      <c r="AD146" s="5"/>
      <c r="AE146" s="93">
        <f>'Nonurban Pass Adoption'!J147</f>
        <v>3578.0662391459095</v>
      </c>
      <c r="AF146" s="26">
        <f t="shared" si="38"/>
        <v>3.2712279561181494E-2</v>
      </c>
      <c r="AG146" s="24"/>
      <c r="AH146" s="93">
        <f>'Nonurban Pass Adoption'!M147</f>
        <v>11410.084332259772</v>
      </c>
      <c r="AI146" s="26">
        <f t="shared" si="39"/>
        <v>0.10431608683204084</v>
      </c>
    </row>
    <row r="147" spans="1:38" ht="14.4" x14ac:dyDescent="0.3">
      <c r="B147" s="19">
        <f t="shared" si="27"/>
        <v>111921.38305155796</v>
      </c>
      <c r="C147" s="93">
        <f t="shared" si="36"/>
        <v>37910.461015815017</v>
      </c>
      <c r="D147" s="69">
        <f t="shared" si="28"/>
        <v>0.33872402200704665</v>
      </c>
      <c r="E147" s="7">
        <v>2041</v>
      </c>
      <c r="F147" s="7"/>
      <c r="G147" s="93">
        <f>'Urban Pass Adoption'!G147</f>
        <v>4065.7859001561942</v>
      </c>
      <c r="H147" s="26">
        <f t="shared" si="29"/>
        <v>3.6327159201412301E-2</v>
      </c>
      <c r="I147" s="5"/>
      <c r="J147" s="93">
        <f>'Urban Pass Adoption'!J147</f>
        <v>3834.7491916065919</v>
      </c>
      <c r="K147" s="26">
        <f t="shared" si="30"/>
        <v>3.4262882454196154E-2</v>
      </c>
      <c r="L147" s="24"/>
      <c r="M147" s="93">
        <f>'Urban Pass Adoption'!M147</f>
        <v>1226.9493950029373</v>
      </c>
      <c r="N147" s="26">
        <f t="shared" si="31"/>
        <v>1.0962600367775369E-2</v>
      </c>
      <c r="O147" s="24"/>
      <c r="P147" s="93">
        <f>'Urban Pass Adoption'!P147</f>
        <v>21168.12021139621</v>
      </c>
      <c r="Q147" s="26">
        <f t="shared" si="32"/>
        <v>0.18913383335912545</v>
      </c>
      <c r="R147" s="24"/>
      <c r="S147" s="93">
        <f>'Urban Pass Adoption'!S147</f>
        <v>15651.291185925433</v>
      </c>
      <c r="T147" s="26">
        <f t="shared" si="33"/>
        <v>0.13984183146410434</v>
      </c>
      <c r="U147" s="24"/>
      <c r="V147" s="93">
        <f>'Private Car Analysis &amp; Split'!R154</f>
        <v>16652.694245200164</v>
      </c>
      <c r="W147" s="26">
        <f t="shared" si="34"/>
        <v>0.14878921070452547</v>
      </c>
      <c r="X147" s="24"/>
      <c r="Y147" s="93">
        <f>'Private Car Analysis &amp; Split'!U154</f>
        <v>6629.9068239086555</v>
      </c>
      <c r="Z147" s="26">
        <f t="shared" si="35"/>
        <v>5.9237177410991312E-2</v>
      </c>
      <c r="AA147" s="7"/>
      <c r="AB147" s="93">
        <f>'Nonurban Pass Adoption'!G148</f>
        <v>5094.0256117223289</v>
      </c>
      <c r="AC147" s="26">
        <f t="shared" si="37"/>
        <v>4.5514319720081582E-2</v>
      </c>
      <c r="AD147" s="5"/>
      <c r="AE147" s="93">
        <f>'Nonurban Pass Adoption'!J148</f>
        <v>3753.2488429984674</v>
      </c>
      <c r="AF147" s="26">
        <f t="shared" si="38"/>
        <v>3.3534689624675984E-2</v>
      </c>
      <c r="AG147" s="24"/>
      <c r="AH147" s="93">
        <f>'Nonurban Pass Adoption'!M148</f>
        <v>11585.4418137514</v>
      </c>
      <c r="AI147" s="26">
        <f t="shared" si="39"/>
        <v>0.10351410515016977</v>
      </c>
    </row>
    <row r="148" spans="1:38" ht="14.4" x14ac:dyDescent="0.3">
      <c r="B148" s="19">
        <f t="shared" si="27"/>
        <v>114506.21818774793</v>
      </c>
      <c r="C148" s="93">
        <f t="shared" si="36"/>
        <v>38326.635475153329</v>
      </c>
      <c r="D148" s="69">
        <f t="shared" si="28"/>
        <v>0.33471226350617739</v>
      </c>
      <c r="E148" s="7">
        <v>2042</v>
      </c>
      <c r="F148" s="7"/>
      <c r="G148" s="93">
        <f>'Urban Pass Adoption'!G148</f>
        <v>4150.6277721040733</v>
      </c>
      <c r="H148" s="26">
        <f t="shared" si="29"/>
        <v>3.6248055675881075E-2</v>
      </c>
      <c r="I148" s="5"/>
      <c r="J148" s="93">
        <f>'Urban Pass Adoption'!J148</f>
        <v>3967.6078521112213</v>
      </c>
      <c r="K148" s="26">
        <f t="shared" si="30"/>
        <v>3.4649715228615874E-2</v>
      </c>
      <c r="L148" s="24"/>
      <c r="M148" s="93">
        <f>'Urban Pass Adoption'!M148</f>
        <v>1274.6105191361783</v>
      </c>
      <c r="N148" s="26">
        <f t="shared" si="31"/>
        <v>1.1131365084875019E-2</v>
      </c>
      <c r="O148" s="24"/>
      <c r="P148" s="93">
        <f>'Urban Pass Adoption'!P148</f>
        <v>21705.240478192489</v>
      </c>
      <c r="Q148" s="26">
        <f t="shared" si="32"/>
        <v>0.18955512479334446</v>
      </c>
      <c r="R148" s="24"/>
      <c r="S148" s="93">
        <f>'Urban Pass Adoption'!S148</f>
        <v>16372.044954588921</v>
      </c>
      <c r="T148" s="26">
        <f t="shared" si="33"/>
        <v>0.14297952734536049</v>
      </c>
      <c r="U148" s="24"/>
      <c r="V148" s="93">
        <f>'Private Car Analysis &amp; Split'!R155</f>
        <v>18256.485493184846</v>
      </c>
      <c r="W148" s="26">
        <f t="shared" si="34"/>
        <v>0.15943662957456992</v>
      </c>
      <c r="X148" s="24"/>
      <c r="Y148" s="93">
        <f>'Private Car Analysis &amp; Split'!U155</f>
        <v>5847.806837756606</v>
      </c>
      <c r="Z148" s="26">
        <f t="shared" si="35"/>
        <v>5.1069775338910953E-2</v>
      </c>
      <c r="AA148" s="7"/>
      <c r="AB148" s="93">
        <f>'Nonurban Pass Adoption'!G149</f>
        <v>5279.8227647275125</v>
      </c>
      <c r="AC148" s="26">
        <f t="shared" si="37"/>
        <v>4.6109485129187937E-2</v>
      </c>
      <c r="AD148" s="5"/>
      <c r="AE148" s="93">
        <f>'Nonurban Pass Adoption'!J149</f>
        <v>3938.0880960885956</v>
      </c>
      <c r="AF148" s="26">
        <f t="shared" si="38"/>
        <v>3.4391914765987512E-2</v>
      </c>
      <c r="AG148" s="24"/>
      <c r="AH148" s="93">
        <f>'Nonurban Pass Adoption'!M149</f>
        <v>11759.29289929309</v>
      </c>
      <c r="AI148" s="26">
        <f t="shared" si="39"/>
        <v>0.10269567090244995</v>
      </c>
    </row>
    <row r="149" spans="1:38" ht="14.4" x14ac:dyDescent="0.3">
      <c r="B149" s="19">
        <f t="shared" si="27"/>
        <v>117138.39658386304</v>
      </c>
      <c r="C149" s="93">
        <f t="shared" si="36"/>
        <v>38964.997633396175</v>
      </c>
      <c r="D149" s="69">
        <f t="shared" si="28"/>
        <v>0.33264069485106801</v>
      </c>
      <c r="E149" s="7">
        <v>2043</v>
      </c>
      <c r="F149" s="7"/>
      <c r="G149" s="93">
        <f>'Urban Pass Adoption'!G149</f>
        <v>4235.1129578210966</v>
      </c>
      <c r="H149" s="26">
        <f t="shared" si="29"/>
        <v>3.6154779998111439E-2</v>
      </c>
      <c r="I149" s="5"/>
      <c r="J149" s="93">
        <f>'Urban Pass Adoption'!J149</f>
        <v>4100.4665126158507</v>
      </c>
      <c r="K149" s="26">
        <f t="shared" si="30"/>
        <v>3.5005315355159383E-2</v>
      </c>
      <c r="L149" s="24"/>
      <c r="M149" s="93">
        <f>'Urban Pass Adoption'!M149</f>
        <v>1323.2442172306578</v>
      </c>
      <c r="N149" s="26">
        <f t="shared" si="31"/>
        <v>1.1296417364594075E-2</v>
      </c>
      <c r="O149" s="24"/>
      <c r="P149" s="93">
        <f>'Urban Pass Adoption'!P149</f>
        <v>22235.251833664446</v>
      </c>
      <c r="Q149" s="26">
        <f t="shared" si="32"/>
        <v>0.18982035337785705</v>
      </c>
      <c r="R149" s="24"/>
      <c r="S149" s="93">
        <f>'Urban Pass Adoption'!S149</f>
        <v>17134.844102091174</v>
      </c>
      <c r="T149" s="26">
        <f t="shared" si="33"/>
        <v>0.14627862939735395</v>
      </c>
      <c r="U149" s="24"/>
      <c r="V149" s="93">
        <f>'Private Car Analysis &amp; Split'!R156</f>
        <v>19955.459266566326</v>
      </c>
      <c r="W149" s="26">
        <f t="shared" si="34"/>
        <v>0.17035796842480758</v>
      </c>
      <c r="X149" s="24"/>
      <c r="Y149" s="93">
        <f>'Private Car Analysis &amp; Split'!U156</f>
        <v>4798.2741371303709</v>
      </c>
      <c r="Z149" s="26">
        <f t="shared" si="35"/>
        <v>4.0962436545690095E-2</v>
      </c>
      <c r="AA149" s="7"/>
      <c r="AB149" s="93">
        <f>'Nonurban Pass Adoption'!G150</f>
        <v>5460.7010581101313</v>
      </c>
      <c r="AC149" s="26">
        <f t="shared" si="37"/>
        <v>4.6617515839058328E-2</v>
      </c>
      <c r="AD149" s="5"/>
      <c r="AE149" s="93">
        <f>'Nonurban Pass Adoption'!J150</f>
        <v>4133.1537578982743</v>
      </c>
      <c r="AF149" s="26">
        <f t="shared" si="38"/>
        <v>3.5284363440464379E-2</v>
      </c>
      <c r="AG149" s="24"/>
      <c r="AH149" s="93">
        <f>'Nonurban Pass Adoption'!M150</f>
        <v>11931.735209429709</v>
      </c>
      <c r="AI149" s="26">
        <f t="shared" si="39"/>
        <v>0.10186015480318963</v>
      </c>
    </row>
    <row r="150" spans="1:38" ht="14.4" x14ac:dyDescent="0.3">
      <c r="B150" s="19">
        <f t="shared" si="27"/>
        <v>119819.17449839209</v>
      </c>
      <c r="C150" s="93">
        <f t="shared" si="36"/>
        <v>39653.295345499071</v>
      </c>
      <c r="D150" s="69">
        <f t="shared" si="28"/>
        <v>0.33094281872248416</v>
      </c>
      <c r="E150" s="7">
        <v>2044</v>
      </c>
      <c r="F150" s="7"/>
      <c r="G150" s="93">
        <f>'Urban Pass Adoption'!G150</f>
        <v>4319.3088190122635</v>
      </c>
      <c r="H150" s="26">
        <f t="shared" si="29"/>
        <v>3.6048560984454338E-2</v>
      </c>
      <c r="I150" s="5"/>
      <c r="J150" s="93">
        <f>'Urban Pass Adoption'!J150</f>
        <v>4233.32517312048</v>
      </c>
      <c r="K150" s="26">
        <f t="shared" si="30"/>
        <v>3.5330949247837529E-2</v>
      </c>
      <c r="L150" s="24"/>
      <c r="M150" s="93">
        <f>'Urban Pass Adoption'!M150</f>
        <v>1372.8868949348282</v>
      </c>
      <c r="N150" s="26">
        <f t="shared" si="31"/>
        <v>1.1457989930929223E-2</v>
      </c>
      <c r="O150" s="24"/>
      <c r="P150" s="93">
        <f>'Urban Pass Adoption'!P150</f>
        <v>22756.557037662657</v>
      </c>
      <c r="Q150" s="26">
        <f t="shared" si="32"/>
        <v>0.18992416808853943</v>
      </c>
      <c r="R150" s="24"/>
      <c r="S150" s="93">
        <f>'Urban Pass Adoption'!S150</f>
        <v>17943.92865637978</v>
      </c>
      <c r="T150" s="26">
        <f t="shared" si="33"/>
        <v>0.14975840662815262</v>
      </c>
      <c r="U150" s="24"/>
      <c r="V150" s="93">
        <f>'Private Car Analysis &amp; Split'!R157</f>
        <v>21752.161826074513</v>
      </c>
      <c r="W150" s="26">
        <f t="shared" si="34"/>
        <v>0.1815415764391401</v>
      </c>
      <c r="X150" s="24"/>
      <c r="Y150" s="93">
        <f>'Private Car Analysis &amp; Split'!U157</f>
        <v>3653.2720839314061</v>
      </c>
      <c r="Z150" s="26">
        <f t="shared" si="35"/>
        <v>3.0489878596020797E-2</v>
      </c>
      <c r="AA150" s="7"/>
      <c r="AB150" s="93">
        <f>'Nonurban Pass Adoption'!G151</f>
        <v>5636.4853655412617</v>
      </c>
      <c r="AC150" s="26">
        <f t="shared" si="37"/>
        <v>4.7041597383204306E-2</v>
      </c>
      <c r="AD150" s="5"/>
      <c r="AE150" s="93">
        <f>'Nonurban Pass Adoption'!J151</f>
        <v>4339.0155879094818</v>
      </c>
      <c r="AF150" s="26">
        <f t="shared" si="38"/>
        <v>3.6213031896390746E-2</v>
      </c>
      <c r="AG150" s="24"/>
      <c r="AH150" s="93">
        <f>'Nonurban Pass Adoption'!M151</f>
        <v>12102.866364706133</v>
      </c>
      <c r="AI150" s="26">
        <f t="shared" si="39"/>
        <v>0.1010094287109994</v>
      </c>
    </row>
    <row r="151" spans="1:38" ht="14.4" x14ac:dyDescent="0.3">
      <c r="B151" s="19">
        <f t="shared" si="27"/>
        <v>122594.27669503816</v>
      </c>
      <c r="C151" s="93">
        <f t="shared" si="36"/>
        <v>39800.39821658266</v>
      </c>
      <c r="D151" s="69">
        <f t="shared" si="28"/>
        <v>0.32465135640539677</v>
      </c>
      <c r="E151" s="7">
        <v>2045</v>
      </c>
      <c r="F151" s="7"/>
      <c r="G151" s="93">
        <f>'Urban Pass Adoption'!G151</f>
        <v>4403.2827173825717</v>
      </c>
      <c r="H151" s="26">
        <f t="shared" si="29"/>
        <v>3.5917522710591503E-2</v>
      </c>
      <c r="I151" s="5"/>
      <c r="J151" s="93">
        <f>'Urban Pass Adoption'!J151</f>
        <v>4366.1838336251094</v>
      </c>
      <c r="K151" s="26">
        <f t="shared" si="30"/>
        <v>3.5614907574244244E-2</v>
      </c>
      <c r="L151" s="24"/>
      <c r="M151" s="93">
        <f>'Urban Pass Adoption'!M151</f>
        <v>1423.5749578971411</v>
      </c>
      <c r="N151" s="26">
        <f t="shared" si="31"/>
        <v>1.1612083339244159E-2</v>
      </c>
      <c r="O151" s="24"/>
      <c r="P151" s="93">
        <f>'Urban Pass Adoption'!P151</f>
        <v>23267.556704314582</v>
      </c>
      <c r="Q151" s="26">
        <f t="shared" si="32"/>
        <v>0.189793172500167</v>
      </c>
      <c r="R151" s="24"/>
      <c r="S151" s="93">
        <f>'Urban Pass Adoption'!S151</f>
        <v>18837.539719082852</v>
      </c>
      <c r="T151" s="26">
        <f t="shared" si="33"/>
        <v>0.15365757869710794</v>
      </c>
      <c r="U151" s="24"/>
      <c r="V151" s="93">
        <f>'Private Car Analysis &amp; Split'!R158</f>
        <v>23649.13943243929</v>
      </c>
      <c r="W151" s="26">
        <f t="shared" si="34"/>
        <v>0.19290573809793893</v>
      </c>
      <c r="X151" s="24"/>
      <c r="Y151" s="93">
        <f>'Private Car Analysis &amp; Split'!U158</f>
        <v>3048.0830022383143</v>
      </c>
      <c r="Z151" s="26">
        <f t="shared" si="35"/>
        <v>2.4863175381511764E-2</v>
      </c>
      <c r="AA151" s="7"/>
      <c r="AB151" s="93">
        <f>'Nonurban Pass Adoption'!G152</f>
        <v>5807.0304992870751</v>
      </c>
      <c r="AC151" s="26">
        <f t="shared" si="37"/>
        <v>4.7367876020284944E-2</v>
      </c>
      <c r="AD151" s="5"/>
      <c r="AE151" s="93">
        <f>'Nonurban Pass Adoption'!J152</f>
        <v>4556.2433456041999</v>
      </c>
      <c r="AF151" s="26">
        <f t="shared" si="38"/>
        <v>3.7165220664731144E-2</v>
      </c>
      <c r="AG151" s="24"/>
      <c r="AH151" s="93">
        <f>'Nonurban Pass Adoption'!M152</f>
        <v>12272.78398566722</v>
      </c>
      <c r="AI151" s="26">
        <f t="shared" si="39"/>
        <v>0.10010894730588955</v>
      </c>
    </row>
    <row r="152" spans="1:38" ht="14.4" x14ac:dyDescent="0.3">
      <c r="B152" s="19">
        <f t="shared" si="27"/>
        <v>125331.41564940999</v>
      </c>
      <c r="C152" s="93">
        <f t="shared" si="36"/>
        <v>40421.009382774122</v>
      </c>
      <c r="D152" s="69">
        <f t="shared" si="28"/>
        <v>0.32251298825063907</v>
      </c>
      <c r="E152" s="7">
        <v>2046</v>
      </c>
      <c r="F152" s="7"/>
      <c r="G152" s="93">
        <f>'Urban Pass Adoption'!G152</f>
        <v>4487.1020146370229</v>
      </c>
      <c r="H152" s="26">
        <f t="shared" si="29"/>
        <v>3.5801893654411512E-2</v>
      </c>
      <c r="I152" s="5"/>
      <c r="J152" s="93">
        <f>'Urban Pass Adoption'!J152</f>
        <v>4499.0424941297388</v>
      </c>
      <c r="K152" s="26">
        <f t="shared" si="30"/>
        <v>3.5897164895311855E-2</v>
      </c>
      <c r="L152" s="24"/>
      <c r="M152" s="93">
        <f>'Urban Pass Adoption'!M152</f>
        <v>1475.3448117660491</v>
      </c>
      <c r="N152" s="26">
        <f t="shared" si="31"/>
        <v>1.1771548291555538E-2</v>
      </c>
      <c r="O152" s="24"/>
      <c r="P152" s="93">
        <f>'Urban Pass Adoption'!P152</f>
        <v>23766.664838546625</v>
      </c>
      <c r="Q152" s="26">
        <f t="shared" si="32"/>
        <v>0.18963054646274163</v>
      </c>
      <c r="R152" s="24"/>
      <c r="S152" s="93">
        <f>'Urban Pass Adoption'!S152</f>
        <v>19718.939173656658</v>
      </c>
      <c r="T152" s="26">
        <f t="shared" si="33"/>
        <v>0.15733436881313553</v>
      </c>
      <c r="U152" s="24"/>
      <c r="V152" s="93">
        <f>'Private Car Analysis &amp; Split'!R159</f>
        <v>25648.938346390558</v>
      </c>
      <c r="W152" s="26">
        <f t="shared" si="34"/>
        <v>0.20464891594409518</v>
      </c>
      <c r="X152" s="24"/>
      <c r="Y152" s="93">
        <f>'Private Car Analysis &amp; Split'!U159</f>
        <v>1834.1005979937399</v>
      </c>
      <c r="Z152" s="26">
        <f t="shared" si="35"/>
        <v>1.4634005277051014E-2</v>
      </c>
      <c r="AA152" s="7"/>
      <c r="AB152" s="93">
        <f>'Nonurban Pass Adoption'!G153</f>
        <v>5972.2206798498837</v>
      </c>
      <c r="AC152" s="26">
        <f t="shared" si="37"/>
        <v>4.7651426012421318E-2</v>
      </c>
      <c r="AD152" s="5"/>
      <c r="AE152" s="93">
        <f>'Nonurban Pass Adoption'!J153</f>
        <v>4785.4067904644071</v>
      </c>
      <c r="AF152" s="26">
        <f t="shared" si="38"/>
        <v>3.8182021368454361E-2</v>
      </c>
      <c r="AG152" s="24"/>
      <c r="AH152" s="93">
        <f>'Nonurban Pass Adoption'!M153</f>
        <v>12441.585692857843</v>
      </c>
      <c r="AI152" s="26">
        <f t="shared" si="39"/>
        <v>9.926948984331857E-2</v>
      </c>
    </row>
    <row r="153" spans="1:38" ht="14.4" x14ac:dyDescent="0.3">
      <c r="B153" s="19">
        <f t="shared" si="27"/>
        <v>128165.29601143197</v>
      </c>
      <c r="C153" s="93">
        <f t="shared" si="36"/>
        <v>40401.267465978955</v>
      </c>
      <c r="D153" s="69">
        <f t="shared" si="28"/>
        <v>0.31522782471766209</v>
      </c>
      <c r="E153" s="7">
        <v>2047</v>
      </c>
      <c r="F153" s="7"/>
      <c r="G153" s="93">
        <f>'Urban Pass Adoption'!G153</f>
        <v>4570.8340724806149</v>
      </c>
      <c r="H153" s="26">
        <f t="shared" si="29"/>
        <v>3.566358612453803E-2</v>
      </c>
      <c r="I153" s="5"/>
      <c r="J153" s="93">
        <f>'Urban Pass Adoption'!J153</f>
        <v>4631.9011546343681</v>
      </c>
      <c r="K153" s="26">
        <f t="shared" si="30"/>
        <v>3.6140057400727385E-2</v>
      </c>
      <c r="L153" s="24"/>
      <c r="M153" s="93">
        <f>'Urban Pass Adoption'!M153</f>
        <v>1528.2328621900047</v>
      </c>
      <c r="N153" s="26">
        <f t="shared" si="31"/>
        <v>1.1923920981337184E-2</v>
      </c>
      <c r="O153" s="24"/>
      <c r="P153" s="93">
        <f>'Urban Pass Adoption'!P153</f>
        <v>24252.29775592927</v>
      </c>
      <c r="Q153" s="26">
        <f t="shared" si="32"/>
        <v>0.18922671355408124</v>
      </c>
      <c r="R153" s="24"/>
      <c r="S153" s="93">
        <f>'Urban Pass Adoption'!S153</f>
        <v>20694.364920012009</v>
      </c>
      <c r="T153" s="26">
        <f t="shared" si="33"/>
        <v>0.16146621249301474</v>
      </c>
      <c r="U153" s="24"/>
      <c r="V153" s="93">
        <f>'Private Car Analysis &amp; Split'!R160</f>
        <v>27754.104828658208</v>
      </c>
      <c r="W153" s="26">
        <f t="shared" si="34"/>
        <v>0.21654929760535663</v>
      </c>
      <c r="X153" s="24"/>
      <c r="Y153" s="93">
        <f>'Private Car Analysis &amp; Split'!U160</f>
        <v>1258.2443704440248</v>
      </c>
      <c r="Z153" s="26">
        <f t="shared" si="35"/>
        <v>9.8173562547836119E-3</v>
      </c>
      <c r="AA153" s="7"/>
      <c r="AB153" s="93">
        <f>'Nonurban Pass Adoption'!G154</f>
        <v>6131.9687123215672</v>
      </c>
      <c r="AC153" s="26">
        <f t="shared" si="37"/>
        <v>4.7844220730193711E-2</v>
      </c>
      <c r="AD153" s="5"/>
      <c r="AE153" s="93">
        <f>'Nonurban Pass Adoption'!J154</f>
        <v>5027.0756819720827</v>
      </c>
      <c r="AF153" s="26">
        <f t="shared" si="38"/>
        <v>3.9223376673851569E-2</v>
      </c>
      <c r="AG153" s="24"/>
      <c r="AH153" s="93">
        <f>'Nonurban Pass Adoption'!M154</f>
        <v>12609.369106822873</v>
      </c>
      <c r="AI153" s="26">
        <f t="shared" si="39"/>
        <v>9.8383645957468499E-2</v>
      </c>
    </row>
    <row r="154" spans="1:38" ht="14.4" x14ac:dyDescent="0.3">
      <c r="B154" s="19">
        <f t="shared" si="27"/>
        <v>131052.45988767326</v>
      </c>
      <c r="C154" s="93">
        <f t="shared" si="36"/>
        <v>40684.911578994972</v>
      </c>
      <c r="D154" s="69">
        <f t="shared" si="28"/>
        <v>0.31044752318168256</v>
      </c>
      <c r="E154" s="7">
        <v>2048</v>
      </c>
      <c r="F154" s="7"/>
      <c r="G154" s="93">
        <f>'Urban Pass Adoption'!G154</f>
        <v>4654.5462526183455</v>
      </c>
      <c r="H154" s="26">
        <f t="shared" si="29"/>
        <v>3.5516664522038097E-2</v>
      </c>
      <c r="I154" s="5"/>
      <c r="J154" s="93">
        <f>'Urban Pass Adoption'!J154</f>
        <v>4764.7598151389975</v>
      </c>
      <c r="K154" s="26">
        <f t="shared" si="30"/>
        <v>3.6357652647061596E-2</v>
      </c>
      <c r="L154" s="24"/>
      <c r="M154" s="93">
        <f>'Urban Pass Adoption'!M154</f>
        <v>1582.2755148174588</v>
      </c>
      <c r="N154" s="26">
        <f t="shared" si="31"/>
        <v>1.2073604083232374E-2</v>
      </c>
      <c r="O154" s="24"/>
      <c r="P154" s="93">
        <f>'Urban Pass Adoption'!P154</f>
        <v>24722.852028394034</v>
      </c>
      <c r="Q154" s="26">
        <f t="shared" si="32"/>
        <v>0.18864851563705334</v>
      </c>
      <c r="R154" s="24"/>
      <c r="S154" s="93">
        <f>'Urban Pass Adoption'!S154</f>
        <v>21735.038764849833</v>
      </c>
      <c r="T154" s="26">
        <f t="shared" si="33"/>
        <v>0.16584991066538707</v>
      </c>
      <c r="U154" s="24"/>
      <c r="V154" s="93">
        <f>'Private Car Analysis &amp; Split'!R161</f>
        <v>29967.185139972142</v>
      </c>
      <c r="W154" s="26">
        <f t="shared" si="34"/>
        <v>0.22866556770973548</v>
      </c>
      <c r="X154" s="24"/>
      <c r="Y154" s="93">
        <f>'Private Car Analysis &amp; Split'!U161</f>
        <v>331.66302553296737</v>
      </c>
      <c r="Z154" s="26">
        <f t="shared" si="35"/>
        <v>2.5307653577600906E-3</v>
      </c>
      <c r="AA154" s="7"/>
      <c r="AB154" s="93">
        <f>'Nonurban Pass Adoption'!G155</f>
        <v>6286.2149044879761</v>
      </c>
      <c r="AC154" s="26">
        <f t="shared" si="37"/>
        <v>4.7967164522329235E-2</v>
      </c>
      <c r="AD154" s="5"/>
      <c r="AE154" s="93">
        <f>'Nonurban Pass Adoption'!J155</f>
        <v>5281.8197796092063</v>
      </c>
      <c r="AF154" s="26">
        <f t="shared" si="38"/>
        <v>4.0303095295855733E-2</v>
      </c>
      <c r="AG154" s="24"/>
      <c r="AH154" s="93">
        <f>'Nonurban Pass Adoption'!M155</f>
        <v>12776.231848107169</v>
      </c>
      <c r="AI154" s="26">
        <f t="shared" si="39"/>
        <v>9.7489447043251534E-2</v>
      </c>
    </row>
    <row r="155" spans="1:38" ht="14.4" x14ac:dyDescent="0.3">
      <c r="B155" s="19">
        <f t="shared" si="27"/>
        <v>133993.88836168771</v>
      </c>
      <c r="C155" s="93">
        <f t="shared" si="36"/>
        <v>41889.03592111059</v>
      </c>
      <c r="D155" s="69">
        <f t="shared" si="28"/>
        <v>0.31261900399546683</v>
      </c>
      <c r="E155" s="7">
        <v>2049</v>
      </c>
      <c r="F155" s="7"/>
      <c r="G155" s="93">
        <f>'Urban Pass Adoption'!G155</f>
        <v>4738.3059167552165</v>
      </c>
      <c r="H155" s="26">
        <f t="shared" si="29"/>
        <v>3.5362104754846559E-2</v>
      </c>
      <c r="I155" s="5"/>
      <c r="J155" s="93">
        <f>'Urban Pass Adoption'!J155</f>
        <v>4897.6184756436269</v>
      </c>
      <c r="K155" s="26">
        <f t="shared" si="30"/>
        <v>3.6551058675329713E-2</v>
      </c>
      <c r="L155" s="24"/>
      <c r="M155" s="93">
        <f>'Urban Pass Adoption'!M155</f>
        <v>1637.5091752968647</v>
      </c>
      <c r="N155" s="26">
        <f t="shared" si="31"/>
        <v>1.2220775106374706E-2</v>
      </c>
      <c r="O155" s="24"/>
      <c r="P155" s="93">
        <f>'Urban Pass Adoption'!P155</f>
        <v>25176.716617745777</v>
      </c>
      <c r="Q155" s="26">
        <f t="shared" si="32"/>
        <v>0.18789451463477677</v>
      </c>
      <c r="R155" s="24"/>
      <c r="S155" s="93">
        <f>'Urban Pass Adoption'!S155</f>
        <v>22846.164953127369</v>
      </c>
      <c r="T155" s="26">
        <f t="shared" si="33"/>
        <v>0.17050154475298945</v>
      </c>
      <c r="U155" s="24"/>
      <c r="V155" s="93">
        <f>'Private Car Analysis &amp; Split'!R162</f>
        <v>30727.296111117605</v>
      </c>
      <c r="W155" s="26">
        <f t="shared" si="34"/>
        <v>0.22931863898281593</v>
      </c>
      <c r="X155" s="24"/>
      <c r="Y155" s="93">
        <f>'Private Car Analysis &amp; Split'!U162</f>
        <v>3.0922819860279499E-12</v>
      </c>
      <c r="Z155" s="26">
        <f t="shared" si="35"/>
        <v>2.3077783799220744E-17</v>
      </c>
      <c r="AA155" s="7"/>
      <c r="AB155" s="93">
        <f>'Nonurban Pass Adoption'!G156</f>
        <v>6434.9257639046709</v>
      </c>
      <c r="AC155" s="26">
        <f t="shared" si="37"/>
        <v>4.8024024398299205E-2</v>
      </c>
      <c r="AD155" s="5"/>
      <c r="AE155" s="93">
        <f>'Nonurban Pass Adoption'!J156</f>
        <v>5550.208842857759</v>
      </c>
      <c r="AF155" s="26">
        <f t="shared" si="38"/>
        <v>4.1421358173263562E-2</v>
      </c>
      <c r="AG155" s="24"/>
      <c r="AH155" s="93">
        <f>'Nonurban Pass Adoption'!M156</f>
        <v>12942.271537255605</v>
      </c>
      <c r="AI155" s="26">
        <f t="shared" si="39"/>
        <v>9.6588521278826708E-2</v>
      </c>
    </row>
    <row r="156" spans="1:38" ht="14.4" x14ac:dyDescent="0.3">
      <c r="A156" s="30"/>
      <c r="B156" s="19">
        <f t="shared" si="27"/>
        <v>136967.50153648219</v>
      </c>
      <c r="C156" s="93">
        <f t="shared" si="36"/>
        <v>43125.420465515781</v>
      </c>
      <c r="D156" s="69">
        <f t="shared" si="28"/>
        <v>0.31485878023429553</v>
      </c>
      <c r="E156" s="33">
        <v>2050</v>
      </c>
      <c r="F156" s="33"/>
      <c r="G156" s="93">
        <f>'Urban Pass Adoption'!G156</f>
        <v>4822.1804265962255</v>
      </c>
      <c r="H156" s="26">
        <f t="shared" si="29"/>
        <v>3.5206748845541334E-2</v>
      </c>
      <c r="I156" s="30"/>
      <c r="J156" s="93">
        <f>'Urban Pass Adoption'!J156</f>
        <v>5030.4771361482562</v>
      </c>
      <c r="K156" s="26">
        <f t="shared" si="30"/>
        <v>3.672752353453973E-2</v>
      </c>
      <c r="L156" s="34"/>
      <c r="M156" s="93">
        <f>'Urban Pass Adoption'!M156</f>
        <v>1693.9702492766739</v>
      </c>
      <c r="N156" s="26">
        <f t="shared" si="31"/>
        <v>1.2367680145099777E-2</v>
      </c>
      <c r="O156" s="34"/>
      <c r="P156" s="93">
        <f>'Urban Pass Adoption'!P156</f>
        <v>25612.272629216735</v>
      </c>
      <c r="Q156" s="26">
        <f t="shared" si="32"/>
        <v>0.18699525319438451</v>
      </c>
      <c r="R156" s="34"/>
      <c r="S156" s="93">
        <f>'Urban Pass Adoption'!S156</f>
        <v>24013.448614590354</v>
      </c>
      <c r="T156" s="26">
        <f t="shared" si="33"/>
        <v>0.17532223589691615</v>
      </c>
      <c r="U156" s="34"/>
      <c r="V156" s="93">
        <f>'Private Car Analysis &amp; Split'!R163</f>
        <v>31164.689691551263</v>
      </c>
      <c r="W156" s="26">
        <f t="shared" si="34"/>
        <v>0.22753346116378084</v>
      </c>
      <c r="X156" s="34"/>
      <c r="Y156" s="93">
        <f>'Private Car Analysis &amp; Split'!U163</f>
        <v>3.0922819860279499E-12</v>
      </c>
      <c r="Z156" s="26">
        <f t="shared" si="35"/>
        <v>2.2576756904661068E-17</v>
      </c>
      <c r="AA156" s="33"/>
      <c r="AB156" s="93">
        <f>'Nonurban Pass Adoption'!G157</f>
        <v>6578.0925121644859</v>
      </c>
      <c r="AC156" s="26">
        <f t="shared" si="37"/>
        <v>4.8026666460089934E-2</v>
      </c>
      <c r="AD156" s="30"/>
      <c r="AE156" s="93">
        <f>'Nonurban Pass Adoption'!J157</f>
        <v>5832.8126311997203</v>
      </c>
      <c r="AF156" s="26">
        <f t="shared" si="38"/>
        <v>4.25853765730414E-2</v>
      </c>
      <c r="AG156" s="34"/>
      <c r="AH156" s="93">
        <f>'Nonurban Pass Adoption'!M157</f>
        <v>13107.585794813047</v>
      </c>
      <c r="AI156" s="26">
        <f t="shared" si="39"/>
        <v>9.569850984922694E-2</v>
      </c>
      <c r="AK156" s="852" t="s">
        <v>222</v>
      </c>
      <c r="AL156" s="852"/>
    </row>
    <row r="157" spans="1:38" ht="14.4" x14ac:dyDescent="0.3">
      <c r="B157" s="19">
        <f t="shared" si="27"/>
        <v>140043.53368741606</v>
      </c>
      <c r="C157" s="93">
        <f t="shared" si="36"/>
        <v>44405.589504922638</v>
      </c>
      <c r="D157" s="69">
        <f t="shared" si="28"/>
        <v>0.31708418329430377</v>
      </c>
      <c r="E157" s="7">
        <v>2051</v>
      </c>
      <c r="F157" s="7"/>
      <c r="G157" s="93">
        <f>'Urban Pass Adoption'!G157</f>
        <v>4906.2371438463733</v>
      </c>
      <c r="H157" s="26">
        <f t="shared" si="29"/>
        <v>3.5033657139767208E-2</v>
      </c>
      <c r="I157" s="5"/>
      <c r="J157" s="93">
        <f>'Urban Pass Adoption'!J157</f>
        <v>5163.3357966528856</v>
      </c>
      <c r="K157" s="26">
        <f t="shared" si="30"/>
        <v>3.6869505222409629E-2</v>
      </c>
      <c r="L157" s="24"/>
      <c r="M157" s="93">
        <f>'Urban Pass Adoption'!M157</f>
        <v>1751.6951424053391</v>
      </c>
      <c r="N157" s="26">
        <f t="shared" si="31"/>
        <v>1.2508218668026524E-2</v>
      </c>
      <c r="O157" s="24"/>
      <c r="P157" s="93">
        <f>'Urban Pass Adoption'!P157</f>
        <v>26027.924485350042</v>
      </c>
      <c r="Q157" s="26">
        <f t="shared" si="32"/>
        <v>0.18585595350261319</v>
      </c>
      <c r="R157" s="24"/>
      <c r="S157" s="93">
        <f>'Urban Pass Adoption'!S157</f>
        <v>24748.673713377033</v>
      </c>
      <c r="T157" s="26">
        <f t="shared" si="33"/>
        <v>0.17672128845746832</v>
      </c>
      <c r="U157" s="24"/>
      <c r="V157" s="93">
        <f>'Private Car Analysis &amp; Split'!R164</f>
        <v>31670.549014300315</v>
      </c>
      <c r="W157" s="26">
        <f t="shared" si="34"/>
        <v>0.22614788544960965</v>
      </c>
      <c r="X157" s="24"/>
      <c r="Y157" s="93">
        <f>'Private Car Analysis &amp; Split'!U164</f>
        <v>3.0922819860279499E-12</v>
      </c>
      <c r="Z157" s="26">
        <f t="shared" si="35"/>
        <v>2.2080862319070531E-17</v>
      </c>
      <c r="AA157" s="7"/>
      <c r="AB157" s="93">
        <f>'Nonurban Pass Adoption'!G158</f>
        <v>6715.7294544970382</v>
      </c>
      <c r="AC157" s="26">
        <f t="shared" si="37"/>
        <v>4.7954584390071671E-2</v>
      </c>
      <c r="AD157" s="5"/>
      <c r="AE157" s="93">
        <f>'Nonurban Pass Adoption'!J158</f>
        <v>6130.2009041170695</v>
      </c>
      <c r="AF157" s="26">
        <f t="shared" si="38"/>
        <v>4.3773537718635222E-2</v>
      </c>
      <c r="AG157" s="24"/>
      <c r="AH157" s="93">
        <f>'Nonurban Pass Adoption'!M158</f>
        <v>13272.272241324365</v>
      </c>
      <c r="AI157" s="26">
        <f t="shared" si="39"/>
        <v>9.4772474614563201E-2</v>
      </c>
      <c r="AK157" s="223" t="str">
        <f t="shared" ref="AK157:AK167" si="40">AK121</f>
        <v>Other</v>
      </c>
      <c r="AL157" s="222">
        <f>C156</f>
        <v>43125.420465515781</v>
      </c>
    </row>
    <row r="158" spans="1:38" ht="14.4" x14ac:dyDescent="0.3">
      <c r="B158" s="19">
        <f t="shared" si="27"/>
        <v>143153.89276896894</v>
      </c>
      <c r="C158" s="93">
        <f t="shared" si="36"/>
        <v>45721.423420446481</v>
      </c>
      <c r="D158" s="69">
        <f t="shared" si="28"/>
        <v>0.31938651849471311</v>
      </c>
      <c r="E158" s="7">
        <v>2052</v>
      </c>
      <c r="F158" s="7"/>
      <c r="G158" s="93">
        <f>'Urban Pass Adoption'!G158</f>
        <v>4990.5434302106569</v>
      </c>
      <c r="H158" s="26">
        <f t="shared" si="29"/>
        <v>3.4861388214323448E-2</v>
      </c>
      <c r="I158" s="5"/>
      <c r="J158" s="93">
        <f>'Urban Pass Adoption'!J158</f>
        <v>5296.194457157515</v>
      </c>
      <c r="K158" s="26">
        <f t="shared" si="30"/>
        <v>3.6996510222078678E-2</v>
      </c>
      <c r="L158" s="24"/>
      <c r="M158" s="93">
        <f>'Urban Pass Adoption'!M158</f>
        <v>1810.7202603313119</v>
      </c>
      <c r="N158" s="26">
        <f t="shared" si="31"/>
        <v>1.2648767178504673E-2</v>
      </c>
      <c r="O158" s="24"/>
      <c r="P158" s="93">
        <f>'Urban Pass Adoption'!P158</f>
        <v>26422.04610812094</v>
      </c>
      <c r="Q158" s="26">
        <f t="shared" si="32"/>
        <v>0.18457092292112903</v>
      </c>
      <c r="R158" s="24"/>
      <c r="S158" s="93">
        <f>'Urban Pass Adoption'!S158</f>
        <v>25517.223547257185</v>
      </c>
      <c r="T158" s="26">
        <f t="shared" si="33"/>
        <v>0.17825029451653501</v>
      </c>
      <c r="U158" s="24"/>
      <c r="V158" s="93">
        <f>'Private Car Analysis &amp; Split'!R165</f>
        <v>32185.720932466465</v>
      </c>
      <c r="W158" s="26">
        <f t="shared" si="34"/>
        <v>0.2248330122912541</v>
      </c>
      <c r="X158" s="24"/>
      <c r="Y158" s="93">
        <f>'Private Car Analysis &amp; Split'!U165</f>
        <v>3.0922819860279499E-12</v>
      </c>
      <c r="Z158" s="26">
        <f t="shared" si="35"/>
        <v>2.1601103024271057E-17</v>
      </c>
      <c r="AA158" s="7"/>
      <c r="AB158" s="93">
        <f>'Nonurban Pass Adoption'!G159</f>
        <v>6847.8722418093948</v>
      </c>
      <c r="AC158" s="26">
        <f t="shared" si="37"/>
        <v>4.7835738933491218E-2</v>
      </c>
      <c r="AD158" s="5"/>
      <c r="AE158" s="93">
        <f>'Nonurban Pass Adoption'!J159</f>
        <v>6442.9434210917861</v>
      </c>
      <c r="AF158" s="26">
        <f t="shared" si="38"/>
        <v>4.5007112950046189E-2</v>
      </c>
      <c r="AG158" s="24"/>
      <c r="AH158" s="93">
        <f>'Nonurban Pass Adoption'!M159</f>
        <v>13436.428497334424</v>
      </c>
      <c r="AI158" s="26">
        <f t="shared" si="39"/>
        <v>9.3860028794459718E-2</v>
      </c>
      <c r="AK158" s="223" t="str">
        <f t="shared" si="40"/>
        <v>Walking</v>
      </c>
      <c r="AL158" s="222">
        <f>G156</f>
        <v>4822.1804265962255</v>
      </c>
    </row>
    <row r="159" spans="1:38" ht="14.4" x14ac:dyDescent="0.3">
      <c r="B159" s="19">
        <f t="shared" si="27"/>
        <v>146322.56345099362</v>
      </c>
      <c r="C159" s="93">
        <f t="shared" si="36"/>
        <v>47077.905641164121</v>
      </c>
      <c r="D159" s="69">
        <f t="shared" si="28"/>
        <v>0.3217405745965588</v>
      </c>
      <c r="E159" s="7">
        <v>2053</v>
      </c>
      <c r="F159" s="7"/>
      <c r="G159" s="93">
        <f>'Urban Pass Adoption'!G159</f>
        <v>5075.1666473940768</v>
      </c>
      <c r="H159" s="26">
        <f t="shared" si="29"/>
        <v>3.4684784955218831E-2</v>
      </c>
      <c r="I159" s="5"/>
      <c r="J159" s="93">
        <f>'Urban Pass Adoption'!J159</f>
        <v>5429.0531176621444</v>
      </c>
      <c r="K159" s="26">
        <f t="shared" si="30"/>
        <v>3.7103321522114006E-2</v>
      </c>
      <c r="L159" s="24"/>
      <c r="M159" s="93">
        <f>'Urban Pass Adoption'!M159</f>
        <v>1871.0820087030445</v>
      </c>
      <c r="N159" s="26">
        <f t="shared" si="31"/>
        <v>1.2787378546232945E-2</v>
      </c>
      <c r="O159" s="24"/>
      <c r="P159" s="93">
        <f>'Urban Pass Adoption'!P159</f>
        <v>26792.947462559827</v>
      </c>
      <c r="Q159" s="26">
        <f t="shared" si="32"/>
        <v>0.18310878944882159</v>
      </c>
      <c r="R159" s="24"/>
      <c r="S159" s="93">
        <f>'Urban Pass Adoption'!S159</f>
        <v>26341.169358070059</v>
      </c>
      <c r="T159" s="26">
        <f t="shared" si="33"/>
        <v>0.18002124031193759</v>
      </c>
      <c r="U159" s="24"/>
      <c r="V159" s="93">
        <f>'Private Car Analysis &amp; Split'!R166</f>
        <v>32730.070388071617</v>
      </c>
      <c r="W159" s="26">
        <f t="shared" si="34"/>
        <v>0.2236843697659355</v>
      </c>
      <c r="X159" s="24"/>
      <c r="Y159" s="93">
        <f>'Private Car Analysis &amp; Split'!U166</f>
        <v>3.0922819860279499E-12</v>
      </c>
      <c r="Z159" s="26">
        <f t="shared" si="35"/>
        <v>2.1133322934597284E-17</v>
      </c>
      <c r="AA159" s="7"/>
      <c r="AB159" s="93">
        <f>'Nonurban Pass Adoption'!G160</f>
        <v>6974.5760604448387</v>
      </c>
      <c r="AC159" s="26">
        <f t="shared" si="37"/>
        <v>4.7665759100651385E-2</v>
      </c>
      <c r="AD159" s="5"/>
      <c r="AE159" s="93">
        <f>'Nonurban Pass Adoption'!J160</f>
        <v>6771.6099416058496</v>
      </c>
      <c r="AF159" s="26">
        <f t="shared" si="38"/>
        <v>4.6278644809785593E-2</v>
      </c>
      <c r="AG159" s="24"/>
      <c r="AH159" s="93">
        <f>'Nonurban Pass Adoption'!M160</f>
        <v>13600.152183388094</v>
      </c>
      <c r="AI159" s="26">
        <f t="shared" si="39"/>
        <v>9.2946377254681301E-2</v>
      </c>
      <c r="AK159" s="223" t="str">
        <f t="shared" si="40"/>
        <v>Biking</v>
      </c>
      <c r="AL159" s="222">
        <f>J156</f>
        <v>5030.4771361482562</v>
      </c>
    </row>
    <row r="160" spans="1:38" ht="14.4" x14ac:dyDescent="0.3">
      <c r="B160" s="19">
        <f t="shared" si="27"/>
        <v>149550.42108334723</v>
      </c>
      <c r="C160" s="93">
        <f t="shared" si="36"/>
        <v>48476.685949463048</v>
      </c>
      <c r="D160" s="69">
        <f t="shared" si="28"/>
        <v>0.32414944470431206</v>
      </c>
      <c r="E160" s="7">
        <v>2054</v>
      </c>
      <c r="F160" s="7"/>
      <c r="G160" s="93">
        <f>'Urban Pass Adoption'!G160</f>
        <v>5160.1741571016337</v>
      </c>
      <c r="H160" s="26">
        <f t="shared" si="29"/>
        <v>3.4504577919080369E-2</v>
      </c>
      <c r="I160" s="5"/>
      <c r="J160" s="93">
        <f>'Urban Pass Adoption'!J160</f>
        <v>5561.9117781667737</v>
      </c>
      <c r="K160" s="26">
        <f t="shared" si="30"/>
        <v>3.7190880091651612E-2</v>
      </c>
      <c r="L160" s="24"/>
      <c r="M160" s="93">
        <f>'Urban Pass Adoption'!M160</f>
        <v>1932.8167931689893</v>
      </c>
      <c r="N160" s="26">
        <f t="shared" si="31"/>
        <v>1.2924181551396598E-2</v>
      </c>
      <c r="O160" s="24"/>
      <c r="P160" s="93">
        <f>'Urban Pass Adoption'!P160</f>
        <v>27138.910097773871</v>
      </c>
      <c r="Q160" s="26">
        <f t="shared" si="32"/>
        <v>0.18146996779533539</v>
      </c>
      <c r="R160" s="24"/>
      <c r="S160" s="93">
        <f>'Urban Pass Adoption'!S160</f>
        <v>27222.870556218495</v>
      </c>
      <c r="T160" s="26">
        <f t="shared" si="33"/>
        <v>0.18203138686615053</v>
      </c>
      <c r="U160" s="24"/>
      <c r="V160" s="93">
        <f>'Private Car Analysis &amp; Split'!R167</f>
        <v>33303.697380039885</v>
      </c>
      <c r="W160" s="26">
        <f t="shared" si="34"/>
        <v>0.22269210035509773</v>
      </c>
      <c r="X160" s="24"/>
      <c r="Y160" s="93">
        <f>'Private Car Analysis &amp; Split'!U167</f>
        <v>3.0922819860279499E-12</v>
      </c>
      <c r="Z160" s="26">
        <f t="shared" si="35"/>
        <v>2.067718675499124E-17</v>
      </c>
      <c r="AA160" s="7"/>
      <c r="AB160" s="93">
        <f>'Nonurban Pass Adoption'!G161</f>
        <v>7095.9137824615555</v>
      </c>
      <c r="AC160" s="26">
        <f t="shared" si="37"/>
        <v>4.7448303595928165E-2</v>
      </c>
      <c r="AD160" s="5"/>
      <c r="AE160" s="93">
        <f>'Nonurban Pass Adoption'!J161</f>
        <v>7116.7702251412411</v>
      </c>
      <c r="AF160" s="26">
        <f t="shared" si="38"/>
        <v>4.7587764538455778E-2</v>
      </c>
      <c r="AG160" s="24"/>
      <c r="AH160" s="93">
        <f>'Nonurban Pass Adoption'!M161</f>
        <v>13763.54092003024</v>
      </c>
      <c r="AI160" s="26">
        <f t="shared" si="39"/>
        <v>9.203277944874233E-2</v>
      </c>
      <c r="AK160" s="223" t="str">
        <f t="shared" si="40"/>
        <v>E-Bikes</v>
      </c>
      <c r="AL160" s="222">
        <f>M156</f>
        <v>1693.9702492766739</v>
      </c>
    </row>
    <row r="161" spans="2:38" ht="14.4" x14ac:dyDescent="0.3">
      <c r="B161" s="19">
        <f t="shared" si="27"/>
        <v>152838.35951504947</v>
      </c>
      <c r="C161" s="93">
        <f t="shared" si="36"/>
        <v>49919.691094898284</v>
      </c>
      <c r="D161" s="69">
        <f t="shared" si="28"/>
        <v>0.32661755369065487</v>
      </c>
      <c r="E161" s="7">
        <v>2055</v>
      </c>
      <c r="F161" s="7"/>
      <c r="G161" s="93">
        <f>'Urban Pass Adoption'!G161</f>
        <v>5245.6333210383236</v>
      </c>
      <c r="H161" s="26">
        <f t="shared" si="29"/>
        <v>3.4321444810599427E-2</v>
      </c>
      <c r="I161" s="5"/>
      <c r="J161" s="93">
        <f>'Urban Pass Adoption'!J161</f>
        <v>5694.7704386714031</v>
      </c>
      <c r="K161" s="26">
        <f t="shared" si="30"/>
        <v>3.7260086124587449E-2</v>
      </c>
      <c r="L161" s="24"/>
      <c r="M161" s="93">
        <f>'Urban Pass Adoption'!M161</f>
        <v>1995.9610193775984</v>
      </c>
      <c r="N161" s="26">
        <f t="shared" si="31"/>
        <v>1.3059293659724625E-2</v>
      </c>
      <c r="O161" s="24"/>
      <c r="P161" s="93">
        <f>'Urban Pass Adoption'!P161</f>
        <v>27458.246972333556</v>
      </c>
      <c r="Q161" s="26">
        <f t="shared" si="32"/>
        <v>0.17965546777299607</v>
      </c>
      <c r="R161" s="24"/>
      <c r="S161" s="93">
        <f>'Urban Pass Adoption'!S161</f>
        <v>28164.660270798489</v>
      </c>
      <c r="T161" s="26">
        <f t="shared" si="33"/>
        <v>0.18427743113812481</v>
      </c>
      <c r="U161" s="24"/>
      <c r="V161" s="93">
        <f>'Private Car Analysis &amp; Split'!R168</f>
        <v>33906.396203469718</v>
      </c>
      <c r="W161" s="26">
        <f t="shared" si="34"/>
        <v>0.22184480591818359</v>
      </c>
      <c r="X161" s="24"/>
      <c r="Y161" s="93">
        <f>'Private Car Analysis &amp; Split'!U168</f>
        <v>3.0000000000000001E-12</v>
      </c>
      <c r="Z161" s="26">
        <f t="shared" si="35"/>
        <v>1.9628580217158118E-17</v>
      </c>
      <c r="AA161" s="7"/>
      <c r="AB161" s="93">
        <f>'Nonurban Pass Adoption'!G162</f>
        <v>7211.9741062749154</v>
      </c>
      <c r="AC161" s="26">
        <f t="shared" si="37"/>
        <v>4.7186937423028132E-2</v>
      </c>
      <c r="AD161" s="5"/>
      <c r="AE161" s="93">
        <f>'Nonurban Pass Adoption'!J162</f>
        <v>7478.9940311799382</v>
      </c>
      <c r="AF161" s="26">
        <f t="shared" si="38"/>
        <v>4.8934011428220722E-2</v>
      </c>
      <c r="AG161" s="24"/>
      <c r="AH161" s="93">
        <f>'Nonurban Pass Adoption'!M162</f>
        <v>13926.692327805733</v>
      </c>
      <c r="AI161" s="26">
        <f t="shared" si="39"/>
        <v>9.1120399172005109E-2</v>
      </c>
      <c r="AK161" s="223" t="str">
        <f t="shared" si="40"/>
        <v>Urban Public Transit</v>
      </c>
      <c r="AL161" s="222">
        <f>P156</f>
        <v>25612.272629216735</v>
      </c>
    </row>
    <row r="162" spans="2:38" ht="14.4" x14ac:dyDescent="0.3">
      <c r="B162" s="19">
        <f t="shared" si="27"/>
        <v>156187.28018061578</v>
      </c>
      <c r="C162" s="93">
        <f t="shared" si="36"/>
        <v>51408.391102525391</v>
      </c>
      <c r="D162" s="69">
        <f t="shared" si="28"/>
        <v>0.32914582444278728</v>
      </c>
      <c r="E162" s="7">
        <v>2056</v>
      </c>
      <c r="F162" s="7"/>
      <c r="G162" s="93">
        <f>'Urban Pass Adoption'!G162</f>
        <v>5331.6115009091482</v>
      </c>
      <c r="H162" s="26">
        <f t="shared" si="29"/>
        <v>3.4136016036284418E-2</v>
      </c>
      <c r="I162" s="5"/>
      <c r="J162" s="93">
        <f>'Urban Pass Adoption'!J162</f>
        <v>5827.6290991760907</v>
      </c>
      <c r="K162" s="26">
        <f t="shared" si="30"/>
        <v>3.7311803447995187E-2</v>
      </c>
      <c r="L162" s="24"/>
      <c r="M162" s="93">
        <f>'Urban Pass Adoption'!M162</f>
        <v>2060.5510929773232</v>
      </c>
      <c r="N162" s="26">
        <f t="shared" si="31"/>
        <v>1.3192822684372833E-2</v>
      </c>
      <c r="O162" s="24"/>
      <c r="P162" s="93">
        <f>'Urban Pass Adoption'!P162</f>
        <v>27749.330413229887</v>
      </c>
      <c r="Q162" s="26">
        <f t="shared" si="32"/>
        <v>0.17766703140704171</v>
      </c>
      <c r="R162" s="24"/>
      <c r="S162" s="93">
        <f>'Urban Pass Adoption'!S162</f>
        <v>29168.815850124032</v>
      </c>
      <c r="T162" s="26">
        <f t="shared" si="33"/>
        <v>0.18675538633103198</v>
      </c>
      <c r="U162" s="24"/>
      <c r="V162" s="93">
        <f>'Private Car Analysis &amp; Split'!R169</f>
        <v>34538.352111114946</v>
      </c>
      <c r="W162" s="26">
        <f t="shared" si="34"/>
        <v>0.22113421829981683</v>
      </c>
      <c r="X162" s="24"/>
      <c r="Y162" s="93">
        <f>'Private Car Analysis &amp; Split'!U169</f>
        <v>3.0000000000000001E-12</v>
      </c>
      <c r="Z162" s="26">
        <f t="shared" si="35"/>
        <v>1.9207710106295369E-17</v>
      </c>
      <c r="AA162" s="7"/>
      <c r="AB162" s="93">
        <f>'Nonurban Pass Adoption'!G163</f>
        <v>7322.8597142196559</v>
      </c>
      <c r="AC162" s="26">
        <f t="shared" si="37"/>
        <v>4.6885122179933368E-2</v>
      </c>
      <c r="AD162" s="5"/>
      <c r="AE162" s="93">
        <f>'Nonurban Pass Adoption'!J163</f>
        <v>7858.8511192039223</v>
      </c>
      <c r="AF162" s="26">
        <f t="shared" si="38"/>
        <v>5.0316844688734617E-2</v>
      </c>
      <c r="AG162" s="24"/>
      <c r="AH162" s="93">
        <f>'Nonurban Pass Adoption'!M163</f>
        <v>14089.704027259439</v>
      </c>
      <c r="AI162" s="26">
        <f t="shared" si="39"/>
        <v>9.0210316813033889E-2</v>
      </c>
      <c r="AK162" s="223" t="str">
        <f t="shared" si="40"/>
        <v>Carpooling (IGNORED FOR PLOT)</v>
      </c>
      <c r="AL162" s="222">
        <f>S156</f>
        <v>24013.448614590354</v>
      </c>
    </row>
    <row r="163" spans="2:38" ht="14.4" x14ac:dyDescent="0.3">
      <c r="B163" s="19">
        <f t="shared" si="27"/>
        <v>159598.17305010007</v>
      </c>
      <c r="C163" s="93">
        <f t="shared" si="36"/>
        <v>52944.636854373282</v>
      </c>
      <c r="D163" s="69">
        <f t="shared" si="28"/>
        <v>0.33173711103668607</v>
      </c>
      <c r="E163" s="7">
        <v>2057</v>
      </c>
      <c r="F163" s="7"/>
      <c r="G163" s="93">
        <f>'Urban Pass Adoption'!G163</f>
        <v>5418.176058419107</v>
      </c>
      <c r="H163" s="26">
        <f t="shared" si="29"/>
        <v>3.3948860158432181E-2</v>
      </c>
      <c r="I163" s="5"/>
      <c r="J163" s="93">
        <f>'Urban Pass Adoption'!J163</f>
        <v>5960.48775968072</v>
      </c>
      <c r="K163" s="26">
        <f t="shared" si="30"/>
        <v>3.7346842045677058E-2</v>
      </c>
      <c r="L163" s="24"/>
      <c r="M163" s="93">
        <f>'Urban Pass Adoption'!M163</f>
        <v>2126.623419616617</v>
      </c>
      <c r="N163" s="26">
        <f t="shared" si="31"/>
        <v>1.3324860673367736E-2</v>
      </c>
      <c r="O163" s="24"/>
      <c r="P163" s="93">
        <f>'Urban Pass Adoption'!P163</f>
        <v>28010.584208832086</v>
      </c>
      <c r="Q163" s="26">
        <f t="shared" si="32"/>
        <v>0.17550692262648382</v>
      </c>
      <c r="R163" s="24"/>
      <c r="S163" s="93">
        <f>'Urban Pass Adoption'!S163</f>
        <v>30237.602315070719</v>
      </c>
      <c r="T163" s="26">
        <f t="shared" si="33"/>
        <v>0.18946082989044441</v>
      </c>
      <c r="U163" s="24"/>
      <c r="V163" s="93">
        <f>'Private Car Analysis &amp; Split'!R170</f>
        <v>35199.394391433045</v>
      </c>
      <c r="W163" s="26">
        <f t="shared" si="34"/>
        <v>0.22055010855533708</v>
      </c>
      <c r="X163" s="24"/>
      <c r="Y163" s="93">
        <f>'Private Car Analysis &amp; Split'!U170</f>
        <v>3.0000000000000001E-12</v>
      </c>
      <c r="Z163" s="26">
        <f t="shared" si="35"/>
        <v>1.8797207653863673E-17</v>
      </c>
      <c r="AA163" s="7"/>
      <c r="AB163" s="93">
        <f>'Nonurban Pass Adoption'!G164</f>
        <v>7428.6854701138209</v>
      </c>
      <c r="AC163" s="26">
        <f t="shared" si="37"/>
        <v>4.6546181125656456E-2</v>
      </c>
      <c r="AD163" s="5"/>
      <c r="AE163" s="93">
        <f>'Nonurban Pass Adoption'!J164</f>
        <v>8256.9112486951744</v>
      </c>
      <c r="AF163" s="26">
        <f t="shared" si="38"/>
        <v>5.1735625107081996E-2</v>
      </c>
      <c r="AG163" s="24"/>
      <c r="AH163" s="93">
        <f>'Nonurban Pass Adoption'!M164</f>
        <v>14252.673638936223</v>
      </c>
      <c r="AI163" s="26">
        <f t="shared" si="39"/>
        <v>8.9303488671277659E-2</v>
      </c>
      <c r="AK163" s="223" t="str">
        <f t="shared" si="40"/>
        <v>Electric Cars</v>
      </c>
      <c r="AL163" s="222">
        <f>V156</f>
        <v>31164.689691551263</v>
      </c>
    </row>
    <row r="164" spans="2:38" ht="14.4" x14ac:dyDescent="0.3">
      <c r="B164" s="19">
        <f t="shared" si="27"/>
        <v>163072.13013595738</v>
      </c>
      <c r="C164" s="93">
        <f t="shared" si="36"/>
        <v>54529.909657129981</v>
      </c>
      <c r="D164" s="69">
        <f t="shared" si="28"/>
        <v>0.33439134947012106</v>
      </c>
      <c r="E164" s="7">
        <v>2058</v>
      </c>
      <c r="F164" s="7"/>
      <c r="G164" s="93">
        <f>'Urban Pass Adoption'!G164</f>
        <v>5505.3943552731962</v>
      </c>
      <c r="H164" s="26">
        <f t="shared" si="29"/>
        <v>3.3760485931490614E-2</v>
      </c>
      <c r="I164" s="5"/>
      <c r="J164" s="93">
        <f>'Urban Pass Adoption'!J164</f>
        <v>6093.3464201853494</v>
      </c>
      <c r="K164" s="26">
        <f t="shared" si="30"/>
        <v>3.7365958334542954E-2</v>
      </c>
      <c r="L164" s="24"/>
      <c r="M164" s="93">
        <f>'Urban Pass Adoption'!M164</f>
        <v>2194.2144049439316</v>
      </c>
      <c r="N164" s="26">
        <f t="shared" si="31"/>
        <v>1.3455483797964492E-2</v>
      </c>
      <c r="O164" s="24"/>
      <c r="P164" s="93">
        <f>'Urban Pass Adoption'!P164</f>
        <v>28240.440958158208</v>
      </c>
      <c r="Q164" s="26">
        <f t="shared" si="32"/>
        <v>0.1731776051162969</v>
      </c>
      <c r="R164" s="24"/>
      <c r="S164" s="93">
        <f>'Urban Pass Adoption'!S164</f>
        <v>31373.317250370572</v>
      </c>
      <c r="T164" s="26">
        <f t="shared" si="33"/>
        <v>0.19238920362549897</v>
      </c>
      <c r="U164" s="24"/>
      <c r="V164" s="93">
        <f>'Private Car Analysis &amp; Split'!R171</f>
        <v>35889.804701378795</v>
      </c>
      <c r="W164" s="26">
        <f t="shared" si="34"/>
        <v>0.22008545955373582</v>
      </c>
      <c r="X164" s="24"/>
      <c r="Y164" s="93">
        <f>'Private Car Analysis &amp; Split'!U171</f>
        <v>3.0000000000000001E-12</v>
      </c>
      <c r="Z164" s="26">
        <f t="shared" si="35"/>
        <v>1.8396767108510963E-17</v>
      </c>
      <c r="AA164" s="7"/>
      <c r="AB164" s="93">
        <f>'Nonurban Pass Adoption'!G165</f>
        <v>7529.5766763712963</v>
      </c>
      <c r="AC164" s="26">
        <f t="shared" si="37"/>
        <v>4.6173289513626252E-2</v>
      </c>
      <c r="AD164" s="5"/>
      <c r="AE164" s="93">
        <f>'Nonurban Pass Adoption'!J165</f>
        <v>8673.7441791356705</v>
      </c>
      <c r="AF164" s="26">
        <f t="shared" si="38"/>
        <v>5.318961720745384E-2</v>
      </c>
      <c r="AG164" s="24"/>
      <c r="AH164" s="93">
        <f>'Nonurban Pass Adoption'!M165</f>
        <v>14415.698783380962</v>
      </c>
      <c r="AI164" s="26">
        <f t="shared" si="39"/>
        <v>8.8400751074768122E-2</v>
      </c>
      <c r="AK164" s="223" t="str">
        <f t="shared" si="40"/>
        <v>Hybrid Cars</v>
      </c>
      <c r="AL164" s="222">
        <f>Y156</f>
        <v>3.0922819860279499E-12</v>
      </c>
    </row>
    <row r="165" spans="2:38" ht="14.4" x14ac:dyDescent="0.3">
      <c r="B165" s="19">
        <f t="shared" si="27"/>
        <v>166610.32382454554</v>
      </c>
      <c r="C165" s="93">
        <f t="shared" si="36"/>
        <v>56166.094997522188</v>
      </c>
      <c r="D165" s="69">
        <f t="shared" si="28"/>
        <v>0.33711053257821966</v>
      </c>
      <c r="E165" s="7">
        <v>2059</v>
      </c>
      <c r="F165" s="7"/>
      <c r="G165" s="93">
        <f>'Urban Pass Adoption'!G165</f>
        <v>5593.3337531764173</v>
      </c>
      <c r="H165" s="26">
        <f t="shared" si="29"/>
        <v>3.3571351551219965E-2</v>
      </c>
      <c r="I165" s="5"/>
      <c r="J165" s="93">
        <f>'Urban Pass Adoption'!J165</f>
        <v>6226.2050806899788</v>
      </c>
      <c r="K165" s="26">
        <f t="shared" si="30"/>
        <v>3.7369863630099462E-2</v>
      </c>
      <c r="L165" s="24"/>
      <c r="M165" s="93">
        <f>'Urban Pass Adoption'!M165</f>
        <v>2263.3604546077186</v>
      </c>
      <c r="N165" s="26">
        <f t="shared" si="31"/>
        <v>1.3584755149934312E-2</v>
      </c>
      <c r="O165" s="24"/>
      <c r="P165" s="93">
        <f>'Urban Pass Adoption'!P165</f>
        <v>28437.359039488267</v>
      </c>
      <c r="Q165" s="26">
        <f t="shared" si="32"/>
        <v>0.17068185444159606</v>
      </c>
      <c r="R165" s="24"/>
      <c r="S165" s="93">
        <f>'Urban Pass Adoption'!S165</f>
        <v>32578.266823435908</v>
      </c>
      <c r="T165" s="26">
        <f t="shared" si="33"/>
        <v>0.19553570316412996</v>
      </c>
      <c r="U165" s="24"/>
      <c r="V165" s="93">
        <f>'Private Car Analysis &amp; Split'!R172</f>
        <v>36609.506341192427</v>
      </c>
      <c r="W165" s="26">
        <f t="shared" si="34"/>
        <v>0.2197313197695076</v>
      </c>
      <c r="X165" s="24"/>
      <c r="Y165" s="93">
        <f>'Private Car Analysis &amp; Split'!U172</f>
        <v>3.0922819860279499E-12</v>
      </c>
      <c r="Z165" s="26">
        <f t="shared" si="35"/>
        <v>1.8559966243654735E-17</v>
      </c>
      <c r="AA165" s="7"/>
      <c r="AB165" s="93">
        <f>'Nonurban Pass Adoption'!G166</f>
        <v>7625.6674067226486</v>
      </c>
      <c r="AC165" s="26">
        <f t="shared" si="37"/>
        <v>4.5769477134880956E-2</v>
      </c>
      <c r="AD165" s="5"/>
      <c r="AE165" s="93">
        <f>'Nonurban Pass Adoption'!J166</f>
        <v>9109.9196700073935</v>
      </c>
      <c r="AF165" s="26">
        <f t="shared" si="38"/>
        <v>5.4678002304352359E-2</v>
      </c>
      <c r="AG165" s="24"/>
      <c r="AH165" s="93">
        <f>'Nonurban Pass Adoption'!M166</f>
        <v>14578.877081138515</v>
      </c>
      <c r="AI165" s="26">
        <f t="shared" si="39"/>
        <v>8.7502843440189687E-2</v>
      </c>
      <c r="AK165" s="223" t="str">
        <f t="shared" si="40"/>
        <v>Nonurban Telepresence</v>
      </c>
      <c r="AL165" s="222">
        <f>AB156</f>
        <v>6578.0925121644859</v>
      </c>
    </row>
    <row r="166" spans="2:38" ht="14.4" x14ac:dyDescent="0.3">
      <c r="B166" s="19">
        <f t="shared" si="27"/>
        <v>170213.89430993746</v>
      </c>
      <c r="C166" s="93">
        <f t="shared" si="36"/>
        <v>57854.766389544035</v>
      </c>
      <c r="D166" s="69">
        <f t="shared" si="28"/>
        <v>0.33989449935384242</v>
      </c>
      <c r="E166" s="7">
        <v>2060</v>
      </c>
      <c r="F166" s="7"/>
      <c r="G166" s="93">
        <f>'Urban Pass Adoption'!G166</f>
        <v>5682.06161383377</v>
      </c>
      <c r="H166" s="26">
        <f t="shared" si="29"/>
        <v>3.338189069035382E-2</v>
      </c>
      <c r="I166" s="5"/>
      <c r="J166" s="93">
        <f>'Urban Pass Adoption'!J166</f>
        <v>6359.0637411946082</v>
      </c>
      <c r="K166" s="26">
        <f t="shared" si="30"/>
        <v>3.7359251822389875E-2</v>
      </c>
      <c r="L166" s="24"/>
      <c r="M166" s="93">
        <f>'Urban Pass Adoption'!M166</f>
        <v>2334.0979742564305</v>
      </c>
      <c r="N166" s="26">
        <f t="shared" si="31"/>
        <v>1.3712734696066235E-2</v>
      </c>
      <c r="O166" s="24"/>
      <c r="P166" s="93">
        <f>'Urban Pass Adoption'!P166</f>
        <v>28599.798783893475</v>
      </c>
      <c r="Q166" s="26">
        <f t="shared" si="32"/>
        <v>0.16802270402095934</v>
      </c>
      <c r="R166" s="24"/>
      <c r="S166" s="93">
        <f>'Urban Pass Adoption'!S166</f>
        <v>33854.737768973093</v>
      </c>
      <c r="T166" s="26">
        <f t="shared" si="33"/>
        <v>0.19889526590190104</v>
      </c>
      <c r="U166" s="24"/>
      <c r="V166" s="93">
        <f>'Private Car Analysis &amp; Split'!R173</f>
        <v>37358.693246415605</v>
      </c>
      <c r="W166" s="26">
        <f t="shared" si="34"/>
        <v>0.21948086786846122</v>
      </c>
      <c r="X166" s="24"/>
      <c r="Y166" s="93">
        <f>'Private Car Analysis &amp; Split'!U173</f>
        <v>3.0000000000000001E-12</v>
      </c>
      <c r="Z166" s="26">
        <f t="shared" si="35"/>
        <v>1.7624883163400214E-17</v>
      </c>
      <c r="AA166" s="7"/>
      <c r="AB166" s="93">
        <f>'Nonurban Pass Adoption'!G167</f>
        <v>7717.0989272534707</v>
      </c>
      <c r="AC166" s="26">
        <f t="shared" si="37"/>
        <v>4.533765565108118E-2</v>
      </c>
      <c r="AD166" s="5"/>
      <c r="AE166" s="93">
        <f>'Nonurban Pass Adoption'!J167</f>
        <v>9566.0074807923211</v>
      </c>
      <c r="AF166" s="26">
        <f t="shared" si="38"/>
        <v>5.6199921396392356E-2</v>
      </c>
      <c r="AG166" s="24"/>
      <c r="AH166" s="93">
        <f>'Nonurban Pass Adoption'!M167</f>
        <v>14742.306152753754</v>
      </c>
      <c r="AI166" s="26">
        <f t="shared" si="39"/>
        <v>8.6610474500453671E-2</v>
      </c>
      <c r="AK166" s="223" t="str">
        <f t="shared" si="40"/>
        <v>High Speed Rail</v>
      </c>
      <c r="AL166" s="222">
        <f>AE156</f>
        <v>5832.8126311997203</v>
      </c>
    </row>
    <row r="167" spans="2:38" ht="14.4" x14ac:dyDescent="0.3">
      <c r="B167" s="5"/>
      <c r="C167" s="5"/>
      <c r="D167" s="5"/>
      <c r="F167" s="5"/>
      <c r="G167" s="5"/>
      <c r="H167" s="5"/>
      <c r="I167" s="5"/>
      <c r="J167" s="5"/>
      <c r="L167" s="5"/>
      <c r="M167" s="5"/>
      <c r="O167" s="5"/>
      <c r="P167" s="5"/>
      <c r="R167" s="5"/>
      <c r="S167" s="5"/>
      <c r="U167" s="5"/>
      <c r="V167" s="5"/>
      <c r="X167" s="5"/>
      <c r="Y167" s="5"/>
      <c r="AA167" s="5"/>
      <c r="AB167" s="5"/>
      <c r="AC167" s="5"/>
      <c r="AD167" s="5"/>
      <c r="AE167" s="5"/>
      <c r="AF167" s="5"/>
      <c r="AG167" s="5"/>
      <c r="AH167" s="5"/>
      <c r="AK167" s="223" t="str">
        <f t="shared" si="40"/>
        <v>Efficient Aviation</v>
      </c>
      <c r="AL167" s="222">
        <f>AH156</f>
        <v>13107.585794813047</v>
      </c>
    </row>
    <row r="168" spans="2:38" ht="15" customHeight="1" x14ac:dyDescent="0.3">
      <c r="AA168" s="5"/>
      <c r="AB168" s="5"/>
      <c r="AC168" s="5"/>
      <c r="AD168" s="5"/>
      <c r="AE168" s="5"/>
      <c r="AF168" s="5"/>
      <c r="AG168" s="5"/>
      <c r="AH168" s="5"/>
    </row>
  </sheetData>
  <mergeCells count="11">
    <mergeCell ref="AK156:AL156"/>
    <mergeCell ref="A2:E4"/>
    <mergeCell ref="A8:A9"/>
    <mergeCell ref="A63:A64"/>
    <mergeCell ref="A120:A121"/>
    <mergeCell ref="AK10:AL10"/>
    <mergeCell ref="AK46:AL46"/>
    <mergeCell ref="AK65:AL65"/>
    <mergeCell ref="AK101:AL101"/>
    <mergeCell ref="AK120:AL120"/>
    <mergeCell ref="L1:N2"/>
  </mergeCells>
  <conditionalFormatting sqref="C118:D118 C8:D8 D17:D56 D127:D166 D9:D15 D119:D125 C9:C56 C119:C166">
    <cfRule type="cellIs" dxfId="107" priority="100" operator="lessThan">
      <formula>0</formula>
    </cfRule>
  </conditionalFormatting>
  <conditionalFormatting sqref="J114">
    <cfRule type="containsText" dxfId="106" priority="99" operator="containsText" text="Exclude">
      <formula>NOT(ISERROR(SEARCH("Exclude",J114)))</formula>
    </cfRule>
  </conditionalFormatting>
  <conditionalFormatting sqref="G114">
    <cfRule type="containsText" dxfId="105" priority="98" operator="containsText" text="Exclude">
      <formula>NOT(ISERROR(SEARCH("Exclude",G114)))</formula>
    </cfRule>
  </conditionalFormatting>
  <conditionalFormatting sqref="M114">
    <cfRule type="containsText" dxfId="104" priority="97" operator="containsText" text="Exclude">
      <formula>NOT(ISERROR(SEARCH("Exclude",M114)))</formula>
    </cfRule>
  </conditionalFormatting>
  <conditionalFormatting sqref="P114">
    <cfRule type="containsText" dxfId="103" priority="96" operator="containsText" text="Exclude">
      <formula>NOT(ISERROR(SEARCH("Exclude",P114)))</formula>
    </cfRule>
  </conditionalFormatting>
  <conditionalFormatting sqref="S114">
    <cfRule type="containsText" dxfId="102" priority="95" operator="containsText" text="Exclude">
      <formula>NOT(ISERROR(SEARCH("Exclude",S114)))</formula>
    </cfRule>
  </conditionalFormatting>
  <conditionalFormatting sqref="V114">
    <cfRule type="containsText" dxfId="101" priority="94" operator="containsText" text="Exclude">
      <formula>NOT(ISERROR(SEARCH("Exclude",V114)))</formula>
    </cfRule>
  </conditionalFormatting>
  <conditionalFormatting sqref="Y114">
    <cfRule type="containsText" dxfId="100" priority="93" operator="containsText" text="Exclude">
      <formula>NOT(ISERROR(SEARCH("Exclude",Y114)))</formula>
    </cfRule>
  </conditionalFormatting>
  <conditionalFormatting sqref="J59">
    <cfRule type="containsText" dxfId="99" priority="92" operator="containsText" text="Exclude">
      <formula>NOT(ISERROR(SEARCH("Exclude",J59)))</formula>
    </cfRule>
  </conditionalFormatting>
  <conditionalFormatting sqref="G59">
    <cfRule type="containsText" dxfId="98" priority="91" operator="containsText" text="Exclude">
      <formula>NOT(ISERROR(SEARCH("Exclude",G59)))</formula>
    </cfRule>
  </conditionalFormatting>
  <conditionalFormatting sqref="M59">
    <cfRule type="containsText" dxfId="97" priority="90" operator="containsText" text="Exclude">
      <formula>NOT(ISERROR(SEARCH("Exclude",M59)))</formula>
    </cfRule>
  </conditionalFormatting>
  <conditionalFormatting sqref="P59">
    <cfRule type="containsText" dxfId="96" priority="89" operator="containsText" text="Exclude">
      <formula>NOT(ISERROR(SEARCH("Exclude",P59)))</formula>
    </cfRule>
  </conditionalFormatting>
  <conditionalFormatting sqref="S59">
    <cfRule type="containsText" dxfId="95" priority="88" operator="containsText" text="Exclude">
      <formula>NOT(ISERROR(SEARCH("Exclude",S59)))</formula>
    </cfRule>
  </conditionalFormatting>
  <conditionalFormatting sqref="V59">
    <cfRule type="containsText" dxfId="94" priority="87" operator="containsText" text="Exclude">
      <formula>NOT(ISERROR(SEARCH("Exclude",V59)))</formula>
    </cfRule>
  </conditionalFormatting>
  <conditionalFormatting sqref="Y59">
    <cfRule type="containsText" dxfId="93" priority="86" operator="containsText" text="Exclude">
      <formula>NOT(ISERROR(SEARCH("Exclude",Y59)))</formula>
    </cfRule>
  </conditionalFormatting>
  <conditionalFormatting sqref="J4">
    <cfRule type="containsText" dxfId="92" priority="85" operator="containsText" text="Exclude">
      <formula>NOT(ISERROR(SEARCH("Exclude",J4)))</formula>
    </cfRule>
  </conditionalFormatting>
  <conditionalFormatting sqref="G4">
    <cfRule type="containsText" dxfId="91" priority="84" operator="containsText" text="Exclude">
      <formula>NOT(ISERROR(SEARCH("Exclude",G4)))</formula>
    </cfRule>
  </conditionalFormatting>
  <conditionalFormatting sqref="M4">
    <cfRule type="containsText" dxfId="90" priority="83" operator="containsText" text="Exclude">
      <formula>NOT(ISERROR(SEARCH("Exclude",M4)))</formula>
    </cfRule>
  </conditionalFormatting>
  <conditionalFormatting sqref="P4">
    <cfRule type="containsText" dxfId="89" priority="82" operator="containsText" text="Exclude">
      <formula>NOT(ISERROR(SEARCH("Exclude",P4)))</formula>
    </cfRule>
  </conditionalFormatting>
  <conditionalFormatting sqref="S4">
    <cfRule type="containsText" dxfId="88" priority="81" operator="containsText" text="Exclude">
      <formula>NOT(ISERROR(SEARCH("Exclude",S4)))</formula>
    </cfRule>
  </conditionalFormatting>
  <conditionalFormatting sqref="V4">
    <cfRule type="containsText" dxfId="87" priority="80" operator="containsText" text="Exclude">
      <formula>NOT(ISERROR(SEARCH("Exclude",V4)))</formula>
    </cfRule>
  </conditionalFormatting>
  <conditionalFormatting sqref="Y4">
    <cfRule type="containsText" dxfId="86" priority="79" operator="containsText" text="Exclude">
      <formula>NOT(ISERROR(SEARCH("Exclude",Y4)))</formula>
    </cfRule>
  </conditionalFormatting>
  <conditionalFormatting sqref="C8:D8 C118:D118 D17:D56 D72:D111 D127:D166 D9:D15 D119:D125 D63:D70 C63:C111 C9:C56 C119:C166">
    <cfRule type="cellIs" dxfId="85" priority="78" operator="lessThan">
      <formula>0</formula>
    </cfRule>
  </conditionalFormatting>
  <conditionalFormatting sqref="D16">
    <cfRule type="cellIs" dxfId="84" priority="77" operator="lessThan">
      <formula>0</formula>
    </cfRule>
  </conditionalFormatting>
  <conditionalFormatting sqref="D16">
    <cfRule type="cellIs" dxfId="83" priority="76" operator="lessThan">
      <formula>0</formula>
    </cfRule>
  </conditionalFormatting>
  <conditionalFormatting sqref="D71">
    <cfRule type="cellIs" dxfId="82" priority="75" operator="lessThan">
      <formula>0</formula>
    </cfRule>
  </conditionalFormatting>
  <conditionalFormatting sqref="D126">
    <cfRule type="cellIs" dxfId="81" priority="74" operator="lessThan">
      <formula>0</formula>
    </cfRule>
  </conditionalFormatting>
  <conditionalFormatting sqref="AH4">
    <cfRule type="containsText" dxfId="80" priority="73" operator="containsText" text="Exclude">
      <formula>NOT(ISERROR(SEARCH("Exclude",AH4)))</formula>
    </cfRule>
  </conditionalFormatting>
  <conditionalFormatting sqref="AE4">
    <cfRule type="containsText" dxfId="79" priority="72" operator="containsText" text="Exclude">
      <formula>NOT(ISERROR(SEARCH("Exclude",AE4)))</formula>
    </cfRule>
  </conditionalFormatting>
  <conditionalFormatting sqref="AB4">
    <cfRule type="containsText" dxfId="78" priority="71" operator="containsText" text="Exclude">
      <formula>NOT(ISERROR(SEARCH("Exclude",AB4)))</formula>
    </cfRule>
  </conditionalFormatting>
  <conditionalFormatting sqref="AB59">
    <cfRule type="containsText" dxfId="77" priority="70" operator="containsText" text="Exclude">
      <formula>NOT(ISERROR(SEARCH("Exclude",AB59)))</formula>
    </cfRule>
  </conditionalFormatting>
  <conditionalFormatting sqref="AE59">
    <cfRule type="containsText" dxfId="76" priority="69" operator="containsText" text="Exclude">
      <formula>NOT(ISERROR(SEARCH("Exclude",AE59)))</formula>
    </cfRule>
  </conditionalFormatting>
  <conditionalFormatting sqref="AH59">
    <cfRule type="containsText" dxfId="75" priority="68" operator="containsText" text="Exclude">
      <formula>NOT(ISERROR(SEARCH("Exclude",AH59)))</formula>
    </cfRule>
  </conditionalFormatting>
  <conditionalFormatting sqref="AH114">
    <cfRule type="containsText" dxfId="74" priority="67" operator="containsText" text="Exclude">
      <formula>NOT(ISERROR(SEARCH("Exclude",AH114)))</formula>
    </cfRule>
  </conditionalFormatting>
  <conditionalFormatting sqref="AB114">
    <cfRule type="containsText" dxfId="73" priority="66" operator="containsText" text="Exclude">
      <formula>NOT(ISERROR(SEARCH("Exclude",AB114)))</formula>
    </cfRule>
  </conditionalFormatting>
  <conditionalFormatting sqref="AE114">
    <cfRule type="containsText" dxfId="72" priority="65" operator="containsText" text="Exclude">
      <formula>NOT(ISERROR(SEARCH("Exclude",AE114)))</formula>
    </cfRule>
  </conditionalFormatting>
  <conditionalFormatting sqref="G8:G56">
    <cfRule type="cellIs" dxfId="71" priority="64" operator="lessThan">
      <formula>0</formula>
    </cfRule>
  </conditionalFormatting>
  <conditionalFormatting sqref="G8:G56">
    <cfRule type="cellIs" dxfId="70" priority="63" operator="lessThan">
      <formula>0</formula>
    </cfRule>
  </conditionalFormatting>
  <conditionalFormatting sqref="J8:J56">
    <cfRule type="cellIs" dxfId="69" priority="62" operator="lessThan">
      <formula>0</formula>
    </cfRule>
  </conditionalFormatting>
  <conditionalFormatting sqref="J8:J56">
    <cfRule type="cellIs" dxfId="68" priority="61" operator="lessThan">
      <formula>0</formula>
    </cfRule>
  </conditionalFormatting>
  <conditionalFormatting sqref="M8:M56">
    <cfRule type="cellIs" dxfId="67" priority="60" operator="lessThan">
      <formula>0</formula>
    </cfRule>
  </conditionalFormatting>
  <conditionalFormatting sqref="M8:M56">
    <cfRule type="cellIs" dxfId="66" priority="59" operator="lessThan">
      <formula>0</formula>
    </cfRule>
  </conditionalFormatting>
  <conditionalFormatting sqref="P8:P56">
    <cfRule type="cellIs" dxfId="65" priority="58" operator="lessThan">
      <formula>0</formula>
    </cfRule>
  </conditionalFormatting>
  <conditionalFormatting sqref="P8:P56">
    <cfRule type="cellIs" dxfId="64" priority="57" operator="lessThan">
      <formula>0</formula>
    </cfRule>
  </conditionalFormatting>
  <conditionalFormatting sqref="S8:S56">
    <cfRule type="cellIs" dxfId="63" priority="56" operator="lessThan">
      <formula>0</formula>
    </cfRule>
  </conditionalFormatting>
  <conditionalFormatting sqref="S8:S56">
    <cfRule type="cellIs" dxfId="62" priority="55" operator="lessThan">
      <formula>0</formula>
    </cfRule>
  </conditionalFormatting>
  <conditionalFormatting sqref="V8:V56">
    <cfRule type="cellIs" dxfId="61" priority="54" operator="lessThan">
      <formula>0</formula>
    </cfRule>
  </conditionalFormatting>
  <conditionalFormatting sqref="V8:V56">
    <cfRule type="cellIs" dxfId="60" priority="53" operator="lessThan">
      <formula>0</formula>
    </cfRule>
  </conditionalFormatting>
  <conditionalFormatting sqref="Y8:Y56">
    <cfRule type="cellIs" dxfId="59" priority="52" operator="lessThan">
      <formula>0</formula>
    </cfRule>
  </conditionalFormatting>
  <conditionalFormatting sqref="Y8:Y56">
    <cfRule type="cellIs" dxfId="58" priority="51" operator="lessThan">
      <formula>0</formula>
    </cfRule>
  </conditionalFormatting>
  <conditionalFormatting sqref="AB8:AB56">
    <cfRule type="cellIs" dxfId="57" priority="50" operator="lessThan">
      <formula>0</formula>
    </cfRule>
  </conditionalFormatting>
  <conditionalFormatting sqref="AB8:AB56">
    <cfRule type="cellIs" dxfId="56" priority="49" operator="lessThan">
      <formula>0</formula>
    </cfRule>
  </conditionalFormatting>
  <conditionalFormatting sqref="AE8:AE56">
    <cfRule type="cellIs" dxfId="55" priority="48" operator="lessThan">
      <formula>0</formula>
    </cfRule>
  </conditionalFormatting>
  <conditionalFormatting sqref="AE8:AE56">
    <cfRule type="cellIs" dxfId="54" priority="47" operator="lessThan">
      <formula>0</formula>
    </cfRule>
  </conditionalFormatting>
  <conditionalFormatting sqref="AH8:AH56">
    <cfRule type="cellIs" dxfId="53" priority="46" operator="lessThan">
      <formula>0</formula>
    </cfRule>
  </conditionalFormatting>
  <conditionalFormatting sqref="AH8:AH56">
    <cfRule type="cellIs" dxfId="52" priority="45" operator="lessThan">
      <formula>0</formula>
    </cfRule>
  </conditionalFormatting>
  <conditionalFormatting sqref="G63:G111">
    <cfRule type="cellIs" dxfId="51" priority="44" operator="lessThan">
      <formula>0</formula>
    </cfRule>
  </conditionalFormatting>
  <conditionalFormatting sqref="G63:G111">
    <cfRule type="cellIs" dxfId="50" priority="43" operator="lessThan">
      <formula>0</formula>
    </cfRule>
  </conditionalFormatting>
  <conditionalFormatting sqref="J63:J111">
    <cfRule type="cellIs" dxfId="49" priority="42" operator="lessThan">
      <formula>0</formula>
    </cfRule>
  </conditionalFormatting>
  <conditionalFormatting sqref="J63:J111">
    <cfRule type="cellIs" dxfId="48" priority="41" operator="lessThan">
      <formula>0</formula>
    </cfRule>
  </conditionalFormatting>
  <conditionalFormatting sqref="M63:M111">
    <cfRule type="cellIs" dxfId="47" priority="40" operator="lessThan">
      <formula>0</formula>
    </cfRule>
  </conditionalFormatting>
  <conditionalFormatting sqref="M63:M111">
    <cfRule type="cellIs" dxfId="46" priority="39" operator="lessThan">
      <formula>0</formula>
    </cfRule>
  </conditionalFormatting>
  <conditionalFormatting sqref="P63:P111">
    <cfRule type="cellIs" dxfId="45" priority="38" operator="lessThan">
      <formula>0</formula>
    </cfRule>
  </conditionalFormatting>
  <conditionalFormatting sqref="P63:P111">
    <cfRule type="cellIs" dxfId="44" priority="37" operator="lessThan">
      <formula>0</formula>
    </cfRule>
  </conditionalFormatting>
  <conditionalFormatting sqref="S63:S111">
    <cfRule type="cellIs" dxfId="43" priority="36" operator="lessThan">
      <formula>0</formula>
    </cfRule>
  </conditionalFormatting>
  <conditionalFormatting sqref="S63:S111">
    <cfRule type="cellIs" dxfId="42" priority="35" operator="lessThan">
      <formula>0</formula>
    </cfRule>
  </conditionalFormatting>
  <conditionalFormatting sqref="Y63:Y111">
    <cfRule type="cellIs" dxfId="41" priority="32" operator="lessThan">
      <formula>0</formula>
    </cfRule>
  </conditionalFormatting>
  <conditionalFormatting sqref="Y63:Y111">
    <cfRule type="cellIs" dxfId="40" priority="31" operator="lessThan">
      <formula>0</formula>
    </cfRule>
  </conditionalFormatting>
  <conditionalFormatting sqref="AH118:AH166">
    <cfRule type="cellIs" dxfId="39" priority="4" operator="lessThan">
      <formula>0</formula>
    </cfRule>
  </conditionalFormatting>
  <conditionalFormatting sqref="AH118:AH166">
    <cfRule type="cellIs" dxfId="38" priority="3" operator="lessThan">
      <formula>0</formula>
    </cfRule>
  </conditionalFormatting>
  <conditionalFormatting sqref="AB63:AB111">
    <cfRule type="cellIs" dxfId="37" priority="28" operator="lessThan">
      <formula>0</formula>
    </cfRule>
  </conditionalFormatting>
  <conditionalFormatting sqref="AB63:AB111">
    <cfRule type="cellIs" dxfId="36" priority="27" operator="lessThan">
      <formula>0</formula>
    </cfRule>
  </conditionalFormatting>
  <conditionalFormatting sqref="AE63:AE111">
    <cfRule type="cellIs" dxfId="35" priority="26" operator="lessThan">
      <formula>0</formula>
    </cfRule>
  </conditionalFormatting>
  <conditionalFormatting sqref="AE63:AE111">
    <cfRule type="cellIs" dxfId="34" priority="25" operator="lessThan">
      <formula>0</formula>
    </cfRule>
  </conditionalFormatting>
  <conditionalFormatting sqref="AH63:AH111">
    <cfRule type="cellIs" dxfId="33" priority="24" operator="lessThan">
      <formula>0</formula>
    </cfRule>
  </conditionalFormatting>
  <conditionalFormatting sqref="AH63:AH111">
    <cfRule type="cellIs" dxfId="32" priority="23" operator="lessThan">
      <formula>0</formula>
    </cfRule>
  </conditionalFormatting>
  <conditionalFormatting sqref="G118:G166">
    <cfRule type="cellIs" dxfId="31" priority="22" operator="lessThan">
      <formula>0</formula>
    </cfRule>
  </conditionalFormatting>
  <conditionalFormatting sqref="G118:G166">
    <cfRule type="cellIs" dxfId="30" priority="21" operator="lessThan">
      <formula>0</formula>
    </cfRule>
  </conditionalFormatting>
  <conditionalFormatting sqref="J118:J166">
    <cfRule type="cellIs" dxfId="29" priority="20" operator="lessThan">
      <formula>0</formula>
    </cfRule>
  </conditionalFormatting>
  <conditionalFormatting sqref="J118:J166">
    <cfRule type="cellIs" dxfId="28" priority="19" operator="lessThan">
      <formula>0</formula>
    </cfRule>
  </conditionalFormatting>
  <conditionalFormatting sqref="M118:M166">
    <cfRule type="cellIs" dxfId="27" priority="18" operator="lessThan">
      <formula>0</formula>
    </cfRule>
  </conditionalFormatting>
  <conditionalFormatting sqref="M118:M166">
    <cfRule type="cellIs" dxfId="26" priority="17" operator="lessThan">
      <formula>0</formula>
    </cfRule>
  </conditionalFormatting>
  <conditionalFormatting sqref="P118:P166">
    <cfRule type="cellIs" dxfId="25" priority="16" operator="lessThan">
      <formula>0</formula>
    </cfRule>
  </conditionalFormatting>
  <conditionalFormatting sqref="P118:P166">
    <cfRule type="cellIs" dxfId="24" priority="15" operator="lessThan">
      <formula>0</formula>
    </cfRule>
  </conditionalFormatting>
  <conditionalFormatting sqref="S118:S166">
    <cfRule type="cellIs" dxfId="23" priority="14" operator="lessThan">
      <formula>0</formula>
    </cfRule>
  </conditionalFormatting>
  <conditionalFormatting sqref="S118:S166">
    <cfRule type="cellIs" dxfId="22" priority="13" operator="lessThan">
      <formula>0</formula>
    </cfRule>
  </conditionalFormatting>
  <conditionalFormatting sqref="V118:V166">
    <cfRule type="cellIs" dxfId="21" priority="12" operator="lessThan">
      <formula>0</formula>
    </cfRule>
  </conditionalFormatting>
  <conditionalFormatting sqref="V118:V166">
    <cfRule type="cellIs" dxfId="20" priority="11" operator="lessThan">
      <formula>0</formula>
    </cfRule>
  </conditionalFormatting>
  <conditionalFormatting sqref="Y118:Y166">
    <cfRule type="cellIs" dxfId="19" priority="10" operator="lessThan">
      <formula>0</formula>
    </cfRule>
  </conditionalFormatting>
  <conditionalFormatting sqref="Y118:Y166">
    <cfRule type="cellIs" dxfId="18" priority="9" operator="lessThan">
      <formula>0</formula>
    </cfRule>
  </conditionalFormatting>
  <conditionalFormatting sqref="AB118:AB166">
    <cfRule type="cellIs" dxfId="17" priority="8" operator="lessThan">
      <formula>0</formula>
    </cfRule>
  </conditionalFormatting>
  <conditionalFormatting sqref="AB118:AB166">
    <cfRule type="cellIs" dxfId="16" priority="7" operator="lessThan">
      <formula>0</formula>
    </cfRule>
  </conditionalFormatting>
  <conditionalFormatting sqref="AE118:AE166">
    <cfRule type="cellIs" dxfId="15" priority="6" operator="lessThan">
      <formula>0</formula>
    </cfRule>
  </conditionalFormatting>
  <conditionalFormatting sqref="AE118:AE166">
    <cfRule type="cellIs" dxfId="14" priority="5" operator="lessThan">
      <formula>0</formula>
    </cfRule>
  </conditionalFormatting>
  <conditionalFormatting sqref="V63:V111">
    <cfRule type="cellIs" dxfId="13" priority="2" operator="lessThan">
      <formula>0</formula>
    </cfRule>
  </conditionalFormatting>
  <conditionalFormatting sqref="V63:V111">
    <cfRule type="cellIs" dxfId="12" priority="1" operator="lessThan">
      <formula>0</formula>
    </cfRule>
  </conditionalFormatting>
  <dataValidations disablePrompts="1" count="1">
    <dataValidation type="list" allowBlank="1" showInputMessage="1" showErrorMessage="1" sqref="J114 G114 M114 P114 S114 V114 Y114 J59 G59 M59 P59 S59 V59 Y59 J4 G4 M4 P4 S4 V4 Y4 AH4 AE4 AB4 AB59 AE59 AH59 AH114 AB114 AE114" xr:uid="{FC20455E-62CB-4966-A528-B66083FF8F00}">
      <formula1>"Include,Exclude"</formula1>
    </dataValidation>
  </dataValidations>
  <hyperlinks>
    <hyperlink ref="L1:N2" location="'Table of Contents'!A1" display="Back to Table of Contents" xr:uid="{17E03305-D690-4485-80AE-9A73DF524269}"/>
    <hyperlink ref="V6" location="'Car Urban-NonUrban Split'!O8" display="Electric Vehicles (Click to Input)" xr:uid="{59581A4B-76C8-4748-BDEE-B9CDCB29B2A5}"/>
    <hyperlink ref="V61" location="'Car Urban-NonUrban Split'!O8" display="Electric Vehicles (Click to Input)" xr:uid="{CB7D55E4-98C8-49F3-9C5C-C68A0A8B6A84}"/>
    <hyperlink ref="V116" location="'Car Urban-NonUrban Split'!O8" display="Electric Vehicles (Click to Input)" xr:uid="{E76DE45A-648D-4D5E-B0D4-40DB46B43136}"/>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1E9C2-F63F-49D1-94A5-4FE623450E1A}">
  <sheetPr codeName="Sheet12">
    <tabColor theme="6" tint="0.59999389629810485"/>
  </sheetPr>
  <dimension ref="A1:O168"/>
  <sheetViews>
    <sheetView zoomScale="90" zoomScaleNormal="90" workbookViewId="0">
      <pane xSplit="5" ySplit="2" topLeftCell="F3" activePane="bottomRight" state="frozen"/>
      <selection pane="topRight" activeCell="F1" sqref="F1"/>
      <selection pane="bottomLeft" activeCell="A3" sqref="A3"/>
      <selection pane="bottomRight" activeCell="M1" sqref="M1:O2"/>
    </sheetView>
  </sheetViews>
  <sheetFormatPr defaultColWidth="8.88671875" defaultRowHeight="13.2" x14ac:dyDescent="0.25"/>
  <cols>
    <col min="1" max="3" width="8.88671875" style="424"/>
    <col min="4" max="12" width="16.21875" style="424" customWidth="1"/>
    <col min="13" max="13" width="15.109375" style="424" customWidth="1"/>
    <col min="14" max="16384" width="8.88671875" style="424"/>
  </cols>
  <sheetData>
    <row r="1" spans="1:15" ht="14.4" x14ac:dyDescent="0.25">
      <c r="A1" s="853" t="s">
        <v>477</v>
      </c>
      <c r="B1" s="853"/>
      <c r="C1" s="853"/>
      <c r="D1" s="853"/>
      <c r="E1" s="853"/>
      <c r="G1" s="425" t="s">
        <v>470</v>
      </c>
      <c r="H1" s="426" t="s">
        <v>128</v>
      </c>
      <c r="I1" s="602" t="s">
        <v>129</v>
      </c>
      <c r="J1" s="602" t="s">
        <v>130</v>
      </c>
      <c r="M1" s="815" t="s">
        <v>467</v>
      </c>
      <c r="N1" s="816"/>
      <c r="O1" s="817"/>
    </row>
    <row r="2" spans="1:15" ht="13.8" thickBot="1" x14ac:dyDescent="0.3">
      <c r="A2" s="853"/>
      <c r="B2" s="853"/>
      <c r="C2" s="853"/>
      <c r="D2" s="853"/>
      <c r="E2" s="853"/>
      <c r="M2" s="818"/>
      <c r="N2" s="819"/>
      <c r="O2" s="820"/>
    </row>
    <row r="3" spans="1:15" ht="14.4" x14ac:dyDescent="0.3">
      <c r="A3" s="853"/>
      <c r="B3" s="853"/>
      <c r="C3" s="853"/>
      <c r="D3" s="853"/>
      <c r="E3" s="853"/>
      <c r="M3" s="272"/>
      <c r="N3" s="272"/>
      <c r="O3" s="272"/>
    </row>
    <row r="6" spans="1:15" ht="31.2" x14ac:dyDescent="0.25">
      <c r="B6" s="436" t="s">
        <v>128</v>
      </c>
      <c r="D6" s="431" t="s">
        <v>471</v>
      </c>
      <c r="F6" s="439" t="s">
        <v>606</v>
      </c>
      <c r="G6" s="440" t="s">
        <v>605</v>
      </c>
      <c r="H6" s="431" t="s">
        <v>380</v>
      </c>
      <c r="I6" s="431" t="s">
        <v>6</v>
      </c>
      <c r="J6" s="431" t="s">
        <v>600</v>
      </c>
      <c r="K6" s="431" t="s">
        <v>5</v>
      </c>
      <c r="L6" s="580" t="s">
        <v>267</v>
      </c>
      <c r="M6" s="431" t="s">
        <v>604</v>
      </c>
    </row>
    <row r="7" spans="1:15" ht="79.2" x14ac:dyDescent="0.25">
      <c r="D7" s="595" t="s">
        <v>555</v>
      </c>
      <c r="F7" s="441" t="s">
        <v>473</v>
      </c>
      <c r="G7" s="442" t="s">
        <v>472</v>
      </c>
      <c r="H7" s="441" t="s">
        <v>472</v>
      </c>
      <c r="I7" s="441" t="s">
        <v>472</v>
      </c>
      <c r="J7" s="441" t="s">
        <v>472</v>
      </c>
      <c r="K7" s="441" t="s">
        <v>472</v>
      </c>
      <c r="L7" s="441" t="s">
        <v>473</v>
      </c>
      <c r="M7" s="441" t="s">
        <v>472</v>
      </c>
    </row>
    <row r="8" spans="1:15" x14ac:dyDescent="0.25">
      <c r="C8" s="428" t="s">
        <v>474</v>
      </c>
      <c r="D8" s="437">
        <f>SUM(D10:D56)</f>
        <v>-28887.444401174274</v>
      </c>
      <c r="F8" s="432" t="s">
        <v>475</v>
      </c>
      <c r="G8" s="432" t="s">
        <v>475</v>
      </c>
      <c r="H8" s="433" t="s">
        <v>475</v>
      </c>
      <c r="I8" s="433" t="s">
        <v>475</v>
      </c>
      <c r="J8" s="433" t="s">
        <v>475</v>
      </c>
      <c r="K8" s="433" t="s">
        <v>475</v>
      </c>
      <c r="L8" s="432" t="s">
        <v>475</v>
      </c>
      <c r="M8" s="433" t="s">
        <v>475</v>
      </c>
    </row>
    <row r="9" spans="1:15" x14ac:dyDescent="0.25">
      <c r="F9" s="434">
        <f t="shared" ref="F9:M9" si="0">IFERROR(-SEARCH("Increase",F7)/SEARCH("Increase",F7),1)</f>
        <v>1</v>
      </c>
      <c r="G9" s="434">
        <f t="shared" si="0"/>
        <v>-1</v>
      </c>
      <c r="H9" s="435">
        <f t="shared" si="0"/>
        <v>-1</v>
      </c>
      <c r="I9" s="435">
        <f t="shared" si="0"/>
        <v>-1</v>
      </c>
      <c r="J9" s="435">
        <f t="shared" si="0"/>
        <v>-1</v>
      </c>
      <c r="K9" s="435">
        <f t="shared" si="0"/>
        <v>-1</v>
      </c>
      <c r="L9" s="434">
        <f t="shared" ref="L9" si="1">IFERROR(-SEARCH("Increase",L7)/SEARCH("Increase",L7),1)</f>
        <v>1</v>
      </c>
      <c r="M9" s="435">
        <f t="shared" si="0"/>
        <v>-1</v>
      </c>
    </row>
    <row r="10" spans="1:15" ht="14.4" x14ac:dyDescent="0.3">
      <c r="D10" s="438">
        <f t="shared" ref="D10:D56" si="2">SUMPRODUCT(F10:M10,$F$9:$M$9)</f>
        <v>0</v>
      </c>
      <c r="E10" s="424">
        <v>2014</v>
      </c>
      <c r="F10" s="430">
        <v>0</v>
      </c>
      <c r="G10" s="430">
        <v>0</v>
      </c>
      <c r="H10" s="430">
        <v>0</v>
      </c>
      <c r="I10" s="430">
        <v>0</v>
      </c>
      <c r="J10" s="430">
        <v>0</v>
      </c>
      <c r="K10" s="430">
        <v>0</v>
      </c>
      <c r="L10" s="430">
        <v>0</v>
      </c>
      <c r="M10" s="430">
        <v>0</v>
      </c>
    </row>
    <row r="11" spans="1:15" ht="14.4" x14ac:dyDescent="0.3">
      <c r="D11" s="438">
        <f t="shared" si="2"/>
        <v>10.248972093713544</v>
      </c>
      <c r="E11" s="424">
        <v>2015</v>
      </c>
      <c r="F11" s="430">
        <v>0</v>
      </c>
      <c r="G11" s="430">
        <v>0</v>
      </c>
      <c r="H11" s="430">
        <v>0</v>
      </c>
      <c r="I11" s="430">
        <v>0.37113646128436689</v>
      </c>
      <c r="J11" s="430">
        <v>0</v>
      </c>
      <c r="K11" s="430">
        <v>0</v>
      </c>
      <c r="L11" s="579">
        <v>1.0443601427257674E-2</v>
      </c>
      <c r="M11" s="430">
        <v>-10.609664953570652</v>
      </c>
    </row>
    <row r="12" spans="1:15" ht="14.4" x14ac:dyDescent="0.3">
      <c r="D12" s="438">
        <f t="shared" si="2"/>
        <v>1.0060469157859475</v>
      </c>
      <c r="E12" s="424">
        <v>2016</v>
      </c>
      <c r="F12" s="430">
        <v>0</v>
      </c>
      <c r="G12" s="430">
        <v>0</v>
      </c>
      <c r="H12" s="430">
        <v>0</v>
      </c>
      <c r="I12" s="430">
        <v>0</v>
      </c>
      <c r="J12" s="430">
        <v>0</v>
      </c>
      <c r="K12" s="430">
        <v>0</v>
      </c>
      <c r="L12" s="579">
        <v>8.0512946624074194E-3</v>
      </c>
      <c r="M12" s="430">
        <v>-0.99799562112354001</v>
      </c>
    </row>
    <row r="13" spans="1:15" ht="14.4" x14ac:dyDescent="0.3">
      <c r="D13" s="438">
        <f t="shared" si="2"/>
        <v>-4.2537954492887113</v>
      </c>
      <c r="E13" s="424">
        <v>2017</v>
      </c>
      <c r="F13" s="430">
        <v>0</v>
      </c>
      <c r="G13" s="430">
        <v>0</v>
      </c>
      <c r="H13" s="430">
        <v>0</v>
      </c>
      <c r="I13" s="430">
        <v>0</v>
      </c>
      <c r="J13" s="430">
        <v>0</v>
      </c>
      <c r="K13" s="430">
        <v>0</v>
      </c>
      <c r="L13" s="579">
        <v>4.4914522367801276E-3</v>
      </c>
      <c r="M13" s="430">
        <v>4.2582869015254916</v>
      </c>
    </row>
    <row r="14" spans="1:15" ht="14.4" x14ac:dyDescent="0.3">
      <c r="D14" s="438">
        <f t="shared" si="2"/>
        <v>7.1677121214812702</v>
      </c>
      <c r="E14" s="424">
        <v>2018</v>
      </c>
      <c r="F14" s="430">
        <v>0</v>
      </c>
      <c r="G14" s="430">
        <v>0</v>
      </c>
      <c r="H14" s="430">
        <v>0</v>
      </c>
      <c r="I14" s="430">
        <v>0</v>
      </c>
      <c r="J14" s="430">
        <v>0</v>
      </c>
      <c r="K14" s="430">
        <v>0</v>
      </c>
      <c r="L14" s="579">
        <v>-6.6031634991140852E-14</v>
      </c>
      <c r="M14" s="430">
        <v>-7.167712121481336</v>
      </c>
    </row>
    <row r="15" spans="1:15" ht="14.4" x14ac:dyDescent="0.3">
      <c r="D15" s="438">
        <f t="shared" si="2"/>
        <v>2.0139584110907904</v>
      </c>
      <c r="E15" s="424">
        <v>2019</v>
      </c>
      <c r="F15" s="430">
        <v>0</v>
      </c>
      <c r="G15" s="430">
        <v>0.11360872580607168</v>
      </c>
      <c r="H15" s="430">
        <v>3.026842912529728</v>
      </c>
      <c r="I15" s="430">
        <v>0</v>
      </c>
      <c r="J15" s="430">
        <v>0</v>
      </c>
      <c r="K15" s="430">
        <v>1.4754018623972518E-2</v>
      </c>
      <c r="L15" s="579">
        <v>4.7888932305131329</v>
      </c>
      <c r="M15" s="430">
        <v>-0.38027083753743018</v>
      </c>
    </row>
    <row r="16" spans="1:15" ht="14.4" x14ac:dyDescent="0.3">
      <c r="D16" s="438">
        <f t="shared" si="2"/>
        <v>-9.8351206421435826</v>
      </c>
      <c r="E16" s="427">
        <v>2020</v>
      </c>
      <c r="F16" s="430">
        <v>0</v>
      </c>
      <c r="G16" s="430">
        <v>0.16359262637809396</v>
      </c>
      <c r="H16" s="430">
        <v>8.7242699664958163</v>
      </c>
      <c r="I16" s="430">
        <v>0</v>
      </c>
      <c r="J16" s="430">
        <v>0</v>
      </c>
      <c r="K16" s="430">
        <v>1.7943614513852419E-2</v>
      </c>
      <c r="L16" s="579">
        <v>5.2888793522374486</v>
      </c>
      <c r="M16" s="430">
        <v>6.2181937869932691</v>
      </c>
    </row>
    <row r="17" spans="4:13" ht="14.4" x14ac:dyDescent="0.3">
      <c r="D17" s="438">
        <f t="shared" si="2"/>
        <v>-22.579430964086313</v>
      </c>
      <c r="E17" s="424">
        <v>2021</v>
      </c>
      <c r="F17" s="430">
        <v>0</v>
      </c>
      <c r="G17" s="430">
        <v>0.21269459139749369</v>
      </c>
      <c r="H17" s="430">
        <v>15.708920386031741</v>
      </c>
      <c r="I17" s="430">
        <v>0</v>
      </c>
      <c r="J17" s="430">
        <v>0</v>
      </c>
      <c r="K17" s="430">
        <v>2.1103050190994753E-2</v>
      </c>
      <c r="L17" s="579">
        <v>5.9982045125564829</v>
      </c>
      <c r="M17" s="430">
        <v>12.634917449022568</v>
      </c>
    </row>
    <row r="18" spans="4:13" ht="14.4" x14ac:dyDescent="0.3">
      <c r="D18" s="438">
        <f t="shared" si="2"/>
        <v>-37.722778878712447</v>
      </c>
      <c r="E18" s="424">
        <v>2022</v>
      </c>
      <c r="F18" s="430">
        <v>0</v>
      </c>
      <c r="G18" s="430">
        <v>0.26099548259141692</v>
      </c>
      <c r="H18" s="430">
        <v>24.009987909938925</v>
      </c>
      <c r="I18" s="430">
        <v>-0.66977753654710093</v>
      </c>
      <c r="J18" s="430">
        <v>1.6981408925559167</v>
      </c>
      <c r="K18" s="430">
        <v>2.4232497289137647E-2</v>
      </c>
      <c r="L18" s="579">
        <v>6.4779362125793707</v>
      </c>
      <c r="M18" s="430">
        <v>18.877135845463528</v>
      </c>
    </row>
    <row r="19" spans="4:13" ht="14.4" x14ac:dyDescent="0.3">
      <c r="D19" s="438">
        <f t="shared" si="2"/>
        <v>-56.555211464056271</v>
      </c>
      <c r="E19" s="424">
        <v>2023</v>
      </c>
      <c r="F19" s="430">
        <v>0</v>
      </c>
      <c r="G19" s="430">
        <v>0.30857616168700086</v>
      </c>
      <c r="H19" s="430">
        <v>33.656666277018779</v>
      </c>
      <c r="I19" s="430">
        <v>1.2521835219898032</v>
      </c>
      <c r="J19" s="430">
        <v>3.3381245983255856</v>
      </c>
      <c r="K19" s="430">
        <v>2.7332126465294145E-2</v>
      </c>
      <c r="L19" s="579">
        <v>6.9797558946594052</v>
      </c>
      <c r="M19" s="430">
        <v>24.952084673229205</v>
      </c>
    </row>
    <row r="20" spans="4:13" ht="14.4" x14ac:dyDescent="0.3">
      <c r="D20" s="438">
        <f t="shared" si="2"/>
        <v>-76.377409357492638</v>
      </c>
      <c r="E20" s="424">
        <v>2024</v>
      </c>
      <c r="F20" s="430">
        <v>0</v>
      </c>
      <c r="G20" s="430">
        <v>0.35551749041139169</v>
      </c>
      <c r="H20" s="430">
        <v>44.678149226072264</v>
      </c>
      <c r="I20" s="430">
        <v>3.0376432153011161</v>
      </c>
      <c r="J20" s="430">
        <v>4.9147118518283133</v>
      </c>
      <c r="K20" s="430">
        <v>3.0402107405316896E-2</v>
      </c>
      <c r="L20" s="579">
        <v>7.5060141627568289</v>
      </c>
      <c r="M20" s="430">
        <v>30.866999629231056</v>
      </c>
    </row>
    <row r="21" spans="4:13" ht="14.4" x14ac:dyDescent="0.3">
      <c r="D21" s="438">
        <f t="shared" si="2"/>
        <v>-97.428105270764377</v>
      </c>
      <c r="E21" s="424">
        <v>2025</v>
      </c>
      <c r="F21" s="430">
        <v>0</v>
      </c>
      <c r="G21" s="430">
        <v>0.40190033049173568</v>
      </c>
      <c r="H21" s="430">
        <v>57.103630495900944</v>
      </c>
      <c r="I21" s="430">
        <v>4.6970581236387154</v>
      </c>
      <c r="J21" s="430">
        <v>6.5882559123295543</v>
      </c>
      <c r="K21" s="430">
        <v>3.3442608829419136E-2</v>
      </c>
      <c r="L21" s="579">
        <v>8.0252986108115092</v>
      </c>
      <c r="M21" s="430">
        <v>36.629116410385507</v>
      </c>
    </row>
    <row r="22" spans="4:13" ht="14.4" x14ac:dyDescent="0.3">
      <c r="D22" s="438">
        <f t="shared" si="2"/>
        <v>-119.20814284417838</v>
      </c>
      <c r="E22" s="424">
        <v>2026</v>
      </c>
      <c r="F22" s="430">
        <v>0</v>
      </c>
      <c r="G22" s="430">
        <v>0.44780554365516978</v>
      </c>
      <c r="H22" s="430">
        <v>70.962303825305796</v>
      </c>
      <c r="I22" s="430">
        <v>6.240884827254459</v>
      </c>
      <c r="J22" s="430">
        <v>7.9098909644348341</v>
      </c>
      <c r="K22" s="430">
        <v>3.6453798497672343E-2</v>
      </c>
      <c r="L22" s="579">
        <v>8.6348668285735108</v>
      </c>
      <c r="M22" s="430">
        <v>42.245670713603964</v>
      </c>
    </row>
    <row r="23" spans="4:13" ht="14.4" x14ac:dyDescent="0.3">
      <c r="D23" s="438">
        <f t="shared" si="2"/>
        <v>-142.32365222889561</v>
      </c>
      <c r="E23" s="424">
        <v>2027</v>
      </c>
      <c r="F23" s="430">
        <v>0</v>
      </c>
      <c r="G23" s="430">
        <v>0.49331399162883982</v>
      </c>
      <c r="H23" s="430">
        <v>86.283362953088385</v>
      </c>
      <c r="I23" s="430">
        <v>7.6795799064002246</v>
      </c>
      <c r="J23" s="430">
        <v>9.3445798047396202</v>
      </c>
      <c r="K23" s="430">
        <v>3.9435843215472506E-2</v>
      </c>
      <c r="L23" s="579">
        <v>9.2405185059763468</v>
      </c>
      <c r="M23" s="430">
        <v>47.723898235799425</v>
      </c>
    </row>
    <row r="24" spans="4:13" ht="14.4" x14ac:dyDescent="0.3">
      <c r="D24" s="438">
        <f t="shared" si="2"/>
        <v>-166.64399454293095</v>
      </c>
      <c r="E24" s="424">
        <v>2028</v>
      </c>
      <c r="F24" s="430">
        <v>0</v>
      </c>
      <c r="G24" s="430">
        <v>0.53850653613988975</v>
      </c>
      <c r="H24" s="430">
        <v>103.09600161804966</v>
      </c>
      <c r="I24" s="430">
        <v>9.0235999413278538</v>
      </c>
      <c r="J24" s="430">
        <v>10.748066155179391</v>
      </c>
      <c r="K24" s="430">
        <v>4.2388908838968134E-2</v>
      </c>
      <c r="L24" s="579">
        <v>9.8756032904881668</v>
      </c>
      <c r="M24" s="430">
        <v>53.071034673883354</v>
      </c>
    </row>
    <row r="25" spans="4:13" ht="14.4" x14ac:dyDescent="0.3">
      <c r="D25" s="438">
        <f t="shared" si="2"/>
        <v>-192.22276487216783</v>
      </c>
      <c r="E25" s="424">
        <v>2029</v>
      </c>
      <c r="F25" s="430">
        <v>0</v>
      </c>
      <c r="G25" s="430">
        <v>0.58346403891546483</v>
      </c>
      <c r="H25" s="430">
        <v>121.42941355899121</v>
      </c>
      <c r="I25" s="430">
        <v>10.283401512289188</v>
      </c>
      <c r="J25" s="430">
        <v>12.128398506354646</v>
      </c>
      <c r="K25" s="430">
        <v>4.5313160280464594E-2</v>
      </c>
      <c r="L25" s="579">
        <v>10.541541629435395</v>
      </c>
      <c r="M25" s="430">
        <v>58.294315724772218</v>
      </c>
    </row>
    <row r="26" spans="4:13" ht="14.4" x14ac:dyDescent="0.3">
      <c r="D26" s="438">
        <f t="shared" si="2"/>
        <v>-219.65556642432546</v>
      </c>
      <c r="E26" s="424">
        <v>2030</v>
      </c>
      <c r="F26" s="430">
        <v>0</v>
      </c>
      <c r="G26" s="430">
        <v>0.62826736168270259</v>
      </c>
      <c r="H26" s="430">
        <v>141.31279251471398</v>
      </c>
      <c r="I26" s="430">
        <v>11.46944119953614</v>
      </c>
      <c r="J26" s="430">
        <v>13.991402927978596</v>
      </c>
      <c r="K26" s="430">
        <v>4.8208761513797618E-2</v>
      </c>
      <c r="L26" s="579">
        <v>11.195523426477097</v>
      </c>
      <c r="M26" s="430">
        <v>63.400977085377384</v>
      </c>
    </row>
    <row r="27" spans="4:13" ht="14.4" x14ac:dyDescent="0.3">
      <c r="D27" s="438">
        <f t="shared" si="2"/>
        <v>-247.36993261606818</v>
      </c>
      <c r="E27" s="424">
        <v>2031</v>
      </c>
      <c r="F27" s="430">
        <v>0</v>
      </c>
      <c r="G27" s="430">
        <v>0.67299736616874917</v>
      </c>
      <c r="H27" s="430">
        <v>162.77533222401945</v>
      </c>
      <c r="I27" s="430">
        <v>12.592175583320516</v>
      </c>
      <c r="J27" s="430">
        <v>14.851795173313493</v>
      </c>
      <c r="K27" s="430">
        <v>5.1075875579668355E-2</v>
      </c>
      <c r="L27" s="579">
        <v>11.971698058945586</v>
      </c>
      <c r="M27" s="430">
        <v>68.398254452611894</v>
      </c>
    </row>
    <row r="28" spans="4:13" ht="14.4" x14ac:dyDescent="0.3">
      <c r="D28" s="438">
        <f t="shared" si="2"/>
        <v>-277.04526665890381</v>
      </c>
      <c r="E28" s="424">
        <v>2032</v>
      </c>
      <c r="F28" s="430">
        <v>0</v>
      </c>
      <c r="G28" s="430">
        <v>0.71773491410074808</v>
      </c>
      <c r="H28" s="430">
        <v>185.84622642570889</v>
      </c>
      <c r="I28" s="430">
        <v>13.662061243894227</v>
      </c>
      <c r="J28" s="430">
        <v>16.210956470298058</v>
      </c>
      <c r="K28" s="430">
        <v>5.3914664590959928E-2</v>
      </c>
      <c r="L28" s="579">
        <v>12.739010583077905</v>
      </c>
      <c r="M28" s="430">
        <v>73.293383523388826</v>
      </c>
    </row>
    <row r="29" spans="4:13" ht="14.4" x14ac:dyDescent="0.3">
      <c r="D29" s="438">
        <f t="shared" si="2"/>
        <v>-308.19247751994664</v>
      </c>
      <c r="E29" s="424">
        <v>2033</v>
      </c>
      <c r="F29" s="430">
        <v>0</v>
      </c>
      <c r="G29" s="430">
        <v>0.76256086720584437</v>
      </c>
      <c r="H29" s="430">
        <v>210.55466885858343</v>
      </c>
      <c r="I29" s="430">
        <v>14.6895547615091</v>
      </c>
      <c r="J29" s="430">
        <v>17.579157730420032</v>
      </c>
      <c r="K29" s="430">
        <v>5.6725289738011837E-2</v>
      </c>
      <c r="L29" s="579">
        <v>13.543789982129478</v>
      </c>
      <c r="M29" s="430">
        <v>78.09359999461968</v>
      </c>
    </row>
    <row r="30" spans="4:13" ht="14.4" x14ac:dyDescent="0.3">
      <c r="D30" s="438">
        <f t="shared" si="2"/>
        <v>-340.86421942637963</v>
      </c>
      <c r="E30" s="424">
        <v>2034</v>
      </c>
      <c r="F30" s="430">
        <v>0</v>
      </c>
      <c r="G30" s="430">
        <v>0.80755608721117644</v>
      </c>
      <c r="H30" s="430">
        <v>236.92985326144452</v>
      </c>
      <c r="I30" s="430">
        <v>15.685112716417025</v>
      </c>
      <c r="J30" s="430">
        <v>18.964447444279934</v>
      </c>
      <c r="K30" s="430">
        <v>5.9507911293872319E-2</v>
      </c>
      <c r="L30" s="579">
        <v>14.388397557487616</v>
      </c>
      <c r="M30" s="430">
        <v>82.806139563220754</v>
      </c>
    </row>
    <row r="31" spans="4:13" ht="14.4" x14ac:dyDescent="0.3">
      <c r="D31" s="438">
        <f t="shared" si="2"/>
        <v>-374.75593136812927</v>
      </c>
      <c r="E31" s="424">
        <v>2035</v>
      </c>
      <c r="F31" s="430">
        <v>0</v>
      </c>
      <c r="G31" s="430">
        <v>0.85280143584388979</v>
      </c>
      <c r="H31" s="430">
        <v>265.00097337309325</v>
      </c>
      <c r="I31" s="430">
        <v>16.659191688869832</v>
      </c>
      <c r="J31" s="430">
        <v>19.974793831985906</v>
      </c>
      <c r="K31" s="430">
        <v>6.2262688619520737E-2</v>
      </c>
      <c r="L31" s="579">
        <v>15.232329576386705</v>
      </c>
      <c r="M31" s="430">
        <v>87.43823792610354</v>
      </c>
    </row>
    <row r="32" spans="4:13" ht="14.4" x14ac:dyDescent="0.3">
      <c r="D32" s="438">
        <f t="shared" si="2"/>
        <v>-410.99262250882316</v>
      </c>
      <c r="E32" s="424">
        <v>2036</v>
      </c>
      <c r="F32" s="430">
        <v>0</v>
      </c>
      <c r="G32" s="430">
        <v>0.89837777483113035</v>
      </c>
      <c r="H32" s="430">
        <v>294.79722293233095</v>
      </c>
      <c r="I32" s="430">
        <v>17.622248259119409</v>
      </c>
      <c r="J32" s="430">
        <v>21.818486195615272</v>
      </c>
      <c r="K32" s="430">
        <v>6.4989780169053254E-2</v>
      </c>
      <c r="L32" s="579">
        <v>16.205833213423833</v>
      </c>
      <c r="M32" s="430">
        <v>91.997130780181138</v>
      </c>
    </row>
    <row r="33" spans="4:13" ht="14.4" x14ac:dyDescent="0.3">
      <c r="D33" s="438">
        <f t="shared" si="2"/>
        <v>-448.55566172771842</v>
      </c>
      <c r="E33" s="424">
        <v>2037</v>
      </c>
      <c r="F33" s="430">
        <v>0</v>
      </c>
      <c r="G33" s="430">
        <v>0.94436596590003541</v>
      </c>
      <c r="H33" s="430">
        <v>326.34779567795886</v>
      </c>
      <c r="I33" s="430">
        <v>18.584739007417603</v>
      </c>
      <c r="J33" s="430">
        <v>23.303332214291739</v>
      </c>
      <c r="K33" s="430">
        <v>6.7689343494845886E-2</v>
      </c>
      <c r="L33" s="579">
        <v>17.182314303709539</v>
      </c>
      <c r="M33" s="430">
        <v>96.490053822364828</v>
      </c>
    </row>
    <row r="34" spans="4:13" ht="14.4" x14ac:dyDescent="0.3">
      <c r="D34" s="438">
        <f t="shared" si="2"/>
        <v>-487.85585826724048</v>
      </c>
      <c r="E34" s="424">
        <v>2038</v>
      </c>
      <c r="F34" s="430">
        <v>0</v>
      </c>
      <c r="G34" s="430">
        <v>0.99084687077775202</v>
      </c>
      <c r="H34" s="430">
        <v>359.68188534877845</v>
      </c>
      <c r="I34" s="430">
        <v>19.557120514016304</v>
      </c>
      <c r="J34" s="430">
        <v>24.837460649108039</v>
      </c>
      <c r="K34" s="430">
        <v>7.0361535252688498E-2</v>
      </c>
      <c r="L34" s="579">
        <v>18.206059400263918</v>
      </c>
      <c r="M34" s="430">
        <v>100.92424274957111</v>
      </c>
    </row>
    <row r="35" spans="4:13" ht="14.4" x14ac:dyDescent="0.3">
      <c r="D35" s="438">
        <f t="shared" si="2"/>
        <v>-528.94688559019585</v>
      </c>
      <c r="E35" s="424">
        <v>2039</v>
      </c>
      <c r="F35" s="430">
        <v>0</v>
      </c>
      <c r="G35" s="430">
        <v>1.0379013511914223</v>
      </c>
      <c r="H35" s="430">
        <v>394.82868568359061</v>
      </c>
      <c r="I35" s="430">
        <v>20.549849359167339</v>
      </c>
      <c r="J35" s="430">
        <v>26.428919990664614</v>
      </c>
      <c r="K35" s="430">
        <v>7.3006511206881369E-2</v>
      </c>
      <c r="L35" s="579">
        <v>19.278410564336472</v>
      </c>
      <c r="M35" s="430">
        <v>105.30693325871142</v>
      </c>
    </row>
    <row r="36" spans="4:13" ht="14.4" x14ac:dyDescent="0.3">
      <c r="D36" s="438">
        <f t="shared" si="2"/>
        <v>-571.75678345351355</v>
      </c>
      <c r="E36" s="424">
        <v>2040</v>
      </c>
      <c r="F36" s="430">
        <v>0</v>
      </c>
      <c r="G36" s="430">
        <v>1.0856102688681921</v>
      </c>
      <c r="H36" s="430">
        <v>431.81739042119676</v>
      </c>
      <c r="I36" s="430">
        <v>21.573382123122553</v>
      </c>
      <c r="J36" s="430">
        <v>27.986923091141175</v>
      </c>
      <c r="K36" s="430">
        <v>7.5624426235314873E-2</v>
      </c>
      <c r="L36" s="579">
        <v>20.427507923749356</v>
      </c>
      <c r="M36" s="430">
        <v>109.64536104669889</v>
      </c>
    </row>
    <row r="37" spans="4:13" ht="14.4" x14ac:dyDescent="0.3">
      <c r="D37" s="438">
        <f t="shared" si="2"/>
        <v>-616.71552979037369</v>
      </c>
      <c r="E37" s="424">
        <v>2041</v>
      </c>
      <c r="F37" s="430">
        <v>0</v>
      </c>
      <c r="G37" s="430">
        <v>1.1340544855351999</v>
      </c>
      <c r="H37" s="430">
        <v>470.67719330039847</v>
      </c>
      <c r="I37" s="430">
        <v>22.638175386133884</v>
      </c>
      <c r="J37" s="430">
        <v>29.816025356400704</v>
      </c>
      <c r="K37" s="430">
        <v>7.8215434334508116E-2</v>
      </c>
      <c r="L37" s="579">
        <v>21.574895982875393</v>
      </c>
      <c r="M37" s="430">
        <v>113.9467618104463</v>
      </c>
    </row>
    <row r="38" spans="4:13" ht="14.4" x14ac:dyDescent="0.3">
      <c r="D38" s="438">
        <f t="shared" si="2"/>
        <v>-663.49961076660429</v>
      </c>
      <c r="E38" s="424">
        <v>2042</v>
      </c>
      <c r="F38" s="430">
        <v>0</v>
      </c>
      <c r="G38" s="430">
        <v>1.1833148629195898</v>
      </c>
      <c r="H38" s="430">
        <v>511.43728805999655</v>
      </c>
      <c r="I38" s="430">
        <v>23.754685728453111</v>
      </c>
      <c r="J38" s="430">
        <v>31.62776836178115</v>
      </c>
      <c r="K38" s="430">
        <v>8.0779688624627061E-2</v>
      </c>
      <c r="L38" s="579">
        <v>22.80259718203602</v>
      </c>
      <c r="M38" s="430">
        <v>118.21837124686533</v>
      </c>
    </row>
    <row r="39" spans="4:13" ht="14.4" x14ac:dyDescent="0.3">
      <c r="D39" s="438">
        <f t="shared" si="2"/>
        <v>-712.28792134207663</v>
      </c>
      <c r="E39" s="424">
        <v>2043</v>
      </c>
      <c r="F39" s="430">
        <v>0</v>
      </c>
      <c r="G39" s="430">
        <v>1.2334722627485095</v>
      </c>
      <c r="H39" s="430">
        <v>554.1268684387926</v>
      </c>
      <c r="I39" s="430">
        <v>24.933369730332128</v>
      </c>
      <c r="J39" s="430">
        <v>33.529036236303838</v>
      </c>
      <c r="K39" s="430">
        <v>8.3317341354474009E-2</v>
      </c>
      <c r="L39" s="579">
        <v>24.085567720327397</v>
      </c>
      <c r="M39" s="430">
        <v>122.4674250528725</v>
      </c>
    </row>
    <row r="40" spans="4:13" ht="14.4" x14ac:dyDescent="0.3">
      <c r="D40" s="438">
        <f t="shared" si="2"/>
        <v>-763.13379857506618</v>
      </c>
      <c r="E40" s="424">
        <v>2044</v>
      </c>
      <c r="F40" s="430">
        <v>0</v>
      </c>
      <c r="G40" s="430">
        <v>1.2846075467490969</v>
      </c>
      <c r="H40" s="430">
        <v>598.77512817558761</v>
      </c>
      <c r="I40" s="430">
        <v>26.184683972022807</v>
      </c>
      <c r="J40" s="430">
        <v>35.527877470569251</v>
      </c>
      <c r="K40" s="430">
        <v>8.5828543906441443E-2</v>
      </c>
      <c r="L40" s="579">
        <v>25.425486059147996</v>
      </c>
      <c r="M40" s="430">
        <v>126.70115892537902</v>
      </c>
    </row>
    <row r="41" spans="4:13" ht="14.4" x14ac:dyDescent="0.3">
      <c r="D41" s="438">
        <f t="shared" si="2"/>
        <v>-816.16983644487834</v>
      </c>
      <c r="E41" s="424">
        <v>2045</v>
      </c>
      <c r="F41" s="430">
        <v>0</v>
      </c>
      <c r="G41" s="430">
        <v>1.336801576648496</v>
      </c>
      <c r="H41" s="430">
        <v>645.41126100918302</v>
      </c>
      <c r="I41" s="430">
        <v>27.519085033777014</v>
      </c>
      <c r="J41" s="430">
        <v>37.796402759516731</v>
      </c>
      <c r="K41" s="430">
        <v>8.8313446801445039E-2</v>
      </c>
      <c r="L41" s="579">
        <v>26.908835942346006</v>
      </c>
      <c r="M41" s="430">
        <v>130.92680856129775</v>
      </c>
    </row>
    <row r="42" spans="4:13" ht="14.4" x14ac:dyDescent="0.3">
      <c r="D42" s="438">
        <f t="shared" si="2"/>
        <v>-871.2115907522691</v>
      </c>
      <c r="E42" s="424">
        <v>2046</v>
      </c>
      <c r="F42" s="430">
        <v>0</v>
      </c>
      <c r="G42" s="430">
        <v>1.3901352141738506</v>
      </c>
      <c r="H42" s="430">
        <v>694.06446067838033</v>
      </c>
      <c r="I42" s="430">
        <v>28.947029495846568</v>
      </c>
      <c r="J42" s="430">
        <v>39.850473980730214</v>
      </c>
      <c r="K42" s="430">
        <v>9.0772199703828368E-2</v>
      </c>
      <c r="L42" s="579">
        <v>28.282890474106225</v>
      </c>
      <c r="M42" s="430">
        <v>135.15160965754058</v>
      </c>
    </row>
    <row r="43" spans="4:13" ht="14.4" x14ac:dyDescent="0.3">
      <c r="D43" s="438">
        <f t="shared" si="2"/>
        <v>-928.55013829960967</v>
      </c>
      <c r="E43" s="424">
        <v>2047</v>
      </c>
      <c r="F43" s="430">
        <v>0</v>
      </c>
      <c r="G43" s="430">
        <v>1.4446893210523086</v>
      </c>
      <c r="H43" s="430">
        <v>744.76392092198046</v>
      </c>
      <c r="I43" s="430">
        <v>30.478973938483382</v>
      </c>
      <c r="J43" s="430">
        <v>42.190326237826746</v>
      </c>
      <c r="K43" s="430">
        <v>9.3204951426231947E-2</v>
      </c>
      <c r="L43" s="579">
        <v>29.803774982183334</v>
      </c>
      <c r="M43" s="430">
        <v>139.38279791102377</v>
      </c>
    </row>
    <row r="44" spans="4:13" ht="14.4" x14ac:dyDescent="0.3">
      <c r="D44" s="438">
        <f t="shared" si="2"/>
        <v>-988.15963587399517</v>
      </c>
      <c r="E44" s="424">
        <v>2048</v>
      </c>
      <c r="F44" s="430">
        <v>0</v>
      </c>
      <c r="G44" s="430">
        <v>1.5005447590110048</v>
      </c>
      <c r="H44" s="430">
        <v>797.53883547878445</v>
      </c>
      <c r="I44" s="430">
        <v>32.125374941939278</v>
      </c>
      <c r="J44" s="430">
        <v>44.65994581706795</v>
      </c>
      <c r="K44" s="430">
        <v>9.5611849934446352E-2</v>
      </c>
      <c r="L44" s="579">
        <v>31.388285991400309</v>
      </c>
      <c r="M44" s="430">
        <v>143.62760901865832</v>
      </c>
    </row>
    <row r="45" spans="4:13" ht="14.4" x14ac:dyDescent="0.3">
      <c r="D45" s="438">
        <f t="shared" si="2"/>
        <v>-1050.0935282413864</v>
      </c>
      <c r="E45" s="424">
        <v>2049</v>
      </c>
      <c r="F45" s="430">
        <v>0</v>
      </c>
      <c r="G45" s="430">
        <v>1.5577823897770862</v>
      </c>
      <c r="H45" s="430">
        <v>852.4183980875938</v>
      </c>
      <c r="I45" s="430">
        <v>33.896689086466175</v>
      </c>
      <c r="J45" s="430">
        <v>47.267381209054285</v>
      </c>
      <c r="K45" s="430">
        <v>9.7993042352225876E-2</v>
      </c>
      <c r="L45" s="579">
        <v>33.037994251215238</v>
      </c>
      <c r="M45" s="430">
        <v>147.89327867735796</v>
      </c>
    </row>
    <row r="46" spans="4:13" ht="14.4" x14ac:dyDescent="0.3">
      <c r="D46" s="438">
        <f t="shared" si="2"/>
        <v>-1114.4235613763526</v>
      </c>
      <c r="E46" s="427">
        <v>2050</v>
      </c>
      <c r="F46" s="430">
        <v>0</v>
      </c>
      <c r="G46" s="430">
        <v>1.6164830750776993</v>
      </c>
      <c r="H46" s="430">
        <v>909.43180248721046</v>
      </c>
      <c r="I46" s="430">
        <v>35.80337295231589</v>
      </c>
      <c r="J46" s="430">
        <v>49.986619765234401</v>
      </c>
      <c r="K46" s="430">
        <v>0.10034867496608273</v>
      </c>
      <c r="L46" s="579">
        <v>34.702108162487207</v>
      </c>
      <c r="M46" s="430">
        <v>152.18704258403523</v>
      </c>
    </row>
    <row r="47" spans="4:13" ht="14.4" x14ac:dyDescent="0.3">
      <c r="D47" s="438">
        <f t="shared" si="2"/>
        <v>-1181.1481594565257</v>
      </c>
      <c r="E47" s="424">
        <v>2051</v>
      </c>
      <c r="F47" s="430">
        <v>0</v>
      </c>
      <c r="G47" s="430">
        <v>1.676727676639981</v>
      </c>
      <c r="H47" s="430">
        <v>968.60824241643445</v>
      </c>
      <c r="I47" s="430">
        <v>37.85588311974027</v>
      </c>
      <c r="J47" s="430">
        <v>52.927893393664334</v>
      </c>
      <c r="K47" s="430">
        <v>0.10267889323005396</v>
      </c>
      <c r="L47" s="579">
        <v>36.539402478785142</v>
      </c>
      <c r="M47" s="430">
        <v>156.51613643560199</v>
      </c>
    </row>
    <row r="48" spans="4:13" ht="14.4" x14ac:dyDescent="0.3">
      <c r="D48" s="438">
        <f t="shared" si="2"/>
        <v>-1250.3755847533957</v>
      </c>
      <c r="E48" s="424">
        <v>2052</v>
      </c>
      <c r="F48" s="430">
        <v>0</v>
      </c>
      <c r="G48" s="430">
        <v>1.7385970561910771</v>
      </c>
      <c r="H48" s="430">
        <v>1029.9769116140678</v>
      </c>
      <c r="I48" s="430">
        <v>40.06467616899117</v>
      </c>
      <c r="J48" s="430">
        <v>55.997067167489021</v>
      </c>
      <c r="K48" s="430">
        <v>0.1049838417704332</v>
      </c>
      <c r="L48" s="579">
        <v>38.394447024088173</v>
      </c>
      <c r="M48" s="430">
        <v>160.88779592897427</v>
      </c>
    </row>
    <row r="49" spans="2:13" ht="14.4" x14ac:dyDescent="0.3">
      <c r="D49" s="438">
        <f t="shared" si="2"/>
        <v>-1322.1409755408192</v>
      </c>
      <c r="E49" s="424">
        <v>2053</v>
      </c>
      <c r="F49" s="430">
        <v>0</v>
      </c>
      <c r="G49" s="430">
        <v>1.802172075458131</v>
      </c>
      <c r="H49" s="430">
        <v>1093.5670038189121</v>
      </c>
      <c r="I49" s="430">
        <v>42.440208680320538</v>
      </c>
      <c r="J49" s="430">
        <v>59.23625071646083</v>
      </c>
      <c r="K49" s="430">
        <v>0.1072636643904876</v>
      </c>
      <c r="L49" s="579">
        <v>40.321180175786374</v>
      </c>
      <c r="M49" s="430">
        <v>165.30925676106358</v>
      </c>
    </row>
    <row r="50" spans="2:13" ht="14.4" x14ac:dyDescent="0.3">
      <c r="D50" s="438">
        <f t="shared" si="2"/>
        <v>-1396.4978191439425</v>
      </c>
      <c r="E50" s="424">
        <v>2054</v>
      </c>
      <c r="F50" s="430">
        <v>0</v>
      </c>
      <c r="G50" s="430">
        <v>1.8675335961682888</v>
      </c>
      <c r="H50" s="430">
        <v>1159.4077127697678</v>
      </c>
      <c r="I50" s="430">
        <v>44.992937233980129</v>
      </c>
      <c r="J50" s="430">
        <v>62.653492531180163</v>
      </c>
      <c r="K50" s="430">
        <v>0.1095185040751358</v>
      </c>
      <c r="L50" s="579">
        <v>42.3211301200121</v>
      </c>
      <c r="M50" s="430">
        <v>169.78775462878323</v>
      </c>
    </row>
    <row r="51" spans="2:13" ht="14.4" x14ac:dyDescent="0.3">
      <c r="D51" s="438">
        <f t="shared" si="2"/>
        <v>-1473.499578067619</v>
      </c>
      <c r="E51" s="424">
        <v>2055</v>
      </c>
      <c r="F51" s="430">
        <v>0</v>
      </c>
      <c r="G51" s="430">
        <v>1.934762480048688</v>
      </c>
      <c r="H51" s="430">
        <v>1227.5282322054363</v>
      </c>
      <c r="I51" s="430">
        <v>47.733318410221862</v>
      </c>
      <c r="J51" s="430">
        <v>66.256841102247563</v>
      </c>
      <c r="K51" s="430">
        <v>0.1117485029956074</v>
      </c>
      <c r="L51" s="579">
        <v>44.395849862375393</v>
      </c>
      <c r="M51" s="430">
        <v>174.33052522904435</v>
      </c>
    </row>
    <row r="52" spans="2:13" ht="14.4" x14ac:dyDescent="0.3">
      <c r="D52" s="438">
        <f t="shared" si="2"/>
        <v>-1553.1996924752636</v>
      </c>
      <c r="E52" s="424">
        <v>2056</v>
      </c>
      <c r="F52" s="430">
        <v>0</v>
      </c>
      <c r="G52" s="430">
        <v>2.0039395888264737</v>
      </c>
      <c r="H52" s="430">
        <v>1297.9577558647197</v>
      </c>
      <c r="I52" s="430">
        <v>50.671808789297614</v>
      </c>
      <c r="J52" s="430">
        <v>70.054344920263517</v>
      </c>
      <c r="K52" s="430">
        <v>0.11395380251407573</v>
      </c>
      <c r="L52" s="579">
        <v>46.546914749120738</v>
      </c>
      <c r="M52" s="430">
        <v>178.94480425876333</v>
      </c>
    </row>
    <row r="53" spans="2:13" ht="14.4" x14ac:dyDescent="0.3">
      <c r="D53" s="438">
        <f t="shared" si="2"/>
        <v>-1635.6515145303827</v>
      </c>
      <c r="E53" s="424">
        <v>2057</v>
      </c>
      <c r="F53" s="430">
        <v>0</v>
      </c>
      <c r="G53" s="430">
        <v>2.075145784228793</v>
      </c>
      <c r="H53" s="430">
        <v>1370.7254774864184</v>
      </c>
      <c r="I53" s="430">
        <v>53.818864951459226</v>
      </c>
      <c r="J53" s="430">
        <v>74.054052475828513</v>
      </c>
      <c r="K53" s="430">
        <v>0.11613454318825732</v>
      </c>
      <c r="L53" s="579">
        <v>48.775988125592747</v>
      </c>
      <c r="M53" s="430">
        <v>183.63782741485187</v>
      </c>
    </row>
    <row r="54" spans="2:13" ht="14.4" x14ac:dyDescent="0.3">
      <c r="D54" s="438">
        <f t="shared" si="2"/>
        <v>-1720.9083016771629</v>
      </c>
      <c r="E54" s="424">
        <v>2058</v>
      </c>
      <c r="F54" s="430">
        <v>0</v>
      </c>
      <c r="G54" s="430">
        <v>2.1484619279827832</v>
      </c>
      <c r="H54" s="430">
        <v>1445.8605908093332</v>
      </c>
      <c r="I54" s="430">
        <v>57.18494347695848</v>
      </c>
      <c r="J54" s="430">
        <v>78.264012259542966</v>
      </c>
      <c r="K54" s="430">
        <v>0.11829086477599218</v>
      </c>
      <c r="L54" s="579">
        <v>51.084828055653666</v>
      </c>
      <c r="M54" s="430">
        <v>188.4168303942229</v>
      </c>
    </row>
    <row r="55" spans="2:13" ht="14.4" x14ac:dyDescent="0.3">
      <c r="D55" s="438">
        <f t="shared" si="2"/>
        <v>-1809.0232270179097</v>
      </c>
      <c r="E55" s="424">
        <v>2059</v>
      </c>
      <c r="F55" s="430">
        <v>0</v>
      </c>
      <c r="G55" s="430">
        <v>2.2239688818155905</v>
      </c>
      <c r="H55" s="430">
        <v>1523.3922895722671</v>
      </c>
      <c r="I55" s="430">
        <v>60.780500946047376</v>
      </c>
      <c r="J55" s="430">
        <v>82.692272762007462</v>
      </c>
      <c r="K55" s="430">
        <v>0.12042290623979804</v>
      </c>
      <c r="L55" s="579">
        <v>53.475276944257061</v>
      </c>
      <c r="M55" s="430">
        <v>193.28904889378933</v>
      </c>
    </row>
    <row r="56" spans="2:13" ht="14.4" x14ac:dyDescent="0.3">
      <c r="D56" s="438">
        <f t="shared" si="2"/>
        <v>-1900.0494745147505</v>
      </c>
      <c r="E56" s="424">
        <v>2060</v>
      </c>
      <c r="F56" s="430">
        <v>0</v>
      </c>
      <c r="G56" s="430">
        <v>2.3017475074543565</v>
      </c>
      <c r="H56" s="430">
        <v>1603.34976751402</v>
      </c>
      <c r="I56" s="430">
        <v>64.615993938977709</v>
      </c>
      <c r="J56" s="430">
        <v>87.346882473822362</v>
      </c>
      <c r="K56" s="430">
        <v>0.12253080575139072</v>
      </c>
      <c r="L56" s="579">
        <v>55.949166335738397</v>
      </c>
      <c r="M56" s="430">
        <v>198.26171861046296</v>
      </c>
    </row>
    <row r="58" spans="2:13" ht="72" x14ac:dyDescent="0.25">
      <c r="E58" s="597" t="s">
        <v>235</v>
      </c>
      <c r="F58" s="600" t="s">
        <v>576</v>
      </c>
      <c r="G58" s="598" t="s">
        <v>577</v>
      </c>
      <c r="H58" s="598" t="s">
        <v>578</v>
      </c>
      <c r="I58" s="600" t="s">
        <v>579</v>
      </c>
      <c r="J58" s="600" t="s">
        <v>580</v>
      </c>
      <c r="K58" s="598" t="s">
        <v>581</v>
      </c>
      <c r="L58" s="599" t="s">
        <v>607</v>
      </c>
      <c r="M58" s="600" t="s">
        <v>582</v>
      </c>
    </row>
    <row r="61" spans="2:13" ht="31.2" x14ac:dyDescent="0.25">
      <c r="B61" s="436" t="s">
        <v>129</v>
      </c>
      <c r="D61" s="431" t="s">
        <v>471</v>
      </c>
      <c r="E61" s="429" t="s">
        <v>476</v>
      </c>
      <c r="F61" s="439" t="s">
        <v>606</v>
      </c>
      <c r="G61" s="440" t="s">
        <v>605</v>
      </c>
      <c r="H61" s="431" t="s">
        <v>380</v>
      </c>
      <c r="I61" s="431" t="s">
        <v>6</v>
      </c>
      <c r="J61" s="431" t="s">
        <v>600</v>
      </c>
      <c r="K61" s="431" t="s">
        <v>5</v>
      </c>
      <c r="L61" s="580" t="s">
        <v>267</v>
      </c>
      <c r="M61" s="431" t="s">
        <v>604</v>
      </c>
    </row>
    <row r="62" spans="2:13" ht="79.2" x14ac:dyDescent="0.25">
      <c r="D62" s="595" t="s">
        <v>555</v>
      </c>
      <c r="F62" s="441" t="str">
        <f t="shared" ref="F62:K62" si="3">F7</f>
        <v>Net Grid Electricity Saved - Electricity Decrease -(negative means penalty)</v>
      </c>
      <c r="G62" s="441" t="str">
        <f t="shared" si="3"/>
        <v>Net Grid Electricity Used - Electricity Increase -(negative means saved)</v>
      </c>
      <c r="H62" s="441" t="str">
        <f t="shared" si="3"/>
        <v>Net Grid Electricity Used - Electricity Increase -(negative means saved)</v>
      </c>
      <c r="I62" s="441" t="str">
        <f t="shared" si="3"/>
        <v>Net Grid Electricity Used - Electricity Increase -(negative means saved)</v>
      </c>
      <c r="J62" s="441" t="str">
        <f t="shared" si="3"/>
        <v>Net Grid Electricity Used - Electricity Increase -(negative means saved)</v>
      </c>
      <c r="K62" s="441" t="str">
        <f t="shared" si="3"/>
        <v>Net Grid Electricity Used - Electricity Increase -(negative means saved)</v>
      </c>
      <c r="L62" s="441" t="str">
        <f t="shared" ref="L62" si="4">L7</f>
        <v>Net Grid Electricity Saved - Electricity Decrease -(negative means penalty)</v>
      </c>
      <c r="M62" s="441" t="str">
        <f>M7</f>
        <v>Net Grid Electricity Used - Electricity Increase -(negative means saved)</v>
      </c>
    </row>
    <row r="63" spans="2:13" x14ac:dyDescent="0.25">
      <c r="C63" s="428" t="s">
        <v>474</v>
      </c>
      <c r="D63" s="437">
        <f>SUM(D65:D111)</f>
        <v>-43447.761364429185</v>
      </c>
      <c r="F63" s="432" t="s">
        <v>475</v>
      </c>
      <c r="G63" s="432" t="s">
        <v>475</v>
      </c>
      <c r="H63" s="432" t="s">
        <v>475</v>
      </c>
      <c r="I63" s="432" t="s">
        <v>475</v>
      </c>
      <c r="J63" s="432" t="s">
        <v>475</v>
      </c>
      <c r="K63" s="432" t="s">
        <v>475</v>
      </c>
      <c r="L63" s="432" t="s">
        <v>475</v>
      </c>
      <c r="M63" s="433" t="s">
        <v>475</v>
      </c>
    </row>
    <row r="64" spans="2:13" hidden="1" x14ac:dyDescent="0.25">
      <c r="F64" s="434">
        <f t="shared" ref="F64:M64" si="5">IFERROR(-SEARCH("Increase",F62)/SEARCH("Increase",F62),1)</f>
        <v>1</v>
      </c>
      <c r="G64" s="434">
        <f t="shared" si="5"/>
        <v>-1</v>
      </c>
      <c r="H64" s="435">
        <f t="shared" si="5"/>
        <v>-1</v>
      </c>
      <c r="I64" s="435">
        <f t="shared" si="5"/>
        <v>-1</v>
      </c>
      <c r="J64" s="435">
        <f t="shared" si="5"/>
        <v>-1</v>
      </c>
      <c r="K64" s="435">
        <f t="shared" si="5"/>
        <v>-1</v>
      </c>
      <c r="L64" s="434">
        <f t="shared" ref="L64" si="6">IFERROR(-SEARCH("Increase",L62)/SEARCH("Increase",L62),1)</f>
        <v>1</v>
      </c>
      <c r="M64" s="435">
        <f t="shared" si="5"/>
        <v>-1</v>
      </c>
    </row>
    <row r="65" spans="4:13" ht="14.4" x14ac:dyDescent="0.3">
      <c r="D65" s="438">
        <f t="shared" ref="D65:D111" si="7">SUMPRODUCT(F65:M65,$F$64:$M$64)</f>
        <v>0</v>
      </c>
      <c r="E65" s="424">
        <v>2014</v>
      </c>
      <c r="F65" s="430">
        <v>0</v>
      </c>
      <c r="G65" s="430">
        <v>0</v>
      </c>
      <c r="H65" s="430">
        <v>0</v>
      </c>
      <c r="I65" s="430">
        <v>0</v>
      </c>
      <c r="J65" s="430">
        <v>0</v>
      </c>
      <c r="K65" s="430">
        <v>0</v>
      </c>
      <c r="L65" s="430">
        <v>0</v>
      </c>
      <c r="M65" s="430">
        <v>0</v>
      </c>
    </row>
    <row r="66" spans="4:13" ht="14.4" x14ac:dyDescent="0.3">
      <c r="D66" s="438">
        <f t="shared" si="7"/>
        <v>0.70604649029787048</v>
      </c>
      <c r="E66" s="424">
        <v>2015</v>
      </c>
      <c r="F66" s="430">
        <v>0</v>
      </c>
      <c r="G66" s="430">
        <v>0</v>
      </c>
      <c r="H66" s="430">
        <v>0</v>
      </c>
      <c r="I66" s="430">
        <v>1.9637747774249157</v>
      </c>
      <c r="J66" s="430">
        <v>0</v>
      </c>
      <c r="K66" s="430">
        <v>0</v>
      </c>
      <c r="L66" s="579">
        <v>1.557951951055247E-2</v>
      </c>
      <c r="M66" s="430">
        <v>-2.6542417482122338</v>
      </c>
    </row>
    <row r="67" spans="4:13" ht="14.4" x14ac:dyDescent="0.3">
      <c r="D67" s="438">
        <f t="shared" si="7"/>
        <v>-12.574164534673988</v>
      </c>
      <c r="E67" s="424">
        <v>2016</v>
      </c>
      <c r="F67" s="430">
        <v>0</v>
      </c>
      <c r="G67" s="430">
        <v>0</v>
      </c>
      <c r="H67" s="430">
        <v>0</v>
      </c>
      <c r="I67" s="430">
        <v>1.7258137708406813</v>
      </c>
      <c r="J67" s="430">
        <v>0</v>
      </c>
      <c r="K67" s="430">
        <v>0</v>
      </c>
      <c r="L67" s="579">
        <v>1.2010732423280605E-2</v>
      </c>
      <c r="M67" s="430">
        <v>10.860361496256587</v>
      </c>
    </row>
    <row r="68" spans="4:13" ht="14.4" x14ac:dyDescent="0.3">
      <c r="D68" s="438">
        <f t="shared" si="7"/>
        <v>-17.665439312154543</v>
      </c>
      <c r="E68" s="424">
        <v>2017</v>
      </c>
      <c r="F68" s="430">
        <v>0</v>
      </c>
      <c r="G68" s="430">
        <v>0</v>
      </c>
      <c r="H68" s="430">
        <v>0</v>
      </c>
      <c r="I68" s="430">
        <v>-1.7841839218488411</v>
      </c>
      <c r="J68" s="430">
        <v>0</v>
      </c>
      <c r="K68" s="430">
        <v>0</v>
      </c>
      <c r="L68" s="579">
        <v>6.7002430379042889E-3</v>
      </c>
      <c r="M68" s="430">
        <v>19.456323477041288</v>
      </c>
    </row>
    <row r="69" spans="4:13" ht="14.4" x14ac:dyDescent="0.3">
      <c r="D69" s="438">
        <f t="shared" si="7"/>
        <v>-9.0231642626787263</v>
      </c>
      <c r="E69" s="424">
        <v>2018</v>
      </c>
      <c r="F69" s="430">
        <v>0</v>
      </c>
      <c r="G69" s="430">
        <v>0</v>
      </c>
      <c r="H69" s="430">
        <v>0</v>
      </c>
      <c r="I69" s="430">
        <v>-1.8376838015196935</v>
      </c>
      <c r="J69" s="430">
        <v>0</v>
      </c>
      <c r="K69" s="430">
        <v>0</v>
      </c>
      <c r="L69" s="579">
        <v>-9.8504443397577009E-14</v>
      </c>
      <c r="M69" s="430">
        <v>10.860848064198322</v>
      </c>
    </row>
    <row r="70" spans="4:13" ht="14.4" x14ac:dyDescent="0.3">
      <c r="D70" s="438">
        <f t="shared" si="7"/>
        <v>-9.2896132469631585</v>
      </c>
      <c r="E70" s="424">
        <v>2019</v>
      </c>
      <c r="F70" s="430">
        <v>0</v>
      </c>
      <c r="G70" s="430">
        <v>6.03917615485072E-2</v>
      </c>
      <c r="H70" s="430">
        <v>-3.1862512819422273</v>
      </c>
      <c r="I70" s="430">
        <v>3.8361549530182932E-3</v>
      </c>
      <c r="J70" s="430">
        <v>0</v>
      </c>
      <c r="K70" s="430">
        <v>1.7281879314876285E-2</v>
      </c>
      <c r="L70" s="579">
        <v>7.6294009831597158</v>
      </c>
      <c r="M70" s="430">
        <v>20.023755716248701</v>
      </c>
    </row>
    <row r="71" spans="4:13" ht="14.4" x14ac:dyDescent="0.3">
      <c r="D71" s="438">
        <f t="shared" si="7"/>
        <v>-26.858429922831192</v>
      </c>
      <c r="E71" s="427">
        <v>2020</v>
      </c>
      <c r="F71" s="430">
        <v>0</v>
      </c>
      <c r="G71" s="430">
        <v>0.10565286562395698</v>
      </c>
      <c r="H71" s="430">
        <v>2.8059970878608267</v>
      </c>
      <c r="I71" s="430">
        <v>3.7752466500509154</v>
      </c>
      <c r="J71" s="430">
        <v>0</v>
      </c>
      <c r="K71" s="430">
        <v>2.2994520177467642E-2</v>
      </c>
      <c r="L71" s="579">
        <v>8.4481892736245552</v>
      </c>
      <c r="M71" s="430">
        <v>28.596728072742582</v>
      </c>
    </row>
    <row r="72" spans="4:13" ht="14.4" x14ac:dyDescent="0.3">
      <c r="D72" s="438">
        <f t="shared" si="7"/>
        <v>-44.859699482155307</v>
      </c>
      <c r="E72" s="424">
        <v>2021</v>
      </c>
      <c r="F72" s="430">
        <v>0</v>
      </c>
      <c r="G72" s="430">
        <v>0.15217014246873461</v>
      </c>
      <c r="H72" s="430">
        <v>10.607641424195506</v>
      </c>
      <c r="I72" s="430">
        <v>7.3608349694472821</v>
      </c>
      <c r="J72" s="430">
        <v>0</v>
      </c>
      <c r="K72" s="430">
        <v>2.8671652412311642E-2</v>
      </c>
      <c r="L72" s="579">
        <v>9.9307181428746603</v>
      </c>
      <c r="M72" s="430">
        <v>36.641099436506138</v>
      </c>
    </row>
    <row r="73" spans="4:13" ht="14.4" x14ac:dyDescent="0.3">
      <c r="D73" s="438">
        <f t="shared" si="7"/>
        <v>-60.600897233825002</v>
      </c>
      <c r="E73" s="424">
        <v>2022</v>
      </c>
      <c r="F73" s="430">
        <v>0</v>
      </c>
      <c r="G73" s="430">
        <v>0.19992985331281221</v>
      </c>
      <c r="H73" s="430">
        <v>20.269790408916567</v>
      </c>
      <c r="I73" s="430">
        <v>10.775162613901353</v>
      </c>
      <c r="J73" s="430">
        <v>-2.768737278483401</v>
      </c>
      <c r="K73" s="430">
        <v>3.4312924565643617E-2</v>
      </c>
      <c r="L73" s="579">
        <v>12.127765398754743</v>
      </c>
      <c r="M73" s="430">
        <v>44.21820411036677</v>
      </c>
    </row>
    <row r="74" spans="4:13" ht="14.4" x14ac:dyDescent="0.3">
      <c r="D74" s="438">
        <f t="shared" si="7"/>
        <v>-85.163320776526319</v>
      </c>
      <c r="E74" s="424">
        <v>2023</v>
      </c>
      <c r="F74" s="430">
        <v>0</v>
      </c>
      <c r="G74" s="430">
        <v>0.24891825938615297</v>
      </c>
      <c r="H74" s="430">
        <v>31.843552723878741</v>
      </c>
      <c r="I74" s="430">
        <v>14.032791084172239</v>
      </c>
      <c r="J74" s="430">
        <v>0.56353091300560554</v>
      </c>
      <c r="K74" s="430">
        <v>3.9917993833035299E-2</v>
      </c>
      <c r="L74" s="579">
        <v>12.954766594901219</v>
      </c>
      <c r="M74" s="430">
        <v>51.389376397151757</v>
      </c>
    </row>
    <row r="75" spans="4:13" ht="14.4" x14ac:dyDescent="0.3">
      <c r="D75" s="438">
        <f t="shared" si="7"/>
        <v>-111.07433498583475</v>
      </c>
      <c r="E75" s="424">
        <v>2024</v>
      </c>
      <c r="F75" s="430">
        <v>0</v>
      </c>
      <c r="G75" s="430">
        <v>0.2991216219187296</v>
      </c>
      <c r="H75" s="430">
        <v>45.380037050936338</v>
      </c>
      <c r="I75" s="430">
        <v>17.148281881019162</v>
      </c>
      <c r="J75" s="430">
        <v>3.8152050440246743</v>
      </c>
      <c r="K75" s="430">
        <v>4.5486526077740966E-2</v>
      </c>
      <c r="L75" s="579">
        <v>13.829747737828635</v>
      </c>
      <c r="M75" s="430">
        <v>58.215950599686749</v>
      </c>
    </row>
    <row r="76" spans="4:13" ht="14.4" x14ac:dyDescent="0.3">
      <c r="D76" s="438">
        <f t="shared" si="7"/>
        <v>-138.47464907322791</v>
      </c>
      <c r="E76" s="424">
        <v>2025</v>
      </c>
      <c r="F76" s="430">
        <v>0</v>
      </c>
      <c r="G76" s="430">
        <v>0.35052620214051389</v>
      </c>
      <c r="H76" s="430">
        <v>60.930352071944242</v>
      </c>
      <c r="I76" s="430">
        <v>20.136196505201298</v>
      </c>
      <c r="J76" s="430">
        <v>6.9892933080349007</v>
      </c>
      <c r="K76" s="430">
        <v>5.1018195845074006E-2</v>
      </c>
      <c r="L76" s="579">
        <v>14.741998230740721</v>
      </c>
      <c r="M76" s="430">
        <v>64.759261020802597</v>
      </c>
    </row>
    <row r="77" spans="4:13" ht="14.4" x14ac:dyDescent="0.3">
      <c r="D77" s="438">
        <f t="shared" si="7"/>
        <v>-167.44986202564701</v>
      </c>
      <c r="E77" s="424">
        <v>2026</v>
      </c>
      <c r="F77" s="430">
        <v>0</v>
      </c>
      <c r="G77" s="430">
        <v>0.40311826128146966</v>
      </c>
      <c r="H77" s="430">
        <v>78.545606468756773</v>
      </c>
      <c r="I77" s="430">
        <v>23.011096457477837</v>
      </c>
      <c r="J77" s="430">
        <v>10.090841226895227</v>
      </c>
      <c r="K77" s="430">
        <v>5.6512686372876222E-2</v>
      </c>
      <c r="L77" s="579">
        <v>15.737955038462049</v>
      </c>
      <c r="M77" s="430">
        <v>71.080641963324908</v>
      </c>
    </row>
    <row r="78" spans="4:13" ht="14.4" x14ac:dyDescent="0.3">
      <c r="D78" s="438">
        <f t="shared" si="7"/>
        <v>-198.17066569464984</v>
      </c>
      <c r="E78" s="424">
        <v>2027</v>
      </c>
      <c r="F78" s="430">
        <v>0</v>
      </c>
      <c r="G78" s="430">
        <v>0.45688406057156894</v>
      </c>
      <c r="H78" s="430">
        <v>98.276908923228817</v>
      </c>
      <c r="I78" s="430">
        <v>25.787543238607974</v>
      </c>
      <c r="J78" s="430">
        <v>13.12610948144637</v>
      </c>
      <c r="K78" s="430">
        <v>6.1969689598116655E-2</v>
      </c>
      <c r="L78" s="579">
        <v>16.780177428884073</v>
      </c>
      <c r="M78" s="430">
        <v>77.241427730081043</v>
      </c>
    </row>
    <row r="79" spans="4:13" ht="14.4" x14ac:dyDescent="0.3">
      <c r="D79" s="438">
        <f t="shared" si="7"/>
        <v>-230.75063716099464</v>
      </c>
      <c r="E79" s="424">
        <v>2028</v>
      </c>
      <c r="F79" s="430">
        <v>0</v>
      </c>
      <c r="G79" s="430">
        <v>0.51180986124078109</v>
      </c>
      <c r="H79" s="430">
        <v>120.17536811721466</v>
      </c>
      <c r="I79" s="430">
        <v>28.480098349350872</v>
      </c>
      <c r="J79" s="430">
        <v>16.100337006219149</v>
      </c>
      <c r="K79" s="430">
        <v>6.7388906159659923E-2</v>
      </c>
      <c r="L79" s="579">
        <v>17.887317703087106</v>
      </c>
      <c r="M79" s="430">
        <v>83.302952623896616</v>
      </c>
    </row>
    <row r="80" spans="4:13" ht="14.4" x14ac:dyDescent="0.3">
      <c r="D80" s="438">
        <f t="shared" si="7"/>
        <v>-265.31737802990546</v>
      </c>
      <c r="E80" s="424">
        <v>2029</v>
      </c>
      <c r="F80" s="430">
        <v>0</v>
      </c>
      <c r="G80" s="430">
        <v>0.56788192451907848</v>
      </c>
      <c r="H80" s="430">
        <v>144.29209273256922</v>
      </c>
      <c r="I80" s="430">
        <v>31.10332329046572</v>
      </c>
      <c r="J80" s="430">
        <v>19.018914663763642</v>
      </c>
      <c r="K80" s="430">
        <v>7.277004539726796E-2</v>
      </c>
      <c r="L80" s="579">
        <v>19.064155574411917</v>
      </c>
      <c r="M80" s="430">
        <v>89.326550947602485</v>
      </c>
    </row>
    <row r="81" spans="4:13" ht="14.4" x14ac:dyDescent="0.3">
      <c r="D81" s="438">
        <f t="shared" si="7"/>
        <v>-302.35988160872341</v>
      </c>
      <c r="E81" s="424">
        <v>2030</v>
      </c>
      <c r="F81" s="430">
        <v>0</v>
      </c>
      <c r="G81" s="430">
        <v>0.62508651163642437</v>
      </c>
      <c r="H81" s="430">
        <v>170.67819145114674</v>
      </c>
      <c r="I81" s="430">
        <v>33.671779562711727</v>
      </c>
      <c r="J81" s="430">
        <v>22.218687293198073</v>
      </c>
      <c r="K81" s="430">
        <v>7.8112825346880105E-2</v>
      </c>
      <c r="L81" s="579">
        <v>20.285533039340645</v>
      </c>
      <c r="M81" s="430">
        <v>95.373557004024235</v>
      </c>
    </row>
    <row r="82" spans="4:13" ht="14.4" x14ac:dyDescent="0.3">
      <c r="D82" s="438">
        <f t="shared" si="7"/>
        <v>-340.92053045711702</v>
      </c>
      <c r="E82" s="424">
        <v>2031</v>
      </c>
      <c r="F82" s="430">
        <v>0</v>
      </c>
      <c r="G82" s="430">
        <v>0.68340988382279111</v>
      </c>
      <c r="H82" s="430">
        <v>199.38477295480206</v>
      </c>
      <c r="I82" s="430">
        <v>36.200028666848048</v>
      </c>
      <c r="J82" s="430">
        <v>24.710503123538839</v>
      </c>
      <c r="K82" s="430">
        <v>8.3416972732217251E-2</v>
      </c>
      <c r="L82" s="579">
        <v>21.6469062406162</v>
      </c>
      <c r="M82" s="430">
        <v>101.50530509598926</v>
      </c>
    </row>
    <row r="83" spans="4:13" ht="14.4" x14ac:dyDescent="0.3">
      <c r="D83" s="438">
        <f t="shared" si="7"/>
        <v>-382.2112088564669</v>
      </c>
      <c r="E83" s="424">
        <v>2032</v>
      </c>
      <c r="F83" s="430">
        <v>0</v>
      </c>
      <c r="G83" s="430">
        <v>0.74283830230814774</v>
      </c>
      <c r="H83" s="430">
        <v>230.46294592538987</v>
      </c>
      <c r="I83" s="430">
        <v>38.702632103633889</v>
      </c>
      <c r="J83" s="430">
        <v>27.494489080724904</v>
      </c>
      <c r="K83" s="430">
        <v>8.8682222952786452E-2</v>
      </c>
      <c r="L83" s="579">
        <v>23.063508304867671</v>
      </c>
      <c r="M83" s="430">
        <v>107.78312952632496</v>
      </c>
    </row>
    <row r="84" spans="4:13" ht="14.4" x14ac:dyDescent="0.3">
      <c r="D84" s="438">
        <f t="shared" si="7"/>
        <v>-425.99847353705559</v>
      </c>
      <c r="E84" s="424">
        <v>2033</v>
      </c>
      <c r="F84" s="430">
        <v>0</v>
      </c>
      <c r="G84" s="430">
        <v>0.80335802832246728</v>
      </c>
      <c r="H84" s="430">
        <v>263.96381904476442</v>
      </c>
      <c r="I84" s="430">
        <v>41.194151373828412</v>
      </c>
      <c r="J84" s="430">
        <v>30.246352614235555</v>
      </c>
      <c r="K84" s="430">
        <v>9.3908320068319812E-2</v>
      </c>
      <c r="L84" s="579">
        <v>24.571480442020391</v>
      </c>
      <c r="M84" s="430">
        <v>114.26836459785684</v>
      </c>
    </row>
    <row r="85" spans="4:13" ht="14.4" x14ac:dyDescent="0.3">
      <c r="D85" s="438">
        <f t="shared" si="7"/>
        <v>-472.41072615649159</v>
      </c>
      <c r="E85" s="424">
        <v>2034</v>
      </c>
      <c r="F85" s="430">
        <v>0</v>
      </c>
      <c r="G85" s="430">
        <v>0.86495532309571255</v>
      </c>
      <c r="H85" s="430">
        <v>299.93850099478067</v>
      </c>
      <c r="I85" s="430">
        <v>43.689147978190796</v>
      </c>
      <c r="J85" s="430">
        <v>32.973961700401766</v>
      </c>
      <c r="K85" s="430">
        <v>9.9095016779727985E-2</v>
      </c>
      <c r="L85" s="579">
        <v>26.177279470172945</v>
      </c>
      <c r="M85" s="430">
        <v>121.02234461341581</v>
      </c>
    </row>
    <row r="86" spans="4:13" ht="14.4" x14ac:dyDescent="0.3">
      <c r="D86" s="438">
        <f t="shared" si="7"/>
        <v>-521.07508101940539</v>
      </c>
      <c r="E86" s="424">
        <v>2035</v>
      </c>
      <c r="F86" s="430">
        <v>0</v>
      </c>
      <c r="G86" s="430">
        <v>0.92761644785785569</v>
      </c>
      <c r="H86" s="430">
        <v>338.43810045729299</v>
      </c>
      <c r="I86" s="430">
        <v>46.202183417480263</v>
      </c>
      <c r="J86" s="430">
        <v>35.148289341634189</v>
      </c>
      <c r="K86" s="430">
        <v>0.10424207440662184</v>
      </c>
      <c r="L86" s="579">
        <v>27.85175459509404</v>
      </c>
      <c r="M86" s="430">
        <v>128.10640387582743</v>
      </c>
    </row>
    <row r="87" spans="4:13" ht="14.4" x14ac:dyDescent="0.3">
      <c r="D87" s="438">
        <f t="shared" si="7"/>
        <v>-573.62028589062766</v>
      </c>
      <c r="E87" s="424">
        <v>2036</v>
      </c>
      <c r="F87" s="430">
        <v>0</v>
      </c>
      <c r="G87" s="430">
        <v>0.99132766383886928</v>
      </c>
      <c r="H87" s="430">
        <v>379.51372611415604</v>
      </c>
      <c r="I87" s="430">
        <v>48.747819192455985</v>
      </c>
      <c r="J87" s="430">
        <v>38.384755296425084</v>
      </c>
      <c r="K87" s="430">
        <v>0.10934926286145877</v>
      </c>
      <c r="L87" s="579">
        <v>29.708568327029113</v>
      </c>
      <c r="M87" s="430">
        <v>135.58187668791919</v>
      </c>
    </row>
    <row r="88" spans="4:13" ht="14.4" x14ac:dyDescent="0.3">
      <c r="D88" s="438">
        <f t="shared" si="7"/>
        <v>-628.67012046336868</v>
      </c>
      <c r="E88" s="424">
        <v>2037</v>
      </c>
      <c r="F88" s="430">
        <v>0</v>
      </c>
      <c r="G88" s="430">
        <v>1.056075232268717</v>
      </c>
      <c r="H88" s="430">
        <v>423.21648664722449</v>
      </c>
      <c r="I88" s="430">
        <v>51.340616803877126</v>
      </c>
      <c r="J88" s="430">
        <v>41.07946382027756</v>
      </c>
      <c r="K88" s="430">
        <v>0.11441636062039287</v>
      </c>
      <c r="L88" s="579">
        <v>31.647035753416176</v>
      </c>
      <c r="M88" s="430">
        <v>143.51009735251654</v>
      </c>
    </row>
    <row r="89" spans="4:13" ht="14.4" x14ac:dyDescent="0.3">
      <c r="D89" s="438">
        <f t="shared" si="7"/>
        <v>-686.85022336840495</v>
      </c>
      <c r="E89" s="424">
        <v>2038</v>
      </c>
      <c r="F89" s="430">
        <v>0</v>
      </c>
      <c r="G89" s="430">
        <v>1.1218454143773702</v>
      </c>
      <c r="H89" s="430">
        <v>469.59749073835292</v>
      </c>
      <c r="I89" s="430">
        <v>53.995137752502863</v>
      </c>
      <c r="J89" s="430">
        <v>43.773321998234486</v>
      </c>
      <c r="K89" s="430">
        <v>0.11944315469088891</v>
      </c>
      <c r="L89" s="579">
        <v>33.709415862203947</v>
      </c>
      <c r="M89" s="430">
        <v>151.95240017245044</v>
      </c>
    </row>
    <row r="90" spans="4:13" ht="14.4" x14ac:dyDescent="0.3">
      <c r="D90" s="438">
        <f t="shared" si="7"/>
        <v>-748.28483835613815</v>
      </c>
      <c r="E90" s="424">
        <v>2039</v>
      </c>
      <c r="F90" s="430">
        <v>0</v>
      </c>
      <c r="G90" s="430">
        <v>1.1886244713947991</v>
      </c>
      <c r="H90" s="430">
        <v>518.70784706939571</v>
      </c>
      <c r="I90" s="430">
        <v>56.725943539092455</v>
      </c>
      <c r="J90" s="430">
        <v>46.470156084765193</v>
      </c>
      <c r="K90" s="430">
        <v>0.12442944057615959</v>
      </c>
      <c r="L90" s="579">
        <v>35.902281699632603</v>
      </c>
      <c r="M90" s="430">
        <v>160.97011945054646</v>
      </c>
    </row>
    <row r="91" spans="4:13" ht="14.4" x14ac:dyDescent="0.3">
      <c r="D91" s="438">
        <f t="shared" si="7"/>
        <v>-813.18097541727639</v>
      </c>
      <c r="E91" s="424">
        <v>2040</v>
      </c>
      <c r="F91" s="430">
        <v>0</v>
      </c>
      <c r="G91" s="430">
        <v>1.2563986645509759</v>
      </c>
      <c r="H91" s="430">
        <v>570.5986643222077</v>
      </c>
      <c r="I91" s="430">
        <v>59.547595664404966</v>
      </c>
      <c r="J91" s="430">
        <v>49.249835993825911</v>
      </c>
      <c r="K91" s="430">
        <v>0.1293750222365157</v>
      </c>
      <c r="L91" s="579">
        <v>38.225483739581648</v>
      </c>
      <c r="M91" s="430">
        <v>170.62458948963192</v>
      </c>
    </row>
    <row r="92" spans="4:13" ht="14.4" x14ac:dyDescent="0.3">
      <c r="D92" s="438">
        <f t="shared" si="7"/>
        <v>-881.41524303017502</v>
      </c>
      <c r="E92" s="424">
        <v>2041</v>
      </c>
      <c r="F92" s="430">
        <v>0</v>
      </c>
      <c r="G92" s="430">
        <v>1.3251542550758626</v>
      </c>
      <c r="H92" s="430">
        <v>625.32105117864353</v>
      </c>
      <c r="I92" s="430">
        <v>62.474655629199731</v>
      </c>
      <c r="J92" s="430">
        <v>51.889958432514895</v>
      </c>
      <c r="K92" s="430">
        <v>0.13427971204767583</v>
      </c>
      <c r="L92" s="579">
        <v>40.707000769840931</v>
      </c>
      <c r="M92" s="430">
        <v>180.9771445925343</v>
      </c>
    </row>
    <row r="93" spans="4:13" ht="14.4" x14ac:dyDescent="0.3">
      <c r="D93" s="438">
        <f t="shared" si="7"/>
        <v>-953.36080383140609</v>
      </c>
      <c r="E93" s="424">
        <v>2042</v>
      </c>
      <c r="F93" s="430">
        <v>0</v>
      </c>
      <c r="G93" s="430">
        <v>1.3948775041994339</v>
      </c>
      <c r="H93" s="430">
        <v>682.9261163205573</v>
      </c>
      <c r="I93" s="430">
        <v>65.521684934235765</v>
      </c>
      <c r="J93" s="430">
        <v>54.62334376811075</v>
      </c>
      <c r="K93" s="430">
        <v>0.13914333075612703</v>
      </c>
      <c r="L93" s="579">
        <v>43.333481088532615</v>
      </c>
      <c r="M93" s="430">
        <v>192.08911906207922</v>
      </c>
    </row>
    <row r="94" spans="4:13" ht="14.4" x14ac:dyDescent="0.3">
      <c r="D94" s="438">
        <f t="shared" si="7"/>
        <v>-1029.0591520008106</v>
      </c>
      <c r="E94" s="424">
        <v>2043</v>
      </c>
      <c r="F94" s="430">
        <v>0</v>
      </c>
      <c r="G94" s="430">
        <v>1.4655546731516602</v>
      </c>
      <c r="H94" s="430">
        <v>743.46496842980434</v>
      </c>
      <c r="I94" s="430">
        <v>68.703245080272353</v>
      </c>
      <c r="J94" s="430">
        <v>57.378918798666191</v>
      </c>
      <c r="K94" s="430">
        <v>0.14396570743160156</v>
      </c>
      <c r="L94" s="579">
        <v>46.119347889612996</v>
      </c>
      <c r="M94" s="430">
        <v>204.02184720109733</v>
      </c>
    </row>
    <row r="95" spans="4:13" ht="14.4" x14ac:dyDescent="0.3">
      <c r="D95" s="438">
        <f t="shared" si="7"/>
        <v>-1108.6342945587144</v>
      </c>
      <c r="E95" s="424">
        <v>2044</v>
      </c>
      <c r="F95" s="430">
        <v>0</v>
      </c>
      <c r="G95" s="430">
        <v>1.5371720231625052</v>
      </c>
      <c r="H95" s="430">
        <v>806.98871618823875</v>
      </c>
      <c r="I95" s="430">
        <v>72.033897568068681</v>
      </c>
      <c r="J95" s="430">
        <v>60.161351825550426</v>
      </c>
      <c r="K95" s="430">
        <v>0.14874667941673575</v>
      </c>
      <c r="L95" s="579">
        <v>49.072253038137113</v>
      </c>
      <c r="M95" s="430">
        <v>216.83666331241434</v>
      </c>
    </row>
    <row r="96" spans="4:13" ht="14.4" x14ac:dyDescent="0.3">
      <c r="D96" s="438">
        <f t="shared" si="7"/>
        <v>-1192.365226772881</v>
      </c>
      <c r="E96" s="424">
        <v>2045</v>
      </c>
      <c r="F96" s="430">
        <v>0</v>
      </c>
      <c r="G96" s="430">
        <v>1.609715815461942</v>
      </c>
      <c r="H96" s="430">
        <v>873.5484682777153</v>
      </c>
      <c r="I96" s="430">
        <v>75.528203898383907</v>
      </c>
      <c r="J96" s="430">
        <v>63.253875973917225</v>
      </c>
      <c r="K96" s="430">
        <v>0.15348609227400015</v>
      </c>
      <c r="L96" s="579">
        <v>52.323424983729218</v>
      </c>
      <c r="M96" s="430">
        <v>230.5949016988578</v>
      </c>
    </row>
    <row r="97" spans="4:13" ht="14.4" x14ac:dyDescent="0.3">
      <c r="D97" s="438">
        <f t="shared" si="7"/>
        <v>-1279.9104928125589</v>
      </c>
      <c r="E97" s="424">
        <v>2046</v>
      </c>
      <c r="F97" s="430">
        <v>0</v>
      </c>
      <c r="G97" s="430">
        <v>1.6831723112799386</v>
      </c>
      <c r="H97" s="430">
        <v>943.19533338008853</v>
      </c>
      <c r="I97" s="430">
        <v>79.20072557197723</v>
      </c>
      <c r="J97" s="430">
        <v>65.825635135237576</v>
      </c>
      <c r="K97" s="430">
        <v>0.15818379972996907</v>
      </c>
      <c r="L97" s="579">
        <v>55.510454049007464</v>
      </c>
      <c r="M97" s="430">
        <v>245.357896663253</v>
      </c>
    </row>
    <row r="98" spans="4:13" ht="14.4" x14ac:dyDescent="0.3">
      <c r="D98" s="438">
        <f t="shared" si="7"/>
        <v>-1371.85917623466</v>
      </c>
      <c r="E98" s="424">
        <v>2047</v>
      </c>
      <c r="F98" s="430">
        <v>0</v>
      </c>
      <c r="G98" s="430">
        <v>1.757527771846469</v>
      </c>
      <c r="H98" s="430">
        <v>1015.9804201772132</v>
      </c>
      <c r="I98" s="430">
        <v>83.066024089607808</v>
      </c>
      <c r="J98" s="430">
        <v>68.717113571999676</v>
      </c>
      <c r="K98" s="430">
        <v>0.1628396636169972</v>
      </c>
      <c r="L98" s="579">
        <v>59.011731548054776</v>
      </c>
      <c r="M98" s="430">
        <v>261.18698250843102</v>
      </c>
    </row>
    <row r="99" spans="4:13" ht="14.4" x14ac:dyDescent="0.3">
      <c r="D99" s="438">
        <f t="shared" si="7"/>
        <v>-1468.1797258111667</v>
      </c>
      <c r="E99" s="424">
        <v>2048</v>
      </c>
      <c r="F99" s="430">
        <v>0</v>
      </c>
      <c r="G99" s="430">
        <v>1.8327684583914952</v>
      </c>
      <c r="H99" s="430">
        <v>1091.9548373509435</v>
      </c>
      <c r="I99" s="430">
        <v>87.138660952034869</v>
      </c>
      <c r="J99" s="430">
        <v>71.654397537967597</v>
      </c>
      <c r="K99" s="430">
        <v>0.16745355381239996</v>
      </c>
      <c r="L99" s="579">
        <v>62.711885579200526</v>
      </c>
      <c r="M99" s="430">
        <v>278.14349353721735</v>
      </c>
    </row>
    <row r="100" spans="4:13" ht="14.4" x14ac:dyDescent="0.3">
      <c r="D100" s="438">
        <f t="shared" si="7"/>
        <v>-1568.9955807836</v>
      </c>
      <c r="E100" s="424">
        <v>2049</v>
      </c>
      <c r="F100" s="430">
        <v>0</v>
      </c>
      <c r="G100" s="430">
        <v>1.9088806321449896</v>
      </c>
      <c r="H100" s="430">
        <v>1171.1696935831346</v>
      </c>
      <c r="I100" s="430">
        <v>91.433197660017541</v>
      </c>
      <c r="J100" s="430">
        <v>74.642087819727607</v>
      </c>
      <c r="K100" s="430">
        <v>0.17202534817519058</v>
      </c>
      <c r="L100" s="579">
        <v>66.619068312039317</v>
      </c>
      <c r="M100" s="430">
        <v>296.28876405243943</v>
      </c>
    </row>
    <row r="101" spans="4:13" ht="14.4" x14ac:dyDescent="0.3">
      <c r="D101" s="438">
        <f t="shared" si="7"/>
        <v>-1674.3696181358937</v>
      </c>
      <c r="E101" s="427">
        <v>2050</v>
      </c>
      <c r="F101" s="430">
        <v>0</v>
      </c>
      <c r="G101" s="430">
        <v>1.9858505543369249</v>
      </c>
      <c r="H101" s="430">
        <v>1253.6760975556406</v>
      </c>
      <c r="I101" s="430">
        <v>95.96419571431511</v>
      </c>
      <c r="J101" s="430">
        <v>77.555792953998974</v>
      </c>
      <c r="K101" s="430">
        <v>0.17655493248047135</v>
      </c>
      <c r="L101" s="579">
        <v>70.67300193180283</v>
      </c>
      <c r="M101" s="430">
        <v>315.68412835692459</v>
      </c>
    </row>
    <row r="102" spans="4:13" ht="14.4" x14ac:dyDescent="0.3">
      <c r="D102" s="438">
        <f t="shared" si="7"/>
        <v>-1784.6066792330002</v>
      </c>
      <c r="E102" s="424">
        <v>2051</v>
      </c>
      <c r="F102" s="430">
        <v>0</v>
      </c>
      <c r="G102" s="430">
        <v>2.0636644861972648</v>
      </c>
      <c r="H102" s="430">
        <v>1339.525157950316</v>
      </c>
      <c r="I102" s="430">
        <v>100.74621661568658</v>
      </c>
      <c r="J102" s="430">
        <v>80.787525907272027</v>
      </c>
      <c r="K102" s="430">
        <v>0.18104220035154839</v>
      </c>
      <c r="L102" s="579">
        <v>75.087848680321756</v>
      </c>
      <c r="M102" s="430">
        <v>336.39092075349845</v>
      </c>
    </row>
    <row r="103" spans="4:13" ht="14.4" x14ac:dyDescent="0.3">
      <c r="D103" s="438">
        <f t="shared" si="7"/>
        <v>-1899.6485136650167</v>
      </c>
      <c r="E103" s="424">
        <v>2052</v>
      </c>
      <c r="F103" s="430">
        <v>0</v>
      </c>
      <c r="G103" s="430">
        <v>2.142308688955981</v>
      </c>
      <c r="H103" s="430">
        <v>1428.7679834490164</v>
      </c>
      <c r="I103" s="430">
        <v>105.7938218648914</v>
      </c>
      <c r="J103" s="430">
        <v>83.955029487050467</v>
      </c>
      <c r="K103" s="430">
        <v>0.18548705318984027</v>
      </c>
      <c r="L103" s="579">
        <v>79.666592423079493</v>
      </c>
      <c r="M103" s="430">
        <v>358.47047554499187</v>
      </c>
    </row>
    <row r="104" spans="4:13" ht="14.4" x14ac:dyDescent="0.3">
      <c r="D104" s="438">
        <f t="shared" si="7"/>
        <v>-2019.6789617648597</v>
      </c>
      <c r="E104" s="424">
        <v>2053</v>
      </c>
      <c r="F104" s="430">
        <v>0</v>
      </c>
      <c r="G104" s="430">
        <v>2.2217694238430434</v>
      </c>
      <c r="H104" s="430">
        <v>1521.4556827335953</v>
      </c>
      <c r="I104" s="430">
        <v>111.12157296268846</v>
      </c>
      <c r="J104" s="430">
        <v>87.192252106532862</v>
      </c>
      <c r="K104" s="430">
        <v>0.18988940010267852</v>
      </c>
      <c r="L104" s="579">
        <v>84.486331896132995</v>
      </c>
      <c r="M104" s="430">
        <v>381.98412703423048</v>
      </c>
    </row>
    <row r="105" spans="4:13" ht="14.4" x14ac:dyDescent="0.3">
      <c r="D105" s="438">
        <f t="shared" si="7"/>
        <v>-2144.8213965460782</v>
      </c>
      <c r="E105" s="424">
        <v>2054</v>
      </c>
      <c r="F105" s="430">
        <v>0</v>
      </c>
      <c r="G105" s="430">
        <v>2.3020329520884237</v>
      </c>
      <c r="H105" s="430">
        <v>1617.6393644859077</v>
      </c>
      <c r="I105" s="430">
        <v>116.74403140983721</v>
      </c>
      <c r="J105" s="430">
        <v>90.504140004693042</v>
      </c>
      <c r="K105" s="430">
        <v>0.19424915782905375</v>
      </c>
      <c r="L105" s="579">
        <v>89.555630988318583</v>
      </c>
      <c r="M105" s="430">
        <v>406.9932095240415</v>
      </c>
    </row>
    <row r="106" spans="4:13" ht="14.4" x14ac:dyDescent="0.3">
      <c r="D106" s="438">
        <f t="shared" si="7"/>
        <v>-2275.1990888495243</v>
      </c>
      <c r="E106" s="424">
        <v>2055</v>
      </c>
      <c r="F106" s="430">
        <v>0</v>
      </c>
      <c r="G106" s="430">
        <v>2.3830855349220847</v>
      </c>
      <c r="H106" s="430">
        <v>1717.370137387808</v>
      </c>
      <c r="I106" s="430">
        <v>122.67575870709665</v>
      </c>
      <c r="J106" s="430">
        <v>93.895685727214143</v>
      </c>
      <c r="K106" s="430">
        <v>0.19856625066340622</v>
      </c>
      <c r="L106" s="579">
        <v>94.883202075430646</v>
      </c>
      <c r="M106" s="430">
        <v>433.55905731725068</v>
      </c>
    </row>
    <row r="107" spans="4:13" ht="14.4" x14ac:dyDescent="0.3">
      <c r="D107" s="438">
        <f t="shared" si="7"/>
        <v>-2410.935180525038</v>
      </c>
      <c r="E107" s="424">
        <v>2056</v>
      </c>
      <c r="F107" s="430">
        <v>0</v>
      </c>
      <c r="G107" s="430">
        <v>2.4649134335739982</v>
      </c>
      <c r="H107" s="430">
        <v>1820.6991101211513</v>
      </c>
      <c r="I107" s="430">
        <v>128.93131635522599</v>
      </c>
      <c r="J107" s="430">
        <v>97.371904942506376</v>
      </c>
      <c r="K107" s="430">
        <v>0.20284061037752996</v>
      </c>
      <c r="L107" s="579">
        <v>100.47790965448614</v>
      </c>
      <c r="M107" s="430">
        <v>461.7430047166888</v>
      </c>
    </row>
    <row r="108" spans="4:13" ht="14.4" x14ac:dyDescent="0.3">
      <c r="D108" s="438">
        <f t="shared" si="7"/>
        <v>-2552.1526697494851</v>
      </c>
      <c r="E108" s="424">
        <v>2057</v>
      </c>
      <c r="F108" s="430">
        <v>0</v>
      </c>
      <c r="G108" s="430">
        <v>2.547502909274141</v>
      </c>
      <c r="H108" s="430">
        <v>1927.6773913677914</v>
      </c>
      <c r="I108" s="430">
        <v>135.52526585498453</v>
      </c>
      <c r="J108" s="430">
        <v>100.93792213493532</v>
      </c>
      <c r="K108" s="430">
        <v>0.20707217614066251</v>
      </c>
      <c r="L108" s="579">
        <v>106.3488707188224</v>
      </c>
      <c r="M108" s="430">
        <v>491.60638602518151</v>
      </c>
    </row>
    <row r="109" spans="4:13" ht="14.4" x14ac:dyDescent="0.3">
      <c r="D109" s="438">
        <f t="shared" si="7"/>
        <v>-2698.9745453035821</v>
      </c>
      <c r="E109" s="424">
        <v>2058</v>
      </c>
      <c r="F109" s="430">
        <v>0</v>
      </c>
      <c r="G109" s="430">
        <v>2.6308402232524708</v>
      </c>
      <c r="H109" s="430">
        <v>2038.3560898095839</v>
      </c>
      <c r="I109" s="430">
        <v>142.47216870713135</v>
      </c>
      <c r="J109" s="430">
        <v>104.59907611048553</v>
      </c>
      <c r="K109" s="430">
        <v>0.21126089443785057</v>
      </c>
      <c r="L109" s="579">
        <v>112.50542598686502</v>
      </c>
      <c r="M109" s="430">
        <v>523.21053554555624</v>
      </c>
    </row>
    <row r="110" spans="4:13" ht="14.4" x14ac:dyDescent="0.3">
      <c r="D110" s="438">
        <f t="shared" si="7"/>
        <v>-2851.5236622948069</v>
      </c>
      <c r="E110" s="424">
        <v>2059</v>
      </c>
      <c r="F110" s="430">
        <v>0</v>
      </c>
      <c r="G110" s="430">
        <v>2.7149116367389627</v>
      </c>
      <c r="H110" s="430">
        <v>2152.7863141283824</v>
      </c>
      <c r="I110" s="430">
        <v>149.78658641242561</v>
      </c>
      <c r="J110" s="430">
        <v>108.36081624860743</v>
      </c>
      <c r="K110" s="430">
        <v>0.21540671898666358</v>
      </c>
      <c r="L110" s="579">
        <v>118.95716043097481</v>
      </c>
      <c r="M110" s="430">
        <v>556.61678758064033</v>
      </c>
    </row>
    <row r="111" spans="4:13" ht="14.4" x14ac:dyDescent="0.3">
      <c r="D111" s="438">
        <f t="shared" si="7"/>
        <v>-3009.922798143079</v>
      </c>
      <c r="E111" s="424">
        <v>2060</v>
      </c>
      <c r="F111" s="430">
        <v>0</v>
      </c>
      <c r="G111" s="430">
        <v>2.799703410963585</v>
      </c>
      <c r="H111" s="430">
        <v>2271.0191730060424</v>
      </c>
      <c r="I111" s="430">
        <v>157.48308047162664</v>
      </c>
      <c r="J111" s="430">
        <v>112.228601948627</v>
      </c>
      <c r="K111" s="430">
        <v>0.21950961065232272</v>
      </c>
      <c r="L111" s="579">
        <v>125.71374673809233</v>
      </c>
      <c r="M111" s="430">
        <v>591.88647643325942</v>
      </c>
    </row>
    <row r="113" spans="2:13" ht="72" x14ac:dyDescent="0.25">
      <c r="E113" s="597" t="s">
        <v>235</v>
      </c>
      <c r="F113" s="600" t="s">
        <v>576</v>
      </c>
      <c r="G113" s="598" t="s">
        <v>577</v>
      </c>
      <c r="H113" s="598" t="s">
        <v>578</v>
      </c>
      <c r="I113" s="600" t="s">
        <v>579</v>
      </c>
      <c r="J113" s="600" t="s">
        <v>580</v>
      </c>
      <c r="K113" s="598" t="s">
        <v>581</v>
      </c>
      <c r="L113" s="599" t="s">
        <v>607</v>
      </c>
      <c r="M113" s="600" t="s">
        <v>582</v>
      </c>
    </row>
    <row r="116" spans="2:13" ht="31.2" x14ac:dyDescent="0.25">
      <c r="B116" s="436" t="s">
        <v>130</v>
      </c>
      <c r="D116" s="431" t="s">
        <v>471</v>
      </c>
      <c r="E116" s="429" t="s">
        <v>476</v>
      </c>
      <c r="F116" s="439" t="s">
        <v>606</v>
      </c>
      <c r="G116" s="440" t="s">
        <v>605</v>
      </c>
      <c r="H116" s="431" t="s">
        <v>380</v>
      </c>
      <c r="I116" s="431" t="s">
        <v>6</v>
      </c>
      <c r="J116" s="431" t="s">
        <v>600</v>
      </c>
      <c r="K116" s="431" t="s">
        <v>5</v>
      </c>
      <c r="L116" s="580" t="s">
        <v>267</v>
      </c>
      <c r="M116" s="431" t="s">
        <v>604</v>
      </c>
    </row>
    <row r="117" spans="2:13" ht="79.2" x14ac:dyDescent="0.25">
      <c r="D117" s="595" t="s">
        <v>555</v>
      </c>
      <c r="F117" s="441" t="str">
        <f t="shared" ref="F117:K117" si="8">F62</f>
        <v>Net Grid Electricity Saved - Electricity Decrease -(negative means penalty)</v>
      </c>
      <c r="G117" s="441" t="str">
        <f t="shared" si="8"/>
        <v>Net Grid Electricity Used - Electricity Increase -(negative means saved)</v>
      </c>
      <c r="H117" s="441" t="str">
        <f t="shared" si="8"/>
        <v>Net Grid Electricity Used - Electricity Increase -(negative means saved)</v>
      </c>
      <c r="I117" s="441" t="str">
        <f t="shared" si="8"/>
        <v>Net Grid Electricity Used - Electricity Increase -(negative means saved)</v>
      </c>
      <c r="J117" s="441" t="str">
        <f t="shared" si="8"/>
        <v>Net Grid Electricity Used - Electricity Increase -(negative means saved)</v>
      </c>
      <c r="K117" s="441" t="str">
        <f t="shared" si="8"/>
        <v>Net Grid Electricity Used - Electricity Increase -(negative means saved)</v>
      </c>
      <c r="L117" s="441" t="str">
        <f>L62</f>
        <v>Net Grid Electricity Saved - Electricity Decrease -(negative means penalty)</v>
      </c>
      <c r="M117" s="441" t="str">
        <f>M62</f>
        <v>Net Grid Electricity Used - Electricity Increase -(negative means saved)</v>
      </c>
    </row>
    <row r="118" spans="2:13" x14ac:dyDescent="0.25">
      <c r="C118" s="428" t="s">
        <v>474</v>
      </c>
      <c r="D118" s="437">
        <f>SUM(D120:D166)</f>
        <v>-78119.192511646717</v>
      </c>
      <c r="F118" s="432" t="s">
        <v>475</v>
      </c>
      <c r="G118" s="432" t="s">
        <v>475</v>
      </c>
      <c r="H118" s="432" t="s">
        <v>475</v>
      </c>
      <c r="I118" s="432" t="s">
        <v>475</v>
      </c>
      <c r="J118" s="432" t="s">
        <v>475</v>
      </c>
      <c r="K118" s="432" t="s">
        <v>475</v>
      </c>
      <c r="L118" s="432" t="s">
        <v>475</v>
      </c>
      <c r="M118" s="433" t="s">
        <v>475</v>
      </c>
    </row>
    <row r="119" spans="2:13" hidden="1" x14ac:dyDescent="0.25">
      <c r="F119" s="434">
        <f t="shared" ref="F119:M119" si="9">IFERROR(-SEARCH("Increase",F117)/SEARCH("Increase",F117),1)</f>
        <v>1</v>
      </c>
      <c r="G119" s="434">
        <f t="shared" si="9"/>
        <v>-1</v>
      </c>
      <c r="H119" s="435">
        <f t="shared" si="9"/>
        <v>-1</v>
      </c>
      <c r="I119" s="435">
        <f t="shared" si="9"/>
        <v>-1</v>
      </c>
      <c r="J119" s="435">
        <f t="shared" si="9"/>
        <v>-1</v>
      </c>
      <c r="K119" s="435">
        <f t="shared" si="9"/>
        <v>-1</v>
      </c>
      <c r="L119" s="434">
        <f t="shared" ref="L119" si="10">IFERROR(-SEARCH("Increase",L117)/SEARCH("Increase",L117),1)</f>
        <v>1</v>
      </c>
      <c r="M119" s="435">
        <f t="shared" si="9"/>
        <v>-1</v>
      </c>
    </row>
    <row r="120" spans="2:13" ht="14.4" x14ac:dyDescent="0.3">
      <c r="D120" s="438">
        <f t="shared" ref="D120:D166" si="11">SUMPRODUCT(F120:M120,$F$119:$M$119)</f>
        <v>0</v>
      </c>
      <c r="E120" s="424">
        <v>2014</v>
      </c>
      <c r="F120" s="430">
        <v>0</v>
      </c>
      <c r="G120" s="430">
        <v>0</v>
      </c>
      <c r="H120" s="430">
        <v>0</v>
      </c>
      <c r="I120" s="430">
        <v>0</v>
      </c>
      <c r="J120" s="430">
        <v>0</v>
      </c>
      <c r="K120" s="430">
        <v>0</v>
      </c>
      <c r="L120" s="579">
        <v>0</v>
      </c>
      <c r="M120" s="430">
        <v>0</v>
      </c>
    </row>
    <row r="121" spans="2:13" ht="14.4" x14ac:dyDescent="0.3">
      <c r="D121" s="438">
        <f t="shared" si="11"/>
        <v>3.282288549450739</v>
      </c>
      <c r="E121" s="424">
        <v>2015</v>
      </c>
      <c r="F121" s="430">
        <v>0</v>
      </c>
      <c r="G121" s="430">
        <v>0</v>
      </c>
      <c r="H121" s="430">
        <v>0</v>
      </c>
      <c r="I121" s="430">
        <v>2.9630137506647309</v>
      </c>
      <c r="J121" s="430">
        <v>0</v>
      </c>
      <c r="K121" s="430">
        <v>0</v>
      </c>
      <c r="L121" s="579">
        <v>3.8125887944112195E-2</v>
      </c>
      <c r="M121" s="430">
        <v>-6.207176412171358</v>
      </c>
    </row>
    <row r="122" spans="2:13" ht="14.4" x14ac:dyDescent="0.3">
      <c r="D122" s="438">
        <f t="shared" si="11"/>
        <v>-14.372766360458723</v>
      </c>
      <c r="E122" s="424">
        <v>2016</v>
      </c>
      <c r="F122" s="430">
        <v>0</v>
      </c>
      <c r="G122" s="430">
        <v>0</v>
      </c>
      <c r="H122" s="430">
        <v>0</v>
      </c>
      <c r="I122" s="430">
        <v>5.3688355574231394</v>
      </c>
      <c r="J122" s="430">
        <v>0</v>
      </c>
      <c r="K122" s="430">
        <v>0</v>
      </c>
      <c r="L122" s="579">
        <v>2.9392423700008767E-2</v>
      </c>
      <c r="M122" s="430">
        <v>9.0333232267355914</v>
      </c>
    </row>
    <row r="123" spans="2:13" ht="14.4" x14ac:dyDescent="0.3">
      <c r="D123" s="438">
        <f t="shared" si="11"/>
        <v>-25.449996342374789</v>
      </c>
      <c r="E123" s="424">
        <v>2017</v>
      </c>
      <c r="F123" s="430">
        <v>0</v>
      </c>
      <c r="G123" s="430">
        <v>0</v>
      </c>
      <c r="H123" s="430">
        <v>0</v>
      </c>
      <c r="I123" s="430">
        <v>4.4754118820938249</v>
      </c>
      <c r="J123" s="430">
        <v>0</v>
      </c>
      <c r="K123" s="430">
        <v>0</v>
      </c>
      <c r="L123" s="579">
        <v>1.6396700494417115E-2</v>
      </c>
      <c r="M123" s="430">
        <v>20.99098116077538</v>
      </c>
    </row>
    <row r="124" spans="2:13" ht="14.4" x14ac:dyDescent="0.3">
      <c r="D124" s="438">
        <f t="shared" si="11"/>
        <v>-24.319081238453702</v>
      </c>
      <c r="E124" s="424">
        <v>2018</v>
      </c>
      <c r="F124" s="430">
        <v>0</v>
      </c>
      <c r="G124" s="430">
        <v>0</v>
      </c>
      <c r="H124" s="430">
        <v>0</v>
      </c>
      <c r="I124" s="430">
        <v>7.0369987462454278</v>
      </c>
      <c r="J124" s="430">
        <v>0</v>
      </c>
      <c r="K124" s="430">
        <v>0</v>
      </c>
      <c r="L124" s="579">
        <v>-2.4105809992595759E-13</v>
      </c>
      <c r="M124" s="430">
        <v>17.282082492208033</v>
      </c>
    </row>
    <row r="125" spans="2:13" ht="14.4" x14ac:dyDescent="0.3">
      <c r="D125" s="438">
        <f t="shared" si="11"/>
        <v>-33.254257596554389</v>
      </c>
      <c r="E125" s="424">
        <v>2019</v>
      </c>
      <c r="F125" s="430">
        <v>0</v>
      </c>
      <c r="G125" s="430">
        <v>9.4529233164359877E-2</v>
      </c>
      <c r="H125" s="430">
        <v>10.819195206524199</v>
      </c>
      <c r="I125" s="430">
        <v>11.517839695447568</v>
      </c>
      <c r="J125" s="430">
        <v>0</v>
      </c>
      <c r="K125" s="430">
        <v>1.4298712591807818E-2</v>
      </c>
      <c r="L125" s="579">
        <v>21.937134162931454</v>
      </c>
      <c r="M125" s="430">
        <v>32.745528911757908</v>
      </c>
    </row>
    <row r="126" spans="2:13" ht="14.4" x14ac:dyDescent="0.3">
      <c r="D126" s="438">
        <f t="shared" si="11"/>
        <v>-59.30237172912453</v>
      </c>
      <c r="E126" s="427">
        <v>2020</v>
      </c>
      <c r="F126" s="430">
        <v>0</v>
      </c>
      <c r="G126" s="430">
        <v>0.14399717498532438</v>
      </c>
      <c r="H126" s="430">
        <v>21.238232452994151</v>
      </c>
      <c r="I126" s="430">
        <v>17.978526954626496</v>
      </c>
      <c r="J126" s="430">
        <v>0</v>
      </c>
      <c r="K126" s="430">
        <v>3.3160541407756726E-2</v>
      </c>
      <c r="L126" s="579">
        <v>29.013628686067907</v>
      </c>
      <c r="M126" s="430">
        <v>48.922083291178708</v>
      </c>
    </row>
    <row r="127" spans="2:13" ht="14.4" x14ac:dyDescent="0.3">
      <c r="D127" s="438">
        <f t="shared" si="11"/>
        <v>-87.781739004852028</v>
      </c>
      <c r="E127" s="424">
        <v>2021</v>
      </c>
      <c r="F127" s="430">
        <v>0</v>
      </c>
      <c r="G127" s="430">
        <v>0.19375366557784857</v>
      </c>
      <c r="H127" s="430">
        <v>34.399752589345454</v>
      </c>
      <c r="I127" s="430">
        <v>24.329069331900264</v>
      </c>
      <c r="J127" s="430">
        <v>0</v>
      </c>
      <c r="K127" s="430">
        <v>5.2366643710356625E-2</v>
      </c>
      <c r="L127" s="579">
        <v>36.955364391181881</v>
      </c>
      <c r="M127" s="430">
        <v>65.762161165499975</v>
      </c>
    </row>
    <row r="128" spans="2:13" ht="14.4" x14ac:dyDescent="0.3">
      <c r="D128" s="438">
        <f t="shared" si="11"/>
        <v>-147.12624769022625</v>
      </c>
      <c r="E128" s="424">
        <v>2022</v>
      </c>
      <c r="F128" s="430">
        <v>0</v>
      </c>
      <c r="G128" s="430">
        <v>0.24385990403186542</v>
      </c>
      <c r="H128" s="430">
        <v>50.482055476314187</v>
      </c>
      <c r="I128" s="430">
        <v>30.609749850472717</v>
      </c>
      <c r="J128" s="430">
        <v>16.50393305148636</v>
      </c>
      <c r="K128" s="430">
        <v>7.1882089333872523E-2</v>
      </c>
      <c r="L128" s="579">
        <v>34.001410751165437</v>
      </c>
      <c r="M128" s="430">
        <v>83.216178069752715</v>
      </c>
    </row>
    <row r="129" spans="4:13" ht="14.4" x14ac:dyDescent="0.3">
      <c r="D129" s="438">
        <f t="shared" si="11"/>
        <v>-187.79594104241551</v>
      </c>
      <c r="E129" s="424">
        <v>2023</v>
      </c>
      <c r="F129" s="430">
        <v>0</v>
      </c>
      <c r="G129" s="430">
        <v>0.29437708943729979</v>
      </c>
      <c r="H129" s="430">
        <v>69.663440974636487</v>
      </c>
      <c r="I129" s="430">
        <v>36.860851533547709</v>
      </c>
      <c r="J129" s="430">
        <v>19.557084552071107</v>
      </c>
      <c r="K129" s="430">
        <v>9.1669560526105712E-2</v>
      </c>
      <c r="L129" s="579">
        <v>39.906032206770817</v>
      </c>
      <c r="M129" s="430">
        <v>101.23454953896763</v>
      </c>
    </row>
    <row r="130" spans="4:13" ht="14.4" x14ac:dyDescent="0.3">
      <c r="D130" s="438">
        <f t="shared" si="11"/>
        <v>-232.37845483905517</v>
      </c>
      <c r="E130" s="424">
        <v>2024</v>
      </c>
      <c r="F130" s="430">
        <v>0</v>
      </c>
      <c r="G130" s="430">
        <v>0.34536642088408509</v>
      </c>
      <c r="H130" s="430">
        <v>92.122208945048058</v>
      </c>
      <c r="I130" s="430">
        <v>43.122657404329132</v>
      </c>
      <c r="J130" s="430">
        <v>22.771920721969082</v>
      </c>
      <c r="K130" s="430">
        <v>0.11168957309822994</v>
      </c>
      <c r="L130" s="579">
        <v>45.863079334447249</v>
      </c>
      <c r="M130" s="430">
        <v>119.76769110817384</v>
      </c>
    </row>
    <row r="131" spans="4:13" ht="14.4" x14ac:dyDescent="0.3">
      <c r="D131" s="438">
        <f t="shared" si="11"/>
        <v>-281.08412848848877</v>
      </c>
      <c r="E131" s="424">
        <v>2025</v>
      </c>
      <c r="F131" s="430">
        <v>0</v>
      </c>
      <c r="G131" s="430">
        <v>0.39688909746215462</v>
      </c>
      <c r="H131" s="430">
        <v>118.03665924828513</v>
      </c>
      <c r="I131" s="430">
        <v>49.435450486020848</v>
      </c>
      <c r="J131" s="430">
        <v>26.139985391204885</v>
      </c>
      <c r="K131" s="430">
        <v>0.13190073223603099</v>
      </c>
      <c r="L131" s="579">
        <v>51.822774779125801</v>
      </c>
      <c r="M131" s="430">
        <v>138.76601831240555</v>
      </c>
    </row>
    <row r="132" spans="4:13" ht="14.4" x14ac:dyDescent="0.3">
      <c r="D132" s="438">
        <f t="shared" si="11"/>
        <v>-333.93240093901443</v>
      </c>
      <c r="E132" s="424">
        <v>2026</v>
      </c>
      <c r="F132" s="430">
        <v>0</v>
      </c>
      <c r="G132" s="430">
        <v>0.44900631826143278</v>
      </c>
      <c r="H132" s="430">
        <v>147.58509174508347</v>
      </c>
      <c r="I132" s="430">
        <v>55.839513801826747</v>
      </c>
      <c r="J132" s="430">
        <v>29.652445414157039</v>
      </c>
      <c r="K132" s="430">
        <v>0.15226002003900399</v>
      </c>
      <c r="L132" s="579">
        <v>57.925863047045269</v>
      </c>
      <c r="M132" s="430">
        <v>158.17994668669198</v>
      </c>
    </row>
    <row r="133" spans="4:13" ht="14.4" x14ac:dyDescent="0.3">
      <c r="D133" s="438">
        <f t="shared" si="11"/>
        <v>-391.21101165682046</v>
      </c>
      <c r="E133" s="424">
        <v>2027</v>
      </c>
      <c r="F133" s="430">
        <v>0</v>
      </c>
      <c r="G133" s="430">
        <v>0.50177928237185321</v>
      </c>
      <c r="H133" s="430">
        <v>180.94580629617923</v>
      </c>
      <c r="I133" s="430">
        <v>62.375130374950707</v>
      </c>
      <c r="J133" s="430">
        <v>33.300317219920181</v>
      </c>
      <c r="K133" s="430">
        <v>0.17272311099213419</v>
      </c>
      <c r="L133" s="579">
        <v>64.044636393657512</v>
      </c>
      <c r="M133" s="430">
        <v>177.95989176606392</v>
      </c>
    </row>
    <row r="134" spans="4:13" ht="14.4" x14ac:dyDescent="0.3">
      <c r="D134" s="438">
        <f t="shared" si="11"/>
        <v>-453.02329155396455</v>
      </c>
      <c r="E134" s="424">
        <v>2028</v>
      </c>
      <c r="F134" s="430">
        <v>0</v>
      </c>
      <c r="G134" s="430">
        <v>0.55526918888334631</v>
      </c>
      <c r="H134" s="430">
        <v>218.29710276230816</v>
      </c>
      <c r="I134" s="430">
        <v>69.08258322859659</v>
      </c>
      <c r="J134" s="430">
        <v>37.074876461780825</v>
      </c>
      <c r="K134" s="430">
        <v>0.19324471078394381</v>
      </c>
      <c r="L134" s="579">
        <v>70.236053883938766</v>
      </c>
      <c r="M134" s="430">
        <v>198.05626908555044</v>
      </c>
    </row>
    <row r="135" spans="4:13" ht="14.4" x14ac:dyDescent="0.3">
      <c r="D135" s="438">
        <f t="shared" si="11"/>
        <v>-519.51450524630309</v>
      </c>
      <c r="E135" s="424">
        <v>2029</v>
      </c>
      <c r="F135" s="430">
        <v>0</v>
      </c>
      <c r="G135" s="430">
        <v>0.60953723688584582</v>
      </c>
      <c r="H135" s="430">
        <v>259.81728100420656</v>
      </c>
      <c r="I135" s="430">
        <v>76.00215538596828</v>
      </c>
      <c r="J135" s="430">
        <v>40.967433367505876</v>
      </c>
      <c r="K135" s="430">
        <v>0.2137789131963998</v>
      </c>
      <c r="L135" s="579">
        <v>76.515174841645702</v>
      </c>
      <c r="M135" s="430">
        <v>218.41949418018586</v>
      </c>
    </row>
    <row r="136" spans="4:13" ht="14.4" x14ac:dyDescent="0.3">
      <c r="D136" s="438">
        <f t="shared" si="11"/>
        <v>-591.26912974994912</v>
      </c>
      <c r="E136" s="424">
        <v>2030</v>
      </c>
      <c r="F136" s="430">
        <v>0</v>
      </c>
      <c r="G136" s="430">
        <v>0.6646446254692755</v>
      </c>
      <c r="H136" s="430">
        <v>305.6846408826101</v>
      </c>
      <c r="I136" s="430">
        <v>83.174129870269667</v>
      </c>
      <c r="J136" s="430">
        <v>45.300735731198465</v>
      </c>
      <c r="K136" s="430">
        <v>0.23427956923740656</v>
      </c>
      <c r="L136" s="579">
        <v>82.789283513834988</v>
      </c>
      <c r="M136" s="430">
        <v>238.9999825849992</v>
      </c>
    </row>
    <row r="137" spans="4:13" ht="14.4" x14ac:dyDescent="0.3">
      <c r="D137" s="438">
        <f t="shared" si="11"/>
        <v>-667.09631706138362</v>
      </c>
      <c r="E137" s="424">
        <v>2031</v>
      </c>
      <c r="F137" s="430">
        <v>0</v>
      </c>
      <c r="G137" s="430">
        <v>0.72065255372356907</v>
      </c>
      <c r="H137" s="430">
        <v>356.07748225825492</v>
      </c>
      <c r="I137" s="430">
        <v>90.63878970470455</v>
      </c>
      <c r="J137" s="430">
        <v>49.071647320820496</v>
      </c>
      <c r="K137" s="430">
        <v>0.25470066229010407</v>
      </c>
      <c r="L137" s="579">
        <v>89.41510527343145</v>
      </c>
      <c r="M137" s="430">
        <v>259.74814983502142</v>
      </c>
    </row>
    <row r="138" spans="4:13" ht="14.4" x14ac:dyDescent="0.3">
      <c r="D138" s="438">
        <f t="shared" si="11"/>
        <v>-748.45746573317069</v>
      </c>
      <c r="E138" s="424">
        <v>2032</v>
      </c>
      <c r="F138" s="430">
        <v>0</v>
      </c>
      <c r="G138" s="430">
        <v>0.77762222073865717</v>
      </c>
      <c r="H138" s="430">
        <v>411.17410499187707</v>
      </c>
      <c r="I138" s="430">
        <v>98.436417912476841</v>
      </c>
      <c r="J138" s="430">
        <v>53.265735635642379</v>
      </c>
      <c r="K138" s="430">
        <v>0.27499668283393114</v>
      </c>
      <c r="L138" s="579">
        <v>96.08582317568127</v>
      </c>
      <c r="M138" s="430">
        <v>280.61441146528324</v>
      </c>
    </row>
    <row r="139" spans="4:13" ht="14.4" x14ac:dyDescent="0.3">
      <c r="D139" s="438">
        <f t="shared" si="11"/>
        <v>-835.03604695984654</v>
      </c>
      <c r="E139" s="424">
        <v>2033</v>
      </c>
      <c r="F139" s="430">
        <v>0</v>
      </c>
      <c r="G139" s="430">
        <v>0.83561482560447375</v>
      </c>
      <c r="H139" s="430">
        <v>471.15280894421227</v>
      </c>
      <c r="I139" s="430">
        <v>106.60729751679051</v>
      </c>
      <c r="J139" s="430">
        <v>57.542902812779595</v>
      </c>
      <c r="K139" s="430">
        <v>0.29512299626161448</v>
      </c>
      <c r="L139" s="579">
        <v>102.94688314661569</v>
      </c>
      <c r="M139" s="430">
        <v>301.54918301081381</v>
      </c>
    </row>
    <row r="140" spans="4:13" ht="14.4" x14ac:dyDescent="0.3">
      <c r="D140" s="438">
        <f t="shared" si="11"/>
        <v>-926.95263595689971</v>
      </c>
      <c r="E140" s="424">
        <v>2034</v>
      </c>
      <c r="F140" s="430">
        <v>0</v>
      </c>
      <c r="G140" s="430">
        <v>0.89469156741094213</v>
      </c>
      <c r="H140" s="430">
        <v>536.19189397599678</v>
      </c>
      <c r="I140" s="430">
        <v>115.19171154084927</v>
      </c>
      <c r="J140" s="430">
        <v>61.8945470137866</v>
      </c>
      <c r="K140" s="430">
        <v>0.31503619747704792</v>
      </c>
      <c r="L140" s="579">
        <v>110.03812434526836</v>
      </c>
      <c r="M140" s="430">
        <v>322.50288000664733</v>
      </c>
    </row>
    <row r="141" spans="4:13" ht="14.4" x14ac:dyDescent="0.3">
      <c r="D141" s="438">
        <f t="shared" si="11"/>
        <v>-1023.9336018969616</v>
      </c>
      <c r="E141" s="424">
        <v>2035</v>
      </c>
      <c r="F141" s="430">
        <v>0</v>
      </c>
      <c r="G141" s="430">
        <v>0.95491364524799627</v>
      </c>
      <c r="H141" s="430">
        <v>606.46965994796642</v>
      </c>
      <c r="I141" s="430">
        <v>124.2299430078571</v>
      </c>
      <c r="J141" s="430">
        <v>65.775662928723378</v>
      </c>
      <c r="K141" s="430">
        <v>0.33469444630562922</v>
      </c>
      <c r="L141" s="579">
        <v>117.25719006695186</v>
      </c>
      <c r="M141" s="430">
        <v>343.42591798781291</v>
      </c>
    </row>
    <row r="142" spans="4:13" ht="14.4" x14ac:dyDescent="0.3">
      <c r="D142" s="438">
        <f t="shared" si="11"/>
        <v>-1127.2660434292009</v>
      </c>
      <c r="E142" s="424">
        <v>2036</v>
      </c>
      <c r="F142" s="430">
        <v>0</v>
      </c>
      <c r="G142" s="430">
        <v>1.0163422582055706</v>
      </c>
      <c r="H142" s="430">
        <v>682.1644067208573</v>
      </c>
      <c r="I142" s="430">
        <v>133.76227494101786</v>
      </c>
      <c r="J142" s="430">
        <v>70.786438897536726</v>
      </c>
      <c r="K142" s="430">
        <v>0.35405777826715162</v>
      </c>
      <c r="L142" s="579">
        <v>125.08618965602524</v>
      </c>
      <c r="M142" s="430">
        <v>364.26871248934157</v>
      </c>
    </row>
    <row r="143" spans="4:13" ht="14.4" x14ac:dyDescent="0.3">
      <c r="D143" s="438">
        <f t="shared" si="11"/>
        <v>-1235.8908762950482</v>
      </c>
      <c r="E143" s="424">
        <v>2037</v>
      </c>
      <c r="F143" s="430">
        <v>0</v>
      </c>
      <c r="G143" s="430">
        <v>1.0790386053735879</v>
      </c>
      <c r="H143" s="430">
        <v>763.45443415540501</v>
      </c>
      <c r="I143" s="430">
        <v>143.82899036353538</v>
      </c>
      <c r="J143" s="430">
        <v>75.308934975054356</v>
      </c>
      <c r="K143" s="430">
        <v>0.37308838593027188</v>
      </c>
      <c r="L143" s="579">
        <v>133.1352892365127</v>
      </c>
      <c r="M143" s="430">
        <v>384.98167904626212</v>
      </c>
    </row>
    <row r="144" spans="4:13" ht="14.4" x14ac:dyDescent="0.3">
      <c r="D144" s="438">
        <f t="shared" si="11"/>
        <v>-1350.3100726211781</v>
      </c>
      <c r="E144" s="424">
        <v>2038</v>
      </c>
      <c r="F144" s="430">
        <v>0</v>
      </c>
      <c r="G144" s="430">
        <v>1.1430638858419826</v>
      </c>
      <c r="H144" s="430">
        <v>850.51804211234628</v>
      </c>
      <c r="I144" s="430">
        <v>154.47037229861363</v>
      </c>
      <c r="J144" s="430">
        <v>79.870747144184264</v>
      </c>
      <c r="K144" s="430">
        <v>0.39175086685904092</v>
      </c>
      <c r="L144" s="579">
        <v>141.59913688027618</v>
      </c>
      <c r="M144" s="430">
        <v>405.51523319360911</v>
      </c>
    </row>
    <row r="145" spans="4:13" ht="14.4" x14ac:dyDescent="0.3">
      <c r="D145" s="438">
        <f t="shared" si="11"/>
        <v>-1470.6329916538698</v>
      </c>
      <c r="E145" s="424">
        <v>2039</v>
      </c>
      <c r="F145" s="430">
        <v>0</v>
      </c>
      <c r="G145" s="430">
        <v>1.2084792987006843</v>
      </c>
      <c r="H145" s="430">
        <v>943.53353045241613</v>
      </c>
      <c r="I145" s="430">
        <v>165.72670376945641</v>
      </c>
      <c r="J145" s="430">
        <v>84.463131009300469</v>
      </c>
      <c r="K145" s="430">
        <v>0.41001243504362489</v>
      </c>
      <c r="L145" s="579">
        <v>150.52865577745919</v>
      </c>
      <c r="M145" s="430">
        <v>425.81979046641152</v>
      </c>
    </row>
    <row r="146" spans="4:13" ht="14.4" x14ac:dyDescent="0.3">
      <c r="D146" s="438">
        <f t="shared" si="11"/>
        <v>-1597.0711040611413</v>
      </c>
      <c r="E146" s="424">
        <v>2040</v>
      </c>
      <c r="F146" s="430">
        <v>0</v>
      </c>
      <c r="G146" s="430">
        <v>1.2753460430396282</v>
      </c>
      <c r="H146" s="430">
        <v>1042.6791990363511</v>
      </c>
      <c r="I146" s="430">
        <v>177.63826779926754</v>
      </c>
      <c r="J146" s="430">
        <v>89.153015928767502</v>
      </c>
      <c r="K146" s="430">
        <v>0.42784309364398554</v>
      </c>
      <c r="L146" s="579">
        <v>159.94833423962862</v>
      </c>
      <c r="M146" s="430">
        <v>445.84576639970015</v>
      </c>
    </row>
    <row r="147" spans="4:13" ht="14.4" x14ac:dyDescent="0.3">
      <c r="D147" s="438">
        <f t="shared" si="11"/>
        <v>-1729.4047916377333</v>
      </c>
      <c r="E147" s="424">
        <v>2041</v>
      </c>
      <c r="F147" s="430">
        <v>0</v>
      </c>
      <c r="G147" s="430">
        <v>1.3437253179487367</v>
      </c>
      <c r="H147" s="430">
        <v>1148.1333477248875</v>
      </c>
      <c r="I147" s="430">
        <v>190.245347411251</v>
      </c>
      <c r="J147" s="430">
        <v>93.70397139465905</v>
      </c>
      <c r="K147" s="430">
        <v>0.44521576783084249</v>
      </c>
      <c r="L147" s="579">
        <v>170.01039250734951</v>
      </c>
      <c r="M147" s="430">
        <v>465.54357652850564</v>
      </c>
    </row>
    <row r="148" spans="4:13" ht="14.4" x14ac:dyDescent="0.3">
      <c r="D148" s="438">
        <f t="shared" si="11"/>
        <v>-1868.0466734621853</v>
      </c>
      <c r="E148" s="424">
        <v>2042</v>
      </c>
      <c r="F148" s="430">
        <v>0</v>
      </c>
      <c r="G148" s="430">
        <v>1.4136783225179448</v>
      </c>
      <c r="H148" s="430">
        <v>1260.0742763787607</v>
      </c>
      <c r="I148" s="430">
        <v>203.58822562861062</v>
      </c>
      <c r="J148" s="430">
        <v>98.334149177862912</v>
      </c>
      <c r="K148" s="430">
        <v>0.46210639744800092</v>
      </c>
      <c r="L148" s="579">
        <v>180.68939883087219</v>
      </c>
      <c r="M148" s="430">
        <v>484.86363638785753</v>
      </c>
    </row>
    <row r="149" spans="4:13" ht="14.4" x14ac:dyDescent="0.3">
      <c r="D149" s="438">
        <f t="shared" si="11"/>
        <v>-2012.9816424273095</v>
      </c>
      <c r="E149" s="424">
        <v>2043</v>
      </c>
      <c r="F149" s="430">
        <v>0</v>
      </c>
      <c r="G149" s="430">
        <v>1.485266255837185</v>
      </c>
      <c r="H149" s="430">
        <v>1378.6802848587065</v>
      </c>
      <c r="I149" s="430">
        <v>217.70718547455024</v>
      </c>
      <c r="J149" s="430">
        <v>102.95822295403579</v>
      </c>
      <c r="K149" s="430">
        <v>0.47849399011192301</v>
      </c>
      <c r="L149" s="579">
        <v>192.08417261872214</v>
      </c>
      <c r="M149" s="430">
        <v>503.75636151278979</v>
      </c>
    </row>
    <row r="150" spans="4:13" ht="14.4" x14ac:dyDescent="0.3">
      <c r="D150" s="438">
        <f t="shared" si="11"/>
        <v>-2164.2968253796075</v>
      </c>
      <c r="E150" s="424">
        <v>2044</v>
      </c>
      <c r="F150" s="430">
        <v>0</v>
      </c>
      <c r="G150" s="430">
        <v>1.5585503169963824</v>
      </c>
      <c r="H150" s="430">
        <v>1504.1296730254619</v>
      </c>
      <c r="I150" s="430">
        <v>232.64250997227381</v>
      </c>
      <c r="J150" s="430">
        <v>107.56645877951199</v>
      </c>
      <c r="K150" s="430">
        <v>0.494360636180599</v>
      </c>
      <c r="L150" s="579">
        <v>204.26689478914861</v>
      </c>
      <c r="M150" s="430">
        <v>522.17216743833171</v>
      </c>
    </row>
    <row r="151" spans="4:13" ht="14.4" x14ac:dyDescent="0.3">
      <c r="D151" s="438">
        <f t="shared" si="11"/>
        <v>-2321.7790682666737</v>
      </c>
      <c r="E151" s="424">
        <v>2045</v>
      </c>
      <c r="F151" s="430">
        <v>0</v>
      </c>
      <c r="G151" s="430">
        <v>1.63359170508547</v>
      </c>
      <c r="H151" s="430">
        <v>1636.6007407397622</v>
      </c>
      <c r="I151" s="430">
        <v>248.43448214498517</v>
      </c>
      <c r="J151" s="430">
        <v>112.42766246295646</v>
      </c>
      <c r="K151" s="430">
        <v>0.50969148774193518</v>
      </c>
      <c r="L151" s="579">
        <v>217.88856997337155</v>
      </c>
      <c r="M151" s="430">
        <v>540.06146969951385</v>
      </c>
    </row>
    <row r="152" spans="4:13" ht="14.4" x14ac:dyDescent="0.3">
      <c r="D152" s="438">
        <f t="shared" si="11"/>
        <v>-2486.3989499075506</v>
      </c>
      <c r="E152" s="424">
        <v>2046</v>
      </c>
      <c r="F152" s="430">
        <v>0</v>
      </c>
      <c r="G152" s="430">
        <v>1.7104516191943784</v>
      </c>
      <c r="H152" s="430">
        <v>1776.2717878623432</v>
      </c>
      <c r="I152" s="430">
        <v>265.12338501588823</v>
      </c>
      <c r="J152" s="430">
        <v>116.69652540977437</v>
      </c>
      <c r="K152" s="430">
        <v>0.52447470437554444</v>
      </c>
      <c r="L152" s="579">
        <v>231.30235853539074</v>
      </c>
      <c r="M152" s="430">
        <v>557.37468383136536</v>
      </c>
    </row>
    <row r="153" spans="4:13" ht="14.4" x14ac:dyDescent="0.3">
      <c r="D153" s="438">
        <f t="shared" si="11"/>
        <v>-2657.3430308073371</v>
      </c>
      <c r="E153" s="424">
        <v>2047</v>
      </c>
      <c r="F153" s="430">
        <v>0</v>
      </c>
      <c r="G153" s="430">
        <v>1.7891912584130409</v>
      </c>
      <c r="H153" s="430">
        <v>1923.3211142539408</v>
      </c>
      <c r="I153" s="430">
        <v>282.74950160818673</v>
      </c>
      <c r="J153" s="430">
        <v>121.19911842027587</v>
      </c>
      <c r="K153" s="430">
        <v>0.53870136892088716</v>
      </c>
      <c r="L153" s="579">
        <v>246.31682147132102</v>
      </c>
      <c r="M153" s="430">
        <v>574.06222536892085</v>
      </c>
    </row>
    <row r="154" spans="4:13" ht="14.4" x14ac:dyDescent="0.3">
      <c r="D154" s="438">
        <f t="shared" si="11"/>
        <v>-2834.9819244872533</v>
      </c>
      <c r="E154" s="424">
        <v>2048</v>
      </c>
      <c r="F154" s="430">
        <v>0</v>
      </c>
      <c r="G154" s="430">
        <v>1.8698718218313823</v>
      </c>
      <c r="H154" s="430">
        <v>2077.9270197752917</v>
      </c>
      <c r="I154" s="430">
        <v>301.35311494508466</v>
      </c>
      <c r="J154" s="430">
        <v>125.6470904818681</v>
      </c>
      <c r="K154" s="430">
        <v>0.55236537683507458</v>
      </c>
      <c r="L154" s="579">
        <v>262.44204776086661</v>
      </c>
      <c r="M154" s="430">
        <v>590.07450984720913</v>
      </c>
    </row>
    <row r="155" spans="4:13" ht="14.4" x14ac:dyDescent="0.3">
      <c r="D155" s="438">
        <f t="shared" si="11"/>
        <v>-3019.3862297341102</v>
      </c>
      <c r="E155" s="424">
        <v>2049</v>
      </c>
      <c r="F155" s="430">
        <v>0</v>
      </c>
      <c r="G155" s="430">
        <v>1.9525545085393361</v>
      </c>
      <c r="H155" s="430">
        <v>2240.2678042871312</v>
      </c>
      <c r="I155" s="430">
        <v>320.97450804978587</v>
      </c>
      <c r="J155" s="430">
        <v>130.03057963747762</v>
      </c>
      <c r="K155" s="430">
        <v>0.56546330294672453</v>
      </c>
      <c r="L155" s="579">
        <v>279.76663285303181</v>
      </c>
      <c r="M155" s="430">
        <v>605.36195280126094</v>
      </c>
    </row>
    <row r="156" spans="4:13" ht="14.4" x14ac:dyDescent="0.3">
      <c r="D156" s="438">
        <f t="shared" si="11"/>
        <v>-3210.8293615622815</v>
      </c>
      <c r="E156" s="427">
        <v>2050</v>
      </c>
      <c r="F156" s="430">
        <v>0</v>
      </c>
      <c r="G156" s="430">
        <v>2.0373005176268357</v>
      </c>
      <c r="H156" s="430">
        <v>2410.5217676501966</v>
      </c>
      <c r="I156" s="430">
        <v>341.65396394549424</v>
      </c>
      <c r="J156" s="430">
        <v>134.21059075188464</v>
      </c>
      <c r="K156" s="430">
        <v>0.57799424951458467</v>
      </c>
      <c r="L156" s="579">
        <v>298.04722531854287</v>
      </c>
      <c r="M156" s="430">
        <v>619.87496976610748</v>
      </c>
    </row>
    <row r="157" spans="4:13" ht="14.4" x14ac:dyDescent="0.3">
      <c r="D157" s="438">
        <f t="shared" si="11"/>
        <v>-3418.1690814859717</v>
      </c>
      <c r="E157" s="424">
        <v>2051</v>
      </c>
      <c r="F157" s="430">
        <v>0</v>
      </c>
      <c r="G157" s="430">
        <v>2.124171048183805</v>
      </c>
      <c r="H157" s="430">
        <v>2588.8672097252215</v>
      </c>
      <c r="I157" s="430">
        <v>363.4317656554137</v>
      </c>
      <c r="J157" s="430">
        <v>138.56458617019857</v>
      </c>
      <c r="K157" s="430">
        <v>0.58995967949138817</v>
      </c>
      <c r="L157" s="579">
        <v>308.97258706931513</v>
      </c>
      <c r="M157" s="430">
        <v>633.56397627677768</v>
      </c>
    </row>
    <row r="158" spans="4:13" ht="14.4" x14ac:dyDescent="0.3">
      <c r="D158" s="438">
        <f t="shared" si="11"/>
        <v>-3601.2784687436479</v>
      </c>
      <c r="E158" s="424">
        <v>2052</v>
      </c>
      <c r="F158" s="430">
        <v>0</v>
      </c>
      <c r="G158" s="430">
        <v>2.2132272993001783</v>
      </c>
      <c r="H158" s="430">
        <v>2743.5061693514158</v>
      </c>
      <c r="I158" s="430">
        <v>386.34819620274806</v>
      </c>
      <c r="J158" s="430">
        <v>142.69538353820536</v>
      </c>
      <c r="K158" s="430">
        <v>0.60136323878798426</v>
      </c>
      <c r="L158" s="579">
        <v>320.4652587551156</v>
      </c>
      <c r="M158" s="430">
        <v>646.37938786830546</v>
      </c>
    </row>
    <row r="159" spans="4:13" ht="14.4" x14ac:dyDescent="0.3">
      <c r="D159" s="438">
        <f t="shared" si="11"/>
        <v>-3694.8582539695099</v>
      </c>
      <c r="E159" s="424">
        <v>2053</v>
      </c>
      <c r="F159" s="430">
        <v>0</v>
      </c>
      <c r="G159" s="430">
        <v>2.3045304700658855</v>
      </c>
      <c r="H159" s="430">
        <v>2809.4058802983386</v>
      </c>
      <c r="I159" s="430">
        <v>410.44353861070107</v>
      </c>
      <c r="J159" s="430">
        <v>146.72144828221809</v>
      </c>
      <c r="K159" s="430">
        <v>0.61221057114542743</v>
      </c>
      <c r="L159" s="579">
        <v>332.90097433867987</v>
      </c>
      <c r="M159" s="430">
        <v>658.27162007572031</v>
      </c>
    </row>
    <row r="160" spans="4:13" ht="14.4" x14ac:dyDescent="0.3">
      <c r="D160" s="438">
        <f t="shared" si="11"/>
        <v>-3791.3768759836203</v>
      </c>
      <c r="E160" s="424">
        <v>2054</v>
      </c>
      <c r="F160" s="430">
        <v>0</v>
      </c>
      <c r="G160" s="430">
        <v>2.3981417595708603</v>
      </c>
      <c r="H160" s="430">
        <v>2879.0950385401111</v>
      </c>
      <c r="I160" s="430">
        <v>435.75807590247689</v>
      </c>
      <c r="J160" s="430">
        <v>150.63192190799055</v>
      </c>
      <c r="K160" s="430">
        <v>0.62250912896954647</v>
      </c>
      <c r="L160" s="579">
        <v>346.31989968955156</v>
      </c>
      <c r="M160" s="430">
        <v>669.19108843405309</v>
      </c>
    </row>
    <row r="161" spans="4:13" ht="14.4" x14ac:dyDescent="0.3">
      <c r="D161" s="438">
        <f t="shared" si="11"/>
        <v>-3890.8925522999771</v>
      </c>
      <c r="E161" s="424">
        <v>2055</v>
      </c>
      <c r="F161" s="430">
        <v>0</v>
      </c>
      <c r="G161" s="430">
        <v>2.4941223669050263</v>
      </c>
      <c r="H161" s="430">
        <v>2952.6913783155396</v>
      </c>
      <c r="I161" s="430">
        <v>462.3320911012791</v>
      </c>
      <c r="J161" s="430">
        <v>154.41623732721317</v>
      </c>
      <c r="K161" s="430">
        <v>0.63226798318003485</v>
      </c>
      <c r="L161" s="579">
        <v>360.7617532724729</v>
      </c>
      <c r="M161" s="430">
        <v>679.08820847833249</v>
      </c>
    </row>
    <row r="162" spans="4:13" ht="14.4" x14ac:dyDescent="0.3">
      <c r="D162" s="438">
        <f t="shared" si="11"/>
        <v>-3993.4602118477696</v>
      </c>
      <c r="E162" s="424">
        <v>2056</v>
      </c>
      <c r="F162" s="430">
        <v>0</v>
      </c>
      <c r="G162" s="430">
        <v>2.5925334911583162</v>
      </c>
      <c r="H162" s="430">
        <v>3030.3078434545328</v>
      </c>
      <c r="I162" s="430">
        <v>490.20586723031175</v>
      </c>
      <c r="J162" s="430">
        <v>158.06437825086925</v>
      </c>
      <c r="K162" s="430">
        <v>0.64149763478988953</v>
      </c>
      <c r="L162" s="579">
        <v>376.26530395748625</v>
      </c>
      <c r="M162" s="430">
        <v>687.91339574359336</v>
      </c>
    </row>
    <row r="163" spans="4:13" ht="14.4" x14ac:dyDescent="0.3">
      <c r="D163" s="438">
        <f t="shared" si="11"/>
        <v>-4099.1349521241455</v>
      </c>
      <c r="E163" s="424">
        <v>2057</v>
      </c>
      <c r="F163" s="430">
        <v>0</v>
      </c>
      <c r="G163" s="430">
        <v>2.6934363314206671</v>
      </c>
      <c r="H163" s="430">
        <v>3112.0568578101784</v>
      </c>
      <c r="I163" s="430">
        <v>519.41968731277882</v>
      </c>
      <c r="J163" s="430">
        <v>161.56680583048177</v>
      </c>
      <c r="K163" s="430">
        <v>0.65020983057570003</v>
      </c>
      <c r="L163" s="579">
        <v>392.86911075615456</v>
      </c>
      <c r="M163" s="430">
        <v>695.61706576486449</v>
      </c>
    </row>
    <row r="164" spans="4:13" ht="14.4" x14ac:dyDescent="0.3">
      <c r="D164" s="438">
        <f t="shared" si="11"/>
        <v>-4207.9744491821912</v>
      </c>
      <c r="E164" s="424">
        <v>2058</v>
      </c>
      <c r="F164" s="430">
        <v>0</v>
      </c>
      <c r="G164" s="430">
        <v>2.7968920867820026</v>
      </c>
      <c r="H164" s="430">
        <v>3198.0538953388532</v>
      </c>
      <c r="I164" s="430">
        <v>550.01383437188383</v>
      </c>
      <c r="J164" s="430">
        <v>164.91406295966991</v>
      </c>
      <c r="K164" s="430">
        <v>0.65841738483780154</v>
      </c>
      <c r="L164" s="579">
        <v>410.61228703701232</v>
      </c>
      <c r="M164" s="430">
        <v>702.14963407717687</v>
      </c>
    </row>
    <row r="165" spans="4:13" ht="14.4" x14ac:dyDescent="0.3">
      <c r="D165" s="438">
        <f t="shared" si="11"/>
        <v>-4320.037583899556</v>
      </c>
      <c r="E165" s="424">
        <v>2059</v>
      </c>
      <c r="F165" s="430">
        <v>0</v>
      </c>
      <c r="G165" s="430">
        <v>2.902961956332252</v>
      </c>
      <c r="H165" s="430">
        <v>3288.415540862452</v>
      </c>
      <c r="I165" s="430">
        <v>582.02859143083094</v>
      </c>
      <c r="J165" s="430">
        <v>168.09693170296458</v>
      </c>
      <c r="K165" s="430">
        <v>0.66613400889266106</v>
      </c>
      <c r="L165" s="579">
        <v>429.53409227747704</v>
      </c>
      <c r="M165" s="430">
        <v>707.46151621556078</v>
      </c>
    </row>
    <row r="166" spans="4:13" ht="14.4" x14ac:dyDescent="0.3">
      <c r="D166" s="438">
        <f t="shared" si="11"/>
        <v>-4435.3813938409812</v>
      </c>
      <c r="E166" s="424">
        <v>2060</v>
      </c>
      <c r="F166" s="430">
        <v>0</v>
      </c>
      <c r="G166" s="430">
        <v>3.0117071391613504</v>
      </c>
      <c r="H166" s="430">
        <v>3383.2561862207658</v>
      </c>
      <c r="I166" s="430">
        <v>615.50424151282391</v>
      </c>
      <c r="J166" s="430">
        <v>171.10621224220557</v>
      </c>
      <c r="K166" s="430">
        <v>0.67337414959722042</v>
      </c>
      <c r="L166" s="579">
        <v>449.67345513861858</v>
      </c>
      <c r="M166" s="430">
        <v>711.50312771504616</v>
      </c>
    </row>
    <row r="168" spans="4:13" ht="100.8" x14ac:dyDescent="0.25">
      <c r="E168" s="597" t="s">
        <v>235</v>
      </c>
      <c r="F168" s="600" t="s">
        <v>583</v>
      </c>
      <c r="G168" s="598" t="s">
        <v>577</v>
      </c>
      <c r="H168" s="598" t="s">
        <v>578</v>
      </c>
      <c r="I168" s="600" t="s">
        <v>579</v>
      </c>
      <c r="J168" s="600" t="s">
        <v>580</v>
      </c>
      <c r="K168" s="598" t="s">
        <v>581</v>
      </c>
      <c r="L168" s="599" t="s">
        <v>607</v>
      </c>
      <c r="M168" s="600" t="s">
        <v>582</v>
      </c>
    </row>
  </sheetData>
  <mergeCells count="2">
    <mergeCell ref="A1:E3"/>
    <mergeCell ref="M1:O2"/>
  </mergeCells>
  <hyperlinks>
    <hyperlink ref="E116" location="'Grid Impacts'!A1" display="Back to Top" xr:uid="{C3568360-5FAD-46DF-A35E-10FACED3CC6A}"/>
    <hyperlink ref="E61" location="'Grid Impacts'!A1" display="Back to Top" xr:uid="{37FC95C5-979E-4D29-8346-39114BB996F6}"/>
    <hyperlink ref="H1" location="'Grid Impacts'!B6" display="PDS1" xr:uid="{22238D02-9DC4-4C68-96D1-BE4E9701AED9}"/>
    <hyperlink ref="I1" location="'Grid Impacts'!B71" display="PDS2" xr:uid="{50DAA474-05D5-48AF-B2F2-6CE430191D1C}"/>
    <hyperlink ref="J1" location="'Grid Impacts'!B126" display="PDS3" xr:uid="{9EC7DC79-151E-4FD2-9A00-F1B6C503D6E4}"/>
    <hyperlink ref="M1:O2" location="'Table of Contents'!A1" display="Back to Table of Contents" xr:uid="{F8F93369-6EE3-4EB6-A0AA-FF56C7292B09}"/>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01464-C489-45AD-8EAB-E827195F253D}">
  <sheetPr codeName="Sheet20">
    <tabColor theme="6" tint="0.59999389629810485"/>
  </sheetPr>
  <dimension ref="A1:T169"/>
  <sheetViews>
    <sheetView zoomScale="70" zoomScaleNormal="70" workbookViewId="0">
      <pane xSplit="5" ySplit="1" topLeftCell="F6" activePane="bottomRight" state="frozen"/>
      <selection pane="topRight" activeCell="F1" sqref="F1"/>
      <selection pane="bottomLeft" activeCell="A2" sqref="A2"/>
      <selection pane="bottomRight" activeCell="R1" sqref="R1:T2"/>
    </sheetView>
  </sheetViews>
  <sheetFormatPr defaultColWidth="8.88671875" defaultRowHeight="13.2" x14ac:dyDescent="0.25"/>
  <cols>
    <col min="1" max="1" width="8.88671875" style="424"/>
    <col min="2" max="2" width="13.21875" style="424" customWidth="1"/>
    <col min="3" max="3" width="8.88671875" style="424"/>
    <col min="4" max="17" width="16.21875" style="424" customWidth="1"/>
    <col min="18" max="18" width="15.109375" style="424" customWidth="1"/>
    <col min="19" max="16384" width="8.88671875" style="424"/>
  </cols>
  <sheetData>
    <row r="1" spans="1:20" ht="14.4" x14ac:dyDescent="0.25">
      <c r="A1" s="853" t="s">
        <v>619</v>
      </c>
      <c r="B1" s="853"/>
      <c r="C1" s="853"/>
      <c r="D1" s="853"/>
      <c r="E1" s="853"/>
      <c r="G1" s="425" t="s">
        <v>470</v>
      </c>
      <c r="H1" s="602" t="s">
        <v>128</v>
      </c>
      <c r="I1" s="602" t="s">
        <v>129</v>
      </c>
      <c r="J1" s="602" t="s">
        <v>130</v>
      </c>
      <c r="R1" s="815" t="s">
        <v>467</v>
      </c>
      <c r="S1" s="816"/>
      <c r="T1" s="817"/>
    </row>
    <row r="2" spans="1:20" ht="13.8" thickBot="1" x14ac:dyDescent="0.3">
      <c r="A2" s="853"/>
      <c r="B2" s="853"/>
      <c r="C2" s="853"/>
      <c r="D2" s="853"/>
      <c r="E2" s="853"/>
      <c r="R2" s="818"/>
      <c r="S2" s="819"/>
      <c r="T2" s="820"/>
    </row>
    <row r="3" spans="1:20" ht="14.4" x14ac:dyDescent="0.3">
      <c r="A3" s="853"/>
      <c r="B3" s="853"/>
      <c r="C3" s="853"/>
      <c r="D3" s="853"/>
      <c r="E3" s="853"/>
      <c r="R3" s="596"/>
      <c r="S3" s="596"/>
      <c r="T3" s="596"/>
    </row>
    <row r="6" spans="1:20" ht="46.8" x14ac:dyDescent="0.25">
      <c r="B6" s="436" t="s">
        <v>128</v>
      </c>
      <c r="D6" s="431" t="s">
        <v>471</v>
      </c>
      <c r="F6" s="439" t="s">
        <v>606</v>
      </c>
      <c r="G6" s="439" t="s">
        <v>612</v>
      </c>
      <c r="H6" s="431" t="s">
        <v>380</v>
      </c>
      <c r="I6" s="431" t="s">
        <v>6</v>
      </c>
      <c r="J6" s="431" t="s">
        <v>600</v>
      </c>
      <c r="K6" s="431" t="s">
        <v>5</v>
      </c>
      <c r="L6" s="580" t="s">
        <v>267</v>
      </c>
      <c r="M6" s="580" t="s">
        <v>610</v>
      </c>
      <c r="N6" s="580" t="s">
        <v>611</v>
      </c>
      <c r="O6" s="580" t="s">
        <v>1</v>
      </c>
      <c r="P6" s="580" t="s">
        <v>377</v>
      </c>
      <c r="Q6" s="580" t="s">
        <v>609</v>
      </c>
      <c r="R6" s="431" t="s">
        <v>604</v>
      </c>
    </row>
    <row r="7" spans="1:20" ht="52.8" x14ac:dyDescent="0.25">
      <c r="D7" s="595" t="s">
        <v>584</v>
      </c>
      <c r="F7" s="441" t="s">
        <v>586</v>
      </c>
      <c r="G7" s="441" t="s">
        <v>586</v>
      </c>
      <c r="H7" s="441" t="s">
        <v>586</v>
      </c>
      <c r="I7" s="441" t="s">
        <v>586</v>
      </c>
      <c r="J7" s="441" t="s">
        <v>586</v>
      </c>
      <c r="K7" s="441" t="s">
        <v>586</v>
      </c>
      <c r="L7" s="441" t="s">
        <v>586</v>
      </c>
      <c r="M7" s="441" t="s">
        <v>586</v>
      </c>
      <c r="N7" s="441" t="s">
        <v>586</v>
      </c>
      <c r="O7" s="441" t="s">
        <v>586</v>
      </c>
      <c r="P7" s="441" t="s">
        <v>586</v>
      </c>
      <c r="Q7" s="441" t="s">
        <v>586</v>
      </c>
      <c r="R7" s="622" t="s">
        <v>586</v>
      </c>
    </row>
    <row r="8" spans="1:20" x14ac:dyDescent="0.25">
      <c r="C8" s="428" t="s">
        <v>589</v>
      </c>
      <c r="D8" s="437">
        <f>SUM(D16:D46)/1000</f>
        <v>61.660607757652336</v>
      </c>
      <c r="E8" s="424" t="s">
        <v>587</v>
      </c>
      <c r="F8" s="601" t="s">
        <v>585</v>
      </c>
      <c r="G8" s="601" t="s">
        <v>585</v>
      </c>
      <c r="H8" s="601" t="s">
        <v>585</v>
      </c>
      <c r="I8" s="601" t="s">
        <v>585</v>
      </c>
      <c r="J8" s="601" t="s">
        <v>585</v>
      </c>
      <c r="K8" s="601" t="s">
        <v>585</v>
      </c>
      <c r="L8" s="601" t="s">
        <v>585</v>
      </c>
      <c r="M8" s="601" t="s">
        <v>585</v>
      </c>
      <c r="N8" s="601" t="s">
        <v>585</v>
      </c>
      <c r="O8" s="601" t="s">
        <v>585</v>
      </c>
      <c r="P8" s="601" t="s">
        <v>585</v>
      </c>
      <c r="Q8" s="601" t="s">
        <v>585</v>
      </c>
      <c r="R8" s="623" t="s">
        <v>585</v>
      </c>
    </row>
    <row r="10" spans="1:20" ht="14.4" x14ac:dyDescent="0.3">
      <c r="C10" s="424" t="s">
        <v>588</v>
      </c>
      <c r="D10" s="438">
        <f>SUM(F10:R10)</f>
        <v>0</v>
      </c>
      <c r="E10" s="424">
        <v>2014</v>
      </c>
      <c r="F10" s="632">
        <v>0</v>
      </c>
      <c r="G10" s="632">
        <v>0</v>
      </c>
      <c r="H10" s="632">
        <v>0</v>
      </c>
      <c r="I10" s="632">
        <v>0</v>
      </c>
      <c r="J10" s="632">
        <v>0</v>
      </c>
      <c r="K10" s="632">
        <v>0</v>
      </c>
      <c r="L10" s="632">
        <v>0</v>
      </c>
      <c r="M10" s="632">
        <v>0</v>
      </c>
      <c r="N10" s="632">
        <v>0</v>
      </c>
      <c r="O10" s="632">
        <v>0</v>
      </c>
      <c r="P10" s="632">
        <v>0</v>
      </c>
      <c r="Q10" s="632">
        <v>0</v>
      </c>
      <c r="R10" s="632">
        <v>0</v>
      </c>
    </row>
    <row r="11" spans="1:20" ht="14.4" x14ac:dyDescent="0.3">
      <c r="D11" s="438">
        <f t="shared" ref="D11:D56" si="0">SUM(F11:R11)</f>
        <v>-6.5260340035387934</v>
      </c>
      <c r="E11" s="424">
        <v>2015</v>
      </c>
      <c r="F11" s="430" t="s">
        <v>746</v>
      </c>
      <c r="G11" s="430" t="s">
        <v>746</v>
      </c>
      <c r="H11" s="430" t="s">
        <v>746</v>
      </c>
      <c r="I11" s="430">
        <v>0.88089693022570104</v>
      </c>
      <c r="J11" s="430" t="s">
        <v>746</v>
      </c>
      <c r="K11" s="430" t="s">
        <v>746</v>
      </c>
      <c r="L11" s="579">
        <v>0.18043001967932987</v>
      </c>
      <c r="M11" s="579" t="s">
        <v>746</v>
      </c>
      <c r="N11" s="579" t="s">
        <v>746</v>
      </c>
      <c r="O11" s="579" t="s">
        <v>746</v>
      </c>
      <c r="P11" s="579" t="s">
        <v>746</v>
      </c>
      <c r="Q11" s="579" t="s">
        <v>746</v>
      </c>
      <c r="R11" s="430">
        <v>-7.5873609534438247</v>
      </c>
    </row>
    <row r="12" spans="1:20" ht="14.4" x14ac:dyDescent="0.3">
      <c r="D12" s="438">
        <f t="shared" si="0"/>
        <v>-0.57501496685288767</v>
      </c>
      <c r="E12" s="424">
        <v>2016</v>
      </c>
      <c r="F12" s="430" t="s">
        <v>746</v>
      </c>
      <c r="G12" s="430" t="s">
        <v>746</v>
      </c>
      <c r="H12" s="430" t="s">
        <v>746</v>
      </c>
      <c r="I12" s="430" t="s">
        <v>746</v>
      </c>
      <c r="J12" s="430" t="s">
        <v>746</v>
      </c>
      <c r="K12" s="430" t="s">
        <v>746</v>
      </c>
      <c r="L12" s="579">
        <v>0.13904641664993281</v>
      </c>
      <c r="M12" s="579" t="s">
        <v>746</v>
      </c>
      <c r="N12" s="579" t="s">
        <v>746</v>
      </c>
      <c r="O12" s="579" t="s">
        <v>746</v>
      </c>
      <c r="P12" s="579" t="s">
        <v>746</v>
      </c>
      <c r="Q12" s="579" t="s">
        <v>746</v>
      </c>
      <c r="R12" s="430">
        <v>-0.71406138350282045</v>
      </c>
    </row>
    <row r="13" spans="1:20" ht="14.4" x14ac:dyDescent="0.3">
      <c r="D13" s="438">
        <f t="shared" si="0"/>
        <v>3.1260528973320483</v>
      </c>
      <c r="E13" s="424">
        <v>2017</v>
      </c>
      <c r="F13" s="430" t="s">
        <v>746</v>
      </c>
      <c r="G13" s="430" t="s">
        <v>746</v>
      </c>
      <c r="H13" s="430" t="s">
        <v>746</v>
      </c>
      <c r="I13" s="430" t="s">
        <v>746</v>
      </c>
      <c r="J13" s="430" t="s">
        <v>746</v>
      </c>
      <c r="K13" s="430" t="s">
        <v>746</v>
      </c>
      <c r="L13" s="579">
        <v>7.7538416294500492E-2</v>
      </c>
      <c r="M13" s="579" t="s">
        <v>746</v>
      </c>
      <c r="N13" s="579" t="s">
        <v>746</v>
      </c>
      <c r="O13" s="579" t="s">
        <v>746</v>
      </c>
      <c r="P13" s="579" t="s">
        <v>746</v>
      </c>
      <c r="Q13" s="579" t="s">
        <v>746</v>
      </c>
      <c r="R13" s="430">
        <v>3.048514481037548</v>
      </c>
    </row>
    <row r="14" spans="1:20" ht="14.4" x14ac:dyDescent="0.3">
      <c r="B14" s="638"/>
      <c r="D14" s="438">
        <f t="shared" si="0"/>
        <v>6.721490263921428</v>
      </c>
      <c r="E14" s="424">
        <v>2018</v>
      </c>
      <c r="F14" s="430" t="s">
        <v>746</v>
      </c>
      <c r="G14" s="430" t="s">
        <v>746</v>
      </c>
      <c r="H14" s="430" t="s">
        <v>746</v>
      </c>
      <c r="I14" s="430" t="s">
        <v>746</v>
      </c>
      <c r="J14" s="430" t="s">
        <v>746</v>
      </c>
      <c r="K14" s="430" t="s">
        <v>746</v>
      </c>
      <c r="L14" s="579">
        <v>-1.1396729713415906E-12</v>
      </c>
      <c r="M14" s="579" t="s">
        <v>746</v>
      </c>
      <c r="N14" s="579">
        <v>-3.2548553400343965E-13</v>
      </c>
      <c r="O14" s="579" t="s">
        <v>746</v>
      </c>
      <c r="P14" s="579">
        <v>11.856066235568377</v>
      </c>
      <c r="Q14" s="579" t="s">
        <v>746</v>
      </c>
      <c r="R14" s="430">
        <v>-5.134575971645484</v>
      </c>
    </row>
    <row r="15" spans="1:20" ht="14.4" x14ac:dyDescent="0.3">
      <c r="D15" s="438">
        <f t="shared" si="0"/>
        <v>296.98581780596737</v>
      </c>
      <c r="E15" s="424">
        <v>2019</v>
      </c>
      <c r="F15" s="430" t="s">
        <v>746</v>
      </c>
      <c r="G15" s="430">
        <v>5.8554526268116724</v>
      </c>
      <c r="H15" s="430">
        <v>-0.53913426208898496</v>
      </c>
      <c r="I15" s="430" t="s">
        <v>746</v>
      </c>
      <c r="J15" s="430" t="s">
        <v>746</v>
      </c>
      <c r="K15" s="430">
        <v>20.561362696716266</v>
      </c>
      <c r="L15" s="579">
        <v>82.639033448580989</v>
      </c>
      <c r="M15" s="579">
        <v>96.564111152822306</v>
      </c>
      <c r="N15" s="579">
        <v>0.58020576816953495</v>
      </c>
      <c r="O15" s="579">
        <v>63.221212315065465</v>
      </c>
      <c r="P15" s="579">
        <v>13.150103424004264</v>
      </c>
      <c r="Q15" s="579">
        <v>15.226059559884515</v>
      </c>
      <c r="R15" s="430">
        <v>-0.27258892399866153</v>
      </c>
    </row>
    <row r="16" spans="1:20" ht="14.4" x14ac:dyDescent="0.3">
      <c r="B16" s="641"/>
      <c r="D16" s="438">
        <f t="shared" si="0"/>
        <v>385.48388790654371</v>
      </c>
      <c r="E16" s="427">
        <v>2020</v>
      </c>
      <c r="F16" s="430">
        <v>27.263435868603121</v>
      </c>
      <c r="G16" s="430">
        <v>8.4322544858569941</v>
      </c>
      <c r="H16" s="430">
        <v>1.3863212963629339</v>
      </c>
      <c r="I16" s="430" t="s">
        <v>746</v>
      </c>
      <c r="J16" s="430" t="s">
        <v>746</v>
      </c>
      <c r="K16" s="430">
        <v>25.006485061974971</v>
      </c>
      <c r="L16" s="579">
        <v>91.247409136730667</v>
      </c>
      <c r="M16" s="579">
        <v>110.07298283376564</v>
      </c>
      <c r="N16" s="579">
        <v>8.8527810168228847</v>
      </c>
      <c r="O16" s="579">
        <v>67.502034073225801</v>
      </c>
      <c r="P16" s="579">
        <v>15.97981087060429</v>
      </c>
      <c r="Q16" s="579">
        <v>25.288429105178761</v>
      </c>
      <c r="R16" s="430">
        <v>4.4519441574177137</v>
      </c>
      <c r="S16" s="427"/>
    </row>
    <row r="17" spans="2:18" ht="14.4" x14ac:dyDescent="0.3">
      <c r="B17" s="641"/>
      <c r="D17" s="438">
        <f t="shared" si="0"/>
        <v>455.2572596204451</v>
      </c>
      <c r="E17" s="424">
        <v>2021</v>
      </c>
      <c r="F17" s="430">
        <v>30.227239376010999</v>
      </c>
      <c r="G17" s="430">
        <v>10.96392800642688</v>
      </c>
      <c r="H17" s="430">
        <v>5.697222872054998</v>
      </c>
      <c r="I17" s="430" t="s">
        <v>746</v>
      </c>
      <c r="J17" s="430" t="s">
        <v>746</v>
      </c>
      <c r="K17" s="430">
        <v>29.409595594629366</v>
      </c>
      <c r="L17" s="579">
        <v>103.46399947521989</v>
      </c>
      <c r="M17" s="579">
        <v>123.4940429480631</v>
      </c>
      <c r="N17" s="579">
        <v>17.489196028816629</v>
      </c>
      <c r="O17" s="579">
        <v>71.559765714416926</v>
      </c>
      <c r="P17" s="579">
        <v>18.467266333932063</v>
      </c>
      <c r="Q17" s="579">
        <v>35.414765184379092</v>
      </c>
      <c r="R17" s="430">
        <v>9.0702380864951486</v>
      </c>
    </row>
    <row r="18" spans="2:18" ht="14.4" x14ac:dyDescent="0.3">
      <c r="B18" s="641"/>
      <c r="D18" s="438">
        <f t="shared" si="0"/>
        <v>543.7367253125351</v>
      </c>
      <c r="E18" s="424">
        <v>2022</v>
      </c>
      <c r="F18" s="430">
        <v>33.1984157002518</v>
      </c>
      <c r="G18" s="430">
        <v>13.454637060720597</v>
      </c>
      <c r="H18" s="430">
        <v>11.072445479074446</v>
      </c>
      <c r="I18" s="430">
        <v>-1.6104356694556947</v>
      </c>
      <c r="J18" s="430">
        <v>23.610135683611603</v>
      </c>
      <c r="K18" s="430">
        <v>33.770934325324369</v>
      </c>
      <c r="L18" s="579">
        <v>111.71646466045337</v>
      </c>
      <c r="M18" s="579">
        <v>136.82431333053606</v>
      </c>
      <c r="N18" s="579">
        <v>26.491353478257068</v>
      </c>
      <c r="O18" s="579">
        <v>75.390269576828103</v>
      </c>
      <c r="P18" s="579">
        <v>20.652644384247562</v>
      </c>
      <c r="Q18" s="579">
        <v>45.603755353110003</v>
      </c>
      <c r="R18" s="430">
        <v>13.56179194957582</v>
      </c>
    </row>
    <row r="19" spans="2:18" ht="14.4" x14ac:dyDescent="0.3">
      <c r="B19" s="641"/>
      <c r="D19" s="438">
        <f t="shared" si="0"/>
        <v>638.80900762662111</v>
      </c>
      <c r="E19" s="424">
        <v>2023</v>
      </c>
      <c r="F19" s="430">
        <v>36.192075755198786</v>
      </c>
      <c r="G19" s="430">
        <v>15.908525747347687</v>
      </c>
      <c r="H19" s="430">
        <v>17.546668451852618</v>
      </c>
      <c r="I19" s="430">
        <v>3.0150382799561664</v>
      </c>
      <c r="J19" s="430">
        <v>46.423001043511483</v>
      </c>
      <c r="K19" s="430">
        <v>38.090737520947904</v>
      </c>
      <c r="L19" s="579">
        <v>120.34702244020531</v>
      </c>
      <c r="M19" s="579">
        <v>150.06081581600395</v>
      </c>
      <c r="N19" s="579">
        <v>35.865101032255907</v>
      </c>
      <c r="O19" s="579">
        <v>78.989407998657725</v>
      </c>
      <c r="P19" s="579">
        <v>22.576119591811405</v>
      </c>
      <c r="Q19" s="579">
        <v>55.854087166996038</v>
      </c>
      <c r="R19" s="430">
        <v>17.940406781876149</v>
      </c>
    </row>
    <row r="20" spans="2:18" ht="14.4" x14ac:dyDescent="0.3">
      <c r="B20" s="641"/>
      <c r="D20" s="438">
        <f t="shared" si="0"/>
        <v>733.98945822642702</v>
      </c>
      <c r="E20" s="424">
        <v>2024</v>
      </c>
      <c r="F20" s="430">
        <v>39.22333045472822</v>
      </c>
      <c r="G20" s="430">
        <v>18.329746668926219</v>
      </c>
      <c r="H20" s="430">
        <v>25.154873563366312</v>
      </c>
      <c r="I20" s="430">
        <v>7.3241832800372073</v>
      </c>
      <c r="J20" s="430">
        <v>68.364753973258985</v>
      </c>
      <c r="K20" s="430">
        <v>42.369240817785389</v>
      </c>
      <c r="L20" s="579">
        <v>129.39603764478719</v>
      </c>
      <c r="M20" s="579">
        <v>163.20057223928762</v>
      </c>
      <c r="N20" s="579">
        <v>45.620153073779512</v>
      </c>
      <c r="O20" s="579">
        <v>82.35304331809526</v>
      </c>
      <c r="P20" s="579">
        <v>24.277866526885131</v>
      </c>
      <c r="Q20" s="579">
        <v>66.164448181661754</v>
      </c>
      <c r="R20" s="430">
        <v>22.211208483828305</v>
      </c>
    </row>
    <row r="21" spans="2:18" ht="14.4" x14ac:dyDescent="0.3">
      <c r="B21" s="641"/>
      <c r="D21" s="438">
        <f t="shared" si="0"/>
        <v>831.18809289389105</v>
      </c>
      <c r="E21" s="424">
        <v>2025</v>
      </c>
      <c r="F21" s="430">
        <v>42.307290712715506</v>
      </c>
      <c r="G21" s="430">
        <v>20.722324346957254</v>
      </c>
      <c r="H21" s="430">
        <v>33.913529845265813</v>
      </c>
      <c r="I21" s="430">
        <v>11.338989874916843</v>
      </c>
      <c r="J21" s="430">
        <v>91.663381446610344</v>
      </c>
      <c r="K21" s="430">
        <v>46.606667723821829</v>
      </c>
      <c r="L21" s="579">
        <v>138.32452258469468</v>
      </c>
      <c r="M21" s="579">
        <v>176.24060443520804</v>
      </c>
      <c r="N21" s="579">
        <v>55.770013671587101</v>
      </c>
      <c r="O21" s="579">
        <v>85.477037873336698</v>
      </c>
      <c r="P21" s="579">
        <v>25.798059759728723</v>
      </c>
      <c r="Q21" s="579">
        <v>76.643904072831518</v>
      </c>
      <c r="R21" s="430">
        <v>26.381766546216586</v>
      </c>
    </row>
    <row r="22" spans="2:18" ht="14.4" x14ac:dyDescent="0.3">
      <c r="B22" s="641"/>
      <c r="D22" s="438">
        <f t="shared" si="0"/>
        <v>926.00078498681944</v>
      </c>
      <c r="E22" s="424">
        <v>2026</v>
      </c>
      <c r="F22" s="430">
        <v>45.459067443035863</v>
      </c>
      <c r="G22" s="430">
        <v>23.090808574487653</v>
      </c>
      <c r="H22" s="430">
        <v>43.913507391372917</v>
      </c>
      <c r="I22" s="430">
        <v>15.08779482158198</v>
      </c>
      <c r="J22" s="430">
        <v>110.07925715984108</v>
      </c>
      <c r="K22" s="430">
        <v>50.803284000853537</v>
      </c>
      <c r="L22" s="579">
        <v>148.8007599094083</v>
      </c>
      <c r="M22" s="579">
        <v>189.17793423858453</v>
      </c>
      <c r="N22" s="579">
        <v>66.331900779859197</v>
      </c>
      <c r="O22" s="579">
        <v>88.357254002578145</v>
      </c>
      <c r="P22" s="579">
        <v>27.176873860602665</v>
      </c>
      <c r="Q22" s="579">
        <v>87.272746042779843</v>
      </c>
      <c r="R22" s="430">
        <v>30.449596761833664</v>
      </c>
    </row>
    <row r="23" spans="2:18" ht="14.4" x14ac:dyDescent="0.3">
      <c r="B23" s="641"/>
      <c r="D23" s="438">
        <f t="shared" si="0"/>
        <v>1023.2585782596313</v>
      </c>
      <c r="E23" s="424">
        <v>2027</v>
      </c>
      <c r="F23" s="430">
        <v>48.693771559564659</v>
      </c>
      <c r="G23" s="430">
        <v>25.438967146570818</v>
      </c>
      <c r="H23" s="430">
        <v>55.134411837852468</v>
      </c>
      <c r="I23" s="430">
        <v>18.589986527445323</v>
      </c>
      <c r="J23" s="430">
        <v>130.07458651241129</v>
      </c>
      <c r="K23" s="430">
        <v>54.959288899582859</v>
      </c>
      <c r="L23" s="579">
        <v>159.20875382778465</v>
      </c>
      <c r="M23" s="579">
        <v>202.00958348423862</v>
      </c>
      <c r="N23" s="579">
        <v>77.326671650330638</v>
      </c>
      <c r="O23" s="579">
        <v>90.989554044009026</v>
      </c>
      <c r="P23" s="579">
        <v>28.454483399768662</v>
      </c>
      <c r="Q23" s="579">
        <v>97.951323781973045</v>
      </c>
      <c r="R23" s="430">
        <v>34.427195588099323</v>
      </c>
    </row>
    <row r="24" spans="2:18" ht="14.4" x14ac:dyDescent="0.3">
      <c r="B24" s="641"/>
      <c r="D24" s="438">
        <f t="shared" si="0"/>
        <v>1121.686089738819</v>
      </c>
      <c r="E24" s="424">
        <v>2028</v>
      </c>
      <c r="F24" s="430">
        <v>52.026513976177142</v>
      </c>
      <c r="G24" s="430">
        <v>27.771092810192563</v>
      </c>
      <c r="H24" s="430">
        <v>67.630352433415069</v>
      </c>
      <c r="I24" s="430">
        <v>21.871265354444276</v>
      </c>
      <c r="J24" s="430">
        <v>149.64393985781712</v>
      </c>
      <c r="K24" s="430">
        <v>59.074923925887653</v>
      </c>
      <c r="L24" s="579">
        <v>170.12046487325105</v>
      </c>
      <c r="M24" s="579">
        <v>214.73257400698955</v>
      </c>
      <c r="N24" s="579">
        <v>88.778749439957622</v>
      </c>
      <c r="O24" s="579">
        <v>93.369800335827733</v>
      </c>
      <c r="P24" s="579">
        <v>29.67106294748627</v>
      </c>
      <c r="Q24" s="579">
        <v>108.67832484603565</v>
      </c>
      <c r="R24" s="430">
        <v>38.317024931337357</v>
      </c>
    </row>
    <row r="25" spans="2:18" ht="14.4" x14ac:dyDescent="0.3">
      <c r="B25" s="641"/>
      <c r="D25" s="438">
        <f t="shared" si="0"/>
        <v>1221.5634788776438</v>
      </c>
      <c r="E25" s="424">
        <v>2029</v>
      </c>
      <c r="F25" s="430">
        <v>55.47240560674868</v>
      </c>
      <c r="G25" s="430">
        <v>30.091349586664379</v>
      </c>
      <c r="H25" s="430">
        <v>81.437131596428046</v>
      </c>
      <c r="I25" s="430">
        <v>24.955991757664393</v>
      </c>
      <c r="J25" s="430">
        <v>168.89897228645864</v>
      </c>
      <c r="K25" s="430">
        <v>63.150418459892393</v>
      </c>
      <c r="L25" s="579">
        <v>181.56012021856634</v>
      </c>
      <c r="M25" s="579">
        <v>227.3439276416583</v>
      </c>
      <c r="N25" s="579">
        <v>100.71605099737995</v>
      </c>
      <c r="O25" s="579">
        <v>95.493855216223523</v>
      </c>
      <c r="P25" s="579">
        <v>30.86678707401731</v>
      </c>
      <c r="Q25" s="579">
        <v>119.45243679059215</v>
      </c>
      <c r="R25" s="430">
        <v>42.124031645349582</v>
      </c>
    </row>
    <row r="26" spans="2:18" ht="14.4" x14ac:dyDescent="0.3">
      <c r="B26" s="641"/>
      <c r="D26" s="438">
        <f t="shared" si="0"/>
        <v>1329.3605955231528</v>
      </c>
      <c r="E26" s="424">
        <v>2030</v>
      </c>
      <c r="F26" s="430">
        <v>59.046557365154548</v>
      </c>
      <c r="G26" s="430">
        <v>32.403822302083213</v>
      </c>
      <c r="H26" s="430">
        <v>96.572629375862434</v>
      </c>
      <c r="I26" s="430">
        <v>27.867222118609369</v>
      </c>
      <c r="J26" s="430">
        <v>194.88316360461226</v>
      </c>
      <c r="K26" s="430">
        <v>67.185994414079758</v>
      </c>
      <c r="L26" s="579">
        <v>192.79170793876466</v>
      </c>
      <c r="M26" s="579">
        <v>239.84066622306591</v>
      </c>
      <c r="N26" s="579">
        <v>113.16991581164</v>
      </c>
      <c r="O26" s="579">
        <v>97.357581023394772</v>
      </c>
      <c r="P26" s="579">
        <v>32.081830349621811</v>
      </c>
      <c r="Q26" s="579">
        <v>130.27234717126709</v>
      </c>
      <c r="R26" s="430">
        <v>45.887157824997153</v>
      </c>
    </row>
    <row r="27" spans="2:18" ht="14.4" x14ac:dyDescent="0.3">
      <c r="B27" s="641"/>
      <c r="D27" s="438">
        <f t="shared" si="0"/>
        <v>1426.8091924823789</v>
      </c>
      <c r="E27" s="424">
        <v>2031</v>
      </c>
      <c r="F27" s="430">
        <v>62.764080165270094</v>
      </c>
      <c r="G27" s="430">
        <v>34.712921837987501</v>
      </c>
      <c r="H27" s="430">
        <v>113.12802148701235</v>
      </c>
      <c r="I27" s="430">
        <v>30.634098500251312</v>
      </c>
      <c r="J27" s="430">
        <v>206.91334787892455</v>
      </c>
      <c r="K27" s="430">
        <v>71.181897339297564</v>
      </c>
      <c r="L27" s="579">
        <v>206.12071166768354</v>
      </c>
      <c r="M27" s="579">
        <v>252.21981158603154</v>
      </c>
      <c r="N27" s="579">
        <v>126.17503610683359</v>
      </c>
      <c r="O27" s="579">
        <v>98.956840095530922</v>
      </c>
      <c r="P27" s="579">
        <v>33.356367344560148</v>
      </c>
      <c r="Q27" s="579">
        <v>141.13674354368499</v>
      </c>
      <c r="R27" s="430">
        <v>49.50931492931096</v>
      </c>
    </row>
    <row r="28" spans="2:18" ht="14.4" x14ac:dyDescent="0.3">
      <c r="B28" s="641"/>
      <c r="D28" s="438">
        <f t="shared" si="0"/>
        <v>1532.7621184600125</v>
      </c>
      <c r="E28" s="424">
        <v>2032</v>
      </c>
      <c r="F28" s="430">
        <v>66.640084920970565</v>
      </c>
      <c r="G28" s="430">
        <v>37.022574361801276</v>
      </c>
      <c r="H28" s="430">
        <v>131.08548037582551</v>
      </c>
      <c r="I28" s="430">
        <v>33.277040433120817</v>
      </c>
      <c r="J28" s="430">
        <v>225.89663731574132</v>
      </c>
      <c r="K28" s="430">
        <v>75.138334221371977</v>
      </c>
      <c r="L28" s="579">
        <v>219.2943621076335</v>
      </c>
      <c r="M28" s="579">
        <v>264.47838556537675</v>
      </c>
      <c r="N28" s="579">
        <v>139.76938806659066</v>
      </c>
      <c r="O28" s="579">
        <v>100.28749477083014</v>
      </c>
      <c r="P28" s="579">
        <v>34.730572629094226</v>
      </c>
      <c r="Q28" s="579">
        <v>152.04431346347033</v>
      </c>
      <c r="R28" s="430">
        <v>53.097450228185394</v>
      </c>
    </row>
    <row r="29" spans="2:18" ht="14.4" x14ac:dyDescent="0.3">
      <c r="B29" s="641"/>
      <c r="D29" s="438">
        <f t="shared" si="0"/>
        <v>1644.1049979977997</v>
      </c>
      <c r="E29" s="424">
        <v>2033</v>
      </c>
      <c r="F29" s="430">
        <v>70.689682546132261</v>
      </c>
      <c r="G29" s="430">
        <v>39.337031950089177</v>
      </c>
      <c r="H29" s="430">
        <v>147.59259785700334</v>
      </c>
      <c r="I29" s="430">
        <v>35.822537481431382</v>
      </c>
      <c r="J29" s="430">
        <v>245.01348945016798</v>
      </c>
      <c r="K29" s="430">
        <v>79.055535691210849</v>
      </c>
      <c r="L29" s="579">
        <v>233.10868719079656</v>
      </c>
      <c r="M29" s="579">
        <v>276.6134099959209</v>
      </c>
      <c r="N29" s="579">
        <v>153.9941641724734</v>
      </c>
      <c r="O29" s="579">
        <v>101.34540738748203</v>
      </c>
      <c r="P29" s="579">
        <v>41.916221173167301</v>
      </c>
      <c r="Q29" s="579">
        <v>162.99374448624769</v>
      </c>
      <c r="R29" s="430">
        <v>56.622488615676978</v>
      </c>
    </row>
    <row r="30" spans="2:18" ht="14.4" x14ac:dyDescent="0.3">
      <c r="B30" s="641"/>
      <c r="D30" s="438">
        <f t="shared" si="0"/>
        <v>1750.7214900827789</v>
      </c>
      <c r="E30" s="424">
        <v>2034</v>
      </c>
      <c r="F30" s="430">
        <v>74.927983954628573</v>
      </c>
      <c r="G30" s="430">
        <v>41.660467189002418</v>
      </c>
      <c r="H30" s="430">
        <v>165.93742236907923</v>
      </c>
      <c r="I30" s="430">
        <v>38.295743559589376</v>
      </c>
      <c r="J30" s="430">
        <v>264.37616848282073</v>
      </c>
      <c r="K30" s="430">
        <v>82.933724925412122</v>
      </c>
      <c r="L30" s="579">
        <v>247.60398928730743</v>
      </c>
      <c r="M30" s="579">
        <v>288.62190671248476</v>
      </c>
      <c r="N30" s="579">
        <v>168.89370664058512</v>
      </c>
      <c r="O30" s="579">
        <v>102.12644028368486</v>
      </c>
      <c r="P30" s="579">
        <v>41.270846623065118</v>
      </c>
      <c r="Q30" s="579">
        <v>173.98372416764164</v>
      </c>
      <c r="R30" s="430">
        <v>60.089365887477484</v>
      </c>
    </row>
    <row r="31" spans="2:18" ht="14.4" x14ac:dyDescent="0.3">
      <c r="B31" s="641"/>
      <c r="D31" s="438">
        <f t="shared" si="0"/>
        <v>1857.7674868475344</v>
      </c>
      <c r="E31" s="424">
        <v>2035</v>
      </c>
      <c r="F31" s="430">
        <v>79.370100060335702</v>
      </c>
      <c r="G31" s="430">
        <v>43.997121602774001</v>
      </c>
      <c r="H31" s="430">
        <v>187.16601374584639</v>
      </c>
      <c r="I31" s="430">
        <v>40.723268925472858</v>
      </c>
      <c r="J31" s="430">
        <v>278.52010977526731</v>
      </c>
      <c r="K31" s="430">
        <v>86.773128792192239</v>
      </c>
      <c r="L31" s="579">
        <v>262.08180944564816</v>
      </c>
      <c r="M31" s="579">
        <v>300.50089754988954</v>
      </c>
      <c r="N31" s="579">
        <v>184.51544194090607</v>
      </c>
      <c r="O31" s="579">
        <v>102.62645579762794</v>
      </c>
      <c r="P31" s="579">
        <v>42.800603858189781</v>
      </c>
      <c r="Q31" s="579">
        <v>185.18609274706321</v>
      </c>
      <c r="R31" s="430">
        <v>63.506442606321237</v>
      </c>
    </row>
    <row r="32" spans="2:18" ht="14.4" x14ac:dyDescent="0.3">
      <c r="B32" s="641"/>
      <c r="D32" s="438">
        <f t="shared" si="0"/>
        <v>1980.4263348125041</v>
      </c>
      <c r="E32" s="424">
        <v>2036</v>
      </c>
      <c r="F32" s="430">
        <v>84.031141777129037</v>
      </c>
      <c r="G32" s="430">
        <v>46.350983729589373</v>
      </c>
      <c r="H32" s="430">
        <v>209.90235448083524</v>
      </c>
      <c r="I32" s="430">
        <v>43.126889775682045</v>
      </c>
      <c r="J32" s="430">
        <v>304.28898749291238</v>
      </c>
      <c r="K32" s="430">
        <v>90.57395434463271</v>
      </c>
      <c r="L32" s="579">
        <v>278.78608894189853</v>
      </c>
      <c r="M32" s="579">
        <v>312.24740434295433</v>
      </c>
      <c r="N32" s="579">
        <v>200.90981638404068</v>
      </c>
      <c r="O32" s="579">
        <v>102.84131626750963</v>
      </c>
      <c r="P32" s="579">
        <v>44.627570637103673</v>
      </c>
      <c r="Q32" s="579">
        <v>195.87141742506083</v>
      </c>
      <c r="R32" s="430">
        <v>66.868409213155644</v>
      </c>
    </row>
    <row r="33" spans="2:19" ht="14.4" x14ac:dyDescent="0.3">
      <c r="B33" s="641"/>
      <c r="D33" s="438">
        <f t="shared" si="0"/>
        <v>2100.8432251414952</v>
      </c>
      <c r="E33" s="424">
        <v>2037</v>
      </c>
      <c r="F33" s="430">
        <v>88.926220018883839</v>
      </c>
      <c r="G33" s="430">
        <v>48.726415542007956</v>
      </c>
      <c r="H33" s="430">
        <v>234.24363570165875</v>
      </c>
      <c r="I33" s="430">
        <v>45.535780953294648</v>
      </c>
      <c r="J33" s="430">
        <v>325.0641653938838</v>
      </c>
      <c r="K33" s="430">
        <v>94.336434575038894</v>
      </c>
      <c r="L33" s="579">
        <v>295.53495999584214</v>
      </c>
      <c r="M33" s="579">
        <v>323.85844892650073</v>
      </c>
      <c r="N33" s="579">
        <v>218.13023276028113</v>
      </c>
      <c r="O33" s="579">
        <v>102.7668840315193</v>
      </c>
      <c r="P33" s="579">
        <v>46.79192153006781</v>
      </c>
      <c r="Q33" s="579">
        <v>206.73764733170404</v>
      </c>
      <c r="R33" s="430">
        <v>70.190478380812081</v>
      </c>
    </row>
    <row r="34" spans="2:19" ht="14.4" x14ac:dyDescent="0.3">
      <c r="B34" s="641"/>
      <c r="D34" s="438">
        <f t="shared" si="0"/>
        <v>2225.6249441660534</v>
      </c>
      <c r="E34" s="424">
        <v>2038</v>
      </c>
      <c r="F34" s="430">
        <v>94.070445699475457</v>
      </c>
      <c r="G34" s="430">
        <v>51.127532912261834</v>
      </c>
      <c r="H34" s="430">
        <v>260.21073408532243</v>
      </c>
      <c r="I34" s="430">
        <v>47.974412893329699</v>
      </c>
      <c r="J34" s="430">
        <v>346.53540350083648</v>
      </c>
      <c r="K34" s="430">
        <v>98.060783187927029</v>
      </c>
      <c r="L34" s="579">
        <v>313.09107159308115</v>
      </c>
      <c r="M34" s="579">
        <v>335.33105313534816</v>
      </c>
      <c r="N34" s="579">
        <v>236.23298801607635</v>
      </c>
      <c r="O34" s="579">
        <v>102.39902142785317</v>
      </c>
      <c r="P34" s="579">
        <v>49.333831107342519</v>
      </c>
      <c r="Q34" s="579">
        <v>217.78347002261748</v>
      </c>
      <c r="R34" s="430">
        <v>73.474196584581364</v>
      </c>
    </row>
    <row r="35" spans="2:19" ht="14.4" x14ac:dyDescent="0.3">
      <c r="B35" s="641"/>
      <c r="D35" s="438">
        <f t="shared" si="0"/>
        <v>2353.5203286868677</v>
      </c>
      <c r="E35" s="424">
        <v>2039</v>
      </c>
      <c r="F35" s="430">
        <v>99.478929732779122</v>
      </c>
      <c r="G35" s="430">
        <v>53.558529964153877</v>
      </c>
      <c r="H35" s="430">
        <v>287.85008702242141</v>
      </c>
      <c r="I35" s="430">
        <v>50.468891254877704</v>
      </c>
      <c r="J35" s="430">
        <v>368.81587793720007</v>
      </c>
      <c r="K35" s="430">
        <v>101.74721824659292</v>
      </c>
      <c r="L35" s="579">
        <v>331.47677429210648</v>
      </c>
      <c r="M35" s="579">
        <v>346.66223880431727</v>
      </c>
      <c r="N35" s="579">
        <v>255.27721195319197</v>
      </c>
      <c r="O35" s="579">
        <v>101.73359079470718</v>
      </c>
      <c r="P35" s="579">
        <v>52.293473939188495</v>
      </c>
      <c r="Q35" s="579">
        <v>227.43296583524079</v>
      </c>
      <c r="R35" s="430">
        <v>76.724538910090814</v>
      </c>
    </row>
    <row r="36" spans="2:19" ht="14.4" x14ac:dyDescent="0.3">
      <c r="B36" s="641"/>
      <c r="D36" s="438">
        <f t="shared" si="0"/>
        <v>2484.0710272987549</v>
      </c>
      <c r="E36" s="424">
        <v>2040</v>
      </c>
      <c r="F36" s="430">
        <v>105.16678303267024</v>
      </c>
      <c r="G36" s="430">
        <v>56.02379974763813</v>
      </c>
      <c r="H36" s="430">
        <v>317.28841787738628</v>
      </c>
      <c r="I36" s="430">
        <v>53.049381300566978</v>
      </c>
      <c r="J36" s="430">
        <v>390.64444916584603</v>
      </c>
      <c r="K36" s="430">
        <v>105.39597032675948</v>
      </c>
      <c r="L36" s="579">
        <v>351.17135607312923</v>
      </c>
      <c r="M36" s="579">
        <v>357.84902776822929</v>
      </c>
      <c r="N36" s="579">
        <v>275.32480693603122</v>
      </c>
      <c r="O36" s="579">
        <v>100.76645447027087</v>
      </c>
      <c r="P36" s="579">
        <v>55.71102459586681</v>
      </c>
      <c r="Q36" s="579">
        <v>235.67219660867244</v>
      </c>
      <c r="R36" s="430">
        <v>80.007359395687686</v>
      </c>
    </row>
    <row r="37" spans="2:19" ht="14.4" x14ac:dyDescent="0.3">
      <c r="B37" s="641"/>
      <c r="D37" s="438">
        <f t="shared" si="0"/>
        <v>2618.5547071594806</v>
      </c>
      <c r="E37" s="424">
        <v>2041</v>
      </c>
      <c r="F37" s="430">
        <v>111.14911651302404</v>
      </c>
      <c r="G37" s="430">
        <v>58.526838731680613</v>
      </c>
      <c r="H37" s="430">
        <v>348.29514617853977</v>
      </c>
      <c r="I37" s="430">
        <v>55.728331157892512</v>
      </c>
      <c r="J37" s="430">
        <v>416.25506980198361</v>
      </c>
      <c r="K37" s="430">
        <v>109.00720628078423</v>
      </c>
      <c r="L37" s="579">
        <v>370.83846491784323</v>
      </c>
      <c r="M37" s="579">
        <v>368.88844186190335</v>
      </c>
      <c r="N37" s="579">
        <v>296.44038859278083</v>
      </c>
      <c r="O37" s="579">
        <v>99.493474792742376</v>
      </c>
      <c r="P37" s="579">
        <v>59.626657647637899</v>
      </c>
      <c r="Q37" s="579">
        <v>241.16052962115526</v>
      </c>
      <c r="R37" s="430">
        <v>83.145041061513638</v>
      </c>
    </row>
    <row r="38" spans="2:19" ht="14.4" x14ac:dyDescent="0.3">
      <c r="B38" s="641"/>
      <c r="D38" s="438">
        <f t="shared" si="0"/>
        <v>2756.9663382617637</v>
      </c>
      <c r="E38" s="424">
        <v>2042</v>
      </c>
      <c r="F38" s="430">
        <v>117.44104108771582</v>
      </c>
      <c r="G38" s="430">
        <v>61.072519241708434</v>
      </c>
      <c r="H38" s="430">
        <v>381.18727592440217</v>
      </c>
      <c r="I38" s="430">
        <v>58.545634484882882</v>
      </c>
      <c r="J38" s="430">
        <v>441.64001465380488</v>
      </c>
      <c r="K38" s="430">
        <v>112.58118750527626</v>
      </c>
      <c r="L38" s="579">
        <v>391.87467815373952</v>
      </c>
      <c r="M38" s="579">
        <v>379.777502920161</v>
      </c>
      <c r="N38" s="579">
        <v>318.69122749623267</v>
      </c>
      <c r="O38" s="579">
        <v>97.910514100311246</v>
      </c>
      <c r="P38" s="579">
        <v>64.08054766476242</v>
      </c>
      <c r="Q38" s="579">
        <v>245.83900073618258</v>
      </c>
      <c r="R38" s="430">
        <v>86.325194292583433</v>
      </c>
    </row>
    <row r="39" spans="2:19" ht="14.4" x14ac:dyDescent="0.3">
      <c r="B39" s="641"/>
      <c r="D39" s="438">
        <f t="shared" si="0"/>
        <v>2900.4827658012487</v>
      </c>
      <c r="E39" s="424">
        <v>2043</v>
      </c>
      <c r="F39" s="430">
        <v>124.05766767062198</v>
      </c>
      <c r="G39" s="430">
        <v>63.664801468523216</v>
      </c>
      <c r="H39" s="430">
        <v>415.91948954136166</v>
      </c>
      <c r="I39" s="430">
        <v>61.523165786687997</v>
      </c>
      <c r="J39" s="430">
        <v>468.28627733526895</v>
      </c>
      <c r="K39" s="430">
        <v>116.11811055662798</v>
      </c>
      <c r="L39" s="579">
        <v>413.85311680420961</v>
      </c>
      <c r="M39" s="579">
        <v>390.51323277782171</v>
      </c>
      <c r="N39" s="579">
        <v>342.14719181029653</v>
      </c>
      <c r="O39" s="579">
        <v>96.013434731175749</v>
      </c>
      <c r="P39" s="579">
        <v>69.112869217501228</v>
      </c>
      <c r="Q39" s="579">
        <v>249.78145082372268</v>
      </c>
      <c r="R39" s="430">
        <v>89.491957277429265</v>
      </c>
    </row>
    <row r="40" spans="2:19" ht="14.4" x14ac:dyDescent="0.3">
      <c r="B40" s="641"/>
      <c r="D40" s="438">
        <f t="shared" si="0"/>
        <v>3048.0283932464304</v>
      </c>
      <c r="E40" s="424">
        <v>2044</v>
      </c>
      <c r="F40" s="430">
        <v>131.01410717561575</v>
      </c>
      <c r="G40" s="430">
        <v>66.307873119325592</v>
      </c>
      <c r="H40" s="430">
        <v>452.53733247998463</v>
      </c>
      <c r="I40" s="430">
        <v>64.687429284093582</v>
      </c>
      <c r="J40" s="430">
        <v>496.30726088973563</v>
      </c>
      <c r="K40" s="430">
        <v>119.61818655042856</v>
      </c>
      <c r="L40" s="579">
        <v>436.80200253714162</v>
      </c>
      <c r="M40" s="579">
        <v>401.0926532697062</v>
      </c>
      <c r="N40" s="579">
        <v>366.88069088843207</v>
      </c>
      <c r="O40" s="579">
        <v>93.798099023525211</v>
      </c>
      <c r="P40" s="579">
        <v>74.763796876114981</v>
      </c>
      <c r="Q40" s="579">
        <v>251.56861662200038</v>
      </c>
      <c r="R40" s="430">
        <v>92.650344530326706</v>
      </c>
    </row>
    <row r="41" spans="2:19" ht="14.4" x14ac:dyDescent="0.3">
      <c r="B41" s="641"/>
      <c r="D41" s="438">
        <f t="shared" si="0"/>
        <v>3206.0137344691611</v>
      </c>
      <c r="E41" s="424">
        <v>2045</v>
      </c>
      <c r="F41" s="430">
        <v>138.32547051657346</v>
      </c>
      <c r="G41" s="430">
        <v>69.00606419770925</v>
      </c>
      <c r="H41" s="430">
        <v>491.1553224123607</v>
      </c>
      <c r="I41" s="430">
        <v>68.067968631972491</v>
      </c>
      <c r="J41" s="430">
        <v>528.11282549966143</v>
      </c>
      <c r="K41" s="430">
        <v>123.08163472225394</v>
      </c>
      <c r="L41" s="579">
        <v>462.20336339067774</v>
      </c>
      <c r="M41" s="579">
        <v>411.51278623063541</v>
      </c>
      <c r="N41" s="579">
        <v>392.96661981038375</v>
      </c>
      <c r="O41" s="579">
        <v>91.260369315558123</v>
      </c>
      <c r="P41" s="579">
        <v>81.073505210864894</v>
      </c>
      <c r="Q41" s="579">
        <v>253.42785022876166</v>
      </c>
      <c r="R41" s="430">
        <v>95.819954301749064</v>
      </c>
    </row>
    <row r="42" spans="2:19" ht="14.4" x14ac:dyDescent="0.3">
      <c r="B42" s="641"/>
      <c r="D42" s="438">
        <f t="shared" si="0"/>
        <v>3363.2815859618058</v>
      </c>
      <c r="E42" s="424">
        <v>2046</v>
      </c>
      <c r="F42" s="430">
        <v>146.00686860737034</v>
      </c>
      <c r="G42" s="430">
        <v>71.763143403334809</v>
      </c>
      <c r="H42" s="430">
        <v>531.61728470631033</v>
      </c>
      <c r="I42" s="430">
        <v>71.682886019830605</v>
      </c>
      <c r="J42" s="430">
        <v>556.92763254474801</v>
      </c>
      <c r="K42" s="430">
        <v>126.50863594891644</v>
      </c>
      <c r="L42" s="579">
        <v>485.72398258598878</v>
      </c>
      <c r="M42" s="579">
        <v>421.7706534954288</v>
      </c>
      <c r="N42" s="579">
        <v>420.48230484377126</v>
      </c>
      <c r="O42" s="579">
        <v>88.396107945463768</v>
      </c>
      <c r="P42" s="579">
        <v>88.082168792010549</v>
      </c>
      <c r="Q42" s="579">
        <v>255.35783919963103</v>
      </c>
      <c r="R42" s="430">
        <v>98.962077869000723</v>
      </c>
    </row>
    <row r="43" spans="2:19" ht="14.4" x14ac:dyDescent="0.3">
      <c r="B43" s="641"/>
      <c r="D43" s="438">
        <f t="shared" si="0"/>
        <v>3528.7853718197257</v>
      </c>
      <c r="E43" s="424">
        <v>2047</v>
      </c>
      <c r="F43" s="430">
        <v>154.07341236188185</v>
      </c>
      <c r="G43" s="430">
        <v>74.58372545390894</v>
      </c>
      <c r="H43" s="430">
        <v>571.26787964193511</v>
      </c>
      <c r="I43" s="430">
        <v>75.567816698703538</v>
      </c>
      <c r="J43" s="430">
        <v>589.75446934793877</v>
      </c>
      <c r="K43" s="430">
        <v>129.89942572377606</v>
      </c>
      <c r="L43" s="579">
        <v>511.75402795932479</v>
      </c>
      <c r="M43" s="579">
        <v>431.86327689890783</v>
      </c>
      <c r="N43" s="579">
        <v>449.50744981729855</v>
      </c>
      <c r="O43" s="579">
        <v>85.201177251440541</v>
      </c>
      <c r="P43" s="579">
        <v>95.829962189813642</v>
      </c>
      <c r="Q43" s="579">
        <v>257.35727109023304</v>
      </c>
      <c r="R43" s="430">
        <v>102.12547738456287</v>
      </c>
    </row>
    <row r="44" spans="2:19" ht="14.4" x14ac:dyDescent="0.3">
      <c r="B44" s="641"/>
      <c r="D44" s="438">
        <f t="shared" si="0"/>
        <v>3707.9672523888694</v>
      </c>
      <c r="E44" s="424">
        <v>2048</v>
      </c>
      <c r="F44" s="430">
        <v>162.54021269398322</v>
      </c>
      <c r="G44" s="430">
        <v>77.471863857046429</v>
      </c>
      <c r="H44" s="430">
        <v>613.33938788018941</v>
      </c>
      <c r="I44" s="430">
        <v>79.746964301233817</v>
      </c>
      <c r="J44" s="430">
        <v>624.4109340641337</v>
      </c>
      <c r="K44" s="430">
        <v>133.25420119346035</v>
      </c>
      <c r="L44" s="579">
        <v>538.86638961803726</v>
      </c>
      <c r="M44" s="579">
        <v>441.78767827589184</v>
      </c>
      <c r="N44" s="579">
        <v>480.1240833924802</v>
      </c>
      <c r="O44" s="579">
        <v>81.671439571677695</v>
      </c>
      <c r="P44" s="579">
        <v>110.02866037421791</v>
      </c>
      <c r="Q44" s="579">
        <v>259.42483345619212</v>
      </c>
      <c r="R44" s="430">
        <v>105.30060371032528</v>
      </c>
    </row>
    <row r="45" spans="2:19" ht="14.4" x14ac:dyDescent="0.3">
      <c r="B45" s="641"/>
      <c r="D45" s="438">
        <f t="shared" si="0"/>
        <v>3887.9610224403209</v>
      </c>
      <c r="E45" s="424">
        <v>2049</v>
      </c>
      <c r="F45" s="430">
        <v>171.42238051754975</v>
      </c>
      <c r="G45" s="430">
        <v>80.431039388750989</v>
      </c>
      <c r="H45" s="430">
        <v>658.47845432282531</v>
      </c>
      <c r="I45" s="430">
        <v>84.232028782249785</v>
      </c>
      <c r="J45" s="430">
        <v>660.9893996547296</v>
      </c>
      <c r="K45" s="430">
        <v>136.57312265765174</v>
      </c>
      <c r="L45" s="579">
        <v>567.10239265853977</v>
      </c>
      <c r="M45" s="579">
        <v>451.5408794612016</v>
      </c>
      <c r="N45" s="579">
        <v>512.4165072209646</v>
      </c>
      <c r="O45" s="579">
        <v>77.802757244371378</v>
      </c>
      <c r="P45" s="579">
        <v>117.03579699150973</v>
      </c>
      <c r="Q45" s="579">
        <v>261.44377873060841</v>
      </c>
      <c r="R45" s="430">
        <v>108.4924848093676</v>
      </c>
    </row>
    <row r="46" spans="2:19" ht="14.4" x14ac:dyDescent="0.3">
      <c r="B46" s="641"/>
      <c r="D46" s="438">
        <f t="shared" si="0"/>
        <v>4075.581481154813</v>
      </c>
      <c r="E46" s="427">
        <v>2050</v>
      </c>
      <c r="F46" s="430">
        <v>180.73502674645664</v>
      </c>
      <c r="G46" s="430">
        <v>83.46464201351904</v>
      </c>
      <c r="H46" s="430">
        <v>704.89303364657019</v>
      </c>
      <c r="I46" s="430">
        <v>89.031713070962709</v>
      </c>
      <c r="J46" s="430">
        <v>699.10143127824153</v>
      </c>
      <c r="K46" s="430">
        <v>139.85634588523612</v>
      </c>
      <c r="L46" s="579">
        <v>595.60742222266231</v>
      </c>
      <c r="M46" s="579">
        <v>461.11990228965823</v>
      </c>
      <c r="N46" s="579">
        <v>546.4712449747185</v>
      </c>
      <c r="O46" s="579">
        <v>73.590992607717823</v>
      </c>
      <c r="P46" s="579">
        <v>126.85752692108939</v>
      </c>
      <c r="Q46" s="579">
        <v>263.27355756837562</v>
      </c>
      <c r="R46" s="430">
        <v>111.57864192960493</v>
      </c>
      <c r="S46" s="427"/>
    </row>
    <row r="47" spans="2:19" ht="14.4" x14ac:dyDescent="0.3">
      <c r="D47" s="438">
        <f t="shared" si="0"/>
        <v>4274.7146655509187</v>
      </c>
      <c r="E47" s="424">
        <v>2051</v>
      </c>
      <c r="F47" s="430">
        <v>190.49326229457941</v>
      </c>
      <c r="G47" s="430">
        <v>86.578476389279501</v>
      </c>
      <c r="H47" s="430">
        <v>753.49601728827076</v>
      </c>
      <c r="I47" s="430">
        <v>94.207818901045727</v>
      </c>
      <c r="J47" s="430">
        <v>740.33830065235213</v>
      </c>
      <c r="K47" s="430">
        <v>143.10417603471592</v>
      </c>
      <c r="L47" s="579">
        <v>627.07205613745032</v>
      </c>
      <c r="M47" s="579">
        <v>470.52176859608102</v>
      </c>
      <c r="N47" s="579">
        <v>582.37699223648019</v>
      </c>
      <c r="O47" s="579">
        <v>69.032007999906199</v>
      </c>
      <c r="P47" s="579">
        <v>137.61592792152126</v>
      </c>
      <c r="Q47" s="579">
        <v>264.93125387846811</v>
      </c>
      <c r="R47" s="430">
        <v>114.94660722076824</v>
      </c>
    </row>
    <row r="48" spans="2:19" ht="14.4" x14ac:dyDescent="0.3">
      <c r="D48" s="438">
        <f t="shared" si="0"/>
        <v>4481.0604883619162</v>
      </c>
      <c r="E48" s="424">
        <v>2052</v>
      </c>
      <c r="F48" s="430">
        <v>200.71219807579322</v>
      </c>
      <c r="G48" s="430">
        <v>89.77631543891313</v>
      </c>
      <c r="H48" s="430">
        <v>804.09472334943985</v>
      </c>
      <c r="I48" s="430">
        <v>99.778111202772834</v>
      </c>
      <c r="J48" s="430">
        <v>783.37165490459995</v>
      </c>
      <c r="K48" s="430">
        <v>146.31678896205335</v>
      </c>
      <c r="L48" s="579">
        <v>658.83701416989049</v>
      </c>
      <c r="M48" s="579">
        <v>479.74350021529148</v>
      </c>
      <c r="N48" s="579">
        <v>620.22456723806454</v>
      </c>
      <c r="O48" s="579">
        <v>64.121665759135013</v>
      </c>
      <c r="P48" s="579">
        <v>149.35117456306483</v>
      </c>
      <c r="Q48" s="579">
        <v>266.51389308166853</v>
      </c>
      <c r="R48" s="430">
        <v>118.2188814012295</v>
      </c>
    </row>
    <row r="49" spans="2:18" ht="14.4" x14ac:dyDescent="0.3">
      <c r="D49" s="438">
        <f t="shared" si="0"/>
        <v>4696.4965217400404</v>
      </c>
      <c r="E49" s="424">
        <v>2053</v>
      </c>
      <c r="F49" s="430">
        <v>211.4069450039735</v>
      </c>
      <c r="G49" s="430">
        <v>93.062528088280047</v>
      </c>
      <c r="H49" s="430">
        <v>856.83371082379472</v>
      </c>
      <c r="I49" s="430">
        <v>105.77369066179678</v>
      </c>
      <c r="J49" s="430">
        <v>828.79720363518709</v>
      </c>
      <c r="K49" s="430">
        <v>149.49439621642952</v>
      </c>
      <c r="L49" s="579">
        <v>691.82364554072922</v>
      </c>
      <c r="M49" s="579">
        <v>488.78211898210867</v>
      </c>
      <c r="N49" s="579">
        <v>660.10686243426142</v>
      </c>
      <c r="O49" s="579">
        <v>58.855828223593598</v>
      </c>
      <c r="P49" s="579">
        <v>162.10344141598117</v>
      </c>
      <c r="Q49" s="579">
        <v>267.92818096685181</v>
      </c>
      <c r="R49" s="430">
        <v>121.52796974705252</v>
      </c>
    </row>
    <row r="50" spans="2:18" ht="14.4" x14ac:dyDescent="0.3">
      <c r="D50" s="438">
        <f t="shared" si="0"/>
        <v>4921.3886813723238</v>
      </c>
      <c r="E50" s="424">
        <v>2054</v>
      </c>
      <c r="F50" s="430">
        <v>222.59261399299638</v>
      </c>
      <c r="G50" s="430">
        <v>96.441310595452222</v>
      </c>
      <c r="H50" s="430">
        <v>911.76077416327973</v>
      </c>
      <c r="I50" s="430">
        <v>112.22193440906723</v>
      </c>
      <c r="J50" s="430">
        <v>876.7290194928371</v>
      </c>
      <c r="K50" s="430">
        <v>152.63719740895925</v>
      </c>
      <c r="L50" s="579">
        <v>726.05746220881213</v>
      </c>
      <c r="M50" s="579">
        <v>497.63464673135411</v>
      </c>
      <c r="N50" s="579">
        <v>702.11879690024205</v>
      </c>
      <c r="O50" s="579">
        <v>53.230357731480268</v>
      </c>
      <c r="P50" s="579">
        <v>175.91290305053116</v>
      </c>
      <c r="Q50" s="579">
        <v>269.17280508964217</v>
      </c>
      <c r="R50" s="430">
        <v>124.87885959766999</v>
      </c>
    </row>
    <row r="51" spans="2:18" ht="14.4" x14ac:dyDescent="0.3">
      <c r="D51" s="438">
        <f t="shared" si="0"/>
        <v>5156.159879329256</v>
      </c>
      <c r="E51" s="424">
        <v>2055</v>
      </c>
      <c r="F51" s="430">
        <v>234.28431595673527</v>
      </c>
      <c r="G51" s="430">
        <v>99.916939864964633</v>
      </c>
      <c r="H51" s="430">
        <v>968.97516000101291</v>
      </c>
      <c r="I51" s="430">
        <v>119.15231217096911</v>
      </c>
      <c r="J51" s="430">
        <v>927.28401371112</v>
      </c>
      <c r="K51" s="430">
        <v>155.74539559828591</v>
      </c>
      <c r="L51" s="579">
        <v>761.56254232055505</v>
      </c>
      <c r="M51" s="579">
        <v>506.29810529784817</v>
      </c>
      <c r="N51" s="579">
        <v>746.35726954051677</v>
      </c>
      <c r="O51" s="579">
        <v>47.241116620984464</v>
      </c>
      <c r="P51" s="579">
        <v>190.81973403697486</v>
      </c>
      <c r="Q51" s="579">
        <v>270.24645300566436</v>
      </c>
      <c r="R51" s="430">
        <v>128.27652120362495</v>
      </c>
    </row>
    <row r="52" spans="2:18" ht="14.4" x14ac:dyDescent="0.3">
      <c r="D52" s="438">
        <f t="shared" si="0"/>
        <v>5401.0236653223401</v>
      </c>
      <c r="E52" s="424">
        <v>2056</v>
      </c>
      <c r="F52" s="430">
        <v>246.49716180906651</v>
      </c>
      <c r="G52" s="430">
        <v>103.49337690475288</v>
      </c>
      <c r="H52" s="430">
        <v>1028.3759745919756</v>
      </c>
      <c r="I52" s="430">
        <v>126.58660845632481</v>
      </c>
      <c r="J52" s="430">
        <v>980.56836001153863</v>
      </c>
      <c r="K52" s="430">
        <v>158.81917438998437</v>
      </c>
      <c r="L52" s="579">
        <v>798.37058650468566</v>
      </c>
      <c r="M52" s="579">
        <v>514.76951651641036</v>
      </c>
      <c r="N52" s="579">
        <v>792.92111309767733</v>
      </c>
      <c r="O52" s="579">
        <v>40.883967230304435</v>
      </c>
      <c r="P52" s="579">
        <v>206.86410894557463</v>
      </c>
      <c r="Q52" s="579">
        <v>271.14781227054277</v>
      </c>
      <c r="R52" s="430">
        <v>131.72590459350144</v>
      </c>
    </row>
    <row r="53" spans="2:18" ht="14.4" x14ac:dyDescent="0.3">
      <c r="D53" s="438">
        <f t="shared" si="0"/>
        <v>5656.5179333103397</v>
      </c>
      <c r="E53" s="424">
        <v>2057</v>
      </c>
      <c r="F53" s="430">
        <v>259.24626246386532</v>
      </c>
      <c r="G53" s="430">
        <v>107.17506002913089</v>
      </c>
      <c r="H53" s="430">
        <v>1090.1654348680893</v>
      </c>
      <c r="I53" s="430">
        <v>134.55849755519051</v>
      </c>
      <c r="J53" s="430">
        <v>1036.7046619358637</v>
      </c>
      <c r="K53" s="430">
        <v>161.85874375358361</v>
      </c>
      <c r="L53" s="579">
        <v>836.50384238084791</v>
      </c>
      <c r="M53" s="579">
        <v>523.04590222186209</v>
      </c>
      <c r="N53" s="579">
        <v>841.91104894929208</v>
      </c>
      <c r="O53" s="579">
        <v>34.154771897629523</v>
      </c>
      <c r="P53" s="579">
        <v>224.08620234658883</v>
      </c>
      <c r="Q53" s="579">
        <v>271.87557043990199</v>
      </c>
      <c r="R53" s="430">
        <v>135.23193446849353</v>
      </c>
    </row>
    <row r="54" spans="2:18" ht="14.4" x14ac:dyDescent="0.3">
      <c r="D54" s="438">
        <f t="shared" si="0"/>
        <v>5922.9725747308503</v>
      </c>
      <c r="E54" s="424">
        <v>2058</v>
      </c>
      <c r="F54" s="430">
        <v>272.54672883500712</v>
      </c>
      <c r="G54" s="430">
        <v>110.96611173542998</v>
      </c>
      <c r="H54" s="430">
        <v>1154.3456580153238</v>
      </c>
      <c r="I54" s="430">
        <v>143.09398170781327</v>
      </c>
      <c r="J54" s="430">
        <v>1095.8047957054634</v>
      </c>
      <c r="K54" s="430">
        <v>164.86429421614483</v>
      </c>
      <c r="L54" s="579">
        <v>875.99341809121029</v>
      </c>
      <c r="M54" s="579">
        <v>531.12428424902305</v>
      </c>
      <c r="N54" s="579">
        <v>893.4296426814725</v>
      </c>
      <c r="O54" s="579">
        <v>27.049392961158212</v>
      </c>
      <c r="P54" s="579">
        <v>242.52618881027993</v>
      </c>
      <c r="Q54" s="579">
        <v>272.42841506936674</v>
      </c>
      <c r="R54" s="430">
        <v>138.7996626531571</v>
      </c>
    </row>
    <row r="55" spans="2:18" ht="14.4" x14ac:dyDescent="0.3">
      <c r="D55" s="438">
        <f t="shared" si="0"/>
        <v>6200.7751157942303</v>
      </c>
      <c r="E55" s="424">
        <v>2059</v>
      </c>
      <c r="F55" s="430">
        <v>286.41367183636709</v>
      </c>
      <c r="G55" s="430">
        <v>114.8707353262364</v>
      </c>
      <c r="H55" s="430">
        <v>1220.9702945948259</v>
      </c>
      <c r="I55" s="430">
        <v>152.22118203162</v>
      </c>
      <c r="J55" s="430">
        <v>1157.9834964703684</v>
      </c>
      <c r="K55" s="430">
        <v>167.8360197734624</v>
      </c>
      <c r="L55" s="579">
        <v>916.87000220079574</v>
      </c>
      <c r="M55" s="579">
        <v>539.00168443271377</v>
      </c>
      <c r="N55" s="579">
        <v>947.58126042779418</v>
      </c>
      <c r="O55" s="579">
        <v>19.563692759079839</v>
      </c>
      <c r="P55" s="579">
        <v>262.2242429069081</v>
      </c>
      <c r="Q55" s="579">
        <v>272.80503371456115</v>
      </c>
      <c r="R55" s="430">
        <v>142.43379931949684</v>
      </c>
    </row>
    <row r="56" spans="2:18" ht="14.4" x14ac:dyDescent="0.3">
      <c r="D56" s="438">
        <f t="shared" si="0"/>
        <v>6489.9224161922684</v>
      </c>
      <c r="E56" s="424">
        <v>2060</v>
      </c>
      <c r="F56" s="430">
        <v>300.86220238182051</v>
      </c>
      <c r="G56" s="430">
        <v>118.8927708007415</v>
      </c>
      <c r="H56" s="430">
        <v>1289.8400870186699</v>
      </c>
      <c r="I56" s="430">
        <v>161.95814660862385</v>
      </c>
      <c r="J56" s="430">
        <v>1223.3418024913183</v>
      </c>
      <c r="K56" s="430">
        <v>170.77409389277415</v>
      </c>
      <c r="L56" s="579">
        <v>959.17291775527644</v>
      </c>
      <c r="M56" s="579">
        <v>546.67512460775527</v>
      </c>
      <c r="N56" s="579">
        <v>1004.4720259624011</v>
      </c>
      <c r="O56" s="579">
        <v>11.693533629590398</v>
      </c>
      <c r="P56" s="579">
        <v>283.2205392067342</v>
      </c>
      <c r="Q56" s="579">
        <v>272.83096124732327</v>
      </c>
      <c r="R56" s="430">
        <v>146.18821058924047</v>
      </c>
    </row>
    <row r="58" spans="2:18" ht="14.4" x14ac:dyDescent="0.25">
      <c r="E58" s="605" t="s">
        <v>592</v>
      </c>
      <c r="F58" s="604">
        <f>SUM(F16:F46)</f>
        <v>2731.9408596172566</v>
      </c>
      <c r="G58" s="604">
        <f t="shared" ref="G58:R58" si="1">SUM(G16:G46)</f>
        <v>1385.4173464490473</v>
      </c>
      <c r="H58" s="604">
        <f t="shared" si="1"/>
        <v>7662.554465879778</v>
      </c>
      <c r="I58" s="604">
        <f t="shared" si="1"/>
        <v>1256.1620196413264</v>
      </c>
      <c r="J58" s="604">
        <f t="shared" si="1"/>
        <v>9421.4951430319779</v>
      </c>
      <c r="K58" s="604">
        <f t="shared" si="1"/>
        <v>2642.1226094196272</v>
      </c>
      <c r="L58" s="604">
        <f t="shared" si="1"/>
        <v>9059.8729141531567</v>
      </c>
      <c r="M58" s="604">
        <f t="shared" si="1"/>
        <v>9151.247609065771</v>
      </c>
      <c r="N58" s="604">
        <f t="shared" si="1"/>
        <v>6721.7623888050557</v>
      </c>
      <c r="O58" s="604">
        <f t="shared" si="1"/>
        <v>2827.8278750875938</v>
      </c>
      <c r="P58" s="604">
        <f t="shared" si="1"/>
        <v>1605.3267304218746</v>
      </c>
      <c r="Q58" s="604">
        <f t="shared" si="1"/>
        <v>5286.0736114050715</v>
      </c>
      <c r="R58" s="604">
        <f t="shared" si="1"/>
        <v>1908.8041846747897</v>
      </c>
    </row>
    <row r="59" spans="2:18" ht="22.8" x14ac:dyDescent="0.25">
      <c r="F59" s="631" t="str">
        <f>F6</f>
        <v>Bicycle Infrastructure</v>
      </c>
      <c r="G59" s="631" t="str">
        <f t="shared" ref="G59:R59" si="2">G6</f>
        <v>Electric Bicycles</v>
      </c>
      <c r="H59" s="631" t="str">
        <f t="shared" si="2"/>
        <v>Electric Cars</v>
      </c>
      <c r="I59" s="631" t="str">
        <f t="shared" si="2"/>
        <v>High Speed Rail</v>
      </c>
      <c r="J59" s="631" t="str">
        <f t="shared" si="2"/>
        <v>Public Transit</v>
      </c>
      <c r="K59" s="631" t="str">
        <f t="shared" si="2"/>
        <v>Telepresence</v>
      </c>
      <c r="L59" s="631" t="str">
        <f t="shared" si="2"/>
        <v>Carpooling</v>
      </c>
      <c r="M59" s="631" t="str">
        <f t="shared" si="2"/>
        <v>Efficient Trucks</v>
      </c>
      <c r="N59" s="631" t="str">
        <f t="shared" si="2"/>
        <v>Efficient Ocean Shipping</v>
      </c>
      <c r="O59" s="631" t="str">
        <f t="shared" si="2"/>
        <v>Walkable Cities</v>
      </c>
      <c r="P59" s="631" t="str">
        <f t="shared" si="2"/>
        <v>Hybrid Cars</v>
      </c>
      <c r="Q59" s="631" t="str">
        <f t="shared" si="2"/>
        <v>Efficient Aviation</v>
      </c>
      <c r="R59" s="631" t="str">
        <f t="shared" si="2"/>
        <v>Electric Trains</v>
      </c>
    </row>
    <row r="61" spans="2:18" ht="46.8" x14ac:dyDescent="0.25">
      <c r="B61" s="436" t="s">
        <v>129</v>
      </c>
      <c r="D61" s="431" t="s">
        <v>471</v>
      </c>
      <c r="E61" s="603" t="s">
        <v>476</v>
      </c>
      <c r="F61" s="439" t="s">
        <v>606</v>
      </c>
      <c r="G61" s="439" t="s">
        <v>612</v>
      </c>
      <c r="H61" s="431" t="s">
        <v>380</v>
      </c>
      <c r="I61" s="431" t="s">
        <v>6</v>
      </c>
      <c r="J61" s="431" t="s">
        <v>600</v>
      </c>
      <c r="K61" s="431" t="s">
        <v>5</v>
      </c>
      <c r="L61" s="580" t="s">
        <v>267</v>
      </c>
      <c r="M61" s="580" t="s">
        <v>610</v>
      </c>
      <c r="N61" s="580" t="s">
        <v>611</v>
      </c>
      <c r="O61" s="580" t="s">
        <v>1</v>
      </c>
      <c r="P61" s="580" t="s">
        <v>377</v>
      </c>
      <c r="Q61" s="580" t="s">
        <v>609</v>
      </c>
      <c r="R61" s="431" t="s">
        <v>604</v>
      </c>
    </row>
    <row r="62" spans="2:18" ht="52.8" x14ac:dyDescent="0.25">
      <c r="D62" s="595" t="s">
        <v>584</v>
      </c>
      <c r="F62" s="441" t="s">
        <v>586</v>
      </c>
      <c r="G62" s="441" t="s">
        <v>586</v>
      </c>
      <c r="H62" s="441" t="s">
        <v>586</v>
      </c>
      <c r="I62" s="441" t="s">
        <v>586</v>
      </c>
      <c r="J62" s="441" t="s">
        <v>586</v>
      </c>
      <c r="K62" s="441" t="s">
        <v>586</v>
      </c>
      <c r="L62" s="441" t="s">
        <v>586</v>
      </c>
      <c r="M62" s="441" t="s">
        <v>586</v>
      </c>
      <c r="N62" s="441" t="s">
        <v>586</v>
      </c>
      <c r="O62" s="441" t="s">
        <v>586</v>
      </c>
      <c r="P62" s="441" t="s">
        <v>586</v>
      </c>
      <c r="Q62" s="441" t="s">
        <v>586</v>
      </c>
      <c r="R62" s="441" t="s">
        <v>586</v>
      </c>
    </row>
    <row r="63" spans="2:18" x14ac:dyDescent="0.25">
      <c r="C63" s="428" t="s">
        <v>589</v>
      </c>
      <c r="D63" s="437">
        <f>SUM(D71:D101)/1000</f>
        <v>88.374797202508077</v>
      </c>
      <c r="E63" s="424" t="s">
        <v>587</v>
      </c>
      <c r="F63" s="601" t="s">
        <v>585</v>
      </c>
      <c r="G63" s="601" t="s">
        <v>585</v>
      </c>
      <c r="H63" s="601" t="s">
        <v>585</v>
      </c>
      <c r="I63" s="601" t="s">
        <v>585</v>
      </c>
      <c r="J63" s="601" t="s">
        <v>585</v>
      </c>
      <c r="K63" s="601" t="s">
        <v>585</v>
      </c>
      <c r="L63" s="601" t="s">
        <v>585</v>
      </c>
      <c r="M63" s="601" t="s">
        <v>585</v>
      </c>
      <c r="N63" s="601" t="s">
        <v>585</v>
      </c>
      <c r="O63" s="601" t="s">
        <v>585</v>
      </c>
      <c r="P63" s="601" t="s">
        <v>585</v>
      </c>
      <c r="Q63" s="601" t="s">
        <v>585</v>
      </c>
      <c r="R63" s="601" t="s">
        <v>585</v>
      </c>
    </row>
    <row r="65" spans="2:19" ht="14.4" x14ac:dyDescent="0.3">
      <c r="C65" s="424" t="s">
        <v>588</v>
      </c>
      <c r="D65" s="438">
        <f>SUM(F65:R65)</f>
        <v>0</v>
      </c>
      <c r="E65" s="424">
        <v>2014</v>
      </c>
      <c r="F65" s="632">
        <v>0</v>
      </c>
      <c r="G65" s="632">
        <v>0</v>
      </c>
      <c r="H65" s="632">
        <v>0</v>
      </c>
      <c r="I65" s="632">
        <v>0</v>
      </c>
      <c r="J65" s="632">
        <v>0</v>
      </c>
      <c r="K65" s="632">
        <v>0</v>
      </c>
      <c r="L65" s="632">
        <v>0</v>
      </c>
      <c r="M65" s="632">
        <v>0</v>
      </c>
      <c r="N65" s="632">
        <v>0</v>
      </c>
      <c r="O65" s="632">
        <v>0</v>
      </c>
      <c r="P65" s="632">
        <v>0</v>
      </c>
      <c r="Q65" s="632">
        <v>0</v>
      </c>
      <c r="R65" s="632">
        <v>0</v>
      </c>
    </row>
    <row r="66" spans="2:19" ht="14.4" x14ac:dyDescent="0.3">
      <c r="D66" s="438">
        <f t="shared" ref="D66:D111" si="3">SUM(F66:R66)</f>
        <v>2.9366795339737908</v>
      </c>
      <c r="E66" s="424">
        <v>2015</v>
      </c>
      <c r="F66" s="430" t="s">
        <v>746</v>
      </c>
      <c r="G66" s="430" t="s">
        <v>746</v>
      </c>
      <c r="H66" s="430" t="s">
        <v>746</v>
      </c>
      <c r="I66" s="430">
        <v>4.6610434531325158</v>
      </c>
      <c r="J66" s="430" t="s">
        <v>746</v>
      </c>
      <c r="K66" s="430" t="s">
        <v>746</v>
      </c>
      <c r="L66" s="579">
        <v>0.1737818082997426</v>
      </c>
      <c r="M66" s="579" t="s">
        <v>746</v>
      </c>
      <c r="N66" s="579" t="s">
        <v>746</v>
      </c>
      <c r="O66" s="579" t="s">
        <v>746</v>
      </c>
      <c r="P66" s="579" t="s">
        <v>746</v>
      </c>
      <c r="Q66" s="579" t="s">
        <v>746</v>
      </c>
      <c r="R66" s="430">
        <v>-1.8981457274584677</v>
      </c>
    </row>
    <row r="67" spans="2:19" ht="14.4" x14ac:dyDescent="0.3">
      <c r="D67" s="438">
        <f t="shared" si="3"/>
        <v>12.011961706736241</v>
      </c>
      <c r="E67" s="424">
        <v>2016</v>
      </c>
      <c r="F67" s="430" t="s">
        <v>746</v>
      </c>
      <c r="G67" s="430" t="s">
        <v>746</v>
      </c>
      <c r="H67" s="430" t="s">
        <v>746</v>
      </c>
      <c r="I67" s="430">
        <v>4.1075266341863363</v>
      </c>
      <c r="J67" s="430" t="s">
        <v>746</v>
      </c>
      <c r="K67" s="430" t="s">
        <v>746</v>
      </c>
      <c r="L67" s="579">
        <v>0.13389521123545625</v>
      </c>
      <c r="M67" s="579" t="s">
        <v>746</v>
      </c>
      <c r="N67" s="579" t="s">
        <v>746</v>
      </c>
      <c r="O67" s="579" t="s">
        <v>746</v>
      </c>
      <c r="P67" s="579" t="s">
        <v>746</v>
      </c>
      <c r="Q67" s="579" t="s">
        <v>746</v>
      </c>
      <c r="R67" s="430">
        <v>7.7705398613144467</v>
      </c>
    </row>
    <row r="68" spans="2:19" ht="14.4" x14ac:dyDescent="0.3">
      <c r="D68" s="438">
        <f t="shared" si="3"/>
        <v>9.7453840062949251</v>
      </c>
      <c r="E68" s="424">
        <v>2017</v>
      </c>
      <c r="F68" s="430" t="s">
        <v>746</v>
      </c>
      <c r="G68" s="430" t="s">
        <v>746</v>
      </c>
      <c r="H68" s="430" t="s">
        <v>746</v>
      </c>
      <c r="I68" s="430">
        <v>-4.2580798391938286</v>
      </c>
      <c r="J68" s="430" t="s">
        <v>746</v>
      </c>
      <c r="K68" s="430" t="s">
        <v>746</v>
      </c>
      <c r="L68" s="579">
        <v>7.4650395586423307E-2</v>
      </c>
      <c r="M68" s="579" t="s">
        <v>746</v>
      </c>
      <c r="N68" s="579" t="s">
        <v>746</v>
      </c>
      <c r="O68" s="579" t="s">
        <v>746</v>
      </c>
      <c r="P68" s="579" t="s">
        <v>746</v>
      </c>
      <c r="Q68" s="579" t="s">
        <v>746</v>
      </c>
      <c r="R68" s="430">
        <v>13.92881344990233</v>
      </c>
    </row>
    <row r="69" spans="2:19" ht="14.4" x14ac:dyDescent="0.3">
      <c r="D69" s="438">
        <f t="shared" si="3"/>
        <v>5.5865649314483541</v>
      </c>
      <c r="E69" s="424">
        <v>2018</v>
      </c>
      <c r="F69" s="430" t="s">
        <v>746</v>
      </c>
      <c r="G69" s="430" t="s">
        <v>746</v>
      </c>
      <c r="H69" s="430" t="s">
        <v>746</v>
      </c>
      <c r="I69" s="430">
        <v>-4.3932070475195433</v>
      </c>
      <c r="J69" s="430" t="s">
        <v>746</v>
      </c>
      <c r="K69" s="430" t="s">
        <v>746</v>
      </c>
      <c r="L69" s="579">
        <v>-1.0970828066824204E-12</v>
      </c>
      <c r="M69" s="579" t="s">
        <v>746</v>
      </c>
      <c r="N69" s="579">
        <v>-3.2548553400343965E-13</v>
      </c>
      <c r="O69" s="579" t="s">
        <v>746</v>
      </c>
      <c r="P69" s="579">
        <v>2.1996256007411614</v>
      </c>
      <c r="Q69" s="579" t="s">
        <v>746</v>
      </c>
      <c r="R69" s="430">
        <v>7.7801463782281575</v>
      </c>
    </row>
    <row r="70" spans="2:19" ht="14.4" x14ac:dyDescent="0.3">
      <c r="D70" s="438">
        <f t="shared" si="3"/>
        <v>340.96418536540403</v>
      </c>
      <c r="E70" s="424">
        <v>2019</v>
      </c>
      <c r="F70" s="430" t="s">
        <v>746</v>
      </c>
      <c r="G70" s="430">
        <v>3.1126226994273001</v>
      </c>
      <c r="H70" s="430">
        <v>0.14338826713755726</v>
      </c>
      <c r="I70" s="430">
        <v>9.1827050029533071E-3</v>
      </c>
      <c r="J70" s="430" t="s">
        <v>746</v>
      </c>
      <c r="K70" s="430">
        <v>24.084217170275924</v>
      </c>
      <c r="L70" s="579">
        <v>84.947960390114361</v>
      </c>
      <c r="M70" s="579">
        <v>112.84089267383521</v>
      </c>
      <c r="N70" s="579">
        <v>11.971016320724868</v>
      </c>
      <c r="O70" s="579">
        <v>64.487956042688396</v>
      </c>
      <c r="P70" s="579">
        <v>6.6605473963674751</v>
      </c>
      <c r="Q70" s="579">
        <v>18.352805561743178</v>
      </c>
      <c r="R70" s="430">
        <v>14.353596138086777</v>
      </c>
    </row>
    <row r="71" spans="2:19" ht="14.4" x14ac:dyDescent="0.3">
      <c r="B71" s="641"/>
      <c r="D71" s="438">
        <f t="shared" si="3"/>
        <v>472.16549150394133</v>
      </c>
      <c r="E71" s="427">
        <v>2020</v>
      </c>
      <c r="F71" s="430">
        <v>53.721251284955741</v>
      </c>
      <c r="G71" s="430">
        <v>5.4457946536186519</v>
      </c>
      <c r="H71" s="430">
        <v>-5.1358640939434457</v>
      </c>
      <c r="I71" s="430">
        <v>9.0508852419304624</v>
      </c>
      <c r="J71" s="430" t="s">
        <v>746</v>
      </c>
      <c r="K71" s="430">
        <v>32.045501472471948</v>
      </c>
      <c r="L71" s="579">
        <v>94.033306519755882</v>
      </c>
      <c r="M71" s="579">
        <v>129.301491398471</v>
      </c>
      <c r="N71" s="579">
        <v>24.255632861076435</v>
      </c>
      <c r="O71" s="579">
        <v>69.402733427140618</v>
      </c>
      <c r="P71" s="579">
        <v>10.280553242328835</v>
      </c>
      <c r="Q71" s="579">
        <v>29.290247812312405</v>
      </c>
      <c r="R71" s="430">
        <v>20.473957683822718</v>
      </c>
      <c r="S71" s="427"/>
    </row>
    <row r="72" spans="2:19" ht="14.4" x14ac:dyDescent="0.3">
      <c r="B72" s="641"/>
      <c r="D72" s="438">
        <f t="shared" si="3"/>
        <v>574.094408063929</v>
      </c>
      <c r="E72" s="424">
        <v>2021</v>
      </c>
      <c r="F72" s="430">
        <v>61.19358097698268</v>
      </c>
      <c r="G72" s="430">
        <v>7.8440287352534313</v>
      </c>
      <c r="H72" s="430">
        <v>-1.1290113745606405</v>
      </c>
      <c r="I72" s="430">
        <v>17.673067857987139</v>
      </c>
      <c r="J72" s="430" t="s">
        <v>746</v>
      </c>
      <c r="K72" s="430">
        <v>39.957337676033696</v>
      </c>
      <c r="L72" s="579">
        <v>110.49965971871488</v>
      </c>
      <c r="M72" s="579">
        <v>145.90802515256456</v>
      </c>
      <c r="N72" s="579">
        <v>37.01444687621732</v>
      </c>
      <c r="O72" s="579">
        <v>74.20741984252416</v>
      </c>
      <c r="P72" s="579">
        <v>14.32287311173245</v>
      </c>
      <c r="Q72" s="579">
        <v>40.299404735761421</v>
      </c>
      <c r="R72" s="430">
        <v>26.303574754717832</v>
      </c>
    </row>
    <row r="73" spans="2:19" ht="14.4" x14ac:dyDescent="0.3">
      <c r="B73" s="641"/>
      <c r="D73" s="438">
        <f t="shared" si="3"/>
        <v>647.01378756768099</v>
      </c>
      <c r="E73" s="424">
        <v>2022</v>
      </c>
      <c r="F73" s="430">
        <v>68.509277203031701</v>
      </c>
      <c r="G73" s="430">
        <v>10.306629016020592</v>
      </c>
      <c r="H73" s="430">
        <v>4.3589437896755605</v>
      </c>
      <c r="I73" s="430">
        <v>25.90816393614881</v>
      </c>
      <c r="J73" s="430">
        <v>-38.495193834521061</v>
      </c>
      <c r="K73" s="430">
        <v>47.819236630456125</v>
      </c>
      <c r="L73" s="579">
        <v>134.90419610310477</v>
      </c>
      <c r="M73" s="579">
        <v>162.61544876424026</v>
      </c>
      <c r="N73" s="579">
        <v>50.247646040537283</v>
      </c>
      <c r="O73" s="579">
        <v>78.891511528361718</v>
      </c>
      <c r="P73" s="579">
        <v>18.801534875985134</v>
      </c>
      <c r="Q73" s="579">
        <v>51.378963887714754</v>
      </c>
      <c r="R73" s="430">
        <v>31.767429626925352</v>
      </c>
    </row>
    <row r="74" spans="2:19" ht="14.4" x14ac:dyDescent="0.3">
      <c r="B74" s="641"/>
      <c r="D74" s="438">
        <f t="shared" si="3"/>
        <v>791.2001435871839</v>
      </c>
      <c r="E74" s="424">
        <v>2023</v>
      </c>
      <c r="F74" s="430">
        <v>75.674444596487234</v>
      </c>
      <c r="G74" s="430">
        <v>12.832885459396779</v>
      </c>
      <c r="H74" s="430">
        <v>11.386008980176477</v>
      </c>
      <c r="I74" s="430">
        <v>33.788499489415443</v>
      </c>
      <c r="J74" s="430">
        <v>7.8369741427963904</v>
      </c>
      <c r="K74" s="430">
        <v>55.630718209491548</v>
      </c>
      <c r="L74" s="579">
        <v>144.05948349519596</v>
      </c>
      <c r="M74" s="579">
        <v>179.37871706162031</v>
      </c>
      <c r="N74" s="579">
        <v>63.961059222945842</v>
      </c>
      <c r="O74" s="579">
        <v>83.444504724185322</v>
      </c>
      <c r="P74" s="579">
        <v>23.730566406494024</v>
      </c>
      <c r="Q74" s="579">
        <v>62.527612823796943</v>
      </c>
      <c r="R74" s="430">
        <v>36.948668975181576</v>
      </c>
    </row>
    <row r="75" spans="2:19" ht="14.4" x14ac:dyDescent="0.3">
      <c r="B75" s="641"/>
      <c r="D75" s="438">
        <f t="shared" si="3"/>
        <v>936.6134404116475</v>
      </c>
      <c r="E75" s="424">
        <v>2024</v>
      </c>
      <c r="F75" s="430">
        <v>82.695187790736782</v>
      </c>
      <c r="G75" s="430">
        <v>15.422092304443638</v>
      </c>
      <c r="H75" s="430">
        <v>20.010362507775529</v>
      </c>
      <c r="I75" s="430">
        <v>41.346909604680249</v>
      </c>
      <c r="J75" s="430">
        <v>53.070365477327911</v>
      </c>
      <c r="K75" s="430">
        <v>63.391315334121771</v>
      </c>
      <c r="L75" s="579">
        <v>153.74358901049959</v>
      </c>
      <c r="M75" s="579">
        <v>196.15278487282862</v>
      </c>
      <c r="N75" s="579">
        <v>78.165996002888235</v>
      </c>
      <c r="O75" s="579">
        <v>87.855895669517537</v>
      </c>
      <c r="P75" s="579">
        <v>29.123995574667571</v>
      </c>
      <c r="Q75" s="579">
        <v>73.744039099632474</v>
      </c>
      <c r="R75" s="430">
        <v>41.890907162527597</v>
      </c>
    </row>
    <row r="76" spans="2:19" ht="14.4" x14ac:dyDescent="0.3">
      <c r="B76" s="641"/>
      <c r="D76" s="438">
        <f t="shared" si="3"/>
        <v>1083.3880730235953</v>
      </c>
      <c r="E76" s="424">
        <v>2025</v>
      </c>
      <c r="F76" s="430">
        <v>89.577611419166828</v>
      </c>
      <c r="G76" s="430">
        <v>18.073430404935173</v>
      </c>
      <c r="H76" s="430">
        <v>30.270519895052146</v>
      </c>
      <c r="I76" s="430">
        <v>48.610028294675523</v>
      </c>
      <c r="J76" s="430">
        <v>97.243074200818526</v>
      </c>
      <c r="K76" s="430">
        <v>71.100556590803876</v>
      </c>
      <c r="L76" s="579">
        <v>163.8418883588933</v>
      </c>
      <c r="M76" s="579">
        <v>212.89260702598901</v>
      </c>
      <c r="N76" s="579">
        <v>92.879089865216258</v>
      </c>
      <c r="O76" s="579">
        <v>92.115180603888049</v>
      </c>
      <c r="P76" s="579">
        <v>34.995850251912515</v>
      </c>
      <c r="Q76" s="579">
        <v>85.146005193676018</v>
      </c>
      <c r="R76" s="430">
        <v>46.642230918568217</v>
      </c>
    </row>
    <row r="77" spans="2:19" ht="14.4" x14ac:dyDescent="0.3">
      <c r="B77" s="641"/>
      <c r="D77" s="438">
        <f t="shared" si="3"/>
        <v>1232.2671097815323</v>
      </c>
      <c r="E77" s="424">
        <v>2026</v>
      </c>
      <c r="F77" s="430">
        <v>96.32782011516386</v>
      </c>
      <c r="G77" s="430">
        <v>20.786537228084306</v>
      </c>
      <c r="H77" s="430">
        <v>42.284491880118424</v>
      </c>
      <c r="I77" s="430">
        <v>55.631006112124439</v>
      </c>
      <c r="J77" s="430">
        <v>140.43079877699589</v>
      </c>
      <c r="K77" s="430">
        <v>78.758049195770866</v>
      </c>
      <c r="L77" s="579">
        <v>174.85565116182843</v>
      </c>
      <c r="M77" s="579">
        <v>229.5531383492237</v>
      </c>
      <c r="N77" s="579">
        <v>108.12214499994087</v>
      </c>
      <c r="O77" s="579">
        <v>96.211855766826446</v>
      </c>
      <c r="P77" s="579">
        <v>41.360158309635871</v>
      </c>
      <c r="Q77" s="579">
        <v>96.712352841080417</v>
      </c>
      <c r="R77" s="430">
        <v>51.233105044738785</v>
      </c>
    </row>
    <row r="78" spans="2:19" ht="14.4" x14ac:dyDescent="0.3">
      <c r="B78" s="641"/>
      <c r="D78" s="438">
        <f t="shared" si="3"/>
        <v>1382.8806481778781</v>
      </c>
      <c r="E78" s="424">
        <v>2027</v>
      </c>
      <c r="F78" s="430">
        <v>102.95191851211435</v>
      </c>
      <c r="G78" s="430">
        <v>23.560366833091337</v>
      </c>
      <c r="H78" s="430">
        <v>56.051694338939463</v>
      </c>
      <c r="I78" s="430">
        <v>62.423998086419843</v>
      </c>
      <c r="J78" s="430">
        <v>182.71268467842606</v>
      </c>
      <c r="K78" s="430">
        <v>86.363313066020908</v>
      </c>
      <c r="L78" s="579">
        <v>186.38267240200068</v>
      </c>
      <c r="M78" s="579">
        <v>246.08933367065711</v>
      </c>
      <c r="N78" s="579">
        <v>123.92198663426026</v>
      </c>
      <c r="O78" s="579">
        <v>100.13541739785552</v>
      </c>
      <c r="P78" s="579">
        <v>48.230947619246201</v>
      </c>
      <c r="Q78" s="579">
        <v>108.3356835933381</v>
      </c>
      <c r="R78" s="430">
        <v>55.720631345508416</v>
      </c>
    </row>
    <row r="79" spans="2:19" ht="14.4" x14ac:dyDescent="0.3">
      <c r="B79" s="641"/>
      <c r="D79" s="438">
        <f t="shared" si="3"/>
        <v>1535.6580046741476</v>
      </c>
      <c r="E79" s="424">
        <v>2028</v>
      </c>
      <c r="F79" s="430">
        <v>109.45601124340484</v>
      </c>
      <c r="G79" s="430">
        <v>26.394329880514608</v>
      </c>
      <c r="H79" s="430">
        <v>71.651182846467918</v>
      </c>
      <c r="I79" s="430">
        <v>69.02963256011347</v>
      </c>
      <c r="J79" s="430">
        <v>224.16291711120687</v>
      </c>
      <c r="K79" s="430">
        <v>93.915946738665824</v>
      </c>
      <c r="L79" s="579">
        <v>198.62490847091624</v>
      </c>
      <c r="M79" s="579">
        <v>262.45614781841141</v>
      </c>
      <c r="N79" s="579">
        <v>140.3103148255754</v>
      </c>
      <c r="O79" s="579">
        <v>103.87536173650709</v>
      </c>
      <c r="P79" s="579">
        <v>55.62224605214962</v>
      </c>
      <c r="Q79" s="579">
        <v>120.01468500607378</v>
      </c>
      <c r="R79" s="430">
        <v>60.14432038414035</v>
      </c>
    </row>
    <row r="80" spans="2:19" ht="14.4" x14ac:dyDescent="0.3">
      <c r="B80" s="641"/>
      <c r="D80" s="438">
        <f t="shared" si="3"/>
        <v>1690.8625399370487</v>
      </c>
      <c r="E80" s="424">
        <v>2029</v>
      </c>
      <c r="F80" s="430">
        <v>115.84620294242181</v>
      </c>
      <c r="G80" s="430">
        <v>29.287723621176227</v>
      </c>
      <c r="H80" s="430">
        <v>89.142640177285529</v>
      </c>
      <c r="I80" s="430">
        <v>75.482249598561111</v>
      </c>
      <c r="J80" s="430">
        <v>264.85567233221047</v>
      </c>
      <c r="K80" s="430">
        <v>101.41554439680144</v>
      </c>
      <c r="L80" s="579">
        <v>211.63487601694956</v>
      </c>
      <c r="M80" s="579">
        <v>278.60853562061061</v>
      </c>
      <c r="N80" s="579">
        <v>157.32356164554287</v>
      </c>
      <c r="O80" s="579">
        <v>107.4211850223039</v>
      </c>
      <c r="P80" s="579">
        <v>63.548081479755183</v>
      </c>
      <c r="Q80" s="579">
        <v>131.74804463491179</v>
      </c>
      <c r="R80" s="430">
        <v>64.548222448518018</v>
      </c>
    </row>
    <row r="81" spans="2:18" ht="14.4" x14ac:dyDescent="0.3">
      <c r="B81" s="641"/>
      <c r="D81" s="438">
        <f t="shared" si="3"/>
        <v>1853.0721646091699</v>
      </c>
      <c r="E81" s="424">
        <v>2030</v>
      </c>
      <c r="F81" s="430">
        <v>122.12859824255172</v>
      </c>
      <c r="G81" s="430">
        <v>32.239765236643571</v>
      </c>
      <c r="H81" s="430">
        <v>108.56423688349449</v>
      </c>
      <c r="I81" s="430">
        <v>81.812090395553767</v>
      </c>
      <c r="J81" s="430">
        <v>309.47919183867162</v>
      </c>
      <c r="K81" s="430">
        <v>108.86170236755495</v>
      </c>
      <c r="L81" s="579">
        <v>225.13539487130626</v>
      </c>
      <c r="M81" s="579">
        <v>294.50145190537836</v>
      </c>
      <c r="N81" s="579">
        <v>175.00275168649912</v>
      </c>
      <c r="O81" s="579">
        <v>110.76238349477779</v>
      </c>
      <c r="P81" s="579">
        <v>72.022481773468741</v>
      </c>
      <c r="Q81" s="579">
        <v>143.53445003547679</v>
      </c>
      <c r="R81" s="430">
        <v>69.027665877792728</v>
      </c>
    </row>
    <row r="82" spans="2:18" ht="14.4" x14ac:dyDescent="0.3">
      <c r="B82" s="641"/>
      <c r="D82" s="438">
        <f t="shared" si="3"/>
        <v>2009.6413924754056</v>
      </c>
      <c r="E82" s="424">
        <v>2031</v>
      </c>
      <c r="F82" s="430">
        <v>128.30930177718105</v>
      </c>
      <c r="G82" s="430">
        <v>35.249995130739137</v>
      </c>
      <c r="H82" s="430">
        <v>130.04281607974127</v>
      </c>
      <c r="I82" s="430">
        <v>88.067009275272241</v>
      </c>
      <c r="J82" s="430">
        <v>344.26363071928427</v>
      </c>
      <c r="K82" s="430">
        <v>116.25406949936476</v>
      </c>
      <c r="L82" s="579">
        <v>240.17735078984327</v>
      </c>
      <c r="M82" s="579">
        <v>310.08985150083697</v>
      </c>
      <c r="N82" s="579">
        <v>193.39336582284508</v>
      </c>
      <c r="O82" s="579">
        <v>113.88845339345158</v>
      </c>
      <c r="P82" s="579">
        <v>81.05947480469824</v>
      </c>
      <c r="Q82" s="579">
        <v>155.37258876339328</v>
      </c>
      <c r="R82" s="430">
        <v>73.473484918754664</v>
      </c>
    </row>
    <row r="83" spans="2:18" ht="14.4" x14ac:dyDescent="0.3">
      <c r="B83" s="641"/>
      <c r="D83" s="438">
        <f t="shared" si="3"/>
        <v>2173.7851370619119</v>
      </c>
      <c r="E83" s="424">
        <v>2032</v>
      </c>
      <c r="F83" s="430">
        <v>134.39441817969632</v>
      </c>
      <c r="G83" s="430">
        <v>38.317470344123763</v>
      </c>
      <c r="H83" s="430">
        <v>153.57372358509105</v>
      </c>
      <c r="I83" s="430">
        <v>94.269014784018012</v>
      </c>
      <c r="J83" s="430">
        <v>383.13054750531506</v>
      </c>
      <c r="K83" s="430">
        <v>123.59224634475379</v>
      </c>
      <c r="L83" s="579">
        <v>255.82711688081775</v>
      </c>
      <c r="M83" s="579">
        <v>325.32868923511091</v>
      </c>
      <c r="N83" s="579">
        <v>212.54520816125736</v>
      </c>
      <c r="O83" s="579">
        <v>116.78889095785725</v>
      </c>
      <c r="P83" s="579">
        <v>90.673088444851686</v>
      </c>
      <c r="Q83" s="579">
        <v>167.26114837428571</v>
      </c>
      <c r="R83" s="430">
        <v>78.083574264733159</v>
      </c>
    </row>
    <row r="84" spans="2:18" ht="14.4" x14ac:dyDescent="0.3">
      <c r="B84" s="641"/>
      <c r="D84" s="438">
        <f t="shared" si="3"/>
        <v>2345.2431213223431</v>
      </c>
      <c r="E84" s="424">
        <v>2033</v>
      </c>
      <c r="F84" s="430">
        <v>140.39005208348502</v>
      </c>
      <c r="G84" s="430">
        <v>41.441571140774293</v>
      </c>
      <c r="H84" s="430">
        <v>181.90187202564024</v>
      </c>
      <c r="I84" s="430">
        <v>100.45770995533738</v>
      </c>
      <c r="J84" s="430">
        <v>421.56538503150415</v>
      </c>
      <c r="K84" s="430">
        <v>130.87588592584794</v>
      </c>
      <c r="L84" s="579">
        <v>272.48238146333915</v>
      </c>
      <c r="M84" s="579">
        <v>340.1729199363225</v>
      </c>
      <c r="N84" s="579">
        <v>232.51227611478782</v>
      </c>
      <c r="O84" s="579">
        <v>119.45319242751737</v>
      </c>
      <c r="P84" s="579">
        <v>101.93972175717121</v>
      </c>
      <c r="Q84" s="579">
        <v>179.19881642377868</v>
      </c>
      <c r="R84" s="430">
        <v>82.851337036837123</v>
      </c>
    </row>
    <row r="85" spans="2:18" ht="14.4" x14ac:dyDescent="0.3">
      <c r="B85" s="641"/>
      <c r="D85" s="438">
        <f t="shared" si="3"/>
        <v>2508.4938489829619</v>
      </c>
      <c r="E85" s="424">
        <v>2034</v>
      </c>
      <c r="F85" s="430">
        <v>146.30230812193165</v>
      </c>
      <c r="G85" s="430">
        <v>44.621597717408932</v>
      </c>
      <c r="H85" s="430">
        <v>199.74467799995494</v>
      </c>
      <c r="I85" s="430">
        <v>106.66856130135213</v>
      </c>
      <c r="J85" s="430">
        <v>459.67749282781659</v>
      </c>
      <c r="K85" s="430">
        <v>138.10464330539057</v>
      </c>
      <c r="L85" s="579">
        <v>290.21392367931423</v>
      </c>
      <c r="M85" s="579">
        <v>354.57749843259535</v>
      </c>
      <c r="N85" s="579">
        <v>253.35263353713958</v>
      </c>
      <c r="O85" s="579">
        <v>121.87085404196372</v>
      </c>
      <c r="P85" s="579">
        <v>114.35391908876706</v>
      </c>
      <c r="Q85" s="579">
        <v>191.18428046749673</v>
      </c>
      <c r="R85" s="430">
        <v>87.821458461830531</v>
      </c>
    </row>
    <row r="86" spans="2:18" ht="14.4" x14ac:dyDescent="0.3">
      <c r="B86" s="641"/>
      <c r="D86" s="438">
        <f t="shared" si="3"/>
        <v>2674.9343094099418</v>
      </c>
      <c r="E86" s="424">
        <v>2035</v>
      </c>
      <c r="F86" s="430">
        <v>152.13729092842365</v>
      </c>
      <c r="G86" s="430">
        <v>47.856924181593797</v>
      </c>
      <c r="H86" s="430">
        <v>227.6779563564331</v>
      </c>
      <c r="I86" s="430">
        <v>112.94089025406453</v>
      </c>
      <c r="J86" s="430">
        <v>490.09293853980836</v>
      </c>
      <c r="K86" s="430">
        <v>145.27819386866543</v>
      </c>
      <c r="L86" s="579">
        <v>308.69557549854085</v>
      </c>
      <c r="M86" s="579">
        <v>368.49737955205342</v>
      </c>
      <c r="N86" s="579">
        <v>275.12828685458248</v>
      </c>
      <c r="O86" s="579">
        <v>124.0313720407193</v>
      </c>
      <c r="P86" s="579">
        <v>126.15072273938387</v>
      </c>
      <c r="Q86" s="579">
        <v>203.40302361838187</v>
      </c>
      <c r="R86" s="430">
        <v>93.043754977290916</v>
      </c>
    </row>
    <row r="87" spans="2:18" ht="14.4" x14ac:dyDescent="0.3">
      <c r="B87" s="641"/>
      <c r="D87" s="438">
        <f t="shared" si="3"/>
        <v>2861.02084309982</v>
      </c>
      <c r="E87" s="424">
        <v>2036</v>
      </c>
      <c r="F87" s="430">
        <v>157.90110513634744</v>
      </c>
      <c r="G87" s="430">
        <v>51.146648664504625</v>
      </c>
      <c r="H87" s="430">
        <v>257.82910096080809</v>
      </c>
      <c r="I87" s="430">
        <v>119.30043171591214</v>
      </c>
      <c r="J87" s="430">
        <v>535.32853835935055</v>
      </c>
      <c r="K87" s="430">
        <v>152.39619392879825</v>
      </c>
      <c r="L87" s="579">
        <v>329.19227159088769</v>
      </c>
      <c r="M87" s="579">
        <v>381.88751812281896</v>
      </c>
      <c r="N87" s="579">
        <v>297.9050641341359</v>
      </c>
      <c r="O87" s="579">
        <v>125.92424266331594</v>
      </c>
      <c r="P87" s="579">
        <v>138.59336268212735</v>
      </c>
      <c r="Q87" s="579">
        <v>215.06824374430823</v>
      </c>
      <c r="R87" s="430">
        <v>98.548121396504499</v>
      </c>
    </row>
    <row r="88" spans="2:18" ht="14.4" x14ac:dyDescent="0.3">
      <c r="B88" s="641"/>
      <c r="D88" s="438">
        <f t="shared" si="3"/>
        <v>3044.3058977157766</v>
      </c>
      <c r="E88" s="424">
        <v>2037</v>
      </c>
      <c r="F88" s="430">
        <v>163.59985537908972</v>
      </c>
      <c r="G88" s="430">
        <v>54.490274394953303</v>
      </c>
      <c r="H88" s="430">
        <v>290.33738383068874</v>
      </c>
      <c r="I88" s="430">
        <v>125.79326940536012</v>
      </c>
      <c r="J88" s="430">
        <v>573.02799010766375</v>
      </c>
      <c r="K88" s="430">
        <v>159.45835726419205</v>
      </c>
      <c r="L88" s="579">
        <v>350.58096811126291</v>
      </c>
      <c r="M88" s="579">
        <v>394.70286897301639</v>
      </c>
      <c r="N88" s="579">
        <v>321.75249702778478</v>
      </c>
      <c r="O88" s="579">
        <v>127.53896214927626</v>
      </c>
      <c r="P88" s="579">
        <v>151.6958667884056</v>
      </c>
      <c r="Q88" s="579">
        <v>226.93298549576457</v>
      </c>
      <c r="R88" s="430">
        <v>104.39461878831787</v>
      </c>
    </row>
    <row r="89" spans="2:18" ht="14.4" x14ac:dyDescent="0.3">
      <c r="B89" s="641"/>
      <c r="D89" s="438">
        <f t="shared" si="3"/>
        <v>3232.948711571642</v>
      </c>
      <c r="E89" s="424">
        <v>2038</v>
      </c>
      <c r="F89" s="430">
        <v>169.23964629003689</v>
      </c>
      <c r="G89" s="430">
        <v>57.887035865619943</v>
      </c>
      <c r="H89" s="430">
        <v>325.24479319475824</v>
      </c>
      <c r="I89" s="430">
        <v>132.45227133075622</v>
      </c>
      <c r="J89" s="430">
        <v>610.73094450076064</v>
      </c>
      <c r="K89" s="430">
        <v>166.46437934251506</v>
      </c>
      <c r="L89" s="579">
        <v>373.33094580725776</v>
      </c>
      <c r="M89" s="579">
        <v>406.89838693076786</v>
      </c>
      <c r="N89" s="579">
        <v>346.74370553363281</v>
      </c>
      <c r="O89" s="579">
        <v>128.86502673812987</v>
      </c>
      <c r="P89" s="579">
        <v>165.47226292962557</v>
      </c>
      <c r="Q89" s="579">
        <v>238.99593642837527</v>
      </c>
      <c r="R89" s="430">
        <v>110.62337667940579</v>
      </c>
    </row>
    <row r="90" spans="2:18" ht="14.4" x14ac:dyDescent="0.3">
      <c r="B90" s="641"/>
      <c r="D90" s="438">
        <f t="shared" si="3"/>
        <v>3425.5722850929242</v>
      </c>
      <c r="E90" s="424">
        <v>2039</v>
      </c>
      <c r="F90" s="430">
        <v>174.82658250257538</v>
      </c>
      <c r="G90" s="430">
        <v>61.336252519805967</v>
      </c>
      <c r="H90" s="430">
        <v>362.62635862750102</v>
      </c>
      <c r="I90" s="430">
        <v>139.31466969745179</v>
      </c>
      <c r="J90" s="430">
        <v>648.49155471866857</v>
      </c>
      <c r="K90" s="430">
        <v>173.41397688115592</v>
      </c>
      <c r="L90" s="579">
        <v>397.51332393144372</v>
      </c>
      <c r="M90" s="579">
        <v>418.42902682419742</v>
      </c>
      <c r="N90" s="579">
        <v>372.95528551598312</v>
      </c>
      <c r="O90" s="579">
        <v>129.89193266940651</v>
      </c>
      <c r="P90" s="579">
        <v>179.9365789771945</v>
      </c>
      <c r="Q90" s="579">
        <v>249.55711199840869</v>
      </c>
      <c r="R90" s="430">
        <v>117.27963022913065</v>
      </c>
    </row>
    <row r="91" spans="2:18" ht="14.4" x14ac:dyDescent="0.3">
      <c r="B91" s="641"/>
      <c r="D91" s="438">
        <f t="shared" si="3"/>
        <v>3623.6895553831678</v>
      </c>
      <c r="E91" s="424">
        <v>2040</v>
      </c>
      <c r="F91" s="430">
        <v>180.36676865009167</v>
      </c>
      <c r="G91" s="430">
        <v>64.837473635347422</v>
      </c>
      <c r="H91" s="430">
        <v>402.6635412753302</v>
      </c>
      <c r="I91" s="430">
        <v>146.42873750181255</v>
      </c>
      <c r="J91" s="430">
        <v>687.4344489625671</v>
      </c>
      <c r="K91" s="430">
        <v>180.30690192920952</v>
      </c>
      <c r="L91" s="579">
        <v>423.11771899239289</v>
      </c>
      <c r="M91" s="579">
        <v>429.2497434814286</v>
      </c>
      <c r="N91" s="579">
        <v>400.46719892742607</v>
      </c>
      <c r="O91" s="579">
        <v>130.60917618262883</v>
      </c>
      <c r="P91" s="579">
        <v>195.10284280252137</v>
      </c>
      <c r="Q91" s="579">
        <v>258.60157925210143</v>
      </c>
      <c r="R91" s="430">
        <v>124.50342379030965</v>
      </c>
    </row>
    <row r="92" spans="2:18" ht="14.4" x14ac:dyDescent="0.3">
      <c r="B92" s="641"/>
      <c r="D92" s="438">
        <f t="shared" si="3"/>
        <v>3822.5674918553668</v>
      </c>
      <c r="E92" s="424">
        <v>2041</v>
      </c>
      <c r="F92" s="430">
        <v>185.86630936597226</v>
      </c>
      <c r="G92" s="430">
        <v>68.389209134712345</v>
      </c>
      <c r="H92" s="430">
        <v>445.06570588454986</v>
      </c>
      <c r="I92" s="430">
        <v>153.79367985689592</v>
      </c>
      <c r="J92" s="430">
        <v>724.42446674776829</v>
      </c>
      <c r="K92" s="430">
        <v>187.14281132678391</v>
      </c>
      <c r="L92" s="579">
        <v>450.47664906306289</v>
      </c>
      <c r="M92" s="579">
        <v>439.31549173058391</v>
      </c>
      <c r="N92" s="579">
        <v>429.362666677091</v>
      </c>
      <c r="O92" s="579">
        <v>131.00625351732876</v>
      </c>
      <c r="P92" s="579">
        <v>210.98508227701129</v>
      </c>
      <c r="Q92" s="579">
        <v>264.68317908045231</v>
      </c>
      <c r="R92" s="430">
        <v>132.05598719315481</v>
      </c>
    </row>
    <row r="93" spans="2:18" ht="14.4" x14ac:dyDescent="0.3">
      <c r="B93" s="641"/>
      <c r="D93" s="438">
        <f t="shared" si="3"/>
        <v>4028.2963901239609</v>
      </c>
      <c r="E93" s="424">
        <v>2042</v>
      </c>
      <c r="F93" s="430">
        <v>191.33130928360379</v>
      </c>
      <c r="G93" s="430">
        <v>71.991560221647433</v>
      </c>
      <c r="H93" s="430">
        <v>490.26599582223832</v>
      </c>
      <c r="I93" s="430">
        <v>161.48429243998351</v>
      </c>
      <c r="J93" s="430">
        <v>762.74285514685278</v>
      </c>
      <c r="K93" s="430">
        <v>193.92153741464779</v>
      </c>
      <c r="L93" s="579">
        <v>479.41662488506836</v>
      </c>
      <c r="M93" s="579">
        <v>448.58122639978757</v>
      </c>
      <c r="N93" s="579">
        <v>459.7280640902502</v>
      </c>
      <c r="O93" s="579">
        <v>131.0726609130289</v>
      </c>
      <c r="P93" s="579">
        <v>227.59732527207291</v>
      </c>
      <c r="Q93" s="579">
        <v>269.89598691722074</v>
      </c>
      <c r="R93" s="430">
        <v>140.26695131755901</v>
      </c>
    </row>
    <row r="94" spans="2:18" ht="14.4" x14ac:dyDescent="0.3">
      <c r="B94" s="641"/>
      <c r="D94" s="438">
        <f t="shared" si="3"/>
        <v>4240.1032788961529</v>
      </c>
      <c r="E94" s="424">
        <v>2043</v>
      </c>
      <c r="F94" s="430">
        <v>196.76787303637357</v>
      </c>
      <c r="G94" s="430">
        <v>75.643571505661384</v>
      </c>
      <c r="H94" s="430">
        <v>538.21902896879192</v>
      </c>
      <c r="I94" s="430">
        <v>169.52546658845654</v>
      </c>
      <c r="J94" s="430">
        <v>801.38779093974119</v>
      </c>
      <c r="K94" s="430">
        <v>200.64281529079534</v>
      </c>
      <c r="L94" s="579">
        <v>510.10364233918784</v>
      </c>
      <c r="M94" s="579">
        <v>457.00190231716198</v>
      </c>
      <c r="N94" s="579">
        <v>491.65281890549488</v>
      </c>
      <c r="O94" s="579">
        <v>130.79789460926122</v>
      </c>
      <c r="P94" s="579">
        <v>244.95359965911373</v>
      </c>
      <c r="Q94" s="579">
        <v>274.3197650373491</v>
      </c>
      <c r="R94" s="430">
        <v>149.08710969876432</v>
      </c>
    </row>
    <row r="95" spans="2:18" ht="14.4" x14ac:dyDescent="0.3">
      <c r="B95" s="641"/>
      <c r="D95" s="438">
        <f t="shared" si="3"/>
        <v>4456.8198439086837</v>
      </c>
      <c r="E95" s="424">
        <v>2044</v>
      </c>
      <c r="F95" s="430">
        <v>202.18210525766608</v>
      </c>
      <c r="G95" s="430">
        <v>79.344549806186251</v>
      </c>
      <c r="H95" s="430">
        <v>588.99971440973854</v>
      </c>
      <c r="I95" s="430">
        <v>177.95470283203557</v>
      </c>
      <c r="J95" s="430">
        <v>840.42498065630184</v>
      </c>
      <c r="K95" s="430">
        <v>207.30641855724801</v>
      </c>
      <c r="L95" s="579">
        <v>542.6206548026264</v>
      </c>
      <c r="M95" s="579">
        <v>464.53247431083088</v>
      </c>
      <c r="N95" s="579">
        <v>525.2293117567234</v>
      </c>
      <c r="O95" s="579">
        <v>130.17145084554855</v>
      </c>
      <c r="P95" s="579">
        <v>263.06793330954167</v>
      </c>
      <c r="Q95" s="579">
        <v>276.42352841274726</v>
      </c>
      <c r="R95" s="430">
        <v>158.56201895148956</v>
      </c>
    </row>
    <row r="96" spans="2:18" ht="14.4" x14ac:dyDescent="0.3">
      <c r="B96" s="641"/>
      <c r="D96" s="438">
        <f t="shared" si="3"/>
        <v>4686.6016221718255</v>
      </c>
      <c r="E96" s="424">
        <v>2045</v>
      </c>
      <c r="F96" s="430">
        <v>207.58011058086899</v>
      </c>
      <c r="G96" s="430">
        <v>83.093972091448649</v>
      </c>
      <c r="H96" s="430">
        <v>642.77651867892689</v>
      </c>
      <c r="I96" s="430">
        <v>186.81767244347969</v>
      </c>
      <c r="J96" s="430">
        <v>883.81911307629673</v>
      </c>
      <c r="K96" s="430">
        <v>213.91214847143226</v>
      </c>
      <c r="L96" s="579">
        <v>578.41106420805056</v>
      </c>
      <c r="M96" s="579">
        <v>471.12789720891828</v>
      </c>
      <c r="N96" s="579">
        <v>560.55277908816549</v>
      </c>
      <c r="O96" s="579">
        <v>129.1828258614226</v>
      </c>
      <c r="P96" s="579">
        <v>281.95435409476278</v>
      </c>
      <c r="Q96" s="579">
        <v>278.61022785453957</v>
      </c>
      <c r="R96" s="430">
        <v>168.76293851351363</v>
      </c>
    </row>
    <row r="97" spans="2:19" ht="14.4" x14ac:dyDescent="0.3">
      <c r="B97" s="641"/>
      <c r="D97" s="438">
        <f t="shared" si="3"/>
        <v>4913.6732712890971</v>
      </c>
      <c r="E97" s="424">
        <v>2046</v>
      </c>
      <c r="F97" s="430">
        <v>212.96799363936859</v>
      </c>
      <c r="G97" s="430">
        <v>86.890638202190544</v>
      </c>
      <c r="H97" s="430">
        <v>699.35174928267043</v>
      </c>
      <c r="I97" s="430">
        <v>196.12846923303596</v>
      </c>
      <c r="J97" s="430">
        <v>919.94175914568336</v>
      </c>
      <c r="K97" s="430">
        <v>220.45975307802263</v>
      </c>
      <c r="L97" s="579">
        <v>613.48316830200122</v>
      </c>
      <c r="M97" s="579">
        <v>476.74312583954617</v>
      </c>
      <c r="N97" s="579">
        <v>597.72121845164122</v>
      </c>
      <c r="O97" s="579">
        <v>127.82151589640631</v>
      </c>
      <c r="P97" s="579">
        <v>301.62688988618498</v>
      </c>
      <c r="Q97" s="579">
        <v>280.87855091835047</v>
      </c>
      <c r="R97" s="430">
        <v>179.65843941399453</v>
      </c>
    </row>
    <row r="98" spans="2:19" ht="14.4" x14ac:dyDescent="0.3">
      <c r="B98" s="641"/>
      <c r="D98" s="438">
        <f t="shared" si="3"/>
        <v>5157.2283966294854</v>
      </c>
      <c r="E98" s="424">
        <v>2047</v>
      </c>
      <c r="F98" s="430">
        <v>218.35185906655147</v>
      </c>
      <c r="G98" s="430">
        <v>90.73436544650086</v>
      </c>
      <c r="H98" s="430">
        <v>761.74200642100993</v>
      </c>
      <c r="I98" s="430">
        <v>205.94912725614941</v>
      </c>
      <c r="J98" s="430">
        <v>960.55727612369003</v>
      </c>
      <c r="K98" s="430">
        <v>226.94908870418112</v>
      </c>
      <c r="L98" s="579">
        <v>652.00134908071107</v>
      </c>
      <c r="M98" s="579">
        <v>481.33311503083905</v>
      </c>
      <c r="N98" s="579">
        <v>636.83529613621317</v>
      </c>
      <c r="O98" s="579">
        <v>126.07701719003131</v>
      </c>
      <c r="P98" s="579">
        <v>322.09956855521636</v>
      </c>
      <c r="Q98" s="579">
        <v>283.22718515980455</v>
      </c>
      <c r="R98" s="430">
        <v>191.37114245858726</v>
      </c>
    </row>
    <row r="99" spans="2:19" ht="14.4" x14ac:dyDescent="0.3">
      <c r="B99" s="641"/>
      <c r="D99" s="438">
        <f t="shared" si="3"/>
        <v>5397.9843769467407</v>
      </c>
      <c r="E99" s="424">
        <v>2048</v>
      </c>
      <c r="F99" s="430">
        <v>223.73781149580418</v>
      </c>
      <c r="G99" s="430">
        <v>94.624294035439348</v>
      </c>
      <c r="H99" s="430">
        <v>814.59166091696648</v>
      </c>
      <c r="I99" s="430">
        <v>216.31011923622259</v>
      </c>
      <c r="J99" s="430">
        <v>1001.8325924476577</v>
      </c>
      <c r="K99" s="430">
        <v>233.37995829571742</v>
      </c>
      <c r="L99" s="579">
        <v>692.69348534753919</v>
      </c>
      <c r="M99" s="579">
        <v>484.8528196109192</v>
      </c>
      <c r="N99" s="579">
        <v>677.99825708134608</v>
      </c>
      <c r="O99" s="579">
        <v>123.93882598182063</v>
      </c>
      <c r="P99" s="579">
        <v>344.44878916509953</v>
      </c>
      <c r="Q99" s="579">
        <v>285.65481813452624</v>
      </c>
      <c r="R99" s="430">
        <v>203.92094519768222</v>
      </c>
    </row>
    <row r="100" spans="2:19" ht="14.4" x14ac:dyDescent="0.3">
      <c r="B100" s="641"/>
      <c r="D100" s="438">
        <f t="shared" si="3"/>
        <v>5655.5872456613215</v>
      </c>
      <c r="E100" s="424">
        <v>2049</v>
      </c>
      <c r="F100" s="430">
        <v>229.13195556051306</v>
      </c>
      <c r="G100" s="430">
        <v>98.558857976593046</v>
      </c>
      <c r="H100" s="430">
        <v>877.93209213624402</v>
      </c>
      <c r="I100" s="430">
        <v>227.20814169507562</v>
      </c>
      <c r="J100" s="430">
        <v>1043.7986525787578</v>
      </c>
      <c r="K100" s="430">
        <v>239.75211313583523</v>
      </c>
      <c r="L100" s="579">
        <v>735.6778779662111</v>
      </c>
      <c r="M100" s="579">
        <v>487.25719440791045</v>
      </c>
      <c r="N100" s="579">
        <v>721.31583702558009</v>
      </c>
      <c r="O100" s="579">
        <v>121.39643851130364</v>
      </c>
      <c r="P100" s="579">
        <v>368.16909606294416</v>
      </c>
      <c r="Q100" s="579">
        <v>288.03560702659524</v>
      </c>
      <c r="R100" s="430">
        <v>217.35338157775868</v>
      </c>
    </row>
    <row r="101" spans="2:19" ht="14.4" x14ac:dyDescent="0.3">
      <c r="B101" s="641"/>
      <c r="D101" s="438">
        <f t="shared" si="3"/>
        <v>5917.0843715717792</v>
      </c>
      <c r="E101" s="427">
        <v>2050</v>
      </c>
      <c r="F101" s="430">
        <v>234.54039589406463</v>
      </c>
      <c r="G101" s="430">
        <v>102.53636933508433</v>
      </c>
      <c r="H101" s="430">
        <v>943.30825505121993</v>
      </c>
      <c r="I101" s="430">
        <v>238.63273299143077</v>
      </c>
      <c r="J101" s="430">
        <v>1084.6775819750289</v>
      </c>
      <c r="K101" s="430">
        <v>246.06530891493259</v>
      </c>
      <c r="L101" s="579">
        <v>780.32399832923318</v>
      </c>
      <c r="M101" s="579">
        <v>488.50119424993659</v>
      </c>
      <c r="N101" s="579">
        <v>766.89617684366908</v>
      </c>
      <c r="O101" s="579">
        <v>118.43935101801003</v>
      </c>
      <c r="P101" s="579">
        <v>391.49553154849468</v>
      </c>
      <c r="Q101" s="579">
        <v>290.21803187591951</v>
      </c>
      <c r="R101" s="430">
        <v>231.44944354475405</v>
      </c>
      <c r="S101" s="427"/>
    </row>
    <row r="102" spans="2:19" ht="14.4" x14ac:dyDescent="0.3">
      <c r="D102" s="438">
        <f t="shared" si="3"/>
        <v>6193.9106471944306</v>
      </c>
      <c r="E102" s="424">
        <v>2051</v>
      </c>
      <c r="F102" s="430">
        <v>239.96923712984548</v>
      </c>
      <c r="G102" s="430">
        <v>106.55810689047719</v>
      </c>
      <c r="H102" s="430">
        <v>1011.9845656770128</v>
      </c>
      <c r="I102" s="430">
        <v>250.71615156553884</v>
      </c>
      <c r="J102" s="430">
        <v>1130.0298539986318</v>
      </c>
      <c r="K102" s="430">
        <v>252.31957702127909</v>
      </c>
      <c r="L102" s="579">
        <v>828.9266524636497</v>
      </c>
      <c r="M102" s="579">
        <v>488.53977396511993</v>
      </c>
      <c r="N102" s="579">
        <v>814.84973902600154</v>
      </c>
      <c r="O102" s="579">
        <v>115.05705974146267</v>
      </c>
      <c r="P102" s="579">
        <v>415.69132559485746</v>
      </c>
      <c r="Q102" s="579">
        <v>292.22062605859537</v>
      </c>
      <c r="R102" s="430">
        <v>247.04797806195771</v>
      </c>
    </row>
    <row r="103" spans="2:19" ht="14.4" x14ac:dyDescent="0.3">
      <c r="D103" s="438">
        <f t="shared" si="3"/>
        <v>6477.7341174741132</v>
      </c>
      <c r="E103" s="424">
        <v>2052</v>
      </c>
      <c r="F103" s="430">
        <v>245.42458390124199</v>
      </c>
      <c r="G103" s="430">
        <v>110.62286108351671</v>
      </c>
      <c r="H103" s="430">
        <v>1083.7074905319801</v>
      </c>
      <c r="I103" s="430">
        <v>263.47168458512147</v>
      </c>
      <c r="J103" s="430">
        <v>1174.4899101612061</v>
      </c>
      <c r="K103" s="430">
        <v>258.51473483050307</v>
      </c>
      <c r="L103" s="579">
        <v>879.32717979201846</v>
      </c>
      <c r="M103" s="579">
        <v>487.32788838158501</v>
      </c>
      <c r="N103" s="579">
        <v>865.28922625501514</v>
      </c>
      <c r="O103" s="579">
        <v>111.23906092119316</v>
      </c>
      <c r="P103" s="579">
        <v>440.77050607343966</v>
      </c>
      <c r="Q103" s="579">
        <v>294.14816313437927</v>
      </c>
      <c r="R103" s="430">
        <v>263.40082782291313</v>
      </c>
    </row>
    <row r="104" spans="2:19" ht="14.4" x14ac:dyDescent="0.3">
      <c r="D104" s="438">
        <f t="shared" si="3"/>
        <v>6771.8277195497594</v>
      </c>
      <c r="E104" s="424">
        <v>2053</v>
      </c>
      <c r="F104" s="430">
        <v>250.9125408416408</v>
      </c>
      <c r="G104" s="430">
        <v>114.73015381148525</v>
      </c>
      <c r="H104" s="430">
        <v>1158.6888421914468</v>
      </c>
      <c r="I104" s="430">
        <v>276.9481878127022</v>
      </c>
      <c r="J104" s="430">
        <v>1219.940388706395</v>
      </c>
      <c r="K104" s="430">
        <v>264.65067530144347</v>
      </c>
      <c r="L104" s="579">
        <v>932.36724282851901</v>
      </c>
      <c r="M104" s="579">
        <v>484.82049232745379</v>
      </c>
      <c r="N104" s="579">
        <v>918.32950203416146</v>
      </c>
      <c r="O104" s="579">
        <v>106.97485079672443</v>
      </c>
      <c r="P104" s="579">
        <v>466.74710085564988</v>
      </c>
      <c r="Q104" s="579">
        <v>295.90010155653732</v>
      </c>
      <c r="R104" s="430">
        <v>280.81764048560092</v>
      </c>
    </row>
    <row r="105" spans="2:19" ht="14.4" x14ac:dyDescent="0.3">
      <c r="D105" s="438">
        <f t="shared" si="3"/>
        <v>7076.5957929021279</v>
      </c>
      <c r="E105" s="424">
        <v>2054</v>
      </c>
      <c r="F105" s="430">
        <v>256.4392125844293</v>
      </c>
      <c r="G105" s="430">
        <v>118.8792937320306</v>
      </c>
      <c r="H105" s="430">
        <v>1237.0072463980805</v>
      </c>
      <c r="I105" s="430">
        <v>291.18439117218497</v>
      </c>
      <c r="J105" s="430">
        <v>1266.451441423937</v>
      </c>
      <c r="K105" s="430">
        <v>270.7272830327928</v>
      </c>
      <c r="L105" s="579">
        <v>988.13925403278449</v>
      </c>
      <c r="M105" s="579">
        <v>480.97254063085023</v>
      </c>
      <c r="N105" s="579">
        <v>974.08751332584723</v>
      </c>
      <c r="O105" s="579">
        <v>102.25392560758837</v>
      </c>
      <c r="P105" s="579">
        <v>493.63513781289305</v>
      </c>
      <c r="Q105" s="579">
        <v>297.47512888069417</v>
      </c>
      <c r="R105" s="430">
        <v>299.34342426801715</v>
      </c>
    </row>
    <row r="106" spans="2:19" ht="14.4" x14ac:dyDescent="0.3">
      <c r="D106" s="438">
        <f t="shared" si="3"/>
        <v>7392.5241954111889</v>
      </c>
      <c r="E106" s="424">
        <v>2055</v>
      </c>
      <c r="F106" s="430">
        <v>262.01070376299185</v>
      </c>
      <c r="G106" s="430">
        <v>123.06968764449316</v>
      </c>
      <c r="H106" s="430">
        <v>1318.8135044425599</v>
      </c>
      <c r="I106" s="430">
        <v>306.22426397550186</v>
      </c>
      <c r="J106" s="430">
        <v>1314.097787984274</v>
      </c>
      <c r="K106" s="430">
        <v>276.74446129498693</v>
      </c>
      <c r="L106" s="579">
        <v>1046.7332213265652</v>
      </c>
      <c r="M106" s="579">
        <v>475.73898811989824</v>
      </c>
      <c r="N106" s="579">
        <v>1032.6822151555755</v>
      </c>
      <c r="O106" s="579">
        <v>97.065781593307563</v>
      </c>
      <c r="P106" s="579">
        <v>521.44864481658067</v>
      </c>
      <c r="Q106" s="579">
        <v>298.87193266247419</v>
      </c>
      <c r="R106" s="430">
        <v>319.02300263198038</v>
      </c>
    </row>
    <row r="107" spans="2:19" ht="14.4" x14ac:dyDescent="0.3">
      <c r="D107" s="438">
        <f t="shared" si="3"/>
        <v>7719.8024648775745</v>
      </c>
      <c r="E107" s="424">
        <v>2056</v>
      </c>
      <c r="F107" s="430">
        <v>267.6331190107162</v>
      </c>
      <c r="G107" s="430">
        <v>127.30035198708399</v>
      </c>
      <c r="H107" s="430">
        <v>1403.9786116850994</v>
      </c>
      <c r="I107" s="430">
        <v>322.0918781305611</v>
      </c>
      <c r="J107" s="430">
        <v>1362.9391474482975</v>
      </c>
      <c r="K107" s="430">
        <v>282.70209121754033</v>
      </c>
      <c r="L107" s="579">
        <v>1108.256229799417</v>
      </c>
      <c r="M107" s="579">
        <v>469.07478962271995</v>
      </c>
      <c r="N107" s="579">
        <v>1094.2344971403659</v>
      </c>
      <c r="O107" s="579">
        <v>91.399914993413987</v>
      </c>
      <c r="P107" s="579">
        <v>550.20164973811586</v>
      </c>
      <c r="Q107" s="579">
        <v>300.08920045750205</v>
      </c>
      <c r="R107" s="430">
        <v>339.90098364674128</v>
      </c>
    </row>
    <row r="108" spans="2:19" ht="14.4" x14ac:dyDescent="0.3">
      <c r="D108" s="438">
        <f t="shared" si="3"/>
        <v>8059.0810456156578</v>
      </c>
      <c r="E108" s="424">
        <v>2057</v>
      </c>
      <c r="F108" s="430">
        <v>273.3125629609886</v>
      </c>
      <c r="G108" s="430">
        <v>131.57088976633509</v>
      </c>
      <c r="H108" s="430">
        <v>1492.7978379427932</v>
      </c>
      <c r="I108" s="430">
        <v>338.84170858419475</v>
      </c>
      <c r="J108" s="430">
        <v>1413.0599331827573</v>
      </c>
      <c r="K108" s="430">
        <v>288.60011307847776</v>
      </c>
      <c r="L108" s="579">
        <v>1172.7946435106408</v>
      </c>
      <c r="M108" s="579">
        <v>460.93489996743995</v>
      </c>
      <c r="N108" s="579">
        <v>1158.8671119003045</v>
      </c>
      <c r="O108" s="579">
        <v>85.245822047430579</v>
      </c>
      <c r="P108" s="579">
        <v>579.90818044890818</v>
      </c>
      <c r="Q108" s="579">
        <v>301.12561982140221</v>
      </c>
      <c r="R108" s="430">
        <v>362.02172240398431</v>
      </c>
    </row>
    <row r="109" spans="2:19" ht="14.4" x14ac:dyDescent="0.3">
      <c r="D109" s="438">
        <f t="shared" si="3"/>
        <v>8410.71782771785</v>
      </c>
      <c r="E109" s="424">
        <v>2058</v>
      </c>
      <c r="F109" s="430">
        <v>279.05514024719571</v>
      </c>
      <c r="G109" s="430">
        <v>135.88051357540121</v>
      </c>
      <c r="H109" s="430">
        <v>1585.2867204776005</v>
      </c>
      <c r="I109" s="430">
        <v>356.50835103238728</v>
      </c>
      <c r="J109" s="430">
        <v>1464.5322405414349</v>
      </c>
      <c r="K109" s="430">
        <v>294.43844478543821</v>
      </c>
      <c r="L109" s="579">
        <v>1240.4526775055961</v>
      </c>
      <c r="M109" s="579">
        <v>451.2742739821802</v>
      </c>
      <c r="N109" s="579">
        <v>1226.7046053128693</v>
      </c>
      <c r="O109" s="579">
        <v>78.592998994888774</v>
      </c>
      <c r="P109" s="579">
        <v>610.58226482036434</v>
      </c>
      <c r="Q109" s="579">
        <v>301.97987830979912</v>
      </c>
      <c r="R109" s="430">
        <v>385.42971813269355</v>
      </c>
    </row>
    <row r="110" spans="2:19" ht="14.4" x14ac:dyDescent="0.3">
      <c r="D110" s="438">
        <f t="shared" si="3"/>
        <v>8775.1530875772696</v>
      </c>
      <c r="E110" s="424">
        <v>2059</v>
      </c>
      <c r="F110" s="430">
        <v>284.86695550272395</v>
      </c>
      <c r="G110" s="430">
        <v>140.22853404466844</v>
      </c>
      <c r="H110" s="430">
        <v>1681.5331187142808</v>
      </c>
      <c r="I110" s="430">
        <v>375.13167679253189</v>
      </c>
      <c r="J110" s="430">
        <v>1517.4336451131708</v>
      </c>
      <c r="K110" s="430">
        <v>300.21702245908989</v>
      </c>
      <c r="L110" s="579">
        <v>1311.3331669138825</v>
      </c>
      <c r="M110" s="579">
        <v>440.04786649506474</v>
      </c>
      <c r="N110" s="579">
        <v>1297.8732485704663</v>
      </c>
      <c r="O110" s="579">
        <v>71.430942075311833</v>
      </c>
      <c r="P110" s="579">
        <v>642.23793072389401</v>
      </c>
      <c r="Q110" s="579">
        <v>302.65066347831731</v>
      </c>
      <c r="R110" s="430">
        <v>410.16831669386596</v>
      </c>
    </row>
    <row r="111" spans="2:19" ht="14.4" x14ac:dyDescent="0.3">
      <c r="D111" s="438">
        <f t="shared" si="3"/>
        <v>9152.4083448568508</v>
      </c>
      <c r="E111" s="424">
        <v>2060</v>
      </c>
      <c r="F111" s="430">
        <v>290.75411336095965</v>
      </c>
      <c r="G111" s="430">
        <v>144.61381835833203</v>
      </c>
      <c r="H111" s="430">
        <v>1781.2668786404147</v>
      </c>
      <c r="I111" s="430">
        <v>394.72685136575558</v>
      </c>
      <c r="J111" s="430">
        <v>1571.8241602962844</v>
      </c>
      <c r="K111" s="430">
        <v>305.93575737977699</v>
      </c>
      <c r="L111" s="579">
        <v>1385.5596487320952</v>
      </c>
      <c r="M111" s="579">
        <v>427.21063233421722</v>
      </c>
      <c r="N111" s="579">
        <v>1372.5009720023543</v>
      </c>
      <c r="O111" s="579">
        <v>63.749147528229003</v>
      </c>
      <c r="P111" s="579">
        <v>674.88920603090105</v>
      </c>
      <c r="Q111" s="579">
        <v>302.94986732526394</v>
      </c>
      <c r="R111" s="430">
        <v>436.42729150226631</v>
      </c>
    </row>
    <row r="113" spans="2:19" ht="14.4" x14ac:dyDescent="0.25">
      <c r="E113" s="605" t="s">
        <v>590</v>
      </c>
      <c r="F113" s="604">
        <f>SUM(F71:F101)</f>
        <v>4628.0069565566628</v>
      </c>
      <c r="G113" s="604">
        <f t="shared" ref="G113:R113" si="4">SUM(G71:G101)</f>
        <v>1551.1862147235138</v>
      </c>
      <c r="H113" s="604">
        <f t="shared" si="4"/>
        <v>9761.3501573387839</v>
      </c>
      <c r="I113" s="604">
        <f t="shared" si="4"/>
        <v>3620.253500971713</v>
      </c>
      <c r="J113" s="604">
        <f t="shared" si="4"/>
        <v>15418.647024834454</v>
      </c>
      <c r="K113" s="604">
        <f t="shared" si="4"/>
        <v>4434.9360231576829</v>
      </c>
      <c r="L113" s="604">
        <f t="shared" si="4"/>
        <v>11074.055717197958</v>
      </c>
      <c r="M113" s="604">
        <f t="shared" si="4"/>
        <v>10766.538005735578</v>
      </c>
      <c r="N113" s="604">
        <f t="shared" si="4"/>
        <v>9825.2525783464498</v>
      </c>
      <c r="O113" s="604">
        <f t="shared" si="4"/>
        <v>3513.0897868223165</v>
      </c>
      <c r="P113" s="604">
        <f t="shared" si="4"/>
        <v>4713.4152995425657</v>
      </c>
      <c r="Q113" s="604">
        <f t="shared" si="4"/>
        <v>5820.2540846475749</v>
      </c>
      <c r="R113" s="604">
        <f t="shared" si="4"/>
        <v>3247.8118526328144</v>
      </c>
    </row>
    <row r="114" spans="2:19" ht="22.8" x14ac:dyDescent="0.25">
      <c r="F114" s="631" t="str">
        <f>F61</f>
        <v>Bicycle Infrastructure</v>
      </c>
      <c r="G114" s="631" t="str">
        <f t="shared" ref="G114:R114" si="5">G61</f>
        <v>Electric Bicycles</v>
      </c>
      <c r="H114" s="631" t="str">
        <f t="shared" si="5"/>
        <v>Electric Cars</v>
      </c>
      <c r="I114" s="631" t="str">
        <f t="shared" si="5"/>
        <v>High Speed Rail</v>
      </c>
      <c r="J114" s="631" t="str">
        <f t="shared" si="5"/>
        <v>Public Transit</v>
      </c>
      <c r="K114" s="631" t="str">
        <f t="shared" si="5"/>
        <v>Telepresence</v>
      </c>
      <c r="L114" s="631" t="str">
        <f t="shared" si="5"/>
        <v>Carpooling</v>
      </c>
      <c r="M114" s="631" t="str">
        <f t="shared" si="5"/>
        <v>Efficient Trucks</v>
      </c>
      <c r="N114" s="631" t="str">
        <f t="shared" si="5"/>
        <v>Efficient Ocean Shipping</v>
      </c>
      <c r="O114" s="631" t="str">
        <f t="shared" si="5"/>
        <v>Walkable Cities</v>
      </c>
      <c r="P114" s="631" t="str">
        <f t="shared" si="5"/>
        <v>Hybrid Cars</v>
      </c>
      <c r="Q114" s="631" t="str">
        <f t="shared" si="5"/>
        <v>Efficient Aviation</v>
      </c>
      <c r="R114" s="631" t="str">
        <f t="shared" si="5"/>
        <v>Electric Trains</v>
      </c>
    </row>
    <row r="116" spans="2:19" ht="46.8" x14ac:dyDescent="0.25">
      <c r="B116" s="436" t="s">
        <v>130</v>
      </c>
      <c r="D116" s="431" t="s">
        <v>471</v>
      </c>
      <c r="E116" s="603" t="s">
        <v>476</v>
      </c>
      <c r="F116" s="439" t="s">
        <v>606</v>
      </c>
      <c r="G116" s="439" t="s">
        <v>612</v>
      </c>
      <c r="H116" s="431" t="s">
        <v>380</v>
      </c>
      <c r="I116" s="431" t="s">
        <v>6</v>
      </c>
      <c r="J116" s="431" t="s">
        <v>600</v>
      </c>
      <c r="K116" s="431" t="s">
        <v>5</v>
      </c>
      <c r="L116" s="580" t="s">
        <v>267</v>
      </c>
      <c r="M116" s="580" t="s">
        <v>610</v>
      </c>
      <c r="N116" s="580" t="s">
        <v>611</v>
      </c>
      <c r="O116" s="580" t="s">
        <v>1</v>
      </c>
      <c r="P116" s="580" t="s">
        <v>377</v>
      </c>
      <c r="Q116" s="580" t="s">
        <v>609</v>
      </c>
      <c r="R116" s="431" t="s">
        <v>604</v>
      </c>
    </row>
    <row r="117" spans="2:19" ht="52.8" x14ac:dyDescent="0.25">
      <c r="D117" s="595" t="s">
        <v>584</v>
      </c>
      <c r="F117" s="441" t="s">
        <v>586</v>
      </c>
      <c r="G117" s="441" t="s">
        <v>586</v>
      </c>
      <c r="H117" s="441" t="s">
        <v>586</v>
      </c>
      <c r="I117" s="441" t="s">
        <v>586</v>
      </c>
      <c r="J117" s="441" t="s">
        <v>586</v>
      </c>
      <c r="K117" s="441" t="s">
        <v>586</v>
      </c>
      <c r="L117" s="441" t="s">
        <v>586</v>
      </c>
      <c r="M117" s="441" t="s">
        <v>586</v>
      </c>
      <c r="N117" s="441" t="s">
        <v>586</v>
      </c>
      <c r="O117" s="441" t="s">
        <v>586</v>
      </c>
      <c r="P117" s="441" t="s">
        <v>586</v>
      </c>
      <c r="Q117" s="441" t="s">
        <v>586</v>
      </c>
      <c r="R117" s="441" t="s">
        <v>586</v>
      </c>
    </row>
    <row r="118" spans="2:19" x14ac:dyDescent="0.25">
      <c r="C118" s="428" t="s">
        <v>589</v>
      </c>
      <c r="D118" s="437">
        <f>SUM(D126:D156)/1000</f>
        <v>148.67309888366947</v>
      </c>
      <c r="E118" s="424" t="s">
        <v>587</v>
      </c>
      <c r="F118" s="601" t="s">
        <v>585</v>
      </c>
      <c r="G118" s="601" t="s">
        <v>585</v>
      </c>
      <c r="H118" s="601" t="s">
        <v>585</v>
      </c>
      <c r="I118" s="601" t="s">
        <v>585</v>
      </c>
      <c r="J118" s="601" t="s">
        <v>585</v>
      </c>
      <c r="K118" s="601" t="s">
        <v>585</v>
      </c>
      <c r="L118" s="601" t="s">
        <v>585</v>
      </c>
      <c r="M118" s="601" t="s">
        <v>585</v>
      </c>
      <c r="N118" s="601" t="s">
        <v>585</v>
      </c>
      <c r="O118" s="601" t="s">
        <v>585</v>
      </c>
      <c r="P118" s="601" t="s">
        <v>585</v>
      </c>
      <c r="Q118" s="601" t="s">
        <v>585</v>
      </c>
      <c r="R118" s="623" t="s">
        <v>585</v>
      </c>
    </row>
    <row r="120" spans="2:19" ht="14.4" x14ac:dyDescent="0.3">
      <c r="C120" s="424" t="s">
        <v>588</v>
      </c>
      <c r="D120" s="438">
        <f>SUMPRODUCT(F120:R120)</f>
        <v>0</v>
      </c>
      <c r="E120" s="424">
        <v>2014</v>
      </c>
      <c r="F120" s="632">
        <v>0</v>
      </c>
      <c r="G120" s="632">
        <v>0</v>
      </c>
      <c r="H120" s="632">
        <v>0</v>
      </c>
      <c r="I120" s="632">
        <v>0</v>
      </c>
      <c r="J120" s="632">
        <v>0</v>
      </c>
      <c r="K120" s="632">
        <v>0</v>
      </c>
      <c r="L120" s="632">
        <v>0</v>
      </c>
      <c r="M120" s="632">
        <v>0</v>
      </c>
      <c r="N120" s="632"/>
      <c r="O120" s="632">
        <v>0</v>
      </c>
      <c r="P120" s="632">
        <v>0</v>
      </c>
      <c r="Q120" s="632">
        <v>0</v>
      </c>
      <c r="R120" s="632">
        <v>0</v>
      </c>
    </row>
    <row r="121" spans="2:19" ht="14.4" x14ac:dyDescent="0.3">
      <c r="D121" s="438">
        <f t="shared" ref="D121:D166" si="6">SUMPRODUCT(F121:R121)</f>
        <v>2.7501534896915638</v>
      </c>
      <c r="E121" s="424">
        <v>2015</v>
      </c>
      <c r="F121" s="430" t="s">
        <v>746</v>
      </c>
      <c r="G121" s="430" t="s">
        <v>746</v>
      </c>
      <c r="H121" s="430" t="s">
        <v>746</v>
      </c>
      <c r="I121" s="430">
        <v>7.0327493778015571</v>
      </c>
      <c r="J121" s="430" t="s">
        <v>746</v>
      </c>
      <c r="K121" s="430" t="s">
        <v>746</v>
      </c>
      <c r="L121" s="579">
        <v>0.15638386732483156</v>
      </c>
      <c r="M121" s="579" t="s">
        <v>746</v>
      </c>
      <c r="N121" s="579" t="s">
        <v>746</v>
      </c>
      <c r="O121" s="579" t="s">
        <v>746</v>
      </c>
      <c r="P121" s="579" t="s">
        <v>746</v>
      </c>
      <c r="Q121" s="579" t="s">
        <v>746</v>
      </c>
      <c r="R121" s="430">
        <v>-4.4389797554348247</v>
      </c>
    </row>
    <row r="122" spans="2:19" ht="14.4" x14ac:dyDescent="0.3">
      <c r="D122" s="438">
        <f t="shared" si="6"/>
        <v>19.361779286373125</v>
      </c>
      <c r="E122" s="424">
        <v>2016</v>
      </c>
      <c r="F122" s="430" t="s">
        <v>746</v>
      </c>
      <c r="G122" s="430" t="s">
        <v>746</v>
      </c>
      <c r="H122" s="430" t="s">
        <v>746</v>
      </c>
      <c r="I122" s="430">
        <v>12.778108170929631</v>
      </c>
      <c r="J122" s="430" t="s">
        <v>746</v>
      </c>
      <c r="K122" s="430" t="s">
        <v>746</v>
      </c>
      <c r="L122" s="579">
        <v>0.12036892815613981</v>
      </c>
      <c r="M122" s="579" t="s">
        <v>746</v>
      </c>
      <c r="N122" s="579" t="s">
        <v>746</v>
      </c>
      <c r="O122" s="579" t="s">
        <v>746</v>
      </c>
      <c r="P122" s="579" t="s">
        <v>746</v>
      </c>
      <c r="Q122" s="579" t="s">
        <v>746</v>
      </c>
      <c r="R122" s="430">
        <v>6.4633021872873542</v>
      </c>
    </row>
    <row r="123" spans="2:19" ht="14.4" x14ac:dyDescent="0.3">
      <c r="D123" s="438">
        <f t="shared" si="6"/>
        <v>25.775402640430254</v>
      </c>
      <c r="E123" s="424">
        <v>2017</v>
      </c>
      <c r="F123" s="430" t="s">
        <v>746</v>
      </c>
      <c r="G123" s="430" t="s">
        <v>746</v>
      </c>
      <c r="H123" s="430" t="s">
        <v>746</v>
      </c>
      <c r="I123" s="430">
        <v>10.680883777657275</v>
      </c>
      <c r="J123" s="430" t="s">
        <v>746</v>
      </c>
      <c r="K123" s="430" t="s">
        <v>746</v>
      </c>
      <c r="L123" s="579">
        <v>6.7041494612130353E-2</v>
      </c>
      <c r="M123" s="579" t="s">
        <v>746</v>
      </c>
      <c r="N123" s="579" t="s">
        <v>746</v>
      </c>
      <c r="O123" s="579" t="s">
        <v>746</v>
      </c>
      <c r="P123" s="579" t="s">
        <v>746</v>
      </c>
      <c r="Q123" s="579" t="s">
        <v>746</v>
      </c>
      <c r="R123" s="430">
        <v>15.027477368160849</v>
      </c>
    </row>
    <row r="124" spans="2:19" ht="14.4" x14ac:dyDescent="0.3">
      <c r="D124" s="438">
        <f t="shared" si="6"/>
        <v>29.20278752971204</v>
      </c>
      <c r="E124" s="424">
        <v>2018</v>
      </c>
      <c r="F124" s="430" t="s">
        <v>746</v>
      </c>
      <c r="G124" s="430" t="s">
        <v>746</v>
      </c>
      <c r="H124" s="430" t="s">
        <v>746</v>
      </c>
      <c r="I124" s="430">
        <v>16.822802954363585</v>
      </c>
      <c r="J124" s="430" t="s">
        <v>746</v>
      </c>
      <c r="K124" s="430" t="s">
        <v>746</v>
      </c>
      <c r="L124" s="579">
        <v>-9.846420128268887E-13</v>
      </c>
      <c r="M124" s="579" t="s">
        <v>746</v>
      </c>
      <c r="N124" s="579">
        <v>-3.2548553400343965E-13</v>
      </c>
      <c r="O124" s="579" t="s">
        <v>746</v>
      </c>
      <c r="P124" s="579" t="s">
        <v>746</v>
      </c>
      <c r="Q124" s="579" t="s">
        <v>746</v>
      </c>
      <c r="R124" s="430">
        <v>12.379984575349766</v>
      </c>
    </row>
    <row r="125" spans="2:19" ht="14.4" x14ac:dyDescent="0.3">
      <c r="D125" s="438">
        <f t="shared" si="6"/>
        <v>496.7031547910924</v>
      </c>
      <c r="E125" s="424">
        <v>2019</v>
      </c>
      <c r="F125" s="430" t="s">
        <v>746</v>
      </c>
      <c r="G125" s="430">
        <v>4.8720856845765503</v>
      </c>
      <c r="H125" s="430">
        <v>-5.5683374292842203</v>
      </c>
      <c r="I125" s="430">
        <v>27.570555801293835</v>
      </c>
      <c r="J125" s="430" t="s">
        <v>746</v>
      </c>
      <c r="K125" s="430">
        <v>19.926843200439492</v>
      </c>
      <c r="L125" s="579">
        <v>89.537780401194425</v>
      </c>
      <c r="M125" s="579">
        <v>180.85447275120399</v>
      </c>
      <c r="N125" s="579">
        <v>19.217661658650396</v>
      </c>
      <c r="O125" s="579">
        <v>91.860855692670498</v>
      </c>
      <c r="P125" s="579">
        <v>9.5188920234534589</v>
      </c>
      <c r="Q125" s="579">
        <v>35.439420946698206</v>
      </c>
      <c r="R125" s="430">
        <v>23.472924060195794</v>
      </c>
    </row>
    <row r="126" spans="2:19" ht="14.4" x14ac:dyDescent="0.3">
      <c r="B126" s="641"/>
      <c r="D126" s="438">
        <f t="shared" si="6"/>
        <v>699.07560338977146</v>
      </c>
      <c r="E126" s="427">
        <v>2020</v>
      </c>
      <c r="F126" s="430">
        <v>32.631163876628108</v>
      </c>
      <c r="G126" s="430">
        <v>7.4222222089303651</v>
      </c>
      <c r="H126" s="430">
        <v>3.7698061757162513</v>
      </c>
      <c r="I126" s="430">
        <v>43.102239235967104</v>
      </c>
      <c r="J126" s="430" t="s">
        <v>746</v>
      </c>
      <c r="K126" s="430">
        <v>46.213018158627349</v>
      </c>
      <c r="L126" s="579">
        <v>118.31350940814539</v>
      </c>
      <c r="M126" s="579">
        <v>203.34421752269208</v>
      </c>
      <c r="N126" s="579">
        <v>33.63807894852161</v>
      </c>
      <c r="O126" s="579">
        <v>101.1652405285239</v>
      </c>
      <c r="P126" s="579">
        <v>15.332956210284904</v>
      </c>
      <c r="Q126" s="579">
        <v>59.11716280825523</v>
      </c>
      <c r="R126" s="430">
        <v>35.025988307479167</v>
      </c>
      <c r="S126" s="427"/>
    </row>
    <row r="127" spans="2:19" ht="14.4" x14ac:dyDescent="0.3">
      <c r="B127" s="641"/>
      <c r="D127" s="438">
        <f t="shared" si="6"/>
        <v>888.21354806405452</v>
      </c>
      <c r="E127" s="424">
        <v>2021</v>
      </c>
      <c r="F127" s="430">
        <v>48.94674581494241</v>
      </c>
      <c r="G127" s="430">
        <v>9.9875658634254911</v>
      </c>
      <c r="H127" s="430">
        <v>11.247220762571718</v>
      </c>
      <c r="I127" s="430">
        <v>58.413114138413178</v>
      </c>
      <c r="J127" s="430" t="s">
        <v>746</v>
      </c>
      <c r="K127" s="430">
        <v>72.97910966571196</v>
      </c>
      <c r="L127" s="579">
        <v>150.56831153865494</v>
      </c>
      <c r="M127" s="579">
        <v>224.65151902049189</v>
      </c>
      <c r="N127" s="579">
        <v>48.57908937252941</v>
      </c>
      <c r="O127" s="579">
        <v>110.18265778811521</v>
      </c>
      <c r="P127" s="579">
        <v>22.500805560010924</v>
      </c>
      <c r="Q127" s="579">
        <v>82.948674389547733</v>
      </c>
      <c r="R127" s="430">
        <v>47.208734149639682</v>
      </c>
    </row>
    <row r="128" spans="2:19" ht="14.4" x14ac:dyDescent="0.3">
      <c r="B128" s="641"/>
      <c r="D128" s="438">
        <f t="shared" si="6"/>
        <v>1265.6021150153933</v>
      </c>
      <c r="E128" s="424">
        <v>2022</v>
      </c>
      <c r="F128" s="430">
        <v>65.26232775325775</v>
      </c>
      <c r="G128" s="430">
        <v>12.571276980863747</v>
      </c>
      <c r="H128" s="430">
        <v>21.049307592815932</v>
      </c>
      <c r="I128" s="430">
        <v>73.599113589935683</v>
      </c>
      <c r="J128" s="430">
        <v>229.46276152171762</v>
      </c>
      <c r="K128" s="430">
        <v>100.17644030231503</v>
      </c>
      <c r="L128" s="579">
        <v>138.41481110606065</v>
      </c>
      <c r="M128" s="579">
        <v>244.8071685079652</v>
      </c>
      <c r="N128" s="579">
        <v>64.039674730470466</v>
      </c>
      <c r="O128" s="579">
        <v>118.92362099550515</v>
      </c>
      <c r="P128" s="579">
        <v>30.577538096245803</v>
      </c>
      <c r="Q128" s="579">
        <v>106.93355445671293</v>
      </c>
      <c r="R128" s="430">
        <v>59.784519381527431</v>
      </c>
    </row>
    <row r="129" spans="2:18" ht="14.4" x14ac:dyDescent="0.3">
      <c r="B129" s="641"/>
      <c r="D129" s="438">
        <f t="shared" si="6"/>
        <v>1495.5853316919638</v>
      </c>
      <c r="E129" s="424">
        <v>2023</v>
      </c>
      <c r="F129" s="430">
        <v>81.57790969157206</v>
      </c>
      <c r="G129" s="430">
        <v>15.176498019613019</v>
      </c>
      <c r="H129" s="430">
        <v>33.353654512001597</v>
      </c>
      <c r="I129" s="430">
        <v>88.754464863763246</v>
      </c>
      <c r="J129" s="430">
        <v>271.97863046341774</v>
      </c>
      <c r="K129" s="430">
        <v>127.75300059782458</v>
      </c>
      <c r="L129" s="579">
        <v>162.31635079899763</v>
      </c>
      <c r="M129" s="579">
        <v>263.84195724847194</v>
      </c>
      <c r="N129" s="579">
        <v>80.025359841674415</v>
      </c>
      <c r="O129" s="579">
        <v>127.39864367476353</v>
      </c>
      <c r="P129" s="579">
        <v>39.550395600206187</v>
      </c>
      <c r="Q129" s="579">
        <v>131.07140177588803</v>
      </c>
      <c r="R129" s="430">
        <v>72.787064603769949</v>
      </c>
    </row>
    <row r="130" spans="2:18" ht="14.4" x14ac:dyDescent="0.3">
      <c r="B130" s="641"/>
      <c r="D130" s="438">
        <f t="shared" si="6"/>
        <v>1731.7288785797234</v>
      </c>
      <c r="E130" s="424">
        <v>2024</v>
      </c>
      <c r="F130" s="430">
        <v>97.893491629886356</v>
      </c>
      <c r="G130" s="430">
        <v>17.806378514411861</v>
      </c>
      <c r="H130" s="430">
        <v>48.340018206151626</v>
      </c>
      <c r="I130" s="430">
        <v>103.97476726714646</v>
      </c>
      <c r="J130" s="430">
        <v>316.76257013457126</v>
      </c>
      <c r="K130" s="430">
        <v>155.65376295614803</v>
      </c>
      <c r="L130" s="579">
        <v>186.39436771208142</v>
      </c>
      <c r="M130" s="579">
        <v>281.78667650537346</v>
      </c>
      <c r="N130" s="579">
        <v>96.547996562547198</v>
      </c>
      <c r="O130" s="579">
        <v>135.61823934995101</v>
      </c>
      <c r="P130" s="579">
        <v>49.40661985310998</v>
      </c>
      <c r="Q130" s="579">
        <v>155.3618151132103</v>
      </c>
      <c r="R130" s="430">
        <v>86.182174775134385</v>
      </c>
    </row>
    <row r="131" spans="2:18" ht="14.4" x14ac:dyDescent="0.3">
      <c r="B131" s="641"/>
      <c r="D131" s="438">
        <f t="shared" si="6"/>
        <v>1964.8745549239466</v>
      </c>
      <c r="E131" s="424">
        <v>2025</v>
      </c>
      <c r="F131" s="430">
        <v>114.20907356820067</v>
      </c>
      <c r="G131" s="430">
        <v>20.463940891312646</v>
      </c>
      <c r="H131" s="430">
        <v>66.151258559376942</v>
      </c>
      <c r="I131" s="430">
        <v>119.34024612169337</v>
      </c>
      <c r="J131" s="430">
        <v>363.68949291096993</v>
      </c>
      <c r="K131" s="430">
        <v>183.82099408601272</v>
      </c>
      <c r="L131" s="579">
        <v>210.46402909837965</v>
      </c>
      <c r="M131" s="579">
        <v>298.67211754203123</v>
      </c>
      <c r="N131" s="579">
        <v>113.62555356195467</v>
      </c>
      <c r="O131" s="579">
        <v>143.59292154513489</v>
      </c>
      <c r="P131" s="579">
        <v>60.13345263617316</v>
      </c>
      <c r="Q131" s="579">
        <v>170.76659288686653</v>
      </c>
      <c r="R131" s="430">
        <v>99.944881515840237</v>
      </c>
    </row>
    <row r="132" spans="2:18" ht="14.4" x14ac:dyDescent="0.3">
      <c r="B132" s="641"/>
      <c r="D132" s="438">
        <f t="shared" si="6"/>
        <v>2193.6592027041156</v>
      </c>
      <c r="E132" s="424">
        <v>2026</v>
      </c>
      <c r="F132" s="430">
        <v>130.52465550652315</v>
      </c>
      <c r="G132" s="430">
        <v>23.152725754761953</v>
      </c>
      <c r="H132" s="430">
        <v>87.085348451348906</v>
      </c>
      <c r="I132" s="430">
        <v>134.99610239554676</v>
      </c>
      <c r="J132" s="430">
        <v>412.66297839497037</v>
      </c>
      <c r="K132" s="430">
        <v>212.19487018646595</v>
      </c>
      <c r="L132" s="579">
        <v>235.04667826226085</v>
      </c>
      <c r="M132" s="579">
        <v>314.52907162180475</v>
      </c>
      <c r="N132" s="579">
        <v>131.28191171970707</v>
      </c>
      <c r="O132" s="579">
        <v>151.3332037843829</v>
      </c>
      <c r="P132" s="579">
        <v>71.718135730612673</v>
      </c>
      <c r="Q132" s="579">
        <v>175.12146922135338</v>
      </c>
      <c r="R132" s="430">
        <v>114.01205167437675</v>
      </c>
    </row>
    <row r="133" spans="2:18" ht="14.4" x14ac:dyDescent="0.3">
      <c r="B133" s="641"/>
      <c r="D133" s="438">
        <f t="shared" si="6"/>
        <v>2428.590385768231</v>
      </c>
      <c r="E133" s="424">
        <v>2027</v>
      </c>
      <c r="F133" s="430">
        <v>146.84023744483744</v>
      </c>
      <c r="G133" s="430">
        <v>25.875500990637647</v>
      </c>
      <c r="H133" s="430">
        <v>111.21155596893541</v>
      </c>
      <c r="I133" s="430">
        <v>150.99170103713593</v>
      </c>
      <c r="J133" s="430">
        <v>463.53341547966397</v>
      </c>
      <c r="K133" s="430">
        <v>240.71348759513728</v>
      </c>
      <c r="L133" s="579">
        <v>259.67442556894781</v>
      </c>
      <c r="M133" s="579">
        <v>329.38833000805636</v>
      </c>
      <c r="N133" s="579">
        <v>149.54666501627111</v>
      </c>
      <c r="O133" s="579">
        <v>158.84959959175558</v>
      </c>
      <c r="P133" s="579">
        <v>84.147910917646144</v>
      </c>
      <c r="Q133" s="579">
        <v>179.44036511598446</v>
      </c>
      <c r="R133" s="430">
        <v>128.377191033222</v>
      </c>
    </row>
    <row r="134" spans="2:18" ht="14.4" x14ac:dyDescent="0.3">
      <c r="B134" s="641"/>
      <c r="D134" s="438">
        <f t="shared" si="6"/>
        <v>2670.0700554708351</v>
      </c>
      <c r="E134" s="424">
        <v>2028</v>
      </c>
      <c r="F134" s="430">
        <v>163.15581938315174</v>
      </c>
      <c r="G134" s="430">
        <v>28.635552484945034</v>
      </c>
      <c r="H134" s="430">
        <v>138.7544138032593</v>
      </c>
      <c r="I134" s="430">
        <v>167.4413226414357</v>
      </c>
      <c r="J134" s="430">
        <v>516.1887267328724</v>
      </c>
      <c r="K134" s="430">
        <v>269.31376393786735</v>
      </c>
      <c r="L134" s="579">
        <v>284.56163365749399</v>
      </c>
      <c r="M134" s="579">
        <v>343.28068396414568</v>
      </c>
      <c r="N134" s="579">
        <v>168.45492678467059</v>
      </c>
      <c r="O134" s="579">
        <v>166.15262249132263</v>
      </c>
      <c r="P134" s="579">
        <v>97.410019978489132</v>
      </c>
      <c r="Q134" s="579">
        <v>183.72492147671414</v>
      </c>
      <c r="R134" s="430">
        <v>142.99564813446651</v>
      </c>
    </row>
    <row r="135" spans="2:18" ht="14.4" x14ac:dyDescent="0.3">
      <c r="B135" s="641"/>
      <c r="D135" s="438">
        <f t="shared" si="6"/>
        <v>2918.299956524239</v>
      </c>
      <c r="E135" s="424">
        <v>2029</v>
      </c>
      <c r="F135" s="430">
        <v>179.47140132146603</v>
      </c>
      <c r="G135" s="430">
        <v>31.4360386551242</v>
      </c>
      <c r="H135" s="430">
        <v>169.90186041952467</v>
      </c>
      <c r="I135" s="430">
        <v>184.44375249865416</v>
      </c>
      <c r="J135" s="430">
        <v>570.5087435377668</v>
      </c>
      <c r="K135" s="430">
        <v>297.93172099880832</v>
      </c>
      <c r="L135" s="579">
        <v>309.76908186724916</v>
      </c>
      <c r="M135" s="579">
        <v>356.23692475343398</v>
      </c>
      <c r="N135" s="579">
        <v>188.04714119831797</v>
      </c>
      <c r="O135" s="579">
        <v>173.25278600714483</v>
      </c>
      <c r="P135" s="579">
        <v>111.49170469435998</v>
      </c>
      <c r="Q135" s="579">
        <v>187.97677920949693</v>
      </c>
      <c r="R135" s="430">
        <v>157.83202136289162</v>
      </c>
    </row>
    <row r="136" spans="2:18" ht="14.4" x14ac:dyDescent="0.3">
      <c r="B136" s="641"/>
      <c r="D136" s="438">
        <f t="shared" si="6"/>
        <v>3177.5535837233083</v>
      </c>
      <c r="E136" s="424">
        <v>2030</v>
      </c>
      <c r="F136" s="430">
        <v>195.78698325978038</v>
      </c>
      <c r="G136" s="430">
        <v>34.280033710581364</v>
      </c>
      <c r="H136" s="430">
        <v>204.80427760030688</v>
      </c>
      <c r="I136" s="430">
        <v>202.08760926474849</v>
      </c>
      <c r="J136" s="430">
        <v>630.98395052710612</v>
      </c>
      <c r="K136" s="430">
        <v>326.50301181482223</v>
      </c>
      <c r="L136" s="579">
        <v>334.93195541703068</v>
      </c>
      <c r="M136" s="579">
        <v>368.28784363928287</v>
      </c>
      <c r="N136" s="579">
        <v>208.36889987123311</v>
      </c>
      <c r="O136" s="579">
        <v>180.16060366329197</v>
      </c>
      <c r="P136" s="579">
        <v>126.38020684647476</v>
      </c>
      <c r="Q136" s="579">
        <v>191.99932946643321</v>
      </c>
      <c r="R136" s="430">
        <v>172.97887864221633</v>
      </c>
    </row>
    <row r="137" spans="2:18" ht="14.4" x14ac:dyDescent="0.3">
      <c r="B137" s="641"/>
      <c r="D137" s="438">
        <f t="shared" si="6"/>
        <v>3435.4694323319704</v>
      </c>
      <c r="E137" s="424">
        <v>2031</v>
      </c>
      <c r="F137" s="430">
        <v>212.10256519809465</v>
      </c>
      <c r="G137" s="430">
        <v>37.170956421662702</v>
      </c>
      <c r="H137" s="430">
        <v>243.77181102112277</v>
      </c>
      <c r="I137" s="430">
        <v>220.50499481879788</v>
      </c>
      <c r="J137" s="430">
        <v>683.66003668898747</v>
      </c>
      <c r="K137" s="430">
        <v>354.96359464471482</v>
      </c>
      <c r="L137" s="579">
        <v>361.4605848964041</v>
      </c>
      <c r="M137" s="579">
        <v>379.46423188505213</v>
      </c>
      <c r="N137" s="579">
        <v>229.47076344974897</v>
      </c>
      <c r="O137" s="579">
        <v>186.88658898382454</v>
      </c>
      <c r="P137" s="579">
        <v>142.06276821604973</v>
      </c>
      <c r="Q137" s="579">
        <v>195.93472992348543</v>
      </c>
      <c r="R137" s="430">
        <v>188.01580618402534</v>
      </c>
    </row>
    <row r="138" spans="2:18" ht="14.4" x14ac:dyDescent="0.3">
      <c r="B138" s="641"/>
      <c r="D138" s="438">
        <f t="shared" si="6"/>
        <v>3705.1011421676048</v>
      </c>
      <c r="E138" s="424">
        <v>2032</v>
      </c>
      <c r="F138" s="430">
        <v>228.41814713640898</v>
      </c>
      <c r="G138" s="430">
        <v>40.11171245411203</v>
      </c>
      <c r="H138" s="430">
        <v>286.88003323728935</v>
      </c>
      <c r="I138" s="430">
        <v>239.76416153375214</v>
      </c>
      <c r="J138" s="430">
        <v>742.24803368555547</v>
      </c>
      <c r="K138" s="430">
        <v>383.24995288961054</v>
      </c>
      <c r="L138" s="579">
        <v>388.14468186180602</v>
      </c>
      <c r="M138" s="579">
        <v>389.79688075410354</v>
      </c>
      <c r="N138" s="579">
        <v>251.40808807744645</v>
      </c>
      <c r="O138" s="579">
        <v>193.44125549281247</v>
      </c>
      <c r="P138" s="579">
        <v>158.52663058430352</v>
      </c>
      <c r="Q138" s="579">
        <v>199.8202299658704</v>
      </c>
      <c r="R138" s="430">
        <v>203.29133449453417</v>
      </c>
    </row>
    <row r="139" spans="2:18" ht="14.4" x14ac:dyDescent="0.3">
      <c r="B139" s="641"/>
      <c r="D139" s="438">
        <f t="shared" si="6"/>
        <v>3967.8866533456817</v>
      </c>
      <c r="E139" s="424">
        <v>2033</v>
      </c>
      <c r="F139" s="430">
        <v>244.73372907472429</v>
      </c>
      <c r="G139" s="430">
        <v>43.105551971497036</v>
      </c>
      <c r="H139" s="430">
        <v>319.74260296604655</v>
      </c>
      <c r="I139" s="430">
        <v>259.97683204776746</v>
      </c>
      <c r="J139" s="430">
        <v>802.01723128370497</v>
      </c>
      <c r="K139" s="430">
        <v>411.29991000509392</v>
      </c>
      <c r="L139" s="579">
        <v>415.56038310229059</v>
      </c>
      <c r="M139" s="579">
        <v>399.31658150979706</v>
      </c>
      <c r="N139" s="579">
        <v>274.24085661758585</v>
      </c>
      <c r="O139" s="579">
        <v>199.83511671431626</v>
      </c>
      <c r="P139" s="579">
        <v>175.759035732451</v>
      </c>
      <c r="Q139" s="579">
        <v>203.65779177151626</v>
      </c>
      <c r="R139" s="430">
        <v>218.6410305488908</v>
      </c>
    </row>
    <row r="140" spans="2:18" ht="14.4" x14ac:dyDescent="0.3">
      <c r="B140" s="641"/>
      <c r="D140" s="438">
        <f t="shared" si="6"/>
        <v>4258.6513845615355</v>
      </c>
      <c r="E140" s="424">
        <v>2034</v>
      </c>
      <c r="F140" s="430">
        <v>261.04931101303862</v>
      </c>
      <c r="G140" s="430">
        <v>46.155640801520867</v>
      </c>
      <c r="H140" s="430">
        <v>372.34254736555613</v>
      </c>
      <c r="I140" s="430">
        <v>281.24453582927435</v>
      </c>
      <c r="J140" s="430">
        <v>862.84840291617695</v>
      </c>
      <c r="K140" s="430">
        <v>439.0529725381183</v>
      </c>
      <c r="L140" s="579">
        <v>443.86674035437431</v>
      </c>
      <c r="M140" s="579">
        <v>408.05412541549396</v>
      </c>
      <c r="N140" s="579">
        <v>298.03351451981757</v>
      </c>
      <c r="O140" s="579">
        <v>206.07868617240584</v>
      </c>
      <c r="P140" s="579">
        <v>198.44706726787015</v>
      </c>
      <c r="Q140" s="579">
        <v>207.4493775183513</v>
      </c>
      <c r="R140" s="430">
        <v>234.02846284953571</v>
      </c>
    </row>
    <row r="141" spans="2:18" ht="14.4" x14ac:dyDescent="0.3">
      <c r="B141" s="641"/>
      <c r="D141" s="438">
        <f t="shared" si="6"/>
        <v>4541.4414084952086</v>
      </c>
      <c r="E141" s="424">
        <v>2035</v>
      </c>
      <c r="F141" s="430">
        <v>277.36489295135289</v>
      </c>
      <c r="G141" s="430">
        <v>49.265221661534717</v>
      </c>
      <c r="H141" s="430">
        <v>425.5187726719322</v>
      </c>
      <c r="I141" s="430">
        <v>303.67916236206901</v>
      </c>
      <c r="J141" s="430">
        <v>917.14813246849144</v>
      </c>
      <c r="K141" s="430">
        <v>466.45085426337289</v>
      </c>
      <c r="L141" s="579">
        <v>472.63982933373882</v>
      </c>
      <c r="M141" s="579">
        <v>416.04030373455578</v>
      </c>
      <c r="N141" s="579">
        <v>322.85481022041569</v>
      </c>
      <c r="O141" s="579">
        <v>212.18247739114167</v>
      </c>
      <c r="P141" s="579">
        <v>217.66955986237113</v>
      </c>
      <c r="Q141" s="579">
        <v>211.19694938430371</v>
      </c>
      <c r="R141" s="430">
        <v>249.43044218992895</v>
      </c>
    </row>
    <row r="142" spans="2:18" ht="14.4" x14ac:dyDescent="0.3">
      <c r="B142" s="641"/>
      <c r="D142" s="438">
        <f t="shared" si="6"/>
        <v>4849.2761019946101</v>
      </c>
      <c r="E142" s="424">
        <v>2036</v>
      </c>
      <c r="F142" s="430">
        <v>293.68047488966727</v>
      </c>
      <c r="G142" s="430">
        <v>52.437253896486453</v>
      </c>
      <c r="H142" s="430">
        <v>483.34865946125512</v>
      </c>
      <c r="I142" s="430">
        <v>327.35612407119834</v>
      </c>
      <c r="J142" s="430">
        <v>987.21486116158803</v>
      </c>
      <c r="K142" s="430">
        <v>493.43778299778552</v>
      </c>
      <c r="L142" s="579">
        <v>503.84602207960683</v>
      </c>
      <c r="M142" s="579">
        <v>423.3059077303422</v>
      </c>
      <c r="N142" s="579">
        <v>348.7776399676639</v>
      </c>
      <c r="O142" s="579">
        <v>218.15700389459371</v>
      </c>
      <c r="P142" s="579">
        <v>238.04202171804016</v>
      </c>
      <c r="Q142" s="579">
        <v>214.90246954730179</v>
      </c>
      <c r="R142" s="430">
        <v>264.7698805790809</v>
      </c>
    </row>
    <row r="143" spans="2:18" ht="14.4" x14ac:dyDescent="0.3">
      <c r="B143" s="641"/>
      <c r="D143" s="438">
        <f t="shared" si="6"/>
        <v>5158.1081407226811</v>
      </c>
      <c r="E143" s="424">
        <v>2037</v>
      </c>
      <c r="F143" s="430">
        <v>309.99605682798153</v>
      </c>
      <c r="G143" s="430">
        <v>55.675114701102721</v>
      </c>
      <c r="H143" s="430">
        <v>546.17039519907166</v>
      </c>
      <c r="I143" s="430">
        <v>352.40556229030017</v>
      </c>
      <c r="J143" s="430">
        <v>1050.5036734340842</v>
      </c>
      <c r="K143" s="430">
        <v>519.9611385313242</v>
      </c>
      <c r="L143" s="579">
        <v>535.88525423858732</v>
      </c>
      <c r="M143" s="579">
        <v>429.88172866621517</v>
      </c>
      <c r="N143" s="579">
        <v>375.87889696639502</v>
      </c>
      <c r="O143" s="579">
        <v>224.01277920682253</v>
      </c>
      <c r="P143" s="579">
        <v>259.11955085849212</v>
      </c>
      <c r="Q143" s="579">
        <v>218.56790018527374</v>
      </c>
      <c r="R143" s="430">
        <v>280.05008961703084</v>
      </c>
    </row>
    <row r="144" spans="2:18" ht="14.4" x14ac:dyDescent="0.3">
      <c r="B144" s="641"/>
      <c r="D144" s="438">
        <f t="shared" si="6"/>
        <v>5476.3529776339165</v>
      </c>
      <c r="E144" s="424">
        <v>2038</v>
      </c>
      <c r="F144" s="430">
        <v>326.31163876629586</v>
      </c>
      <c r="G144" s="430">
        <v>58.981905446530348</v>
      </c>
      <c r="H144" s="430">
        <v>614.14883360966894</v>
      </c>
      <c r="I144" s="430">
        <v>378.92211254355971</v>
      </c>
      <c r="J144" s="430">
        <v>1114.3668018460314</v>
      </c>
      <c r="K144" s="430">
        <v>545.97155506607612</v>
      </c>
      <c r="L144" s="579">
        <v>569.54683291948493</v>
      </c>
      <c r="M144" s="579">
        <v>435.79855780553447</v>
      </c>
      <c r="N144" s="579">
        <v>404.23932473797953</v>
      </c>
      <c r="O144" s="579">
        <v>229.76031685189565</v>
      </c>
      <c r="P144" s="579">
        <v>280.88938906494423</v>
      </c>
      <c r="Q144" s="579">
        <v>222.19520347614775</v>
      </c>
      <c r="R144" s="430">
        <v>295.22050549976711</v>
      </c>
    </row>
    <row r="145" spans="2:19" ht="14.4" x14ac:dyDescent="0.3">
      <c r="B145" s="641"/>
      <c r="D145" s="438">
        <f t="shared" si="6"/>
        <v>5804.4559945727651</v>
      </c>
      <c r="E145" s="424">
        <v>2039</v>
      </c>
      <c r="F145" s="430">
        <v>342.62722070461018</v>
      </c>
      <c r="G145" s="430">
        <v>62.360815559419208</v>
      </c>
      <c r="H145" s="430">
        <v>687.50925532461952</v>
      </c>
      <c r="I145" s="430">
        <v>407.01237485416436</v>
      </c>
      <c r="J145" s="430">
        <v>1178.6839502909454</v>
      </c>
      <c r="K145" s="430">
        <v>571.42334324104127</v>
      </c>
      <c r="L145" s="579">
        <v>605.02938609011255</v>
      </c>
      <c r="M145" s="579">
        <v>441.08718641166166</v>
      </c>
      <c r="N145" s="579">
        <v>433.94337459433132</v>
      </c>
      <c r="O145" s="579">
        <v>235.41013035388039</v>
      </c>
      <c r="P145" s="579">
        <v>303.33877811861367</v>
      </c>
      <c r="Q145" s="579">
        <v>225.78634159785207</v>
      </c>
      <c r="R145" s="430">
        <v>310.24383743151344</v>
      </c>
    </row>
    <row r="146" spans="2:19" ht="14.4" x14ac:dyDescent="0.3">
      <c r="B146" s="641"/>
      <c r="D146" s="438">
        <f t="shared" si="6"/>
        <v>6144.2829399182774</v>
      </c>
      <c r="E146" s="424">
        <v>2040</v>
      </c>
      <c r="F146" s="430">
        <v>358.94280264292445</v>
      </c>
      <c r="G146" s="430">
        <v>65.815268492886531</v>
      </c>
      <c r="H146" s="430">
        <v>766.67267962655433</v>
      </c>
      <c r="I146" s="430">
        <v>436.81607956850081</v>
      </c>
      <c r="J146" s="430">
        <v>1244.407278554721</v>
      </c>
      <c r="K146" s="430">
        <v>596.27477849416209</v>
      </c>
      <c r="L146" s="579">
        <v>642.39545341109431</v>
      </c>
      <c r="M146" s="579">
        <v>445.77840574795812</v>
      </c>
      <c r="N146" s="579">
        <v>465.0790671266945</v>
      </c>
      <c r="O146" s="579">
        <v>240.97273323683766</v>
      </c>
      <c r="P146" s="579">
        <v>326.4549598007161</v>
      </c>
      <c r="Q146" s="579">
        <v>229.34327672831492</v>
      </c>
      <c r="R146" s="430">
        <v>325.33015648691304</v>
      </c>
    </row>
    <row r="147" spans="2:19" ht="14.4" x14ac:dyDescent="0.3">
      <c r="B147" s="641"/>
      <c r="D147" s="438">
        <f t="shared" si="6"/>
        <v>6492.0436965624995</v>
      </c>
      <c r="E147" s="424">
        <v>2041</v>
      </c>
      <c r="F147" s="430">
        <v>375.2583845812469</v>
      </c>
      <c r="G147" s="430">
        <v>69.347633633446762</v>
      </c>
      <c r="H147" s="430">
        <v>851.19829953284341</v>
      </c>
      <c r="I147" s="430">
        <v>468.3264238811567</v>
      </c>
      <c r="J147" s="430">
        <v>1308.1808419254512</v>
      </c>
      <c r="K147" s="430">
        <v>620.4878545561246</v>
      </c>
      <c r="L147" s="579">
        <v>682.35226776229558</v>
      </c>
      <c r="M147" s="579">
        <v>449.90300707778346</v>
      </c>
      <c r="N147" s="579">
        <v>497.73785761216408</v>
      </c>
      <c r="O147" s="579">
        <v>246.45863902483714</v>
      </c>
      <c r="P147" s="579">
        <v>350.22517589246939</v>
      </c>
      <c r="Q147" s="579">
        <v>232.86797104546463</v>
      </c>
      <c r="R147" s="430">
        <v>339.69934003721647</v>
      </c>
    </row>
    <row r="148" spans="2:19" ht="14.4" x14ac:dyDescent="0.3">
      <c r="B148" s="641"/>
      <c r="D148" s="438">
        <f t="shared" si="6"/>
        <v>6769.7720370935676</v>
      </c>
      <c r="E148" s="424">
        <v>2042</v>
      </c>
      <c r="F148" s="430">
        <v>391.57396651956122</v>
      </c>
      <c r="G148" s="430">
        <v>72.961896498573893</v>
      </c>
      <c r="H148" s="430">
        <v>941.9689886182972</v>
      </c>
      <c r="I148" s="430">
        <v>501.7621356615889</v>
      </c>
      <c r="J148" s="430">
        <v>1373.1065242136831</v>
      </c>
      <c r="K148" s="430">
        <v>644.02930816225717</v>
      </c>
      <c r="L148" s="579">
        <v>724.6901644527062</v>
      </c>
      <c r="M148" s="579">
        <v>453.49178166449974</v>
      </c>
      <c r="N148" s="579">
        <v>532.01450524300856</v>
      </c>
      <c r="O148" s="579">
        <v>251.87836124193933</v>
      </c>
      <c r="P148" s="579">
        <v>291.87581536022515</v>
      </c>
      <c r="Q148" s="579">
        <v>236.36238672722931</v>
      </c>
      <c r="R148" s="430">
        <v>354.05620272999806</v>
      </c>
    </row>
    <row r="149" spans="2:19" ht="14.4" x14ac:dyDescent="0.3">
      <c r="B149" s="641"/>
      <c r="D149" s="438">
        <f t="shared" si="6"/>
        <v>7060.4061417600442</v>
      </c>
      <c r="E149" s="424">
        <v>2043</v>
      </c>
      <c r="F149" s="430">
        <v>407.88954845787657</v>
      </c>
      <c r="G149" s="430">
        <v>76.660970952899902</v>
      </c>
      <c r="H149" s="430">
        <v>1038.9943688236363</v>
      </c>
      <c r="I149" s="430">
        <v>537.19314355691665</v>
      </c>
      <c r="J149" s="430">
        <v>1437.9752107516897</v>
      </c>
      <c r="K149" s="430">
        <v>666.86979134524154</v>
      </c>
      <c r="L149" s="579">
        <v>769.83217752535825</v>
      </c>
      <c r="M149" s="579">
        <v>456.57552077146653</v>
      </c>
      <c r="N149" s="579">
        <v>568.00694608593449</v>
      </c>
      <c r="O149" s="579">
        <v>257.24241341221415</v>
      </c>
      <c r="P149" s="579">
        <v>235.2221835391903</v>
      </c>
      <c r="Q149" s="579">
        <v>239.82848595153709</v>
      </c>
      <c r="R149" s="430">
        <v>368.11538058608323</v>
      </c>
    </row>
    <row r="150" spans="2:19" ht="14.4" x14ac:dyDescent="0.3">
      <c r="B150" s="641"/>
      <c r="D150" s="438">
        <f t="shared" si="6"/>
        <v>7357.6539862316931</v>
      </c>
      <c r="E150" s="424">
        <v>2044</v>
      </c>
      <c r="F150" s="430">
        <v>424.2051303961909</v>
      </c>
      <c r="G150" s="430">
        <v>80.448037948250914</v>
      </c>
      <c r="H150" s="430">
        <v>1142.505060461594</v>
      </c>
      <c r="I150" s="430">
        <v>574.72703998966529</v>
      </c>
      <c r="J150" s="430">
        <v>1502.6513915640587</v>
      </c>
      <c r="K150" s="430">
        <v>688.98434145987403</v>
      </c>
      <c r="L150" s="579">
        <v>818.0600326478833</v>
      </c>
      <c r="M150" s="579">
        <v>459.18501566204571</v>
      </c>
      <c r="N150" s="579">
        <v>605.8161696804932</v>
      </c>
      <c r="O150" s="579">
        <v>262.56130905972225</v>
      </c>
      <c r="P150" s="579">
        <v>173.40332595639197</v>
      </c>
      <c r="Q150" s="579">
        <v>243.26823089631648</v>
      </c>
      <c r="R150" s="430">
        <v>381.83890050920581</v>
      </c>
    </row>
    <row r="151" spans="2:19" ht="14.4" x14ac:dyDescent="0.3">
      <c r="B151" s="641"/>
      <c r="D151" s="438">
        <f t="shared" si="6"/>
        <v>7702.8395246269129</v>
      </c>
      <c r="E151" s="424">
        <v>2045</v>
      </c>
      <c r="F151" s="430">
        <v>440.52071233450516</v>
      </c>
      <c r="G151" s="430">
        <v>84.326452065230001</v>
      </c>
      <c r="H151" s="430">
        <v>1252.9081273396598</v>
      </c>
      <c r="I151" s="430">
        <v>614.49828426305839</v>
      </c>
      <c r="J151" s="430">
        <v>1570.9032117529837</v>
      </c>
      <c r="K151" s="430">
        <v>710.35231652025777</v>
      </c>
      <c r="L151" s="579">
        <v>871.94786714973827</v>
      </c>
      <c r="M151" s="579">
        <v>461.35105759959839</v>
      </c>
      <c r="N151" s="579">
        <v>645.54609918781307</v>
      </c>
      <c r="O151" s="579">
        <v>267.84556170853318</v>
      </c>
      <c r="P151" s="579">
        <v>140.70744046352948</v>
      </c>
      <c r="Q151" s="579">
        <v>246.68358373949548</v>
      </c>
      <c r="R151" s="430">
        <v>395.24881050251054</v>
      </c>
    </row>
    <row r="152" spans="2:19" ht="14.4" x14ac:dyDescent="0.3">
      <c r="B152" s="641"/>
      <c r="D152" s="438">
        <f t="shared" si="6"/>
        <v>8136.0493957198105</v>
      </c>
      <c r="E152" s="424">
        <v>2046</v>
      </c>
      <c r="F152" s="430">
        <v>456.83629427281954</v>
      </c>
      <c r="G152" s="430">
        <v>88.298881706741341</v>
      </c>
      <c r="H152" s="430">
        <v>1369.9258454754686</v>
      </c>
      <c r="I152" s="430">
        <v>656.53746585681506</v>
      </c>
      <c r="J152" s="430">
        <v>1630.88448217932</v>
      </c>
      <c r="K152" s="430">
        <v>730.95705135217668</v>
      </c>
      <c r="L152" s="579">
        <v>924.96465946338947</v>
      </c>
      <c r="M152" s="579">
        <v>463.10443784748429</v>
      </c>
      <c r="N152" s="579">
        <v>687.30347500278606</v>
      </c>
      <c r="O152" s="579">
        <v>273.10568488270809</v>
      </c>
      <c r="P152" s="579">
        <v>195.92808553393684</v>
      </c>
      <c r="Q152" s="579">
        <v>250.07650665900243</v>
      </c>
      <c r="R152" s="430">
        <v>408.12652548716238</v>
      </c>
    </row>
    <row r="153" spans="2:19" ht="14.4" x14ac:dyDescent="0.3">
      <c r="B153" s="641"/>
      <c r="D153" s="438">
        <f t="shared" si="6"/>
        <v>8495.1456033877439</v>
      </c>
      <c r="E153" s="424">
        <v>2047</v>
      </c>
      <c r="F153" s="430">
        <v>473.15187621113375</v>
      </c>
      <c r="G153" s="430">
        <v>92.369028868304667</v>
      </c>
      <c r="H153" s="430">
        <v>1479.6969094544661</v>
      </c>
      <c r="I153" s="430">
        <v>701.03286784858335</v>
      </c>
      <c r="J153" s="430">
        <v>1694.1732416684354</v>
      </c>
      <c r="K153" s="430">
        <v>750.78627678722955</v>
      </c>
      <c r="L153" s="579">
        <v>984.26873912716189</v>
      </c>
      <c r="M153" s="579">
        <v>464.47594766906553</v>
      </c>
      <c r="N153" s="579">
        <v>731.19774174478698</v>
      </c>
      <c r="O153" s="579">
        <v>278.35219210631635</v>
      </c>
      <c r="P153" s="579">
        <v>171.57765754084329</v>
      </c>
      <c r="Q153" s="579">
        <v>253.44896183276558</v>
      </c>
      <c r="R153" s="430">
        <v>420.61416252865178</v>
      </c>
    </row>
    <row r="154" spans="2:19" ht="14.4" x14ac:dyDescent="0.3">
      <c r="B154" s="641"/>
      <c r="D154" s="438">
        <f t="shared" si="6"/>
        <v>8847.1310333387592</v>
      </c>
      <c r="E154" s="424">
        <v>2048</v>
      </c>
      <c r="F154" s="430">
        <v>489.46745814944808</v>
      </c>
      <c r="G154" s="430">
        <v>96.539909483623688</v>
      </c>
      <c r="H154" s="430">
        <v>1612.0821643852669</v>
      </c>
      <c r="I154" s="430">
        <v>748.06896862759413</v>
      </c>
      <c r="J154" s="430">
        <v>1756.7288919602815</v>
      </c>
      <c r="K154" s="430">
        <v>769.83142892379783</v>
      </c>
      <c r="L154" s="579">
        <v>1047.9105804889161</v>
      </c>
      <c r="M154" s="579">
        <v>465.49637832770179</v>
      </c>
      <c r="N154" s="579">
        <v>777.34093854384685</v>
      </c>
      <c r="O154" s="579">
        <v>283.59559690341854</v>
      </c>
      <c r="P154" s="579">
        <v>110.65258817732158</v>
      </c>
      <c r="Q154" s="579">
        <v>256.80291143871301</v>
      </c>
      <c r="R154" s="430">
        <v>432.61321792882865</v>
      </c>
    </row>
    <row r="155" spans="2:19" ht="14.4" x14ac:dyDescent="0.3">
      <c r="B155" s="641"/>
      <c r="D155" s="438">
        <f t="shared" si="6"/>
        <v>9298.562840363571</v>
      </c>
      <c r="E155" s="424">
        <v>2049</v>
      </c>
      <c r="F155" s="430">
        <v>505.7830400877624</v>
      </c>
      <c r="G155" s="430">
        <v>100.81381688201229</v>
      </c>
      <c r="H155" s="430">
        <v>1746.896733205373</v>
      </c>
      <c r="I155" s="430">
        <v>797.6098766298901</v>
      </c>
      <c r="J155" s="430">
        <v>1818.3540651680732</v>
      </c>
      <c r="K155" s="430">
        <v>788.08747211010245</v>
      </c>
      <c r="L155" s="579">
        <v>1116.3598779103877</v>
      </c>
      <c r="M155" s="579">
        <v>466.19652108675444</v>
      </c>
      <c r="N155" s="579">
        <v>825.84759254104995</v>
      </c>
      <c r="O155" s="579">
        <v>288.84641279808244</v>
      </c>
      <c r="P155" s="579">
        <v>139.54187217536182</v>
      </c>
      <c r="Q155" s="579">
        <v>260.14031765477307</v>
      </c>
      <c r="R155" s="430">
        <v>444.08524211394666</v>
      </c>
    </row>
    <row r="156" spans="2:19" ht="14.4" x14ac:dyDescent="0.3">
      <c r="B156" s="641"/>
      <c r="D156" s="438">
        <f t="shared" si="6"/>
        <v>9739.2152329850451</v>
      </c>
      <c r="E156" s="427">
        <v>2050</v>
      </c>
      <c r="F156" s="430">
        <v>522.09862202607667</v>
      </c>
      <c r="G156" s="430">
        <v>105.19290984194653</v>
      </c>
      <c r="H156" s="430">
        <v>1887.0871462521081</v>
      </c>
      <c r="I156" s="430">
        <v>849.58581215417962</v>
      </c>
      <c r="J156" s="430">
        <v>1877.0386260964428</v>
      </c>
      <c r="K156" s="430">
        <v>805.55287558217765</v>
      </c>
      <c r="L156" s="579">
        <v>1188.7922228867317</v>
      </c>
      <c r="M156" s="579">
        <v>466.60716720958493</v>
      </c>
      <c r="N156" s="579">
        <v>876.83461552374411</v>
      </c>
      <c r="O156" s="579">
        <v>294.11515331437533</v>
      </c>
      <c r="P156" s="579">
        <v>148.37456046169441</v>
      </c>
      <c r="Q156" s="579">
        <v>263.46314265887389</v>
      </c>
      <c r="R156" s="430">
        <v>454.47237897710977</v>
      </c>
      <c r="S156" s="427"/>
    </row>
    <row r="157" spans="2:19" ht="14.4" x14ac:dyDescent="0.3">
      <c r="D157" s="438">
        <f t="shared" si="6"/>
        <v>10168.964351399669</v>
      </c>
      <c r="E157" s="424">
        <v>2051</v>
      </c>
      <c r="F157" s="430">
        <v>538.41420396439105</v>
      </c>
      <c r="G157" s="430">
        <v>109.6823864150126</v>
      </c>
      <c r="H157" s="430">
        <v>2035.1554142880236</v>
      </c>
      <c r="I157" s="430">
        <v>904.43310630095311</v>
      </c>
      <c r="J157" s="430">
        <v>1938.1967366968922</v>
      </c>
      <c r="K157" s="430">
        <v>822.23026730686388</v>
      </c>
      <c r="L157" s="579">
        <v>1231.780207902945</v>
      </c>
      <c r="M157" s="579">
        <v>466.75910795955326</v>
      </c>
      <c r="N157" s="579">
        <v>930.42120361788341</v>
      </c>
      <c r="O157" s="579">
        <v>299.41233197635808</v>
      </c>
      <c r="P157" s="579">
        <v>160.4119702550654</v>
      </c>
      <c r="Q157" s="579">
        <v>266.77334862894384</v>
      </c>
      <c r="R157" s="430">
        <v>465.29406608678272</v>
      </c>
    </row>
    <row r="158" spans="2:19" ht="14.4" x14ac:dyDescent="0.3">
      <c r="D158" s="438">
        <f t="shared" si="6"/>
        <v>10622.068348946679</v>
      </c>
      <c r="E158" s="424">
        <v>2052</v>
      </c>
      <c r="F158" s="430">
        <v>554.72978590270532</v>
      </c>
      <c r="G158" s="430">
        <v>114.28490083567091</v>
      </c>
      <c r="H158" s="430">
        <v>2204.0681906146738</v>
      </c>
      <c r="I158" s="430">
        <v>962.17159277938504</v>
      </c>
      <c r="J158" s="430">
        <v>1996.2388104223826</v>
      </c>
      <c r="K158" s="430">
        <v>838.12457817731593</v>
      </c>
      <c r="L158" s="579">
        <v>1277.010033608351</v>
      </c>
      <c r="M158" s="579">
        <v>466.68313460002099</v>
      </c>
      <c r="N158" s="579">
        <v>986.72873996157455</v>
      </c>
      <c r="O158" s="579">
        <v>304.7484623081001</v>
      </c>
      <c r="P158" s="579">
        <v>172.25355783663395</v>
      </c>
      <c r="Q158" s="579">
        <v>270.0728977429111</v>
      </c>
      <c r="R158" s="430">
        <v>474.95366415695355</v>
      </c>
    </row>
    <row r="159" spans="2:19" ht="14.4" x14ac:dyDescent="0.3">
      <c r="D159" s="438">
        <f t="shared" si="6"/>
        <v>11086.701069212862</v>
      </c>
      <c r="E159" s="424">
        <v>2053</v>
      </c>
      <c r="F159" s="430">
        <v>571.04536784101958</v>
      </c>
      <c r="G159" s="430">
        <v>119.00385902177752</v>
      </c>
      <c r="H159" s="430">
        <v>2378.0629343809082</v>
      </c>
      <c r="I159" s="430">
        <v>1022.9480305847931</v>
      </c>
      <c r="J159" s="430">
        <v>2052.836305114356</v>
      </c>
      <c r="K159" s="430">
        <v>853.24373552557427</v>
      </c>
      <c r="L159" s="579">
        <v>1325.9411203905008</v>
      </c>
      <c r="M159" s="579">
        <v>466.41003839434808</v>
      </c>
      <c r="N159" s="579">
        <v>1045.8807002855842</v>
      </c>
      <c r="O159" s="579">
        <v>310.13405783366233</v>
      </c>
      <c r="P159" s="579">
        <v>183.8993232064006</v>
      </c>
      <c r="Q159" s="579">
        <v>273.36375217870386</v>
      </c>
      <c r="R159" s="430">
        <v>483.93184445523428</v>
      </c>
    </row>
    <row r="160" spans="2:19" ht="14.4" x14ac:dyDescent="0.3">
      <c r="D160" s="438">
        <f t="shared" si="6"/>
        <v>11436.417463215521</v>
      </c>
      <c r="E160" s="424">
        <v>2054</v>
      </c>
      <c r="F160" s="430">
        <v>587.36094977933499</v>
      </c>
      <c r="G160" s="430">
        <v>123.84244907894889</v>
      </c>
      <c r="H160" s="430">
        <v>2430.4395429568267</v>
      </c>
      <c r="I160" s="430">
        <v>1086.8731231713632</v>
      </c>
      <c r="J160" s="430">
        <v>2107.8374383198425</v>
      </c>
      <c r="K160" s="430">
        <v>867.59812517358932</v>
      </c>
      <c r="L160" s="579">
        <v>1378.725978439254</v>
      </c>
      <c r="M160" s="579">
        <v>465.97061060589618</v>
      </c>
      <c r="N160" s="579">
        <v>1108.0025613282164</v>
      </c>
      <c r="O160" s="579">
        <v>315.57963207711464</v>
      </c>
      <c r="P160" s="579">
        <v>195.34926636436157</v>
      </c>
      <c r="Q160" s="579">
        <v>276.64787411425038</v>
      </c>
      <c r="R160" s="430">
        <v>492.18991180652108</v>
      </c>
    </row>
    <row r="161" spans="4:18" ht="14.4" x14ac:dyDescent="0.3">
      <c r="D161" s="438">
        <f t="shared" si="6"/>
        <v>11796.648149987137</v>
      </c>
      <c r="E161" s="424">
        <v>2055</v>
      </c>
      <c r="F161" s="430">
        <v>603.67653171764925</v>
      </c>
      <c r="G161" s="430">
        <v>128.80396282216594</v>
      </c>
      <c r="H161" s="430">
        <v>2486.3564660460524</v>
      </c>
      <c r="I161" s="430">
        <v>1154.0772667872955</v>
      </c>
      <c r="J161" s="430">
        <v>2161.1007399217815</v>
      </c>
      <c r="K161" s="430">
        <v>881.20041454493298</v>
      </c>
      <c r="L161" s="579">
        <v>1435.4999462802677</v>
      </c>
      <c r="M161" s="579">
        <v>465.39564249802629</v>
      </c>
      <c r="N161" s="579">
        <v>1173.2217120135872</v>
      </c>
      <c r="O161" s="579">
        <v>321.09569856251733</v>
      </c>
      <c r="P161" s="579">
        <v>206.60338731052173</v>
      </c>
      <c r="Q161" s="579">
        <v>279.9272257274788</v>
      </c>
      <c r="R161" s="430">
        <v>499.68915575485994</v>
      </c>
    </row>
    <row r="162" spans="4:18" ht="14.4" x14ac:dyDescent="0.3">
      <c r="D162" s="438">
        <f t="shared" si="6"/>
        <v>12167.417622949815</v>
      </c>
      <c r="E162" s="424">
        <v>2056</v>
      </c>
      <c r="F162" s="430">
        <v>619.99211365597182</v>
      </c>
      <c r="G162" s="430">
        <v>133.89128456500401</v>
      </c>
      <c r="H162" s="430">
        <v>2545.6007267704717</v>
      </c>
      <c r="I162" s="430">
        <v>1224.6158102645616</v>
      </c>
      <c r="J162" s="430">
        <v>2212.4670259084251</v>
      </c>
      <c r="K162" s="430">
        <v>894.06516046599984</v>
      </c>
      <c r="L162" s="579">
        <v>1496.4531169330401</v>
      </c>
      <c r="M162" s="579">
        <v>464.71592533409859</v>
      </c>
      <c r="N162" s="579">
        <v>1241.6673673239336</v>
      </c>
      <c r="O162" s="579">
        <v>326.6927708139404</v>
      </c>
      <c r="P162" s="579">
        <v>217.66168604487549</v>
      </c>
      <c r="Q162" s="579">
        <v>283.20376919631747</v>
      </c>
      <c r="R162" s="430">
        <v>506.39086567317599</v>
      </c>
    </row>
    <row r="163" spans="4:18" ht="14.4" x14ac:dyDescent="0.3">
      <c r="D163" s="438">
        <f t="shared" si="6"/>
        <v>12373.607318150234</v>
      </c>
      <c r="E163" s="424">
        <v>2057</v>
      </c>
      <c r="F163" s="430">
        <v>636.30769559428609</v>
      </c>
      <c r="G163" s="430">
        <v>139.10791362156422</v>
      </c>
      <c r="H163" s="430">
        <v>2608.6815183118933</v>
      </c>
      <c r="I163" s="430">
        <v>1298.6586169818381</v>
      </c>
      <c r="J163" s="430">
        <v>2261.8216723955593</v>
      </c>
      <c r="K163" s="430">
        <v>906.20881146975194</v>
      </c>
      <c r="L163" s="579">
        <v>1561.6853637242498</v>
      </c>
      <c r="M163" s="579">
        <v>463.96225037747473</v>
      </c>
      <c r="N163" s="579">
        <v>1313.4704847981195</v>
      </c>
      <c r="O163" s="579">
        <v>332.38136235544465</v>
      </c>
      <c r="P163" s="579">
        <v>52.585821300788901</v>
      </c>
      <c r="Q163" s="579">
        <v>286.47946669869452</v>
      </c>
      <c r="R163" s="430">
        <v>512.25634052056944</v>
      </c>
    </row>
    <row r="164" spans="4:18" ht="14.4" x14ac:dyDescent="0.3">
      <c r="D164" s="438">
        <f t="shared" si="6"/>
        <v>12762.38000665893</v>
      </c>
      <c r="E164" s="424">
        <v>2058</v>
      </c>
      <c r="F164" s="430">
        <v>652.62327753260024</v>
      </c>
      <c r="G164" s="430">
        <v>144.45694185756065</v>
      </c>
      <c r="H164" s="430">
        <v>2675.6241398617085</v>
      </c>
      <c r="I164" s="430">
        <v>1376.3005569178649</v>
      </c>
      <c r="J164" s="430">
        <v>2309.0257687171415</v>
      </c>
      <c r="K164" s="430">
        <v>917.64920018536122</v>
      </c>
      <c r="L164" s="579">
        <v>1631.3572462178774</v>
      </c>
      <c r="M164" s="579">
        <v>463.16540889151474</v>
      </c>
      <c r="N164" s="579">
        <v>1388.7636835900455</v>
      </c>
      <c r="O164" s="579">
        <v>338.17198671109924</v>
      </c>
      <c r="P164" s="579">
        <v>58.238027107540326</v>
      </c>
      <c r="Q164" s="579">
        <v>289.75628041253833</v>
      </c>
      <c r="R164" s="430">
        <v>517.24748865607728</v>
      </c>
    </row>
    <row r="165" spans="4:18" ht="14.4" x14ac:dyDescent="0.3">
      <c r="D165" s="438">
        <f t="shared" si="6"/>
        <v>13163.353595163127</v>
      </c>
      <c r="E165" s="424">
        <v>2059</v>
      </c>
      <c r="F165" s="430">
        <v>668.93885947091462</v>
      </c>
      <c r="G165" s="430">
        <v>149.94156495379698</v>
      </c>
      <c r="H165" s="430">
        <v>2746.5809563990638</v>
      </c>
      <c r="I165" s="430">
        <v>1457.6563007015079</v>
      </c>
      <c r="J165" s="430">
        <v>2353.9499667588311</v>
      </c>
      <c r="K165" s="430">
        <v>928.40543530526213</v>
      </c>
      <c r="L165" s="579">
        <v>1705.6144074594399</v>
      </c>
      <c r="M165" s="579">
        <v>462.35619213957938</v>
      </c>
      <c r="N165" s="579">
        <v>1467.6811660221576</v>
      </c>
      <c r="O165" s="579">
        <v>344.07515740496535</v>
      </c>
      <c r="P165" s="579">
        <v>63.792321808391023</v>
      </c>
      <c r="Q165" s="579">
        <v>293.03617251577697</v>
      </c>
      <c r="R165" s="430">
        <v>521.32509422344174</v>
      </c>
    </row>
    <row r="166" spans="4:18" ht="14.4" x14ac:dyDescent="0.3">
      <c r="D166" s="438">
        <f t="shared" si="6"/>
        <v>13590.469367325772</v>
      </c>
      <c r="E166" s="424">
        <v>2060</v>
      </c>
      <c r="F166" s="430">
        <v>685.25444140922889</v>
      </c>
      <c r="G166" s="430">
        <v>155.56450282041536</v>
      </c>
      <c r="H166" s="430">
        <v>2821.1729004724111</v>
      </c>
      <c r="I166" s="430">
        <v>1542.743833350386</v>
      </c>
      <c r="J166" s="430">
        <v>2396.437928561159</v>
      </c>
      <c r="K166" s="430">
        <v>938.49754388787642</v>
      </c>
      <c r="L166" s="579">
        <v>1784.671715720224</v>
      </c>
      <c r="M166" s="579">
        <v>461.56539138503086</v>
      </c>
      <c r="N166" s="579">
        <v>1550.3586415707132</v>
      </c>
      <c r="O166" s="579">
        <v>350.10138796111039</v>
      </c>
      <c r="P166" s="579">
        <v>83.15338647789784</v>
      </c>
      <c r="Q166" s="579">
        <v>296.3211051863388</v>
      </c>
      <c r="R166" s="430">
        <v>524.62658852298114</v>
      </c>
    </row>
    <row r="168" spans="4:18" ht="14.4" x14ac:dyDescent="0.25">
      <c r="E168" s="605" t="s">
        <v>591</v>
      </c>
      <c r="F168" s="604">
        <f>SUM(F126:F156)</f>
        <v>8598.3116814919667</v>
      </c>
      <c r="G168" s="604">
        <f t="shared" ref="G168:R168" si="7">SUM(G126:G156)</f>
        <v>1604.8467133623901</v>
      </c>
      <c r="H168" s="604">
        <f t="shared" si="7"/>
        <v>18965.037956083841</v>
      </c>
      <c r="I168" s="604">
        <f t="shared" si="7"/>
        <v>10984.168391443272</v>
      </c>
      <c r="J168" s="604">
        <f t="shared" si="7"/>
        <v>29328.866159313766</v>
      </c>
      <c r="K168" s="604">
        <f t="shared" si="7"/>
        <v>13991.277779770278</v>
      </c>
      <c r="L168" s="604">
        <f t="shared" si="7"/>
        <v>16458.008912137371</v>
      </c>
      <c r="M168" s="604">
        <f t="shared" si="7"/>
        <v>12003.737254910448</v>
      </c>
      <c r="N168" s="604">
        <f t="shared" si="7"/>
        <v>11433.727575051602</v>
      </c>
      <c r="O168" s="604">
        <f t="shared" si="7"/>
        <v>6417.3685521705702</v>
      </c>
      <c r="P168" s="604">
        <f t="shared" si="7"/>
        <v>4966.4682124484298</v>
      </c>
      <c r="Q168" s="604">
        <f t="shared" si="7"/>
        <v>6236.2588346230496</v>
      </c>
      <c r="R168" s="604">
        <f t="shared" si="7"/>
        <v>7685.020860862498</v>
      </c>
    </row>
    <row r="169" spans="4:18" ht="22.8" x14ac:dyDescent="0.25">
      <c r="F169" s="631" t="str">
        <f>F116</f>
        <v>Bicycle Infrastructure</v>
      </c>
      <c r="G169" s="631" t="str">
        <f t="shared" ref="G169:R169" si="8">G116</f>
        <v>Electric Bicycles</v>
      </c>
      <c r="H169" s="631" t="str">
        <f t="shared" si="8"/>
        <v>Electric Cars</v>
      </c>
      <c r="I169" s="631" t="str">
        <f t="shared" si="8"/>
        <v>High Speed Rail</v>
      </c>
      <c r="J169" s="631" t="str">
        <f t="shared" si="8"/>
        <v>Public Transit</v>
      </c>
      <c r="K169" s="631" t="str">
        <f t="shared" si="8"/>
        <v>Telepresence</v>
      </c>
      <c r="L169" s="631" t="str">
        <f t="shared" si="8"/>
        <v>Carpooling</v>
      </c>
      <c r="M169" s="631" t="str">
        <f t="shared" si="8"/>
        <v>Efficient Trucks</v>
      </c>
      <c r="N169" s="631" t="str">
        <f t="shared" si="8"/>
        <v>Efficient Ocean Shipping</v>
      </c>
      <c r="O169" s="631" t="str">
        <f t="shared" si="8"/>
        <v>Walkable Cities</v>
      </c>
      <c r="P169" s="631" t="str">
        <f t="shared" si="8"/>
        <v>Hybrid Cars</v>
      </c>
      <c r="Q169" s="631" t="str">
        <f t="shared" si="8"/>
        <v>Efficient Aviation</v>
      </c>
      <c r="R169" s="631" t="str">
        <f t="shared" si="8"/>
        <v>Electric Trains</v>
      </c>
    </row>
  </sheetData>
  <mergeCells count="2">
    <mergeCell ref="A1:E3"/>
    <mergeCell ref="R1:T2"/>
  </mergeCells>
  <conditionalFormatting sqref="F65:R111 F120:R166 F10:R56">
    <cfRule type="dataBar" priority="1">
      <dataBar>
        <cfvo type="min"/>
        <cfvo type="max"/>
        <color rgb="FF638EC6"/>
      </dataBar>
      <extLst>
        <ext xmlns:x14="http://schemas.microsoft.com/office/spreadsheetml/2009/9/main" uri="{B025F937-C7B1-47D3-B67F-A62EFF666E3E}">
          <x14:id>{6C3AE5E3-2A13-4A82-B81E-1EDE44E80342}</x14:id>
        </ext>
      </extLst>
    </cfRule>
  </conditionalFormatting>
  <hyperlinks>
    <hyperlink ref="E116" location="'Emssions Redux'!A1" display="Back to Top" xr:uid="{822108D5-748B-4216-87D8-AD16045C67B5}"/>
    <hyperlink ref="E61" location="'Emssions Redux'!A1" display="Back to Top" xr:uid="{0481AFE8-9C50-48B5-B03E-2E2ACA93B388}"/>
    <hyperlink ref="H1" location="'Emssions Redux'!B6" display="PDS1" xr:uid="{36175B13-A7CF-4C3D-B383-E5A031D8B233}"/>
    <hyperlink ref="I1" location="'Emssions Redux'!B71" display="PDS2" xr:uid="{03EB42E2-C52E-418F-BB00-E0AD024E413C}"/>
    <hyperlink ref="J1" location="'Emssions Redux'!B126" display="PDS3" xr:uid="{4A9F478C-EF31-48A1-9CFE-F636D5394336}"/>
    <hyperlink ref="R1:T2" location="'Table of Contents'!A1" display="Back to Table of Contents" xr:uid="{B4A6A6D9-E775-47B2-90B3-82E9B9ADC32E}"/>
  </hyperlink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C3AE5E3-2A13-4A82-B81E-1EDE44E80342}">
            <x14:dataBar minLength="0" maxLength="100" border="1" negativeBarBorderColorSameAsPositive="0">
              <x14:cfvo type="autoMin"/>
              <x14:cfvo type="autoMax"/>
              <x14:borderColor rgb="FF638EC6"/>
              <x14:negativeFillColor rgb="FFFF0000"/>
              <x14:negativeBorderColor rgb="FFFF0000"/>
              <x14:axisColor rgb="FF000000"/>
            </x14:dataBar>
          </x14:cfRule>
          <xm:sqref>F65:R111 F120:R166 F10:R56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457D-5456-4F5A-B2CC-C2232BB04D77}">
  <sheetPr codeName="Sheet21">
    <tabColor theme="6" tint="0.59999389629810485"/>
  </sheetPr>
  <dimension ref="A1:V66"/>
  <sheetViews>
    <sheetView zoomScale="70" zoomScaleNormal="70" workbookViewId="0">
      <pane xSplit="5" ySplit="2" topLeftCell="F3" activePane="bottomRight" state="frozen"/>
      <selection pane="topRight" activeCell="F1" sqref="F1"/>
      <selection pane="bottomLeft" activeCell="A3" sqref="A3"/>
      <selection pane="bottomRight" activeCell="Q1" sqref="Q1:S2"/>
    </sheetView>
  </sheetViews>
  <sheetFormatPr defaultColWidth="8.88671875" defaultRowHeight="13.2" x14ac:dyDescent="0.25"/>
  <cols>
    <col min="1" max="3" width="8.88671875" style="424"/>
    <col min="4" max="12" width="16.21875" style="424" customWidth="1"/>
    <col min="13" max="13" width="22.109375" style="424" customWidth="1"/>
    <col min="14" max="14" width="16.21875" style="424" customWidth="1"/>
    <col min="15" max="15" width="25" style="424" customWidth="1"/>
    <col min="16" max="19" width="16.21875" style="424" customWidth="1"/>
    <col min="20" max="20" width="15.109375" style="424" customWidth="1"/>
    <col min="21" max="16384" width="8.88671875" style="424"/>
  </cols>
  <sheetData>
    <row r="1" spans="1:22" ht="14.4" x14ac:dyDescent="0.25">
      <c r="A1" s="853" t="s">
        <v>620</v>
      </c>
      <c r="B1" s="853"/>
      <c r="C1" s="853"/>
      <c r="D1" s="853"/>
      <c r="E1" s="853"/>
      <c r="G1" s="425" t="s">
        <v>470</v>
      </c>
      <c r="H1" s="602" t="s">
        <v>128</v>
      </c>
      <c r="I1" s="602" t="s">
        <v>129</v>
      </c>
      <c r="J1" s="602" t="s">
        <v>130</v>
      </c>
      <c r="Q1" s="815" t="s">
        <v>467</v>
      </c>
      <c r="R1" s="816"/>
      <c r="S1" s="817"/>
    </row>
    <row r="2" spans="1:22" ht="13.8" thickBot="1" x14ac:dyDescent="0.3">
      <c r="A2" s="853"/>
      <c r="B2" s="853"/>
      <c r="C2" s="853"/>
      <c r="D2" s="853"/>
      <c r="E2" s="853"/>
      <c r="Q2" s="818"/>
      <c r="R2" s="819"/>
      <c r="S2" s="820"/>
    </row>
    <row r="3" spans="1:22" ht="14.4" x14ac:dyDescent="0.3">
      <c r="A3" s="853"/>
      <c r="B3" s="853"/>
      <c r="C3" s="853"/>
      <c r="D3" s="853"/>
      <c r="E3" s="853"/>
      <c r="T3" s="617"/>
      <c r="U3" s="617"/>
      <c r="V3" s="617"/>
    </row>
    <row r="6" spans="1:22" ht="31.2" x14ac:dyDescent="0.25">
      <c r="B6" s="436" t="s">
        <v>128</v>
      </c>
      <c r="D6" s="431" t="s">
        <v>471</v>
      </c>
      <c r="F6" s="854" t="s">
        <v>622</v>
      </c>
      <c r="G6" s="854"/>
      <c r="H6" s="854"/>
      <c r="I6" s="854"/>
      <c r="J6" s="854"/>
      <c r="K6" s="758"/>
      <c r="L6" s="758"/>
      <c r="M6" s="855" t="s">
        <v>623</v>
      </c>
      <c r="N6" s="855"/>
      <c r="O6" s="855"/>
      <c r="P6" s="855"/>
      <c r="Q6" s="855"/>
    </row>
    <row r="7" spans="1:22" ht="78" x14ac:dyDescent="0.25">
      <c r="F7" s="624" t="s">
        <v>624</v>
      </c>
      <c r="G7" s="624" t="s">
        <v>625</v>
      </c>
      <c r="H7" s="624" t="s">
        <v>626</v>
      </c>
      <c r="I7" s="624" t="s">
        <v>627</v>
      </c>
      <c r="J7" s="624" t="s">
        <v>628</v>
      </c>
      <c r="K7" s="758"/>
      <c r="L7" s="758"/>
      <c r="M7" s="625" t="s">
        <v>629</v>
      </c>
      <c r="N7" s="625" t="s">
        <v>630</v>
      </c>
      <c r="O7" s="625" t="s">
        <v>631</v>
      </c>
      <c r="P7" s="625" t="s">
        <v>43</v>
      </c>
      <c r="Q7" s="636" t="s">
        <v>632</v>
      </c>
    </row>
    <row r="8" spans="1:22" x14ac:dyDescent="0.25">
      <c r="F8" s="634" t="s">
        <v>647</v>
      </c>
      <c r="G8" s="635" t="s">
        <v>646</v>
      </c>
      <c r="Q8" s="637" t="s">
        <v>648</v>
      </c>
    </row>
    <row r="10" spans="1:22" ht="39.6" customHeight="1" x14ac:dyDescent="0.25">
      <c r="D10" s="580" t="s">
        <v>606</v>
      </c>
      <c r="F10" s="627">
        <v>129.55290625109308</v>
      </c>
      <c r="G10" s="630">
        <v>-52361.682808820202</v>
      </c>
      <c r="H10" s="630">
        <v>2746.2562985591439</v>
      </c>
      <c r="I10" s="630">
        <v>5911.4655219521301</v>
      </c>
      <c r="J10" s="627">
        <v>16142.152163537667</v>
      </c>
      <c r="K10" s="759" t="s">
        <v>746</v>
      </c>
      <c r="L10" s="759" t="s">
        <v>746</v>
      </c>
      <c r="M10" s="630">
        <v>950796.75344097416</v>
      </c>
      <c r="N10" s="628" t="s">
        <v>633</v>
      </c>
      <c r="O10" s="630">
        <v>2592.4146243059631</v>
      </c>
      <c r="P10" s="628" t="s">
        <v>292</v>
      </c>
      <c r="Q10" s="629">
        <v>5.15341697048428E-2</v>
      </c>
    </row>
    <row r="11" spans="1:22" ht="39.6" customHeight="1" x14ac:dyDescent="0.25">
      <c r="D11" s="580" t="s">
        <v>612</v>
      </c>
      <c r="F11" s="627">
        <v>146.11317811590541</v>
      </c>
      <c r="G11" s="630">
        <v>-402.05521708679839</v>
      </c>
      <c r="H11" s="630">
        <v>815.13133728839114</v>
      </c>
      <c r="I11" s="630">
        <v>1065.6064981209506</v>
      </c>
      <c r="J11" s="627">
        <v>498.23346747904071</v>
      </c>
      <c r="K11" s="759" t="s">
        <v>746</v>
      </c>
      <c r="L11" s="759" t="s">
        <v>746</v>
      </c>
      <c r="M11" s="630">
        <v>202016.6895827346</v>
      </c>
      <c r="N11" s="628" t="s">
        <v>747</v>
      </c>
      <c r="O11" s="630">
        <v>1443.6375745035812</v>
      </c>
      <c r="P11" s="628" t="s">
        <v>634</v>
      </c>
      <c r="Q11" s="629">
        <v>2.8697825980160307E-2</v>
      </c>
    </row>
    <row r="12" spans="1:22" ht="39.6" customHeight="1" x14ac:dyDescent="0.25">
      <c r="D12" s="580" t="s">
        <v>380</v>
      </c>
      <c r="F12" s="627">
        <v>15902.302115076211</v>
      </c>
      <c r="G12" s="630">
        <v>-572.6808073181445</v>
      </c>
      <c r="H12" s="630">
        <v>7143.7722566863176</v>
      </c>
      <c r="I12" s="630">
        <v>11593.825856685882</v>
      </c>
      <c r="J12" s="627">
        <v>3314.4758000930788</v>
      </c>
      <c r="K12" s="759" t="s">
        <v>746</v>
      </c>
      <c r="L12" s="759" t="s">
        <v>746</v>
      </c>
      <c r="M12" s="630">
        <v>463309268.10415375</v>
      </c>
      <c r="N12" s="628" t="s">
        <v>635</v>
      </c>
      <c r="O12" s="630">
        <v>11767.049576987356</v>
      </c>
      <c r="P12" s="628" t="s">
        <v>292</v>
      </c>
      <c r="Q12" s="629">
        <v>0.20891797903380777</v>
      </c>
    </row>
    <row r="13" spans="1:22" ht="39.6" customHeight="1" x14ac:dyDescent="0.25">
      <c r="D13" s="580" t="s">
        <v>6</v>
      </c>
      <c r="F13" s="627">
        <v>1919.8387625384842</v>
      </c>
      <c r="G13" s="630">
        <v>642.20074980764082</v>
      </c>
      <c r="H13" s="630">
        <v>-279.68665948385461</v>
      </c>
      <c r="I13" s="630">
        <v>-693.69963331366762</v>
      </c>
      <c r="J13" s="627">
        <v>-236.12402165303024</v>
      </c>
      <c r="K13" s="759" t="s">
        <v>746</v>
      </c>
      <c r="L13" s="759" t="s">
        <v>746</v>
      </c>
      <c r="M13" s="630">
        <v>92703.990695692017</v>
      </c>
      <c r="N13" s="628" t="s">
        <v>636</v>
      </c>
      <c r="O13" s="630">
        <v>1810.6678761509797</v>
      </c>
      <c r="P13" s="628" t="s">
        <v>292</v>
      </c>
      <c r="Q13" s="629">
        <v>2.7694870275055364E-2</v>
      </c>
    </row>
    <row r="14" spans="1:22" ht="39.6" customHeight="1" x14ac:dyDescent="0.25">
      <c r="D14" s="580" t="s">
        <v>600</v>
      </c>
      <c r="F14" s="627">
        <v>0</v>
      </c>
      <c r="G14" s="630">
        <v>0</v>
      </c>
      <c r="H14" s="630">
        <v>2807.5859669029805</v>
      </c>
      <c r="I14" s="630">
        <v>2807.5859669029819</v>
      </c>
      <c r="J14" s="627">
        <v>964.61111551234615</v>
      </c>
      <c r="K14" s="759" t="s">
        <v>746</v>
      </c>
      <c r="L14" s="759" t="s">
        <v>746</v>
      </c>
      <c r="M14" s="630">
        <v>2355343661587.4263</v>
      </c>
      <c r="N14" s="628" t="s">
        <v>645</v>
      </c>
      <c r="O14" s="630">
        <v>16534112595117.641</v>
      </c>
      <c r="P14" s="628" t="s">
        <v>44</v>
      </c>
      <c r="Q14" s="629">
        <v>0.28855558520912317</v>
      </c>
    </row>
    <row r="15" spans="1:22" ht="39.6" customHeight="1" x14ac:dyDescent="0.25">
      <c r="D15" s="580" t="s">
        <v>5</v>
      </c>
      <c r="F15" s="627">
        <v>1017.9484227987374</v>
      </c>
      <c r="G15" s="630">
        <v>521.51732045964275</v>
      </c>
      <c r="H15" s="630">
        <v>1636.2214976663749</v>
      </c>
      <c r="I15" s="630">
        <v>1729.7824348178985</v>
      </c>
      <c r="J15" s="627">
        <v>152.4074968626752</v>
      </c>
      <c r="K15" s="759" t="s">
        <v>746</v>
      </c>
      <c r="L15" s="759" t="s">
        <v>746</v>
      </c>
      <c r="M15" s="630">
        <v>1181124611.286288</v>
      </c>
      <c r="N15" s="628" t="s">
        <v>758</v>
      </c>
      <c r="O15" s="630">
        <v>1907518083338.991</v>
      </c>
      <c r="P15" s="628" t="s">
        <v>759</v>
      </c>
      <c r="Q15" s="629">
        <v>0.20628603741756688</v>
      </c>
    </row>
    <row r="16" spans="1:22" ht="39.6" customHeight="1" x14ac:dyDescent="0.25">
      <c r="D16" s="580" t="s">
        <v>267</v>
      </c>
      <c r="F16" s="627">
        <v>0</v>
      </c>
      <c r="G16" s="630">
        <v>0</v>
      </c>
      <c r="H16" s="630">
        <v>7259.2453726652266</v>
      </c>
      <c r="I16" s="630">
        <v>7399.803319777342</v>
      </c>
      <c r="J16" s="627">
        <v>2903.863092330259</v>
      </c>
      <c r="K16" s="759" t="s">
        <v>746</v>
      </c>
      <c r="L16" s="759" t="s">
        <v>746</v>
      </c>
      <c r="M16" s="630">
        <v>516568538570.41418</v>
      </c>
      <c r="N16" s="628" t="s">
        <v>637</v>
      </c>
      <c r="O16" s="630">
        <v>13947350541401.184</v>
      </c>
      <c r="P16" s="628" t="s">
        <v>638</v>
      </c>
      <c r="Q16" s="629">
        <v>0.375</v>
      </c>
    </row>
    <row r="17" spans="2:17" ht="39.6" customHeight="1" x14ac:dyDescent="0.25">
      <c r="D17" s="580" t="s">
        <v>610</v>
      </c>
      <c r="F17" s="627">
        <v>667.40447979936107</v>
      </c>
      <c r="G17" s="630">
        <v>502.56621462187206</v>
      </c>
      <c r="H17" s="630">
        <v>4273.9412656987597</v>
      </c>
      <c r="I17" s="630">
        <v>5212.6703532881238</v>
      </c>
      <c r="J17" s="627">
        <v>659.22326408448259</v>
      </c>
      <c r="K17" s="759" t="s">
        <v>746</v>
      </c>
      <c r="L17" s="759" t="s">
        <v>746</v>
      </c>
      <c r="M17" s="630">
        <v>18236314.527942404</v>
      </c>
      <c r="N17" s="628" t="s">
        <v>639</v>
      </c>
      <c r="O17" s="630">
        <v>15880868.075856442</v>
      </c>
      <c r="P17" s="628" t="s">
        <v>640</v>
      </c>
      <c r="Q17" s="629">
        <v>8.5751815239481888E-2</v>
      </c>
    </row>
    <row r="18" spans="2:17" ht="39.6" customHeight="1" x14ac:dyDescent="0.25">
      <c r="D18" s="580" t="s">
        <v>611</v>
      </c>
      <c r="F18" s="627">
        <v>800.39231068805714</v>
      </c>
      <c r="G18" s="630">
        <v>723.82840597906113</v>
      </c>
      <c r="H18" s="630">
        <v>1075.2622348694017</v>
      </c>
      <c r="I18" s="630">
        <v>2481.4212287014107</v>
      </c>
      <c r="J18" s="627">
        <v>33.356220043429509</v>
      </c>
      <c r="K18" s="759" t="s">
        <v>746</v>
      </c>
      <c r="L18" s="759" t="s">
        <v>746</v>
      </c>
      <c r="M18" s="630">
        <v>78279.785574086738</v>
      </c>
      <c r="N18" s="628" t="s">
        <v>641</v>
      </c>
      <c r="O18" s="630">
        <v>68364.02010598882</v>
      </c>
      <c r="P18" s="628" t="s">
        <v>125</v>
      </c>
      <c r="Q18" s="629">
        <v>0.48565149255566781</v>
      </c>
    </row>
    <row r="19" spans="2:17" ht="39.6" customHeight="1" x14ac:dyDescent="0.25">
      <c r="D19" s="580" t="s">
        <v>1</v>
      </c>
      <c r="F19" s="627">
        <v>0</v>
      </c>
      <c r="G19" s="630">
        <v>0</v>
      </c>
      <c r="H19" s="630">
        <v>3040.6507530307031</v>
      </c>
      <c r="I19" s="630">
        <v>3184.6495997114657</v>
      </c>
      <c r="J19" s="627">
        <v>1432.5850169045214</v>
      </c>
      <c r="K19" s="759" t="s">
        <v>746</v>
      </c>
      <c r="L19" s="759" t="s">
        <v>746</v>
      </c>
      <c r="M19" s="630">
        <v>539154391473.80316</v>
      </c>
      <c r="N19" s="628" t="s">
        <v>642</v>
      </c>
      <c r="O19" s="630">
        <v>3409.2494848312431</v>
      </c>
      <c r="P19" s="628" t="s">
        <v>28</v>
      </c>
      <c r="Q19" s="629">
        <v>4.7668997251196353E-2</v>
      </c>
    </row>
    <row r="20" spans="2:17" ht="39.6" customHeight="1" x14ac:dyDescent="0.25">
      <c r="D20" s="580" t="s">
        <v>377</v>
      </c>
      <c r="F20" s="627">
        <v>4448.5907124532159</v>
      </c>
      <c r="G20" s="630">
        <v>-4.5524467808413087</v>
      </c>
      <c r="H20" s="630">
        <v>916.88541992628984</v>
      </c>
      <c r="I20" s="630">
        <v>1551.7945524130876</v>
      </c>
      <c r="J20" s="627">
        <v>470.01389100211657</v>
      </c>
      <c r="K20" s="759" t="s">
        <v>746</v>
      </c>
      <c r="L20" s="759" t="s">
        <v>746</v>
      </c>
      <c r="M20" s="630">
        <v>133982069.44246696</v>
      </c>
      <c r="N20" s="628" t="s">
        <v>405</v>
      </c>
      <c r="O20" s="630">
        <v>3026913618108.3218</v>
      </c>
      <c r="P20" s="628" t="s">
        <v>638</v>
      </c>
      <c r="Q20" s="629">
        <v>7.792023300072963E-2</v>
      </c>
    </row>
    <row r="21" spans="2:17" ht="39.6" customHeight="1" x14ac:dyDescent="0.25">
      <c r="D21" s="580" t="s">
        <v>609</v>
      </c>
      <c r="F21" s="627">
        <v>4501.1485790300685</v>
      </c>
      <c r="G21" s="630">
        <v>3472.2206037694023</v>
      </c>
      <c r="H21" s="630">
        <v>996.31326967155178</v>
      </c>
      <c r="I21" s="630">
        <v>1594.8903986983307</v>
      </c>
      <c r="J21" s="627">
        <v>-624.64540999179485</v>
      </c>
      <c r="K21" s="759" t="s">
        <v>746</v>
      </c>
      <c r="L21" s="759" t="s">
        <v>746</v>
      </c>
      <c r="M21" s="630">
        <v>48905.0182349807</v>
      </c>
      <c r="N21" s="628" t="s">
        <v>643</v>
      </c>
      <c r="O21" s="630">
        <v>17266.837774822601</v>
      </c>
      <c r="P21" s="628" t="s">
        <v>293</v>
      </c>
      <c r="Q21" s="629">
        <v>0.73281202243613075</v>
      </c>
    </row>
    <row r="22" spans="2:17" ht="39.6" customHeight="1" x14ac:dyDescent="0.25">
      <c r="D22" s="431" t="s">
        <v>604</v>
      </c>
      <c r="F22" s="627">
        <v>2226.8999574723071</v>
      </c>
      <c r="G22" s="630">
        <v>658.59849719315525</v>
      </c>
      <c r="H22" s="630">
        <v>1235.3194829591059</v>
      </c>
      <c r="I22" s="630">
        <v>2158.0011801719102</v>
      </c>
      <c r="J22" s="627">
        <v>142.04860593149573</v>
      </c>
      <c r="K22" s="759" t="s">
        <v>746</v>
      </c>
      <c r="L22" s="759" t="s">
        <v>746</v>
      </c>
      <c r="M22" s="630">
        <v>1432195.2052164874</v>
      </c>
      <c r="N22" s="628" t="s">
        <v>644</v>
      </c>
      <c r="O22" s="630">
        <v>10381764.349652972</v>
      </c>
      <c r="P22" s="628" t="s">
        <v>179</v>
      </c>
      <c r="Q22" s="629">
        <v>5.605834228449573E-2</v>
      </c>
    </row>
    <row r="24" spans="2:17" x14ac:dyDescent="0.25">
      <c r="F24" s="626">
        <f>SUM(F10:F22)</f>
        <v>31760.191424223442</v>
      </c>
      <c r="G24" s="626">
        <f t="shared" ref="G24:J24" si="0">SUM(G10:G22)</f>
        <v>-46820.039488175207</v>
      </c>
      <c r="H24" s="626">
        <f t="shared" si="0"/>
        <v>33666.898496440394</v>
      </c>
      <c r="I24" s="626">
        <f t="shared" si="0"/>
        <v>45997.797277927843</v>
      </c>
      <c r="J24" s="626">
        <f t="shared" si="0"/>
        <v>25852.200702136284</v>
      </c>
    </row>
    <row r="27" spans="2:17" ht="31.2" x14ac:dyDescent="0.25">
      <c r="B27" s="436" t="s">
        <v>129</v>
      </c>
      <c r="D27" s="431" t="s">
        <v>471</v>
      </c>
      <c r="F27" s="854" t="s">
        <v>622</v>
      </c>
      <c r="G27" s="854"/>
      <c r="H27" s="854"/>
      <c r="I27" s="854"/>
      <c r="J27" s="854"/>
      <c r="K27" s="758"/>
      <c r="L27" s="758"/>
      <c r="M27" s="855" t="s">
        <v>623</v>
      </c>
      <c r="N27" s="855"/>
      <c r="O27" s="855"/>
      <c r="P27" s="855"/>
      <c r="Q27" s="855"/>
    </row>
    <row r="28" spans="2:17" ht="78" x14ac:dyDescent="0.25">
      <c r="F28" s="624" t="s">
        <v>624</v>
      </c>
      <c r="G28" s="624" t="s">
        <v>625</v>
      </c>
      <c r="H28" s="624" t="s">
        <v>626</v>
      </c>
      <c r="I28" s="624" t="s">
        <v>627</v>
      </c>
      <c r="J28" s="624" t="s">
        <v>628</v>
      </c>
      <c r="K28" s="758"/>
      <c r="L28" s="758"/>
      <c r="M28" s="625" t="s">
        <v>629</v>
      </c>
      <c r="N28" s="625" t="s">
        <v>630</v>
      </c>
      <c r="O28" s="625" t="s">
        <v>631</v>
      </c>
      <c r="P28" s="625" t="s">
        <v>43</v>
      </c>
      <c r="Q28" s="625" t="s">
        <v>632</v>
      </c>
    </row>
    <row r="29" spans="2:17" x14ac:dyDescent="0.25">
      <c r="F29" s="634" t="s">
        <v>647</v>
      </c>
      <c r="G29" s="635" t="s">
        <v>646</v>
      </c>
      <c r="Q29" s="637" t="s">
        <v>648</v>
      </c>
    </row>
    <row r="31" spans="2:17" ht="39.6" customHeight="1" x14ac:dyDescent="0.25">
      <c r="D31" s="580" t="s">
        <v>606</v>
      </c>
      <c r="F31" s="627">
        <v>167.34185877570684</v>
      </c>
      <c r="G31" s="630">
        <v>-67938.286639259808</v>
      </c>
      <c r="H31" s="630">
        <v>4644.2853755835877</v>
      </c>
      <c r="I31" s="630">
        <v>8453.6432414837709</v>
      </c>
      <c r="J31" s="627">
        <v>27238.938581214956</v>
      </c>
      <c r="K31" s="759" t="s">
        <v>746</v>
      </c>
      <c r="L31" s="759" t="s">
        <v>746</v>
      </c>
      <c r="M31" s="630">
        <v>1091737.4701264091</v>
      </c>
      <c r="N31" s="628" t="s">
        <v>633</v>
      </c>
      <c r="O31" s="630">
        <v>2976.6994609686576</v>
      </c>
      <c r="P31" s="628" t="s">
        <v>292</v>
      </c>
      <c r="Q31" s="629">
        <v>5.9173302659076513E-2</v>
      </c>
    </row>
    <row r="32" spans="2:17" ht="39.6" customHeight="1" x14ac:dyDescent="0.25">
      <c r="D32" s="580" t="s">
        <v>612</v>
      </c>
      <c r="F32" s="627">
        <v>162.69082629882985</v>
      </c>
      <c r="G32" s="630">
        <v>-446.00857868097734</v>
      </c>
      <c r="H32" s="630">
        <v>914.92760260580098</v>
      </c>
      <c r="I32" s="630">
        <v>1230.2734968810873</v>
      </c>
      <c r="J32" s="627">
        <v>542.98098988724541</v>
      </c>
      <c r="K32" s="759" t="s">
        <v>746</v>
      </c>
      <c r="L32" s="759" t="s">
        <v>746</v>
      </c>
      <c r="M32" s="630">
        <v>232764.31173940585</v>
      </c>
      <c r="N32" s="628" t="s">
        <v>747</v>
      </c>
      <c r="O32" s="630">
        <v>1663.364087019422</v>
      </c>
      <c r="P32" s="628" t="s">
        <v>634</v>
      </c>
      <c r="Q32" s="629">
        <v>3.3065731977325437E-2</v>
      </c>
    </row>
    <row r="33" spans="2:17" ht="39.6" customHeight="1" x14ac:dyDescent="0.25">
      <c r="D33" s="580" t="s">
        <v>380</v>
      </c>
      <c r="F33" s="627">
        <v>22784.50734541109</v>
      </c>
      <c r="G33" s="630">
        <v>-6.0153454499023438</v>
      </c>
      <c r="H33" s="630">
        <v>9343.3858173375793</v>
      </c>
      <c r="I33" s="630">
        <v>15537.877155690087</v>
      </c>
      <c r="J33" s="627">
        <v>4095.920801496969</v>
      </c>
      <c r="K33" s="759" t="s">
        <v>746</v>
      </c>
      <c r="L33" s="759" t="s">
        <v>746</v>
      </c>
      <c r="M33" s="630">
        <v>677185330.89517081</v>
      </c>
      <c r="N33" s="628" t="s">
        <v>635</v>
      </c>
      <c r="O33" s="630">
        <v>16581.302258632579</v>
      </c>
      <c r="P33" s="628" t="s">
        <v>292</v>
      </c>
      <c r="Q33" s="629">
        <v>0.33454293359465559</v>
      </c>
    </row>
    <row r="34" spans="2:17" ht="39.6" customHeight="1" x14ac:dyDescent="0.25">
      <c r="D34" s="580" t="s">
        <v>6</v>
      </c>
      <c r="F34" s="627">
        <v>3016.1388824424862</v>
      </c>
      <c r="G34" s="630">
        <v>1738.500869711643</v>
      </c>
      <c r="H34" s="630">
        <v>-804.81856310770388</v>
      </c>
      <c r="I34" s="630">
        <v>-1877.9134346942008</v>
      </c>
      <c r="J34" s="627">
        <v>-706.24508824226041</v>
      </c>
      <c r="K34" s="759" t="s">
        <v>746</v>
      </c>
      <c r="L34" s="759" t="s">
        <v>746</v>
      </c>
      <c r="M34" s="630">
        <v>133210.21589661212</v>
      </c>
      <c r="N34" s="628" t="s">
        <v>636</v>
      </c>
      <c r="O34" s="630">
        <v>2601.8239008813325</v>
      </c>
      <c r="P34" s="628" t="s">
        <v>292</v>
      </c>
      <c r="Q34" s="629">
        <v>3.9795909764866577E-2</v>
      </c>
    </row>
    <row r="35" spans="2:17" ht="39.6" customHeight="1" x14ac:dyDescent="0.25">
      <c r="D35" s="580" t="s">
        <v>600</v>
      </c>
      <c r="F35" s="627">
        <v>0</v>
      </c>
      <c r="G35" s="630">
        <v>0</v>
      </c>
      <c r="H35" s="630">
        <v>4594.4626705454712</v>
      </c>
      <c r="I35" s="630">
        <v>4594.4626705454666</v>
      </c>
      <c r="J35" s="627">
        <v>1551.4838598074323</v>
      </c>
      <c r="K35" s="759" t="s">
        <v>746</v>
      </c>
      <c r="L35" s="759" t="s">
        <v>746</v>
      </c>
      <c r="M35" s="630">
        <v>2778654369511.7393</v>
      </c>
      <c r="N35" s="628" t="s">
        <v>645</v>
      </c>
      <c r="O35" s="630">
        <v>19505681891643.313</v>
      </c>
      <c r="P35" s="628" t="s">
        <v>44</v>
      </c>
      <c r="Q35" s="629">
        <v>0.34041581734529647</v>
      </c>
    </row>
    <row r="36" spans="2:17" ht="39.6" customHeight="1" x14ac:dyDescent="0.25">
      <c r="D36" s="580" t="s">
        <v>5</v>
      </c>
      <c r="F36" s="627">
        <v>1329.1606485925693</v>
      </c>
      <c r="G36" s="630">
        <v>832.72954625347461</v>
      </c>
      <c r="H36" s="630">
        <v>2749.6711219518133</v>
      </c>
      <c r="I36" s="630">
        <v>2905.9345272624464</v>
      </c>
      <c r="J36" s="627">
        <v>249.10931800986663</v>
      </c>
      <c r="K36" s="759" t="s">
        <v>746</v>
      </c>
      <c r="L36" s="759" t="s">
        <v>746</v>
      </c>
      <c r="M36" s="630">
        <v>1642529538.815094</v>
      </c>
      <c r="N36" s="628" t="s">
        <v>758</v>
      </c>
      <c r="O36" s="630">
        <v>2652687758572.8438</v>
      </c>
      <c r="P36" s="628" t="s">
        <v>759</v>
      </c>
      <c r="Q36" s="629">
        <v>0.28687143309499752</v>
      </c>
    </row>
    <row r="37" spans="2:17" ht="39.6" customHeight="1" x14ac:dyDescent="0.25">
      <c r="D37" s="580" t="s">
        <v>267</v>
      </c>
      <c r="F37" s="627">
        <v>0</v>
      </c>
      <c r="G37" s="630">
        <v>0</v>
      </c>
      <c r="H37" s="630">
        <v>9036.8062109966668</v>
      </c>
      <c r="I37" s="630">
        <v>9183.591372046003</v>
      </c>
      <c r="J37" s="627">
        <v>3551.2318377876122</v>
      </c>
      <c r="K37" s="759" t="s">
        <v>746</v>
      </c>
      <c r="L37" s="759" t="s">
        <v>746</v>
      </c>
      <c r="M37" s="630">
        <v>617222297410.06384</v>
      </c>
      <c r="N37" s="628" t="s">
        <v>637</v>
      </c>
      <c r="O37" s="630">
        <v>16665002030071.723</v>
      </c>
      <c r="P37" s="628" t="s">
        <v>638</v>
      </c>
      <c r="Q37" s="629">
        <v>0.5</v>
      </c>
    </row>
    <row r="38" spans="2:17" ht="39.6" customHeight="1" x14ac:dyDescent="0.25">
      <c r="D38" s="580" t="s">
        <v>610</v>
      </c>
      <c r="F38" s="627">
        <v>731.40208424038178</v>
      </c>
      <c r="G38" s="630">
        <v>566.56381906289278</v>
      </c>
      <c r="H38" s="630">
        <v>5028.6293873904106</v>
      </c>
      <c r="I38" s="630">
        <v>5959.379658161497</v>
      </c>
      <c r="J38" s="627">
        <v>785.96456547345747</v>
      </c>
      <c r="K38" s="759" t="s">
        <v>746</v>
      </c>
      <c r="L38" s="759" t="s">
        <v>746</v>
      </c>
      <c r="M38" s="630">
        <v>19106252.737349078</v>
      </c>
      <c r="N38" s="628" t="s">
        <v>639</v>
      </c>
      <c r="O38" s="630">
        <v>16638442.96394941</v>
      </c>
      <c r="P38" s="628" t="s">
        <v>640</v>
      </c>
      <c r="Q38" s="629">
        <v>8.9842487205492538E-2</v>
      </c>
    </row>
    <row r="39" spans="2:17" ht="39.6" customHeight="1" x14ac:dyDescent="0.25">
      <c r="D39" s="580" t="s">
        <v>611</v>
      </c>
      <c r="F39" s="627">
        <v>1089.5809409367644</v>
      </c>
      <c r="G39" s="630">
        <v>1013.0170362277684</v>
      </c>
      <c r="H39" s="630">
        <v>1569.9022998702735</v>
      </c>
      <c r="I39" s="630">
        <v>3538.9361094108331</v>
      </c>
      <c r="J39" s="627">
        <v>52.876649910791414</v>
      </c>
      <c r="K39" s="759" t="s">
        <v>746</v>
      </c>
      <c r="L39" s="759" t="s">
        <v>746</v>
      </c>
      <c r="M39" s="630">
        <v>106490.31409784124</v>
      </c>
      <c r="N39" s="628" t="s">
        <v>641</v>
      </c>
      <c r="O39" s="630">
        <v>93001.097546284611</v>
      </c>
      <c r="P39" s="628" t="s">
        <v>125</v>
      </c>
      <c r="Q39" s="629">
        <v>0.66067094595438713</v>
      </c>
    </row>
    <row r="40" spans="2:17" ht="39.6" customHeight="1" x14ac:dyDescent="0.25">
      <c r="D40" s="580" t="s">
        <v>1</v>
      </c>
      <c r="F40" s="627">
        <v>0</v>
      </c>
      <c r="G40" s="630">
        <v>0</v>
      </c>
      <c r="H40" s="630">
        <v>3793.4107185911816</v>
      </c>
      <c r="I40" s="630">
        <v>3940.8986780599917</v>
      </c>
      <c r="J40" s="627">
        <v>1698.1420921664314</v>
      </c>
      <c r="K40" s="759" t="s">
        <v>746</v>
      </c>
      <c r="L40" s="759" t="s">
        <v>746</v>
      </c>
      <c r="M40" s="630">
        <v>584597253159.06726</v>
      </c>
      <c r="N40" s="628" t="s">
        <v>642</v>
      </c>
      <c r="O40" s="630">
        <v>3696.5995560534147</v>
      </c>
      <c r="P40" s="628" t="s">
        <v>28</v>
      </c>
      <c r="Q40" s="629">
        <v>5.1686799355784428E-2</v>
      </c>
    </row>
    <row r="41" spans="2:17" ht="39.6" customHeight="1" x14ac:dyDescent="0.25">
      <c r="D41" s="580" t="s">
        <v>377</v>
      </c>
      <c r="F41" s="627">
        <v>10044.760804049489</v>
      </c>
      <c r="G41" s="630">
        <v>-3.4029433476406248</v>
      </c>
      <c r="H41" s="630">
        <v>2691.6702620585988</v>
      </c>
      <c r="I41" s="630">
        <v>4489.7361991242833</v>
      </c>
      <c r="J41" s="627">
        <v>1252.8652463133858</v>
      </c>
      <c r="K41" s="759" t="s">
        <v>746</v>
      </c>
      <c r="L41" s="759" t="s">
        <v>746</v>
      </c>
      <c r="M41" s="630">
        <v>321976669.79439747</v>
      </c>
      <c r="N41" s="628" t="s">
        <v>405</v>
      </c>
      <c r="O41" s="630">
        <v>7607068874018.2217</v>
      </c>
      <c r="P41" s="628" t="s">
        <v>638</v>
      </c>
      <c r="Q41" s="629">
        <v>0.30603184826563989</v>
      </c>
    </row>
    <row r="42" spans="2:17" ht="39.6" customHeight="1" x14ac:dyDescent="0.25">
      <c r="D42" s="580" t="s">
        <v>609</v>
      </c>
      <c r="F42" s="627">
        <v>4784.3366495601576</v>
      </c>
      <c r="G42" s="630">
        <v>3787.0273549779063</v>
      </c>
      <c r="H42" s="630">
        <v>1410.0529070179639</v>
      </c>
      <c r="I42" s="630">
        <v>2239.1625142663688</v>
      </c>
      <c r="J42" s="627">
        <v>-617.89249191083729</v>
      </c>
      <c r="K42" s="759" t="s">
        <v>746</v>
      </c>
      <c r="L42" s="759" t="s">
        <v>746</v>
      </c>
      <c r="M42" s="630">
        <v>50501.341196427733</v>
      </c>
      <c r="N42" s="628" t="s">
        <v>643</v>
      </c>
      <c r="O42" s="630">
        <v>18627.309232085652</v>
      </c>
      <c r="P42" s="628" t="s">
        <v>293</v>
      </c>
      <c r="Q42" s="629">
        <v>0.79055101628463287</v>
      </c>
    </row>
    <row r="43" spans="2:17" ht="39.6" customHeight="1" x14ac:dyDescent="0.25">
      <c r="D43" s="580" t="s">
        <v>604</v>
      </c>
      <c r="F43" s="627">
        <v>2999.7115566339048</v>
      </c>
      <c r="G43" s="630">
        <v>1431.410096354753</v>
      </c>
      <c r="H43" s="630">
        <v>2094.1636188432526</v>
      </c>
      <c r="I43" s="630">
        <v>4772.2377710046812</v>
      </c>
      <c r="J43" s="627">
        <v>278.70915412673389</v>
      </c>
      <c r="K43" s="759" t="s">
        <v>746</v>
      </c>
      <c r="L43" s="759" t="s">
        <v>746</v>
      </c>
      <c r="M43" s="630">
        <v>1826035.7604707903</v>
      </c>
      <c r="N43" s="628" t="s">
        <v>644</v>
      </c>
      <c r="O43" s="630">
        <v>13236654.396131381</v>
      </c>
      <c r="P43" s="628" t="s">
        <v>179</v>
      </c>
      <c r="Q43" s="629">
        <v>7.1473872633673441E-2</v>
      </c>
    </row>
    <row r="45" spans="2:17" x14ac:dyDescent="0.25">
      <c r="F45" s="626">
        <f>SUM(F31:F43)</f>
        <v>47109.631596941377</v>
      </c>
      <c r="G45" s="626">
        <f t="shared" ref="G45:J45" si="1">SUM(G31:G43)</f>
        <v>-59024.464784149895</v>
      </c>
      <c r="H45" s="626">
        <f t="shared" si="1"/>
        <v>47066.549429684899</v>
      </c>
      <c r="I45" s="626">
        <f t="shared" si="1"/>
        <v>64968.219959242306</v>
      </c>
      <c r="J45" s="626">
        <f t="shared" si="1"/>
        <v>39974.085516041778</v>
      </c>
    </row>
    <row r="48" spans="2:17" ht="31.2" x14ac:dyDescent="0.25">
      <c r="B48" s="436" t="s">
        <v>130</v>
      </c>
      <c r="D48" s="431" t="s">
        <v>471</v>
      </c>
      <c r="F48" s="854" t="s">
        <v>622</v>
      </c>
      <c r="G48" s="854"/>
      <c r="H48" s="854"/>
      <c r="I48" s="854"/>
      <c r="J48" s="854"/>
      <c r="K48" s="758"/>
      <c r="L48" s="758"/>
      <c r="M48" s="855" t="s">
        <v>623</v>
      </c>
      <c r="N48" s="855"/>
      <c r="O48" s="855"/>
      <c r="P48" s="855"/>
      <c r="Q48" s="855"/>
    </row>
    <row r="49" spans="4:17" ht="78" x14ac:dyDescent="0.25">
      <c r="F49" s="633" t="s">
        <v>624</v>
      </c>
      <c r="G49" s="633" t="s">
        <v>625</v>
      </c>
      <c r="H49" s="624" t="s">
        <v>626</v>
      </c>
      <c r="I49" s="624" t="s">
        <v>627</v>
      </c>
      <c r="J49" s="624" t="s">
        <v>628</v>
      </c>
      <c r="K49" s="758"/>
      <c r="L49" s="758"/>
      <c r="M49" s="625" t="s">
        <v>629</v>
      </c>
      <c r="N49" s="625" t="s">
        <v>630</v>
      </c>
      <c r="O49" s="625" t="s">
        <v>631</v>
      </c>
      <c r="P49" s="625" t="s">
        <v>43</v>
      </c>
      <c r="Q49" s="625" t="s">
        <v>632</v>
      </c>
    </row>
    <row r="50" spans="4:17" x14ac:dyDescent="0.25">
      <c r="F50" s="634" t="s">
        <v>647</v>
      </c>
      <c r="G50" s="635" t="s">
        <v>646</v>
      </c>
      <c r="Q50" s="637" t="s">
        <v>648</v>
      </c>
    </row>
    <row r="52" spans="4:17" ht="39.6" customHeight="1" x14ac:dyDescent="0.25">
      <c r="D52" s="580" t="s">
        <v>606</v>
      </c>
      <c r="F52" s="627">
        <v>286.21718104896809</v>
      </c>
      <c r="G52" s="630">
        <v>-151269.20753490366</v>
      </c>
      <c r="H52" s="630">
        <v>8696.2236172529847</v>
      </c>
      <c r="I52" s="630">
        <v>16450.747566838902</v>
      </c>
      <c r="J52" s="627">
        <v>48187.317082859088</v>
      </c>
      <c r="K52" s="759" t="s">
        <v>746</v>
      </c>
      <c r="L52" s="759" t="s">
        <v>746</v>
      </c>
      <c r="M52" s="630">
        <v>1844983.1614374949</v>
      </c>
      <c r="N52" s="628" t="s">
        <v>633</v>
      </c>
      <c r="O52" s="630">
        <v>5030.4771361482562</v>
      </c>
      <c r="P52" s="628" t="s">
        <v>292</v>
      </c>
      <c r="Q52" s="629">
        <v>9.9999999999999811E-2</v>
      </c>
    </row>
    <row r="53" spans="4:17" ht="39.6" customHeight="1" x14ac:dyDescent="0.25">
      <c r="D53" s="580" t="s">
        <v>612</v>
      </c>
      <c r="F53" s="627">
        <v>166.70570535954295</v>
      </c>
      <c r="G53" s="630">
        <v>-462.58788457228633</v>
      </c>
      <c r="H53" s="630">
        <v>945.55577802149082</v>
      </c>
      <c r="I53" s="630">
        <v>1268.5752715378867</v>
      </c>
      <c r="J53" s="627">
        <v>567.86853399493521</v>
      </c>
      <c r="K53" s="759" t="s">
        <v>746</v>
      </c>
      <c r="L53" s="759" t="s">
        <v>746</v>
      </c>
      <c r="M53" s="630">
        <v>237047.21188639614</v>
      </c>
      <c r="N53" s="628" t="s">
        <v>747</v>
      </c>
      <c r="O53" s="630">
        <v>1693.9702492766739</v>
      </c>
      <c r="P53" s="628" t="s">
        <v>634</v>
      </c>
      <c r="Q53" s="629">
        <v>3.3674146674955621E-2</v>
      </c>
    </row>
    <row r="54" spans="4:17" ht="39.6" customHeight="1" x14ac:dyDescent="0.25">
      <c r="D54" s="580" t="s">
        <v>380</v>
      </c>
      <c r="F54" s="627">
        <v>46872.503907146587</v>
      </c>
      <c r="G54" s="630">
        <v>-10.276849661453126</v>
      </c>
      <c r="H54" s="630">
        <v>18084.57036028603</v>
      </c>
      <c r="I54" s="630">
        <v>30725.914379054917</v>
      </c>
      <c r="J54" s="627">
        <v>8068.5375718667128</v>
      </c>
      <c r="K54" s="759" t="s">
        <v>746</v>
      </c>
      <c r="L54" s="759" t="s">
        <v>746</v>
      </c>
      <c r="M54" s="630">
        <v>1418272160.5202785</v>
      </c>
      <c r="N54" s="628" t="s">
        <v>635</v>
      </c>
      <c r="O54" s="630">
        <v>34727.272292658439</v>
      </c>
      <c r="P54" s="628" t="s">
        <v>292</v>
      </c>
      <c r="Q54" s="629">
        <v>0.92026686989627138</v>
      </c>
    </row>
    <row r="55" spans="4:17" ht="39.6" customHeight="1" x14ac:dyDescent="0.25">
      <c r="D55" s="580" t="s">
        <v>6</v>
      </c>
      <c r="F55" s="627">
        <v>7395.5725766122041</v>
      </c>
      <c r="G55" s="630">
        <v>6117.9345638813611</v>
      </c>
      <c r="H55" s="630">
        <v>-2435.869632116161</v>
      </c>
      <c r="I55" s="630">
        <v>-6608.539409013023</v>
      </c>
      <c r="J55" s="627">
        <v>-2198.1020972505717</v>
      </c>
      <c r="K55" s="759" t="s">
        <v>746</v>
      </c>
      <c r="L55" s="759" t="s">
        <v>746</v>
      </c>
      <c r="M55" s="630">
        <v>298632.90502612654</v>
      </c>
      <c r="N55" s="628" t="s">
        <v>636</v>
      </c>
      <c r="O55" s="630">
        <v>5832.8126311997203</v>
      </c>
      <c r="P55" s="628" t="s">
        <v>292</v>
      </c>
      <c r="Q55" s="629">
        <v>8.9215140605007848E-2</v>
      </c>
    </row>
    <row r="56" spans="4:17" ht="39.6" customHeight="1" x14ac:dyDescent="0.25">
      <c r="D56" s="580" t="s">
        <v>600</v>
      </c>
      <c r="F56" s="627">
        <v>0</v>
      </c>
      <c r="G56" s="630">
        <v>0</v>
      </c>
      <c r="H56" s="630">
        <v>8741.2901464154456</v>
      </c>
      <c r="I56" s="630">
        <v>8741.290146415442</v>
      </c>
      <c r="J56" s="627">
        <v>3108.0789133931339</v>
      </c>
      <c r="K56" s="759" t="s">
        <v>746</v>
      </c>
      <c r="L56" s="759" t="s">
        <v>746</v>
      </c>
      <c r="M56" s="630">
        <v>3648560129794.2256</v>
      </c>
      <c r="N56" s="628" t="s">
        <v>645</v>
      </c>
      <c r="O56" s="630">
        <v>25612272629216.734</v>
      </c>
      <c r="P56" s="628" t="s">
        <v>44</v>
      </c>
      <c r="Q56" s="629">
        <v>0.4469888707085255</v>
      </c>
    </row>
    <row r="57" spans="4:17" ht="39.6" customHeight="1" x14ac:dyDescent="0.25">
      <c r="D57" s="580" t="s">
        <v>5</v>
      </c>
      <c r="F57" s="627">
        <v>2730.1899648688864</v>
      </c>
      <c r="G57" s="630">
        <v>2233.7588625297917</v>
      </c>
      <c r="H57" s="630">
        <v>8694.9791453502112</v>
      </c>
      <c r="I57" s="630">
        <v>9153.9665186857528</v>
      </c>
      <c r="J57" s="627">
        <v>767.59923575166692</v>
      </c>
      <c r="K57" s="759" t="s">
        <v>746</v>
      </c>
      <c r="L57" s="759" t="s">
        <v>746</v>
      </c>
      <c r="M57" s="630">
        <v>4073118377.9057102</v>
      </c>
      <c r="N57" s="628" t="s">
        <v>758</v>
      </c>
      <c r="O57" s="630">
        <v>6578092512164.4863</v>
      </c>
      <c r="P57" s="628" t="s">
        <v>759</v>
      </c>
      <c r="Q57" s="629">
        <v>0.71137917378234816</v>
      </c>
    </row>
    <row r="58" spans="4:17" ht="39.6" customHeight="1" x14ac:dyDescent="0.25">
      <c r="D58" s="580" t="s">
        <v>267</v>
      </c>
      <c r="F58" s="627">
        <v>0</v>
      </c>
      <c r="G58" s="630">
        <v>0</v>
      </c>
      <c r="H58" s="630">
        <v>13957.407251777879</v>
      </c>
      <c r="I58" s="630">
        <v>14132.469104125808</v>
      </c>
      <c r="J58" s="627">
        <v>5361.943547512471</v>
      </c>
      <c r="K58" s="759" t="s">
        <v>746</v>
      </c>
      <c r="L58" s="759" t="s">
        <v>746</v>
      </c>
      <c r="M58" s="630">
        <v>889386985725.56873</v>
      </c>
      <c r="N58" s="628" t="s">
        <v>637</v>
      </c>
      <c r="O58" s="630">
        <v>24013448614590.355</v>
      </c>
      <c r="P58" s="628" t="s">
        <v>638</v>
      </c>
      <c r="Q58" s="629">
        <v>1</v>
      </c>
    </row>
    <row r="59" spans="4:17" ht="39.6" customHeight="1" x14ac:dyDescent="0.25">
      <c r="D59" s="580" t="s">
        <v>610</v>
      </c>
      <c r="F59" s="627">
        <v>765.05391057274289</v>
      </c>
      <c r="G59" s="630">
        <v>600.21564539525389</v>
      </c>
      <c r="H59" s="630">
        <v>5583.9588974886783</v>
      </c>
      <c r="I59" s="630">
        <v>6430.8363743552</v>
      </c>
      <c r="J59" s="627">
        <v>979.97912679109083</v>
      </c>
      <c r="K59" s="759" t="s">
        <v>746</v>
      </c>
      <c r="L59" s="759" t="s">
        <v>746</v>
      </c>
      <c r="M59" s="630">
        <v>18410651.861107912</v>
      </c>
      <c r="N59" s="628" t="s">
        <v>639</v>
      </c>
      <c r="O59" s="630">
        <v>16032687.577787923</v>
      </c>
      <c r="P59" s="628" t="s">
        <v>640</v>
      </c>
      <c r="Q59" s="629">
        <v>8.6571593970543245E-2</v>
      </c>
    </row>
    <row r="60" spans="4:17" ht="39.6" customHeight="1" x14ac:dyDescent="0.25">
      <c r="D60" s="580" t="s">
        <v>611</v>
      </c>
      <c r="F60" s="627">
        <v>1233.7660595625628</v>
      </c>
      <c r="G60" s="630">
        <v>1157.2021548535668</v>
      </c>
      <c r="H60" s="630">
        <v>1826.0358654014399</v>
      </c>
      <c r="I60" s="630">
        <v>4074.7955340889439</v>
      </c>
      <c r="J60" s="627">
        <v>63.705648336674884</v>
      </c>
      <c r="K60" s="759" t="s">
        <v>746</v>
      </c>
      <c r="L60" s="759" t="s">
        <v>746</v>
      </c>
      <c r="M60" s="630">
        <v>120560.50767324488</v>
      </c>
      <c r="N60" s="628" t="s">
        <v>641</v>
      </c>
      <c r="O60" s="630">
        <v>105289.00801294881</v>
      </c>
      <c r="P60" s="628" t="s">
        <v>125</v>
      </c>
      <c r="Q60" s="629">
        <v>0.74796309245592241</v>
      </c>
    </row>
    <row r="61" spans="4:17" ht="39.6" customHeight="1" x14ac:dyDescent="0.25">
      <c r="D61" s="580" t="s">
        <v>1</v>
      </c>
      <c r="F61" s="627">
        <v>0</v>
      </c>
      <c r="G61" s="630">
        <v>0</v>
      </c>
      <c r="H61" s="630">
        <v>6957.6453875393909</v>
      </c>
      <c r="I61" s="630">
        <v>7170.2742504470634</v>
      </c>
      <c r="J61" s="627">
        <v>2939.7735674945693</v>
      </c>
      <c r="K61" s="759" t="s">
        <v>746</v>
      </c>
      <c r="L61" s="759" t="s">
        <v>746</v>
      </c>
      <c r="M61" s="630">
        <v>762601788178.33472</v>
      </c>
      <c r="N61" s="628" t="s">
        <v>642</v>
      </c>
      <c r="O61" s="630">
        <v>4822.1804265962255</v>
      </c>
      <c r="P61" s="628" t="s">
        <v>28</v>
      </c>
      <c r="Q61" s="629">
        <v>6.7424958637653576E-2</v>
      </c>
    </row>
    <row r="62" spans="4:17" ht="39.6" customHeight="1" x14ac:dyDescent="0.25">
      <c r="D62" s="580" t="s">
        <v>377</v>
      </c>
      <c r="F62" s="627">
        <v>7733.3091418616432</v>
      </c>
      <c r="G62" s="630">
        <v>-1799.1013930195927</v>
      </c>
      <c r="H62" s="630">
        <v>2331.3975179004792</v>
      </c>
      <c r="I62" s="630">
        <v>1475.2896108810914</v>
      </c>
      <c r="J62" s="627">
        <v>1263.4013710835939</v>
      </c>
      <c r="K62" s="759" t="s">
        <v>746</v>
      </c>
      <c r="L62" s="759" t="s">
        <v>746</v>
      </c>
      <c r="M62" s="630">
        <v>1.1616857106609118E-7</v>
      </c>
      <c r="N62" s="628" t="s">
        <v>405</v>
      </c>
      <c r="O62" s="630">
        <v>3.0922819860279499E-3</v>
      </c>
      <c r="P62" s="628" t="s">
        <v>638</v>
      </c>
      <c r="Q62" s="629">
        <v>9.4963389295202595E-9</v>
      </c>
    </row>
    <row r="63" spans="4:17" ht="39.6" customHeight="1" x14ac:dyDescent="0.25">
      <c r="D63" s="580" t="s">
        <v>609</v>
      </c>
      <c r="F63" s="627">
        <v>4205.8056637101972</v>
      </c>
      <c r="G63" s="630">
        <v>3583.8304123666289</v>
      </c>
      <c r="H63" s="630">
        <v>1503.4737300368379</v>
      </c>
      <c r="I63" s="630">
        <v>2576.6892219531314</v>
      </c>
      <c r="J63" s="627">
        <v>-619.58554323996782</v>
      </c>
      <c r="K63" s="759" t="s">
        <v>746</v>
      </c>
      <c r="L63" s="759" t="s">
        <v>746</v>
      </c>
      <c r="M63" s="630">
        <v>35536.569143603898</v>
      </c>
      <c r="N63" s="628" t="s">
        <v>643</v>
      </c>
      <c r="O63" s="630">
        <v>13107.585794813047</v>
      </c>
      <c r="P63" s="628" t="s">
        <v>293</v>
      </c>
      <c r="Q63" s="629">
        <v>1</v>
      </c>
    </row>
    <row r="64" spans="4:17" ht="39.6" customHeight="1" x14ac:dyDescent="0.25">
      <c r="D64" s="580" t="s">
        <v>604</v>
      </c>
      <c r="F64" s="627">
        <v>4348.9464955167587</v>
      </c>
      <c r="G64" s="630">
        <v>2780.6450352376064</v>
      </c>
      <c r="H64" s="630">
        <v>4966.6891622134945</v>
      </c>
      <c r="I64" s="630">
        <v>9277.2923773323382</v>
      </c>
      <c r="J64" s="627">
        <v>608.7273438147181</v>
      </c>
      <c r="K64" s="759" t="s">
        <v>746</v>
      </c>
      <c r="L64" s="759" t="s">
        <v>746</v>
      </c>
      <c r="M64" s="630">
        <v>2558786.9854698814</v>
      </c>
      <c r="N64" s="628" t="s">
        <v>644</v>
      </c>
      <c r="O64" s="630">
        <v>18548256.13669873</v>
      </c>
      <c r="P64" s="628" t="s">
        <v>179</v>
      </c>
      <c r="Q64" s="629">
        <v>0.1001548923932484</v>
      </c>
    </row>
    <row r="66" spans="6:10" x14ac:dyDescent="0.25">
      <c r="F66" s="626">
        <f>SUM(F52:F64)</f>
        <v>75738.070606260095</v>
      </c>
      <c r="G66" s="626">
        <f t="shared" ref="G66:J66" si="2">SUM(G52:G64)</f>
        <v>-137067.58698789281</v>
      </c>
      <c r="H66" s="626">
        <f t="shared" si="2"/>
        <v>79853.357227568209</v>
      </c>
      <c r="I66" s="626">
        <f t="shared" si="2"/>
        <v>104869.60094670347</v>
      </c>
      <c r="J66" s="626">
        <f t="shared" si="2"/>
        <v>69099.244302408129</v>
      </c>
    </row>
  </sheetData>
  <mergeCells count="8">
    <mergeCell ref="F48:J48"/>
    <mergeCell ref="M48:Q48"/>
    <mergeCell ref="A1:E3"/>
    <mergeCell ref="Q1:S2"/>
    <mergeCell ref="F6:J6"/>
    <mergeCell ref="M6:Q6"/>
    <mergeCell ref="F27:J27"/>
    <mergeCell ref="M27:Q27"/>
  </mergeCells>
  <conditionalFormatting sqref="F10:F22">
    <cfRule type="dataBar" priority="41">
      <dataBar>
        <cfvo type="min"/>
        <cfvo type="max"/>
        <color rgb="FFFF555A"/>
      </dataBar>
      <extLst>
        <ext xmlns:x14="http://schemas.microsoft.com/office/spreadsheetml/2009/9/main" uri="{B025F937-C7B1-47D3-B67F-A62EFF666E3E}">
          <x14:id>{8FF1517F-F4D0-40DA-8541-8B28D4D34329}</x14:id>
        </ext>
      </extLst>
    </cfRule>
  </conditionalFormatting>
  <conditionalFormatting sqref="Q10:Q22">
    <cfRule type="dataBar" priority="28">
      <dataBar>
        <cfvo type="min"/>
        <cfvo type="max"/>
        <color rgb="FF63C384"/>
      </dataBar>
      <extLst>
        <ext xmlns:x14="http://schemas.microsoft.com/office/spreadsheetml/2009/9/main" uri="{B025F937-C7B1-47D3-B67F-A62EFF666E3E}">
          <x14:id>{E91FE9C0-8202-4978-ACF8-AB1F9D3D1CF6}</x14:id>
        </ext>
      </extLst>
    </cfRule>
  </conditionalFormatting>
  <conditionalFormatting sqref="J10:L22">
    <cfRule type="dataBar" priority="29">
      <dataBar>
        <cfvo type="min"/>
        <cfvo type="max"/>
        <color rgb="FF008AEF"/>
      </dataBar>
      <extLst>
        <ext xmlns:x14="http://schemas.microsoft.com/office/spreadsheetml/2009/9/main" uri="{B025F937-C7B1-47D3-B67F-A62EFF666E3E}">
          <x14:id>{ECF09D55-E20C-4AFB-97B4-ED2758E17F12}</x14:id>
        </ext>
      </extLst>
    </cfRule>
  </conditionalFormatting>
  <conditionalFormatting sqref="F31:F43">
    <cfRule type="dataBar" priority="27">
      <dataBar>
        <cfvo type="min"/>
        <cfvo type="max"/>
        <color rgb="FFFF555A"/>
      </dataBar>
      <extLst>
        <ext xmlns:x14="http://schemas.microsoft.com/office/spreadsheetml/2009/9/main" uri="{B025F937-C7B1-47D3-B67F-A62EFF666E3E}">
          <x14:id>{F7C49C34-F470-4039-94F9-DC69DD6909E8}</x14:id>
        </ext>
      </extLst>
    </cfRule>
  </conditionalFormatting>
  <conditionalFormatting sqref="Q31:Q43">
    <cfRule type="dataBar" priority="22">
      <dataBar>
        <cfvo type="min"/>
        <cfvo type="max"/>
        <color rgb="FF63C384"/>
      </dataBar>
      <extLst>
        <ext xmlns:x14="http://schemas.microsoft.com/office/spreadsheetml/2009/9/main" uri="{B025F937-C7B1-47D3-B67F-A62EFF666E3E}">
          <x14:id>{28E37F8E-718C-4CAE-99F4-B42E822EC4FA}</x14:id>
        </ext>
      </extLst>
    </cfRule>
  </conditionalFormatting>
  <conditionalFormatting sqref="J31:L43">
    <cfRule type="dataBar" priority="23">
      <dataBar>
        <cfvo type="min"/>
        <cfvo type="max"/>
        <color rgb="FF008AEF"/>
      </dataBar>
      <extLst>
        <ext xmlns:x14="http://schemas.microsoft.com/office/spreadsheetml/2009/9/main" uri="{B025F937-C7B1-47D3-B67F-A62EFF666E3E}">
          <x14:id>{E56E4540-2EA9-47CF-9D96-C93A887F376A}</x14:id>
        </ext>
      </extLst>
    </cfRule>
  </conditionalFormatting>
  <conditionalFormatting sqref="F52:F64">
    <cfRule type="dataBar" priority="21">
      <dataBar>
        <cfvo type="min"/>
        <cfvo type="max"/>
        <color rgb="FFFF555A"/>
      </dataBar>
      <extLst>
        <ext xmlns:x14="http://schemas.microsoft.com/office/spreadsheetml/2009/9/main" uri="{B025F937-C7B1-47D3-B67F-A62EFF666E3E}">
          <x14:id>{5099399F-11F5-4C5D-A644-1E96E8793C4B}</x14:id>
        </ext>
      </extLst>
    </cfRule>
  </conditionalFormatting>
  <conditionalFormatting sqref="G52">
    <cfRule type="dataBar" priority="20">
      <dataBar>
        <cfvo type="min"/>
        <cfvo type="max"/>
        <color rgb="FFFF555A"/>
      </dataBar>
      <extLst>
        <ext xmlns:x14="http://schemas.microsoft.com/office/spreadsheetml/2009/9/main" uri="{B025F937-C7B1-47D3-B67F-A62EFF666E3E}">
          <x14:id>{439F6D46-833B-426E-A325-83C096C87B8A}</x14:id>
        </ext>
      </extLst>
    </cfRule>
  </conditionalFormatting>
  <conditionalFormatting sqref="H52">
    <cfRule type="dataBar" priority="19">
      <dataBar>
        <cfvo type="min"/>
        <cfvo type="max"/>
        <color rgb="FF008AEF"/>
      </dataBar>
      <extLst>
        <ext xmlns:x14="http://schemas.microsoft.com/office/spreadsheetml/2009/9/main" uri="{B025F937-C7B1-47D3-B67F-A62EFF666E3E}">
          <x14:id>{95BBD65C-6793-4A24-B6F2-1713C69F0247}</x14:id>
        </ext>
      </extLst>
    </cfRule>
  </conditionalFormatting>
  <conditionalFormatting sqref="I52">
    <cfRule type="dataBar" priority="18">
      <dataBar>
        <cfvo type="min"/>
        <cfvo type="max"/>
        <color rgb="FF008AEF"/>
      </dataBar>
      <extLst>
        <ext xmlns:x14="http://schemas.microsoft.com/office/spreadsheetml/2009/9/main" uri="{B025F937-C7B1-47D3-B67F-A62EFF666E3E}">
          <x14:id>{C397511D-8F51-4CF9-B06B-4B20E79A9D7D}</x14:id>
        </ext>
      </extLst>
    </cfRule>
  </conditionalFormatting>
  <conditionalFormatting sqref="Q52:Q64">
    <cfRule type="dataBar" priority="16">
      <dataBar>
        <cfvo type="min"/>
        <cfvo type="max"/>
        <color rgb="FF63C384"/>
      </dataBar>
      <extLst>
        <ext xmlns:x14="http://schemas.microsoft.com/office/spreadsheetml/2009/9/main" uri="{B025F937-C7B1-47D3-B67F-A62EFF666E3E}">
          <x14:id>{6FD9DA51-79A4-4991-800D-7AD9A3018962}</x14:id>
        </ext>
      </extLst>
    </cfRule>
  </conditionalFormatting>
  <conditionalFormatting sqref="J52:L64">
    <cfRule type="dataBar" priority="17">
      <dataBar>
        <cfvo type="min"/>
        <cfvo type="max"/>
        <color rgb="FF008AEF"/>
      </dataBar>
      <extLst>
        <ext xmlns:x14="http://schemas.microsoft.com/office/spreadsheetml/2009/9/main" uri="{B025F937-C7B1-47D3-B67F-A62EFF666E3E}">
          <x14:id>{A27705DF-B5CF-496D-B554-34C961A150CA}</x14:id>
        </ext>
      </extLst>
    </cfRule>
  </conditionalFormatting>
  <conditionalFormatting sqref="G53:G64">
    <cfRule type="dataBar" priority="15">
      <dataBar>
        <cfvo type="min"/>
        <cfvo type="max"/>
        <color rgb="FFFF555A"/>
      </dataBar>
      <extLst>
        <ext xmlns:x14="http://schemas.microsoft.com/office/spreadsheetml/2009/9/main" uri="{B025F937-C7B1-47D3-B67F-A62EFF666E3E}">
          <x14:id>{09322ED8-1AA4-481D-8E3B-EBF99CDF433E}</x14:id>
        </ext>
      </extLst>
    </cfRule>
  </conditionalFormatting>
  <conditionalFormatting sqref="H53:H64">
    <cfRule type="dataBar" priority="14">
      <dataBar>
        <cfvo type="min"/>
        <cfvo type="max"/>
        <color rgb="FF008AEF"/>
      </dataBar>
      <extLst>
        <ext xmlns:x14="http://schemas.microsoft.com/office/spreadsheetml/2009/9/main" uri="{B025F937-C7B1-47D3-B67F-A62EFF666E3E}">
          <x14:id>{0C72A159-68A1-400F-B464-C8C2D0CB853A}</x14:id>
        </ext>
      </extLst>
    </cfRule>
  </conditionalFormatting>
  <conditionalFormatting sqref="I53:I64">
    <cfRule type="dataBar" priority="13">
      <dataBar>
        <cfvo type="min"/>
        <cfvo type="max"/>
        <color rgb="FF008AEF"/>
      </dataBar>
      <extLst>
        <ext xmlns:x14="http://schemas.microsoft.com/office/spreadsheetml/2009/9/main" uri="{B025F937-C7B1-47D3-B67F-A62EFF666E3E}">
          <x14:id>{4E59A368-EFFC-4000-978C-783B4342FB4B}</x14:id>
        </ext>
      </extLst>
    </cfRule>
  </conditionalFormatting>
  <conditionalFormatting sqref="G31">
    <cfRule type="dataBar" priority="12">
      <dataBar>
        <cfvo type="min"/>
        <cfvo type="max"/>
        <color rgb="FFFF555A"/>
      </dataBar>
      <extLst>
        <ext xmlns:x14="http://schemas.microsoft.com/office/spreadsheetml/2009/9/main" uri="{B025F937-C7B1-47D3-B67F-A62EFF666E3E}">
          <x14:id>{4206E4B2-CB90-4D3F-B658-957ECBA50B35}</x14:id>
        </ext>
      </extLst>
    </cfRule>
  </conditionalFormatting>
  <conditionalFormatting sqref="H31">
    <cfRule type="dataBar" priority="11">
      <dataBar>
        <cfvo type="min"/>
        <cfvo type="max"/>
        <color rgb="FF008AEF"/>
      </dataBar>
      <extLst>
        <ext xmlns:x14="http://schemas.microsoft.com/office/spreadsheetml/2009/9/main" uri="{B025F937-C7B1-47D3-B67F-A62EFF666E3E}">
          <x14:id>{A6FFE999-1D00-444F-8B54-E22597DB9CC8}</x14:id>
        </ext>
      </extLst>
    </cfRule>
  </conditionalFormatting>
  <conditionalFormatting sqref="I31">
    <cfRule type="dataBar" priority="10">
      <dataBar>
        <cfvo type="min"/>
        <cfvo type="max"/>
        <color rgb="FF008AEF"/>
      </dataBar>
      <extLst>
        <ext xmlns:x14="http://schemas.microsoft.com/office/spreadsheetml/2009/9/main" uri="{B025F937-C7B1-47D3-B67F-A62EFF666E3E}">
          <x14:id>{EF00C3ED-1C40-4A14-B922-083A97D99746}</x14:id>
        </ext>
      </extLst>
    </cfRule>
  </conditionalFormatting>
  <conditionalFormatting sqref="G32:G43">
    <cfRule type="dataBar" priority="9">
      <dataBar>
        <cfvo type="min"/>
        <cfvo type="max"/>
        <color rgb="FFFF555A"/>
      </dataBar>
      <extLst>
        <ext xmlns:x14="http://schemas.microsoft.com/office/spreadsheetml/2009/9/main" uri="{B025F937-C7B1-47D3-B67F-A62EFF666E3E}">
          <x14:id>{06D2BD84-349B-47E9-A7D9-C54F41FC0BF9}</x14:id>
        </ext>
      </extLst>
    </cfRule>
  </conditionalFormatting>
  <conditionalFormatting sqref="H32:H43">
    <cfRule type="dataBar" priority="8">
      <dataBar>
        <cfvo type="min"/>
        <cfvo type="max"/>
        <color rgb="FF008AEF"/>
      </dataBar>
      <extLst>
        <ext xmlns:x14="http://schemas.microsoft.com/office/spreadsheetml/2009/9/main" uri="{B025F937-C7B1-47D3-B67F-A62EFF666E3E}">
          <x14:id>{96128FA2-BDC3-47D1-BABC-64ECBEE18F24}</x14:id>
        </ext>
      </extLst>
    </cfRule>
  </conditionalFormatting>
  <conditionalFormatting sqref="I32:I43">
    <cfRule type="dataBar" priority="7">
      <dataBar>
        <cfvo type="min"/>
        <cfvo type="max"/>
        <color rgb="FF008AEF"/>
      </dataBar>
      <extLst>
        <ext xmlns:x14="http://schemas.microsoft.com/office/spreadsheetml/2009/9/main" uri="{B025F937-C7B1-47D3-B67F-A62EFF666E3E}">
          <x14:id>{3C654997-D697-4742-A64E-61568F3F6CCC}</x14:id>
        </ext>
      </extLst>
    </cfRule>
  </conditionalFormatting>
  <conditionalFormatting sqref="G10">
    <cfRule type="dataBar" priority="6">
      <dataBar>
        <cfvo type="min"/>
        <cfvo type="max"/>
        <color rgb="FFFF555A"/>
      </dataBar>
      <extLst>
        <ext xmlns:x14="http://schemas.microsoft.com/office/spreadsheetml/2009/9/main" uri="{B025F937-C7B1-47D3-B67F-A62EFF666E3E}">
          <x14:id>{E36A8B4C-F197-4880-83D7-4FEA10220A33}</x14:id>
        </ext>
      </extLst>
    </cfRule>
  </conditionalFormatting>
  <conditionalFormatting sqref="H10">
    <cfRule type="dataBar" priority="5">
      <dataBar>
        <cfvo type="min"/>
        <cfvo type="max"/>
        <color rgb="FF008AEF"/>
      </dataBar>
      <extLst>
        <ext xmlns:x14="http://schemas.microsoft.com/office/spreadsheetml/2009/9/main" uri="{B025F937-C7B1-47D3-B67F-A62EFF666E3E}">
          <x14:id>{2CA48241-C14C-4982-BE4E-C33D924D283B}</x14:id>
        </ext>
      </extLst>
    </cfRule>
  </conditionalFormatting>
  <conditionalFormatting sqref="I10">
    <cfRule type="dataBar" priority="4">
      <dataBar>
        <cfvo type="min"/>
        <cfvo type="max"/>
        <color rgb="FF008AEF"/>
      </dataBar>
      <extLst>
        <ext xmlns:x14="http://schemas.microsoft.com/office/spreadsheetml/2009/9/main" uri="{B025F937-C7B1-47D3-B67F-A62EFF666E3E}">
          <x14:id>{7808CF00-3CB9-463D-BC6E-7363376AA7BC}</x14:id>
        </ext>
      </extLst>
    </cfRule>
  </conditionalFormatting>
  <conditionalFormatting sqref="G11:G22">
    <cfRule type="dataBar" priority="3">
      <dataBar>
        <cfvo type="min"/>
        <cfvo type="max"/>
        <color rgb="FFFF555A"/>
      </dataBar>
      <extLst>
        <ext xmlns:x14="http://schemas.microsoft.com/office/spreadsheetml/2009/9/main" uri="{B025F937-C7B1-47D3-B67F-A62EFF666E3E}">
          <x14:id>{3379CA27-E255-42ED-8C95-B19D459A3BA6}</x14:id>
        </ext>
      </extLst>
    </cfRule>
  </conditionalFormatting>
  <conditionalFormatting sqref="H11:H22">
    <cfRule type="dataBar" priority="2">
      <dataBar>
        <cfvo type="min"/>
        <cfvo type="max"/>
        <color rgb="FF008AEF"/>
      </dataBar>
      <extLst>
        <ext xmlns:x14="http://schemas.microsoft.com/office/spreadsheetml/2009/9/main" uri="{B025F937-C7B1-47D3-B67F-A62EFF666E3E}">
          <x14:id>{0D5EC9E5-3E88-4F59-A81F-3C1C9076FC79}</x14:id>
        </ext>
      </extLst>
    </cfRule>
  </conditionalFormatting>
  <conditionalFormatting sqref="I11:I22">
    <cfRule type="dataBar" priority="1">
      <dataBar>
        <cfvo type="min"/>
        <cfvo type="max"/>
        <color rgb="FF008AEF"/>
      </dataBar>
      <extLst>
        <ext xmlns:x14="http://schemas.microsoft.com/office/spreadsheetml/2009/9/main" uri="{B025F937-C7B1-47D3-B67F-A62EFF666E3E}">
          <x14:id>{7E35916F-6E47-492C-9D36-9437EB5816A0}</x14:id>
        </ext>
      </extLst>
    </cfRule>
  </conditionalFormatting>
  <hyperlinks>
    <hyperlink ref="H1" location="'Financials&amp;Adoptions'!A6" display="PDS1" xr:uid="{03F3AD09-46DA-41D4-BCA9-00D2AAF1A369}"/>
    <hyperlink ref="I1" location="'Financials&amp;Adoptions'!A37" display="PDS2" xr:uid="{0BABE100-5CB5-42FC-913D-987A259F49EE}"/>
    <hyperlink ref="J1" location="'Financials&amp;Adoptions'!A58" display="PDS3" xr:uid="{96ADF46C-7ED8-4F31-932F-988B4E735807}"/>
    <hyperlink ref="Q1:S2" location="'Table of Contents'!A1" display="Back to Table of Contents" xr:uid="{FF086046-A2BD-4614-88C2-530247E70EAA}"/>
  </hyperlink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8FF1517F-F4D0-40DA-8541-8B28D4D34329}">
            <x14:dataBar minLength="0" maxLength="100" border="1" negativeBarBorderColorSameAsPositive="0">
              <x14:cfvo type="autoMin"/>
              <x14:cfvo type="autoMax"/>
              <x14:borderColor rgb="FFFF555A"/>
              <x14:negativeFillColor rgb="FFFF0000"/>
              <x14:negativeBorderColor rgb="FFFF0000"/>
              <x14:axisColor rgb="FF000000"/>
            </x14:dataBar>
          </x14:cfRule>
          <xm:sqref>F10:F22</xm:sqref>
        </x14:conditionalFormatting>
        <x14:conditionalFormatting xmlns:xm="http://schemas.microsoft.com/office/excel/2006/main">
          <x14:cfRule type="dataBar" id="{E91FE9C0-8202-4978-ACF8-AB1F9D3D1CF6}">
            <x14:dataBar minLength="0" maxLength="100" border="1" negativeBarBorderColorSameAsPositive="0">
              <x14:cfvo type="autoMin"/>
              <x14:cfvo type="autoMax"/>
              <x14:borderColor rgb="FF63C384"/>
              <x14:negativeFillColor rgb="FFFF0000"/>
              <x14:negativeBorderColor rgb="FFFF0000"/>
              <x14:axisColor rgb="FF000000"/>
            </x14:dataBar>
          </x14:cfRule>
          <xm:sqref>Q10:Q22</xm:sqref>
        </x14:conditionalFormatting>
        <x14:conditionalFormatting xmlns:xm="http://schemas.microsoft.com/office/excel/2006/main">
          <x14:cfRule type="dataBar" id="{ECF09D55-E20C-4AFB-97B4-ED2758E17F12}">
            <x14:dataBar minLength="0" maxLength="100" border="1" negativeBarBorderColorSameAsPositive="0">
              <x14:cfvo type="autoMin"/>
              <x14:cfvo type="autoMax"/>
              <x14:borderColor rgb="FF008AEF"/>
              <x14:negativeFillColor rgb="FFFF0000"/>
              <x14:negativeBorderColor rgb="FFFF0000"/>
              <x14:axisColor rgb="FF000000"/>
            </x14:dataBar>
          </x14:cfRule>
          <xm:sqref>J10:L22</xm:sqref>
        </x14:conditionalFormatting>
        <x14:conditionalFormatting xmlns:xm="http://schemas.microsoft.com/office/excel/2006/main">
          <x14:cfRule type="dataBar" id="{F7C49C34-F470-4039-94F9-DC69DD6909E8}">
            <x14:dataBar minLength="0" maxLength="100" border="1" negativeBarBorderColorSameAsPositive="0">
              <x14:cfvo type="autoMin"/>
              <x14:cfvo type="autoMax"/>
              <x14:borderColor rgb="FFFF555A"/>
              <x14:negativeFillColor rgb="FFFF0000"/>
              <x14:negativeBorderColor rgb="FFFF0000"/>
              <x14:axisColor rgb="FF000000"/>
            </x14:dataBar>
          </x14:cfRule>
          <xm:sqref>F31:F43</xm:sqref>
        </x14:conditionalFormatting>
        <x14:conditionalFormatting xmlns:xm="http://schemas.microsoft.com/office/excel/2006/main">
          <x14:cfRule type="dataBar" id="{28E37F8E-718C-4CAE-99F4-B42E822EC4FA}">
            <x14:dataBar minLength="0" maxLength="100" border="1" negativeBarBorderColorSameAsPositive="0">
              <x14:cfvo type="autoMin"/>
              <x14:cfvo type="autoMax"/>
              <x14:borderColor rgb="FF63C384"/>
              <x14:negativeFillColor rgb="FFFF0000"/>
              <x14:negativeBorderColor rgb="FFFF0000"/>
              <x14:axisColor rgb="FF000000"/>
            </x14:dataBar>
          </x14:cfRule>
          <xm:sqref>Q31:Q43</xm:sqref>
        </x14:conditionalFormatting>
        <x14:conditionalFormatting xmlns:xm="http://schemas.microsoft.com/office/excel/2006/main">
          <x14:cfRule type="dataBar" id="{E56E4540-2EA9-47CF-9D96-C93A887F376A}">
            <x14:dataBar minLength="0" maxLength="100" border="1" negativeBarBorderColorSameAsPositive="0">
              <x14:cfvo type="autoMin"/>
              <x14:cfvo type="autoMax"/>
              <x14:borderColor rgb="FF008AEF"/>
              <x14:negativeFillColor rgb="FFFF0000"/>
              <x14:negativeBorderColor rgb="FFFF0000"/>
              <x14:axisColor rgb="FF000000"/>
            </x14:dataBar>
          </x14:cfRule>
          <xm:sqref>J31:L43</xm:sqref>
        </x14:conditionalFormatting>
        <x14:conditionalFormatting xmlns:xm="http://schemas.microsoft.com/office/excel/2006/main">
          <x14:cfRule type="dataBar" id="{5099399F-11F5-4C5D-A644-1E96E8793C4B}">
            <x14:dataBar minLength="0" maxLength="100" border="1" negativeBarBorderColorSameAsPositive="0">
              <x14:cfvo type="autoMin"/>
              <x14:cfvo type="autoMax"/>
              <x14:borderColor rgb="FFFF555A"/>
              <x14:negativeFillColor rgb="FFFF0000"/>
              <x14:negativeBorderColor rgb="FFFF0000"/>
              <x14:axisColor rgb="FF000000"/>
            </x14:dataBar>
          </x14:cfRule>
          <xm:sqref>F52:F64</xm:sqref>
        </x14:conditionalFormatting>
        <x14:conditionalFormatting xmlns:xm="http://schemas.microsoft.com/office/excel/2006/main">
          <x14:cfRule type="dataBar" id="{439F6D46-833B-426E-A325-83C096C87B8A}">
            <x14:dataBar minLength="0" maxLength="100" border="1" negativeBarBorderColorSameAsPositive="0">
              <x14:cfvo type="autoMin"/>
              <x14:cfvo type="autoMax"/>
              <x14:borderColor rgb="FFFF555A"/>
              <x14:negativeFillColor rgb="FF008AEF"/>
              <x14:negativeBorderColor rgb="FF008AEF"/>
              <x14:axisColor rgb="FF000000"/>
            </x14:dataBar>
          </x14:cfRule>
          <xm:sqref>G52</xm:sqref>
        </x14:conditionalFormatting>
        <x14:conditionalFormatting xmlns:xm="http://schemas.microsoft.com/office/excel/2006/main">
          <x14:cfRule type="dataBar" id="{95BBD65C-6793-4A24-B6F2-1713C69F0247}">
            <x14:dataBar minLength="0" maxLength="100" border="1" negativeBarBorderColorSameAsPositive="0">
              <x14:cfvo type="autoMin"/>
              <x14:cfvo type="autoMax"/>
              <x14:borderColor rgb="FF008AEF"/>
              <x14:negativeFillColor rgb="FFFF0000"/>
              <x14:negativeBorderColor rgb="FFFF0000"/>
              <x14:axisColor rgb="FF000000"/>
            </x14:dataBar>
          </x14:cfRule>
          <xm:sqref>H52</xm:sqref>
        </x14:conditionalFormatting>
        <x14:conditionalFormatting xmlns:xm="http://schemas.microsoft.com/office/excel/2006/main">
          <x14:cfRule type="dataBar" id="{C397511D-8F51-4CF9-B06B-4B20E79A9D7D}">
            <x14:dataBar minLength="0" maxLength="100" border="1" negativeBarBorderColorSameAsPositive="0">
              <x14:cfvo type="autoMin"/>
              <x14:cfvo type="autoMax"/>
              <x14:borderColor rgb="FF008AEF"/>
              <x14:negativeFillColor rgb="FFFF0000"/>
              <x14:negativeBorderColor rgb="FFFF0000"/>
              <x14:axisColor rgb="FF000000"/>
            </x14:dataBar>
          </x14:cfRule>
          <xm:sqref>I52</xm:sqref>
        </x14:conditionalFormatting>
        <x14:conditionalFormatting xmlns:xm="http://schemas.microsoft.com/office/excel/2006/main">
          <x14:cfRule type="dataBar" id="{6FD9DA51-79A4-4991-800D-7AD9A3018962}">
            <x14:dataBar minLength="0" maxLength="100" border="1" negativeBarBorderColorSameAsPositive="0">
              <x14:cfvo type="autoMin"/>
              <x14:cfvo type="autoMax"/>
              <x14:borderColor rgb="FF63C384"/>
              <x14:negativeFillColor rgb="FFFF0000"/>
              <x14:negativeBorderColor rgb="FFFF0000"/>
              <x14:axisColor rgb="FF000000"/>
            </x14:dataBar>
          </x14:cfRule>
          <xm:sqref>Q52:Q64</xm:sqref>
        </x14:conditionalFormatting>
        <x14:conditionalFormatting xmlns:xm="http://schemas.microsoft.com/office/excel/2006/main">
          <x14:cfRule type="dataBar" id="{A27705DF-B5CF-496D-B554-34C961A150CA}">
            <x14:dataBar minLength="0" maxLength="100" border="1" negativeBarBorderColorSameAsPositive="0">
              <x14:cfvo type="autoMin"/>
              <x14:cfvo type="autoMax"/>
              <x14:borderColor rgb="FF008AEF"/>
              <x14:negativeFillColor rgb="FFFF0000"/>
              <x14:negativeBorderColor rgb="FFFF0000"/>
              <x14:axisColor rgb="FF000000"/>
            </x14:dataBar>
          </x14:cfRule>
          <xm:sqref>J52:L64</xm:sqref>
        </x14:conditionalFormatting>
        <x14:conditionalFormatting xmlns:xm="http://schemas.microsoft.com/office/excel/2006/main">
          <x14:cfRule type="dataBar" id="{09322ED8-1AA4-481D-8E3B-EBF99CDF433E}">
            <x14:dataBar minLength="0" maxLength="100" border="1" negativeBarBorderColorSameAsPositive="0">
              <x14:cfvo type="autoMin"/>
              <x14:cfvo type="autoMax"/>
              <x14:borderColor rgb="FFFF555A"/>
              <x14:negativeFillColor rgb="FF008AEF"/>
              <x14:negativeBorderColor rgb="FF008AEF"/>
              <x14:axisColor rgb="FF000000"/>
            </x14:dataBar>
          </x14:cfRule>
          <xm:sqref>G53:G64</xm:sqref>
        </x14:conditionalFormatting>
        <x14:conditionalFormatting xmlns:xm="http://schemas.microsoft.com/office/excel/2006/main">
          <x14:cfRule type="dataBar" id="{0C72A159-68A1-400F-B464-C8C2D0CB853A}">
            <x14:dataBar minLength="0" maxLength="100" border="1" negativeBarBorderColorSameAsPositive="0">
              <x14:cfvo type="autoMin"/>
              <x14:cfvo type="autoMax"/>
              <x14:borderColor rgb="FF008AEF"/>
              <x14:negativeFillColor rgb="FFFF0000"/>
              <x14:negativeBorderColor rgb="FFFF0000"/>
              <x14:axisColor rgb="FF000000"/>
            </x14:dataBar>
          </x14:cfRule>
          <xm:sqref>H53:H64</xm:sqref>
        </x14:conditionalFormatting>
        <x14:conditionalFormatting xmlns:xm="http://schemas.microsoft.com/office/excel/2006/main">
          <x14:cfRule type="dataBar" id="{4E59A368-EFFC-4000-978C-783B4342FB4B}">
            <x14:dataBar minLength="0" maxLength="100" border="1" negativeBarBorderColorSameAsPositive="0">
              <x14:cfvo type="autoMin"/>
              <x14:cfvo type="autoMax"/>
              <x14:borderColor rgb="FF008AEF"/>
              <x14:negativeFillColor rgb="FFFF0000"/>
              <x14:negativeBorderColor rgb="FFFF0000"/>
              <x14:axisColor rgb="FF000000"/>
            </x14:dataBar>
          </x14:cfRule>
          <xm:sqref>I53:I64</xm:sqref>
        </x14:conditionalFormatting>
        <x14:conditionalFormatting xmlns:xm="http://schemas.microsoft.com/office/excel/2006/main">
          <x14:cfRule type="dataBar" id="{4206E4B2-CB90-4D3F-B658-957ECBA50B35}">
            <x14:dataBar minLength="0" maxLength="100" border="1" negativeBarBorderColorSameAsPositive="0">
              <x14:cfvo type="autoMin"/>
              <x14:cfvo type="autoMax"/>
              <x14:borderColor rgb="FFFF555A"/>
              <x14:negativeFillColor rgb="FF008AEF"/>
              <x14:negativeBorderColor rgb="FF008AEF"/>
              <x14:axisColor rgb="FF000000"/>
            </x14:dataBar>
          </x14:cfRule>
          <xm:sqref>G31</xm:sqref>
        </x14:conditionalFormatting>
        <x14:conditionalFormatting xmlns:xm="http://schemas.microsoft.com/office/excel/2006/main">
          <x14:cfRule type="dataBar" id="{A6FFE999-1D00-444F-8B54-E22597DB9CC8}">
            <x14:dataBar minLength="0" maxLength="100" border="1" negativeBarBorderColorSameAsPositive="0">
              <x14:cfvo type="autoMin"/>
              <x14:cfvo type="autoMax"/>
              <x14:borderColor rgb="FF008AEF"/>
              <x14:negativeFillColor rgb="FFFF0000"/>
              <x14:negativeBorderColor rgb="FFFF0000"/>
              <x14:axisColor rgb="FF000000"/>
            </x14:dataBar>
          </x14:cfRule>
          <xm:sqref>H31</xm:sqref>
        </x14:conditionalFormatting>
        <x14:conditionalFormatting xmlns:xm="http://schemas.microsoft.com/office/excel/2006/main">
          <x14:cfRule type="dataBar" id="{EF00C3ED-1C40-4A14-B922-083A97D99746}">
            <x14:dataBar minLength="0" maxLength="100" border="1" negativeBarBorderColorSameAsPositive="0">
              <x14:cfvo type="autoMin"/>
              <x14:cfvo type="autoMax"/>
              <x14:borderColor rgb="FF008AEF"/>
              <x14:negativeFillColor rgb="FFFF0000"/>
              <x14:negativeBorderColor rgb="FFFF0000"/>
              <x14:axisColor rgb="FF000000"/>
            </x14:dataBar>
          </x14:cfRule>
          <xm:sqref>I31</xm:sqref>
        </x14:conditionalFormatting>
        <x14:conditionalFormatting xmlns:xm="http://schemas.microsoft.com/office/excel/2006/main">
          <x14:cfRule type="dataBar" id="{06D2BD84-349B-47E9-A7D9-C54F41FC0BF9}">
            <x14:dataBar minLength="0" maxLength="100" border="1" negativeBarBorderColorSameAsPositive="0">
              <x14:cfvo type="autoMin"/>
              <x14:cfvo type="autoMax"/>
              <x14:borderColor rgb="FFFF555A"/>
              <x14:negativeFillColor rgb="FF008AEF"/>
              <x14:negativeBorderColor rgb="FF008AEF"/>
              <x14:axisColor rgb="FF000000"/>
            </x14:dataBar>
          </x14:cfRule>
          <xm:sqref>G32:G43</xm:sqref>
        </x14:conditionalFormatting>
        <x14:conditionalFormatting xmlns:xm="http://schemas.microsoft.com/office/excel/2006/main">
          <x14:cfRule type="dataBar" id="{96128FA2-BDC3-47D1-BABC-64ECBEE18F24}">
            <x14:dataBar minLength="0" maxLength="100" border="1" negativeBarBorderColorSameAsPositive="0">
              <x14:cfvo type="autoMin"/>
              <x14:cfvo type="autoMax"/>
              <x14:borderColor rgb="FF008AEF"/>
              <x14:negativeFillColor rgb="FFFF0000"/>
              <x14:negativeBorderColor rgb="FFFF0000"/>
              <x14:axisColor rgb="FF000000"/>
            </x14:dataBar>
          </x14:cfRule>
          <xm:sqref>H32:H43</xm:sqref>
        </x14:conditionalFormatting>
        <x14:conditionalFormatting xmlns:xm="http://schemas.microsoft.com/office/excel/2006/main">
          <x14:cfRule type="dataBar" id="{3C654997-D697-4742-A64E-61568F3F6CCC}">
            <x14:dataBar minLength="0" maxLength="100" border="1" negativeBarBorderColorSameAsPositive="0">
              <x14:cfvo type="autoMin"/>
              <x14:cfvo type="autoMax"/>
              <x14:borderColor rgb="FF008AEF"/>
              <x14:negativeFillColor rgb="FFFF0000"/>
              <x14:negativeBorderColor rgb="FFFF0000"/>
              <x14:axisColor rgb="FF000000"/>
            </x14:dataBar>
          </x14:cfRule>
          <xm:sqref>I32:I43</xm:sqref>
        </x14:conditionalFormatting>
        <x14:conditionalFormatting xmlns:xm="http://schemas.microsoft.com/office/excel/2006/main">
          <x14:cfRule type="dataBar" id="{E36A8B4C-F197-4880-83D7-4FEA10220A33}">
            <x14:dataBar minLength="0" maxLength="100" border="1" negativeBarBorderColorSameAsPositive="0">
              <x14:cfvo type="autoMin"/>
              <x14:cfvo type="autoMax"/>
              <x14:borderColor rgb="FFFF555A"/>
              <x14:negativeFillColor rgb="FF008AEF"/>
              <x14:negativeBorderColor rgb="FF008AEF"/>
              <x14:axisColor rgb="FF000000"/>
            </x14:dataBar>
          </x14:cfRule>
          <xm:sqref>G10</xm:sqref>
        </x14:conditionalFormatting>
        <x14:conditionalFormatting xmlns:xm="http://schemas.microsoft.com/office/excel/2006/main">
          <x14:cfRule type="dataBar" id="{2CA48241-C14C-4982-BE4E-C33D924D283B}">
            <x14:dataBar minLength="0" maxLength="100" border="1" negativeBarBorderColorSameAsPositive="0">
              <x14:cfvo type="autoMin"/>
              <x14:cfvo type="autoMax"/>
              <x14:borderColor rgb="FF008AEF"/>
              <x14:negativeFillColor rgb="FFFF0000"/>
              <x14:negativeBorderColor rgb="FFFF0000"/>
              <x14:axisColor rgb="FF000000"/>
            </x14:dataBar>
          </x14:cfRule>
          <xm:sqref>H10</xm:sqref>
        </x14:conditionalFormatting>
        <x14:conditionalFormatting xmlns:xm="http://schemas.microsoft.com/office/excel/2006/main">
          <x14:cfRule type="dataBar" id="{7808CF00-3CB9-463D-BC6E-7363376AA7BC}">
            <x14:dataBar minLength="0" maxLength="100" border="1" negativeBarBorderColorSameAsPositive="0">
              <x14:cfvo type="autoMin"/>
              <x14:cfvo type="autoMax"/>
              <x14:borderColor rgb="FF008AEF"/>
              <x14:negativeFillColor rgb="FFFF0000"/>
              <x14:negativeBorderColor rgb="FFFF0000"/>
              <x14:axisColor rgb="FF000000"/>
            </x14:dataBar>
          </x14:cfRule>
          <xm:sqref>I10</xm:sqref>
        </x14:conditionalFormatting>
        <x14:conditionalFormatting xmlns:xm="http://schemas.microsoft.com/office/excel/2006/main">
          <x14:cfRule type="dataBar" id="{3379CA27-E255-42ED-8C95-B19D459A3BA6}">
            <x14:dataBar minLength="0" maxLength="100" border="1" negativeBarBorderColorSameAsPositive="0">
              <x14:cfvo type="autoMin"/>
              <x14:cfvo type="autoMax"/>
              <x14:borderColor rgb="FFFF555A"/>
              <x14:negativeFillColor rgb="FF008AEF"/>
              <x14:negativeBorderColor rgb="FF008AEF"/>
              <x14:axisColor rgb="FF000000"/>
            </x14:dataBar>
          </x14:cfRule>
          <xm:sqref>G11:G22</xm:sqref>
        </x14:conditionalFormatting>
        <x14:conditionalFormatting xmlns:xm="http://schemas.microsoft.com/office/excel/2006/main">
          <x14:cfRule type="dataBar" id="{0D5EC9E5-3E88-4F59-A81F-3C1C9076FC79}">
            <x14:dataBar minLength="0" maxLength="100" border="1" negativeBarBorderColorSameAsPositive="0">
              <x14:cfvo type="autoMin"/>
              <x14:cfvo type="autoMax"/>
              <x14:borderColor rgb="FF008AEF"/>
              <x14:negativeFillColor rgb="FFFF0000"/>
              <x14:negativeBorderColor rgb="FFFF0000"/>
              <x14:axisColor rgb="FF000000"/>
            </x14:dataBar>
          </x14:cfRule>
          <xm:sqref>H11:H22</xm:sqref>
        </x14:conditionalFormatting>
        <x14:conditionalFormatting xmlns:xm="http://schemas.microsoft.com/office/excel/2006/main">
          <x14:cfRule type="dataBar" id="{7E35916F-6E47-492C-9D36-9437EB5816A0}">
            <x14:dataBar minLength="0" maxLength="100" border="1" negativeBarBorderColorSameAsPositive="0">
              <x14:cfvo type="autoMin"/>
              <x14:cfvo type="autoMax"/>
              <x14:borderColor rgb="FF008AEF"/>
              <x14:negativeFillColor rgb="FFFF0000"/>
              <x14:negativeBorderColor rgb="FFFF0000"/>
              <x14:axisColor rgb="FF000000"/>
            </x14:dataBar>
          </x14:cfRule>
          <xm:sqref>I11:I22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0EEAA-1F0B-404D-9AC9-3268D6896261}">
  <sheetPr codeName="Sheet22">
    <tabColor rgb="FFFFFF99"/>
  </sheetPr>
  <dimension ref="A1:AA25"/>
  <sheetViews>
    <sheetView topLeftCell="G1" zoomScale="90" zoomScaleNormal="90" workbookViewId="0">
      <selection activeCell="Y2" sqref="Y2:AA3"/>
    </sheetView>
  </sheetViews>
  <sheetFormatPr defaultRowHeight="14.4" x14ac:dyDescent="0.3"/>
  <cols>
    <col min="1" max="1" width="8.88671875" hidden="1" customWidth="1"/>
    <col min="2" max="2" width="15.33203125" hidden="1" customWidth="1"/>
    <col min="3" max="3" width="11.88671875" hidden="1" customWidth="1"/>
    <col min="4" max="4" width="10.88671875" hidden="1" customWidth="1"/>
    <col min="5" max="5" width="9.33203125" hidden="1" customWidth="1"/>
    <col min="6" max="6" width="8.88671875" hidden="1" customWidth="1"/>
  </cols>
  <sheetData>
    <row r="1" spans="1:27" ht="15" thickBot="1" x14ac:dyDescent="0.35">
      <c r="H1" s="640" t="s">
        <v>658</v>
      </c>
      <c r="I1" s="640"/>
      <c r="J1" s="640"/>
      <c r="K1" s="640"/>
      <c r="X1" s="639"/>
      <c r="Y1" s="639"/>
      <c r="Z1" s="639"/>
      <c r="AA1" s="639"/>
    </row>
    <row r="2" spans="1:27" x14ac:dyDescent="0.3">
      <c r="X2" s="639"/>
      <c r="Y2" s="815" t="s">
        <v>467</v>
      </c>
      <c r="Z2" s="816"/>
      <c r="AA2" s="817"/>
    </row>
    <row r="3" spans="1:27" ht="15" thickBot="1" x14ac:dyDescent="0.35">
      <c r="B3" t="s">
        <v>650</v>
      </c>
      <c r="X3" s="639"/>
      <c r="Y3" s="818"/>
      <c r="Z3" s="819"/>
      <c r="AA3" s="820"/>
    </row>
    <row r="4" spans="1:27" x14ac:dyDescent="0.3">
      <c r="B4" t="s">
        <v>649</v>
      </c>
      <c r="C4" t="s">
        <v>653</v>
      </c>
      <c r="D4" t="s">
        <v>651</v>
      </c>
    </row>
    <row r="5" spans="1:27" x14ac:dyDescent="0.3">
      <c r="A5" t="s">
        <v>481</v>
      </c>
      <c r="B5" s="639" t="s">
        <v>660</v>
      </c>
      <c r="C5" s="645">
        <v>30255.298097360443</v>
      </c>
      <c r="D5" s="646">
        <v>3076.0148503494565</v>
      </c>
    </row>
    <row r="6" spans="1:27" x14ac:dyDescent="0.3">
      <c r="A6" t="s">
        <v>654</v>
      </c>
      <c r="B6" t="s">
        <v>661</v>
      </c>
      <c r="C6" s="645">
        <v>28771.436313171984</v>
      </c>
      <c r="D6" s="644"/>
    </row>
    <row r="7" spans="1:27" x14ac:dyDescent="0.3">
      <c r="A7" t="s">
        <v>655</v>
      </c>
      <c r="B7" s="642" t="s">
        <v>662</v>
      </c>
      <c r="C7" s="645">
        <v>32359.075331581007</v>
      </c>
      <c r="D7" s="646">
        <v>3076.0148503494565</v>
      </c>
    </row>
    <row r="8" spans="1:27" x14ac:dyDescent="0.3">
      <c r="A8" t="s">
        <v>654</v>
      </c>
      <c r="B8" s="642" t="s">
        <v>663</v>
      </c>
      <c r="C8" s="645">
        <v>29312.013399597159</v>
      </c>
      <c r="D8" s="644"/>
    </row>
    <row r="9" spans="1:27" x14ac:dyDescent="0.3">
      <c r="A9" t="s">
        <v>482</v>
      </c>
      <c r="B9" s="642" t="s">
        <v>664</v>
      </c>
      <c r="C9" s="645">
        <v>29672.01594376058</v>
      </c>
      <c r="D9" s="646">
        <v>3855.1194723036378</v>
      </c>
    </row>
    <row r="10" spans="1:27" x14ac:dyDescent="0.3">
      <c r="A10" t="s">
        <v>479</v>
      </c>
      <c r="B10" s="642" t="s">
        <v>665</v>
      </c>
      <c r="C10" s="645">
        <v>30527.513002169602</v>
      </c>
      <c r="D10" s="646">
        <v>3076.0148503494565</v>
      </c>
    </row>
    <row r="14" spans="1:27" x14ac:dyDescent="0.3">
      <c r="B14" t="s">
        <v>652</v>
      </c>
      <c r="C14" t="s">
        <v>653</v>
      </c>
      <c r="D14" t="s">
        <v>657</v>
      </c>
    </row>
    <row r="15" spans="1:27" x14ac:dyDescent="0.3">
      <c r="A15" t="s">
        <v>481</v>
      </c>
      <c r="B15" s="639" t="s">
        <v>660</v>
      </c>
      <c r="C15" s="645">
        <v>31268.114536517762</v>
      </c>
      <c r="D15" s="647">
        <v>198.50531656903331</v>
      </c>
      <c r="F15" s="648"/>
    </row>
    <row r="16" spans="1:27" x14ac:dyDescent="0.3">
      <c r="A16" t="s">
        <v>655</v>
      </c>
      <c r="B16" t="s">
        <v>662</v>
      </c>
      <c r="C16" s="645">
        <v>30653.328764805123</v>
      </c>
      <c r="D16" s="647">
        <v>198.50531656903331</v>
      </c>
      <c r="E16" s="642"/>
      <c r="F16" s="648"/>
      <c r="G16" s="642"/>
    </row>
    <row r="17" spans="1:6" x14ac:dyDescent="0.3">
      <c r="A17" t="s">
        <v>482</v>
      </c>
      <c r="B17" t="s">
        <v>664</v>
      </c>
      <c r="C17" s="645">
        <v>30926.223664189609</v>
      </c>
      <c r="D17" s="647">
        <v>198.50531656903331</v>
      </c>
      <c r="F17" s="648"/>
    </row>
    <row r="18" spans="1:6" x14ac:dyDescent="0.3">
      <c r="A18" t="s">
        <v>479</v>
      </c>
      <c r="B18" t="s">
        <v>665</v>
      </c>
      <c r="C18" s="645">
        <v>31434.524577098422</v>
      </c>
      <c r="D18" s="647">
        <v>198.50531656903331</v>
      </c>
      <c r="F18" s="648"/>
    </row>
    <row r="21" spans="1:6" x14ac:dyDescent="0.3">
      <c r="B21" s="639" t="s">
        <v>656</v>
      </c>
      <c r="C21" s="639" t="s">
        <v>653</v>
      </c>
      <c r="D21" t="s">
        <v>651</v>
      </c>
      <c r="E21" s="639" t="s">
        <v>657</v>
      </c>
    </row>
    <row r="22" spans="1:6" x14ac:dyDescent="0.3">
      <c r="B22" s="639" t="s">
        <v>660</v>
      </c>
      <c r="C22" s="645">
        <f>SUM(C5,C16)</f>
        <v>60908.626862165562</v>
      </c>
      <c r="D22" s="646">
        <f>SUM(D5)</f>
        <v>3076.0148503494565</v>
      </c>
      <c r="E22" s="647">
        <f>D17</f>
        <v>198.50531656903331</v>
      </c>
    </row>
    <row r="23" spans="1:6" x14ac:dyDescent="0.3">
      <c r="B23" s="639" t="s">
        <v>662</v>
      </c>
      <c r="C23" s="645">
        <f>SUM(C7,C16)</f>
        <v>63012.404096386133</v>
      </c>
      <c r="D23" s="646">
        <f>SUM(D7)</f>
        <v>3076.0148503494565</v>
      </c>
      <c r="E23" s="647">
        <f>D16</f>
        <v>198.50531656903331</v>
      </c>
    </row>
    <row r="24" spans="1:6" x14ac:dyDescent="0.3">
      <c r="B24" s="639" t="s">
        <v>664</v>
      </c>
      <c r="C24" s="645">
        <f>SUM(C9,C17)</f>
        <v>60598.239607950192</v>
      </c>
      <c r="D24" s="646">
        <f>SUM(D9)</f>
        <v>3855.1194723036378</v>
      </c>
      <c r="E24" s="647">
        <f t="shared" ref="E24" si="0">D18</f>
        <v>198.50531656903331</v>
      </c>
    </row>
    <row r="25" spans="1:6" x14ac:dyDescent="0.3">
      <c r="B25" s="639" t="s">
        <v>665</v>
      </c>
      <c r="C25" s="645">
        <f>SUM(C10,C18)</f>
        <v>61962.037579268028</v>
      </c>
      <c r="D25" s="646">
        <f>SUM(D10)</f>
        <v>3076.0148503494565</v>
      </c>
      <c r="E25" s="647">
        <f>D15</f>
        <v>198.50531656903331</v>
      </c>
    </row>
  </sheetData>
  <mergeCells count="1">
    <mergeCell ref="Y2:AA3"/>
  </mergeCells>
  <hyperlinks>
    <hyperlink ref="Y2:AA3" location="'Table of Contents'!A1" display="Back to Table of Contents" xr:uid="{C049E0FF-B2BA-42E9-851F-109C2992FEFD}"/>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tint="0.39997558519241921"/>
  </sheetPr>
  <dimension ref="A1:AR294"/>
  <sheetViews>
    <sheetView topLeftCell="W143" zoomScale="85" zoomScaleNormal="85" workbookViewId="0">
      <selection activeCell="AF129" sqref="AF129:AL177"/>
    </sheetView>
  </sheetViews>
  <sheetFormatPr defaultColWidth="15.21875" defaultRowHeight="15" customHeight="1" x14ac:dyDescent="0.3"/>
  <cols>
    <col min="1" max="1" width="44.44140625" customWidth="1"/>
    <col min="2" max="2" width="11.44140625" customWidth="1"/>
    <col min="3" max="14" width="13" customWidth="1"/>
    <col min="15" max="31" width="7.5546875" customWidth="1"/>
    <col min="32" max="40" width="16.44140625" customWidth="1"/>
    <col min="41" max="42" width="7.5546875" customWidth="1"/>
    <col min="43" max="43" width="12.44140625" customWidth="1"/>
  </cols>
  <sheetData>
    <row r="1" spans="1:43" s="184" customFormat="1" ht="23.4" customHeight="1" thickBot="1" x14ac:dyDescent="0.45">
      <c r="A1" s="115" t="s">
        <v>32</v>
      </c>
      <c r="B1" s="115"/>
      <c r="C1" s="115"/>
      <c r="D1" s="115"/>
      <c r="J1" s="237" t="s">
        <v>239</v>
      </c>
      <c r="K1" s="218"/>
      <c r="L1" s="224"/>
    </row>
    <row r="2" spans="1:43" ht="14.4" customHeight="1" x14ac:dyDescent="0.3">
      <c r="A2" s="833" t="s">
        <v>238</v>
      </c>
      <c r="B2" s="833"/>
      <c r="C2" s="833"/>
      <c r="D2" s="833"/>
      <c r="E2" s="833"/>
      <c r="F2" s="833"/>
      <c r="G2" s="833"/>
      <c r="H2" s="833"/>
      <c r="I2" s="219"/>
      <c r="J2" s="239" t="s">
        <v>240</v>
      </c>
      <c r="L2" s="239" t="s">
        <v>241</v>
      </c>
      <c r="M2" s="219"/>
      <c r="N2" s="219"/>
      <c r="O2" s="815" t="s">
        <v>467</v>
      </c>
      <c r="P2" s="816"/>
      <c r="Q2" s="817"/>
      <c r="AF2" s="2"/>
      <c r="AG2" s="2"/>
      <c r="AH2" s="2"/>
      <c r="AI2" s="2"/>
      <c r="AJ2" s="2"/>
      <c r="AK2" s="2"/>
      <c r="AL2" s="2"/>
      <c r="AM2" s="2"/>
      <c r="AN2" s="2"/>
      <c r="AQ2" s="2"/>
    </row>
    <row r="3" spans="1:43" s="184" customFormat="1" thickBot="1" x14ac:dyDescent="0.35">
      <c r="A3" s="833"/>
      <c r="B3" s="833"/>
      <c r="C3" s="833"/>
      <c r="D3" s="833"/>
      <c r="E3" s="833"/>
      <c r="F3" s="833"/>
      <c r="G3" s="833"/>
      <c r="H3" s="833"/>
      <c r="I3" s="219"/>
      <c r="J3" s="239" t="s">
        <v>242</v>
      </c>
      <c r="L3" s="239" t="s">
        <v>243</v>
      </c>
      <c r="M3" s="219"/>
      <c r="N3" s="219"/>
      <c r="O3" s="818"/>
      <c r="P3" s="819"/>
      <c r="Q3" s="820"/>
      <c r="AF3" s="5"/>
      <c r="AG3" s="5"/>
      <c r="AH3" s="5"/>
      <c r="AI3" s="5"/>
      <c r="AJ3" s="5"/>
      <c r="AK3" s="5"/>
      <c r="AL3" s="5"/>
      <c r="AM3" s="5"/>
      <c r="AN3" s="5"/>
      <c r="AQ3" s="5"/>
    </row>
    <row r="4" spans="1:43" s="184" customFormat="1" ht="14.4" x14ac:dyDescent="0.3">
      <c r="A4" s="833"/>
      <c r="B4" s="833"/>
      <c r="C4" s="833"/>
      <c r="D4" s="833"/>
      <c r="E4" s="833"/>
      <c r="F4" s="833"/>
      <c r="G4" s="833"/>
      <c r="H4" s="833"/>
      <c r="I4" s="219"/>
      <c r="J4" s="239" t="s">
        <v>247</v>
      </c>
      <c r="L4" s="239" t="s">
        <v>248</v>
      </c>
      <c r="M4" s="219"/>
      <c r="N4" s="219"/>
      <c r="AF4" s="5"/>
      <c r="AG4" s="5"/>
      <c r="AH4" s="5"/>
      <c r="AI4" s="5"/>
      <c r="AJ4" s="5"/>
      <c r="AK4" s="5"/>
      <c r="AL4" s="5"/>
      <c r="AM4" s="5"/>
      <c r="AN4" s="5"/>
      <c r="AQ4" s="5"/>
    </row>
    <row r="5" spans="1:43" ht="14.4" x14ac:dyDescent="0.3">
      <c r="A5" s="833"/>
      <c r="B5" s="833"/>
      <c r="C5" s="833"/>
      <c r="D5" s="833"/>
      <c r="E5" s="833"/>
      <c r="F5" s="833"/>
      <c r="G5" s="833"/>
      <c r="H5" s="833"/>
      <c r="I5" s="219"/>
      <c r="J5" s="239" t="s">
        <v>244</v>
      </c>
      <c r="L5" s="239" t="s">
        <v>245</v>
      </c>
      <c r="M5" s="219"/>
      <c r="N5" s="219"/>
      <c r="AF5" s="2"/>
      <c r="AG5" s="2"/>
      <c r="AH5" s="2"/>
      <c r="AI5" s="2"/>
      <c r="AJ5" s="2"/>
      <c r="AK5" s="2"/>
      <c r="AL5" s="2"/>
      <c r="AM5" s="2"/>
      <c r="AN5" s="2"/>
      <c r="AQ5" s="2"/>
    </row>
    <row r="6" spans="1:43" ht="18.75" customHeight="1" x14ac:dyDescent="0.3">
      <c r="A6" s="27" t="s">
        <v>13</v>
      </c>
      <c r="B6" s="2"/>
      <c r="C6" s="2"/>
      <c r="D6" s="2"/>
      <c r="E6" s="2"/>
      <c r="F6" s="2"/>
      <c r="G6" s="2"/>
      <c r="H6" s="2"/>
      <c r="I6" s="249"/>
      <c r="J6" s="239" t="s">
        <v>286</v>
      </c>
      <c r="K6" s="239"/>
      <c r="L6" s="239" t="s">
        <v>287</v>
      </c>
      <c r="M6" s="231"/>
      <c r="N6" s="2"/>
      <c r="AF6" s="2"/>
      <c r="AG6" s="2"/>
      <c r="AH6" s="2"/>
      <c r="AI6" s="2"/>
      <c r="AJ6" s="2"/>
      <c r="AK6" s="2"/>
      <c r="AL6" s="2"/>
      <c r="AM6" s="2"/>
      <c r="AN6" s="2"/>
      <c r="AQ6" s="2"/>
    </row>
    <row r="7" spans="1:43" ht="18" x14ac:dyDescent="0.35">
      <c r="A7" s="2"/>
      <c r="B7" s="2"/>
      <c r="C7" s="5"/>
      <c r="D7" s="5"/>
      <c r="E7" s="5"/>
      <c r="F7" s="28"/>
      <c r="G7" s="2"/>
      <c r="H7" s="2"/>
      <c r="I7" s="2"/>
      <c r="J7" s="2"/>
      <c r="K7" s="2"/>
      <c r="L7" s="2"/>
      <c r="M7" s="2"/>
      <c r="N7" s="2"/>
      <c r="AF7" s="131" t="s">
        <v>31</v>
      </c>
      <c r="AG7" s="2"/>
      <c r="AH7" s="2"/>
      <c r="AI7" s="2"/>
      <c r="AJ7" s="2"/>
      <c r="AK7" s="2"/>
      <c r="AL7" s="2"/>
      <c r="AM7" s="2"/>
      <c r="AN7" s="2"/>
      <c r="AQ7" s="2"/>
    </row>
    <row r="8" spans="1:43" ht="19.5" customHeight="1" x14ac:dyDescent="0.3">
      <c r="B8" s="2"/>
      <c r="C8" s="2"/>
      <c r="D8" s="2"/>
      <c r="E8" s="2"/>
      <c r="F8" s="2"/>
      <c r="G8" s="2"/>
      <c r="H8" s="2"/>
      <c r="I8" s="2"/>
      <c r="J8" s="2"/>
      <c r="K8" s="2"/>
      <c r="L8" s="2"/>
      <c r="M8" s="2"/>
      <c r="N8" s="2"/>
      <c r="AF8" s="2"/>
      <c r="AG8" s="2"/>
      <c r="AH8" s="2"/>
      <c r="AI8" s="2"/>
      <c r="AJ8" s="2"/>
      <c r="AK8" s="2"/>
      <c r="AL8" s="2"/>
      <c r="AM8" s="2"/>
      <c r="AN8" s="2"/>
      <c r="AQ8" s="2"/>
    </row>
    <row r="9" spans="1:43" ht="16.5" customHeight="1" x14ac:dyDescent="0.3">
      <c r="A9" s="29" t="s">
        <v>33</v>
      </c>
      <c r="B9" s="2"/>
      <c r="C9" s="856" t="s">
        <v>34</v>
      </c>
      <c r="D9" s="857"/>
      <c r="E9" s="858"/>
      <c r="F9" s="859" t="s">
        <v>29</v>
      </c>
      <c r="G9" s="857"/>
      <c r="H9" s="858"/>
      <c r="I9" s="860" t="s">
        <v>35</v>
      </c>
      <c r="J9" s="857"/>
      <c r="K9" s="858"/>
      <c r="L9" s="861" t="s">
        <v>36</v>
      </c>
      <c r="M9" s="858"/>
      <c r="N9" s="5"/>
      <c r="AF9" s="856" t="s">
        <v>34</v>
      </c>
      <c r="AG9" s="857"/>
      <c r="AH9" s="858"/>
      <c r="AI9" s="859" t="s">
        <v>29</v>
      </c>
      <c r="AJ9" s="857"/>
      <c r="AK9" s="858"/>
      <c r="AL9" s="860" t="s">
        <v>35</v>
      </c>
      <c r="AM9" s="857"/>
      <c r="AN9" s="858"/>
      <c r="AO9" s="861" t="s">
        <v>36</v>
      </c>
      <c r="AP9" s="858"/>
      <c r="AQ9" s="5"/>
    </row>
    <row r="10" spans="1:43" ht="129" customHeight="1" x14ac:dyDescent="0.3">
      <c r="A10" s="29" t="s">
        <v>37</v>
      </c>
      <c r="B10" s="2"/>
      <c r="C10" s="127" t="str">
        <f t="array" ref="C10:M10">TRANSPOSE(A11:A21)</f>
        <v>Based on ETP 2016, URBAN 6 DS + Non-motorized Travel Adjustment</v>
      </c>
      <c r="D10" s="128" t="str">
        <v>Based on ICCT, 2012, "Global Transportation Roadmap Model" + Non-motorized Travel Adjustment</v>
      </c>
      <c r="E10" s="129" t="str">
        <v>[Source 3 - Base]</v>
      </c>
      <c r="F10" s="127" t="str">
        <v>Based on ETP 2016, URBAN 4 DS + Non-motorized Travel Adjustment</v>
      </c>
      <c r="G10" s="128" t="str">
        <v>Based on ITDP/UC Davis (2014)  'A Global High Shift Scenario' Updated Report Data - Baseline Scenario</v>
      </c>
      <c r="H10" s="129" t="str">
        <v>[Source 3 - Conservative]</v>
      </c>
      <c r="I10" s="127" t="str">
        <v>Based on ETP 2016, URBAN 2 DS + Non-motorized Travel Adjustment</v>
      </c>
      <c r="J10" s="128" t="str">
        <v>Based on ITDP/UC Davis (2014)  'A Global High Shift Scenario' Updated Report Data - HighShift Scenario</v>
      </c>
      <c r="K10" s="129" t="str">
        <v>[Source 3 - Ambitious]</v>
      </c>
      <c r="L10" s="127" t="str">
        <v>[Source 1 - Maximum]</v>
      </c>
      <c r="M10" s="129" t="str">
        <v>[Source 2 - Maximum]</v>
      </c>
      <c r="N10" s="130" t="s">
        <v>43</v>
      </c>
      <c r="AF10" s="127" t="str">
        <f t="shared" ref="AF10:AP10" si="0">C10</f>
        <v>Based on ETP 2016, URBAN 6 DS + Non-motorized Travel Adjustment</v>
      </c>
      <c r="AG10" s="128" t="str">
        <f t="shared" si="0"/>
        <v>Based on ICCT, 2012, "Global Transportation Roadmap Model" + Non-motorized Travel Adjustment</v>
      </c>
      <c r="AH10" s="129" t="str">
        <f t="shared" si="0"/>
        <v>[Source 3 - Base]</v>
      </c>
      <c r="AI10" s="127" t="str">
        <f t="shared" si="0"/>
        <v>Based on ETP 2016, URBAN 4 DS + Non-motorized Travel Adjustment</v>
      </c>
      <c r="AJ10" s="128" t="str">
        <f t="shared" si="0"/>
        <v>Based on ITDP/UC Davis (2014)  'A Global High Shift Scenario' Updated Report Data - Baseline Scenario</v>
      </c>
      <c r="AK10" s="129" t="str">
        <f t="shared" si="0"/>
        <v>[Source 3 - Conservative]</v>
      </c>
      <c r="AL10" s="127" t="str">
        <f t="shared" si="0"/>
        <v>Based on ETP 2016, URBAN 2 DS + Non-motorized Travel Adjustment</v>
      </c>
      <c r="AM10" s="128" t="str">
        <f t="shared" si="0"/>
        <v>Based on ITDP/UC Davis (2014)  'A Global High Shift Scenario' Updated Report Data - HighShift Scenario</v>
      </c>
      <c r="AN10" s="129" t="str">
        <f t="shared" si="0"/>
        <v>[Source 3 - Ambitious]</v>
      </c>
      <c r="AO10" s="127" t="str">
        <f t="shared" si="0"/>
        <v>[Source 1 - Maximum]</v>
      </c>
      <c r="AP10" s="129" t="str">
        <f t="shared" si="0"/>
        <v>[Source 2 - Maximum]</v>
      </c>
      <c r="AQ10" s="130" t="s">
        <v>43</v>
      </c>
    </row>
    <row r="11" spans="1:43" ht="30" customHeight="1" x14ac:dyDescent="0.3">
      <c r="A11" s="240" t="s">
        <v>146</v>
      </c>
      <c r="B11" s="37">
        <v>2012</v>
      </c>
      <c r="C11" s="804">
        <f>'Interp-URBAN'!I341</f>
        <v>27148.917558478621</v>
      </c>
      <c r="D11" s="805">
        <f>'Interp-URBAN'!I146</f>
        <v>25197.396149406602</v>
      </c>
      <c r="E11" s="575"/>
      <c r="F11" s="804">
        <f>'Interp-URBAN'!I276</f>
        <v>27086.261885839209</v>
      </c>
      <c r="G11" s="805">
        <f>'Interp-URBAN'!H16</f>
        <v>25062.116216327271</v>
      </c>
      <c r="H11" s="575"/>
      <c r="I11" s="804">
        <f>'Interp-URBAN'!I341</f>
        <v>27148.917558478621</v>
      </c>
      <c r="J11" s="805">
        <f>'Interp-URBAN'!H81</f>
        <v>24276.538149103777</v>
      </c>
      <c r="K11" s="268"/>
      <c r="L11" s="42"/>
      <c r="M11" s="41"/>
      <c r="N11" s="126" t="s">
        <v>140</v>
      </c>
      <c r="AE11" s="37">
        <v>2012</v>
      </c>
      <c r="AF11" s="779">
        <f t="shared" ref="AF11:AP11" si="1">IF(C11&lt;&gt;"",C11*10^9,"")</f>
        <v>27148917558478.621</v>
      </c>
      <c r="AG11" s="780">
        <f t="shared" si="1"/>
        <v>25197396149406.602</v>
      </c>
      <c r="AH11" s="40" t="str">
        <f t="shared" si="1"/>
        <v/>
      </c>
      <c r="AI11" s="779">
        <f t="shared" si="1"/>
        <v>27086261885839.207</v>
      </c>
      <c r="AJ11" s="780">
        <f t="shared" si="1"/>
        <v>25062116216327.27</v>
      </c>
      <c r="AK11" s="40" t="str">
        <f t="shared" si="1"/>
        <v/>
      </c>
      <c r="AL11" s="779">
        <f t="shared" si="1"/>
        <v>27148917558478.621</v>
      </c>
      <c r="AM11" s="780">
        <f t="shared" si="1"/>
        <v>24276538149103.777</v>
      </c>
      <c r="AN11" s="41" t="str">
        <f t="shared" si="1"/>
        <v/>
      </c>
      <c r="AO11" s="42" t="str">
        <f t="shared" si="1"/>
        <v/>
      </c>
      <c r="AP11" s="41" t="str">
        <f t="shared" si="1"/>
        <v/>
      </c>
      <c r="AQ11" s="5" t="s">
        <v>44</v>
      </c>
    </row>
    <row r="12" spans="1:43" ht="39.6" customHeight="1" x14ac:dyDescent="0.3">
      <c r="A12" s="241" t="s">
        <v>147</v>
      </c>
      <c r="B12" s="37">
        <v>2013</v>
      </c>
      <c r="C12" s="804">
        <f>'Interp-URBAN'!I342</f>
        <v>27951.273373794513</v>
      </c>
      <c r="D12" s="805">
        <f>'Interp-URBAN'!I147</f>
        <v>26470.676015728113</v>
      </c>
      <c r="E12" s="575"/>
      <c r="F12" s="804">
        <f>'Interp-URBAN'!I277</f>
        <v>27897.823320954314</v>
      </c>
      <c r="G12" s="805">
        <f>'Interp-URBAN'!H17</f>
        <v>25572.202180921369</v>
      </c>
      <c r="H12" s="575"/>
      <c r="I12" s="804">
        <f>'Interp-URBAN'!I342</f>
        <v>27951.273373794513</v>
      </c>
      <c r="J12" s="805">
        <f>'Interp-URBAN'!H82</f>
        <v>24828.092325866157</v>
      </c>
      <c r="K12" s="268"/>
      <c r="L12" s="42"/>
      <c r="M12" s="41"/>
      <c r="N12" s="126" t="s">
        <v>140</v>
      </c>
      <c r="AE12" s="37">
        <v>2013</v>
      </c>
      <c r="AF12" s="779">
        <f t="shared" ref="AF12:AP12" si="2">IF(C12&lt;&gt;"",C12*10^9,"")</f>
        <v>27951273373794.512</v>
      </c>
      <c r="AG12" s="780">
        <f t="shared" si="2"/>
        <v>26470676015728.113</v>
      </c>
      <c r="AH12" s="40" t="str">
        <f t="shared" si="2"/>
        <v/>
      </c>
      <c r="AI12" s="779">
        <f t="shared" si="2"/>
        <v>27897823320954.313</v>
      </c>
      <c r="AJ12" s="780">
        <f t="shared" si="2"/>
        <v>25572202180921.371</v>
      </c>
      <c r="AK12" s="40" t="str">
        <f t="shared" si="2"/>
        <v/>
      </c>
      <c r="AL12" s="779">
        <f t="shared" si="2"/>
        <v>27951273373794.512</v>
      </c>
      <c r="AM12" s="780">
        <f t="shared" si="2"/>
        <v>24828092325866.156</v>
      </c>
      <c r="AN12" s="41" t="str">
        <f t="shared" si="2"/>
        <v/>
      </c>
      <c r="AO12" s="42" t="str">
        <f t="shared" si="2"/>
        <v/>
      </c>
      <c r="AP12" s="41" t="str">
        <f t="shared" si="2"/>
        <v/>
      </c>
      <c r="AQ12" s="5" t="s">
        <v>44</v>
      </c>
    </row>
    <row r="13" spans="1:43" ht="15.75" customHeight="1" thickBot="1" x14ac:dyDescent="0.35">
      <c r="A13" s="242" t="s">
        <v>38</v>
      </c>
      <c r="B13" s="37">
        <v>2014</v>
      </c>
      <c r="C13" s="804">
        <f>'Interp-URBAN'!I343</f>
        <v>28921.684129750403</v>
      </c>
      <c r="D13" s="805">
        <f>'Interp-URBAN'!I148</f>
        <v>27959.983510218601</v>
      </c>
      <c r="E13" s="575"/>
      <c r="F13" s="804">
        <f>'Interp-URBAN'!I278</f>
        <v>28871.978167523779</v>
      </c>
      <c r="G13" s="805">
        <f>'Interp-URBAN'!H18</f>
        <v>26257.110974610277</v>
      </c>
      <c r="H13" s="575"/>
      <c r="I13" s="804">
        <f>'Interp-URBAN'!I343</f>
        <v>28921.684129750403</v>
      </c>
      <c r="J13" s="805">
        <f>'Interp-URBAN'!H83</f>
        <v>25544.007483288988</v>
      </c>
      <c r="K13" s="269"/>
      <c r="L13" s="50"/>
      <c r="M13" s="49"/>
      <c r="N13" s="126" t="s">
        <v>140</v>
      </c>
      <c r="AE13" s="37">
        <v>2014</v>
      </c>
      <c r="AF13" s="783">
        <f t="shared" ref="AF13:AP13" si="3">IF(C13&lt;&gt;"",C13*10^9,"")</f>
        <v>28921684129750.402</v>
      </c>
      <c r="AG13" s="782">
        <f t="shared" si="3"/>
        <v>27959983510218.602</v>
      </c>
      <c r="AH13" s="47" t="str">
        <f t="shared" si="3"/>
        <v/>
      </c>
      <c r="AI13" s="781">
        <f t="shared" si="3"/>
        <v>28871978167523.777</v>
      </c>
      <c r="AJ13" s="782">
        <f t="shared" si="3"/>
        <v>26257110974610.277</v>
      </c>
      <c r="AK13" s="47" t="str">
        <f t="shared" si="3"/>
        <v/>
      </c>
      <c r="AL13" s="781">
        <f t="shared" si="3"/>
        <v>28921684129750.402</v>
      </c>
      <c r="AM13" s="782">
        <f t="shared" si="3"/>
        <v>25544007483288.988</v>
      </c>
      <c r="AN13" s="49" t="str">
        <f t="shared" si="3"/>
        <v/>
      </c>
      <c r="AO13" s="50" t="str">
        <f t="shared" si="3"/>
        <v/>
      </c>
      <c r="AP13" s="49" t="str">
        <f t="shared" si="3"/>
        <v/>
      </c>
      <c r="AQ13" s="5" t="s">
        <v>44</v>
      </c>
    </row>
    <row r="14" spans="1:43" ht="30" customHeight="1" x14ac:dyDescent="0.3">
      <c r="A14" s="240" t="s">
        <v>148</v>
      </c>
      <c r="B14" s="37">
        <v>2015</v>
      </c>
      <c r="C14" s="804">
        <f>'Interp-URBAN'!I344</f>
        <v>29769.169984985845</v>
      </c>
      <c r="D14" s="805">
        <f>'Interp-URBAN'!I149</f>
        <v>29253.14445237325</v>
      </c>
      <c r="E14" s="575"/>
      <c r="F14" s="804">
        <f>'Interp-URBAN'!I279</f>
        <v>29718.414135314939</v>
      </c>
      <c r="G14" s="805">
        <f>'Interp-URBAN'!H19</f>
        <v>26671.808826913842</v>
      </c>
      <c r="H14" s="575"/>
      <c r="I14" s="804">
        <f>'Interp-URBAN'!I344</f>
        <v>29769.169984985845</v>
      </c>
      <c r="J14" s="805">
        <f>'Interp-URBAN'!H84</f>
        <v>25924.21753256493</v>
      </c>
      <c r="K14" s="268"/>
      <c r="L14" s="42"/>
      <c r="M14" s="41"/>
      <c r="N14" s="126" t="s">
        <v>140</v>
      </c>
      <c r="AE14" s="37">
        <v>2015</v>
      </c>
      <c r="AF14" s="779">
        <f t="shared" ref="AF14:AP14" si="4">IF(C14&lt;&gt;"",C14*10^9,"")</f>
        <v>29769169984985.844</v>
      </c>
      <c r="AG14" s="780">
        <f t="shared" si="4"/>
        <v>29253144452373.25</v>
      </c>
      <c r="AH14" s="40" t="str">
        <f t="shared" si="4"/>
        <v/>
      </c>
      <c r="AI14" s="779">
        <f t="shared" si="4"/>
        <v>29718414135314.938</v>
      </c>
      <c r="AJ14" s="780">
        <f t="shared" si="4"/>
        <v>26671808826913.844</v>
      </c>
      <c r="AK14" s="40" t="str">
        <f t="shared" si="4"/>
        <v/>
      </c>
      <c r="AL14" s="779">
        <f t="shared" si="4"/>
        <v>29769169984985.844</v>
      </c>
      <c r="AM14" s="780">
        <f t="shared" si="4"/>
        <v>25924217532564.93</v>
      </c>
      <c r="AN14" s="41" t="str">
        <f t="shared" si="4"/>
        <v/>
      </c>
      <c r="AO14" s="42" t="str">
        <f t="shared" si="4"/>
        <v/>
      </c>
      <c r="AP14" s="41" t="str">
        <f t="shared" si="4"/>
        <v/>
      </c>
      <c r="AQ14" s="5" t="s">
        <v>44</v>
      </c>
    </row>
    <row r="15" spans="1:43" ht="43.5" customHeight="1" x14ac:dyDescent="0.3">
      <c r="A15" s="243" t="s">
        <v>149</v>
      </c>
      <c r="B15" s="37">
        <v>2016</v>
      </c>
      <c r="C15" s="804">
        <f>'Interp-URBAN'!I345</f>
        <v>30563.697925947225</v>
      </c>
      <c r="D15" s="805">
        <f>'Interp-URBAN'!I150</f>
        <v>30480.801422126187</v>
      </c>
      <c r="E15" s="575"/>
      <c r="F15" s="804">
        <f>'Interp-URBAN'!I280</f>
        <v>30506.823730623004</v>
      </c>
      <c r="G15" s="805">
        <f>'Interp-URBAN'!H20</f>
        <v>27343.605707521223</v>
      </c>
      <c r="H15" s="575"/>
      <c r="I15" s="804">
        <f>'Interp-URBAN'!I345</f>
        <v>30563.697925947225</v>
      </c>
      <c r="J15" s="805">
        <f>'Interp-URBAN'!H85</f>
        <v>26684.047001466148</v>
      </c>
      <c r="K15" s="268"/>
      <c r="L15" s="42"/>
      <c r="M15" s="41"/>
      <c r="N15" s="126" t="s">
        <v>140</v>
      </c>
      <c r="AE15" s="37">
        <v>2016</v>
      </c>
      <c r="AF15" s="779">
        <f t="shared" ref="AF15:AP15" si="5">IF(C15&lt;&gt;"",C15*10^9,"")</f>
        <v>30563697925947.223</v>
      </c>
      <c r="AG15" s="780">
        <f t="shared" si="5"/>
        <v>30480801422126.188</v>
      </c>
      <c r="AH15" s="40" t="str">
        <f t="shared" si="5"/>
        <v/>
      </c>
      <c r="AI15" s="779">
        <f t="shared" si="5"/>
        <v>30506823730623.004</v>
      </c>
      <c r="AJ15" s="780">
        <f t="shared" si="5"/>
        <v>27343605707521.223</v>
      </c>
      <c r="AK15" s="40" t="str">
        <f t="shared" si="5"/>
        <v/>
      </c>
      <c r="AL15" s="779">
        <f t="shared" si="5"/>
        <v>30563697925947.223</v>
      </c>
      <c r="AM15" s="780">
        <f t="shared" si="5"/>
        <v>26684047001466.148</v>
      </c>
      <c r="AN15" s="41" t="str">
        <f t="shared" si="5"/>
        <v/>
      </c>
      <c r="AO15" s="42" t="str">
        <f t="shared" si="5"/>
        <v/>
      </c>
      <c r="AP15" s="41" t="str">
        <f t="shared" si="5"/>
        <v/>
      </c>
      <c r="AQ15" s="5" t="s">
        <v>44</v>
      </c>
    </row>
    <row r="16" spans="1:43" ht="15.75" customHeight="1" x14ac:dyDescent="0.3">
      <c r="A16" s="242" t="s">
        <v>39</v>
      </c>
      <c r="B16" s="37">
        <v>2017</v>
      </c>
      <c r="C16" s="804">
        <f>'Interp-URBAN'!I346</f>
        <v>31391.186436887347</v>
      </c>
      <c r="D16" s="805">
        <f>'Interp-URBAN'!I151</f>
        <v>31732.605000435175</v>
      </c>
      <c r="E16" s="575"/>
      <c r="F16" s="804">
        <f>'Interp-URBAN'!I281</f>
        <v>31323.182507389556</v>
      </c>
      <c r="G16" s="805">
        <f>'Interp-URBAN'!H21</f>
        <v>27903.486168533793</v>
      </c>
      <c r="H16" s="575"/>
      <c r="I16" s="804">
        <f>'Interp-URBAN'!I346</f>
        <v>31391.186436887347</v>
      </c>
      <c r="J16" s="805">
        <f>'Interp-URBAN'!H86</f>
        <v>27262.086199436795</v>
      </c>
      <c r="K16" s="269"/>
      <c r="L16" s="50"/>
      <c r="M16" s="49"/>
      <c r="N16" s="126" t="s">
        <v>140</v>
      </c>
      <c r="AE16" s="37">
        <v>2017</v>
      </c>
      <c r="AF16" s="783">
        <f t="shared" ref="AF16:AP16" si="6">IF(C16&lt;&gt;"",C16*10^9,"")</f>
        <v>31391186436887.348</v>
      </c>
      <c r="AG16" s="782">
        <f t="shared" si="6"/>
        <v>31732605000435.176</v>
      </c>
      <c r="AH16" s="47" t="str">
        <f t="shared" si="6"/>
        <v/>
      </c>
      <c r="AI16" s="781">
        <f t="shared" si="6"/>
        <v>31323182507389.555</v>
      </c>
      <c r="AJ16" s="782">
        <f t="shared" si="6"/>
        <v>27903486168533.793</v>
      </c>
      <c r="AK16" s="47" t="str">
        <f t="shared" si="6"/>
        <v/>
      </c>
      <c r="AL16" s="781">
        <f t="shared" si="6"/>
        <v>31391186436887.348</v>
      </c>
      <c r="AM16" s="782">
        <f t="shared" si="6"/>
        <v>27262086199436.797</v>
      </c>
      <c r="AN16" s="49" t="str">
        <f t="shared" si="6"/>
        <v/>
      </c>
      <c r="AO16" s="50" t="str">
        <f t="shared" si="6"/>
        <v/>
      </c>
      <c r="AP16" s="49" t="str">
        <f t="shared" si="6"/>
        <v/>
      </c>
      <c r="AQ16" s="5" t="s">
        <v>44</v>
      </c>
    </row>
    <row r="17" spans="1:43" ht="30" customHeight="1" x14ac:dyDescent="0.3">
      <c r="A17" s="240" t="s">
        <v>150</v>
      </c>
      <c r="B17" s="37">
        <v>2018</v>
      </c>
      <c r="C17" s="804">
        <f>'Interp-URBAN'!I347</f>
        <v>32222.067867749436</v>
      </c>
      <c r="D17" s="805">
        <f>'Interp-URBAN'!I152</f>
        <v>32982.582466978674</v>
      </c>
      <c r="E17" s="575"/>
      <c r="F17" s="804">
        <f>'Interp-URBAN'!I282</f>
        <v>32137.979893579701</v>
      </c>
      <c r="G17" s="805">
        <f>'Interp-URBAN'!H22</f>
        <v>28473.808006326581</v>
      </c>
      <c r="H17" s="575"/>
      <c r="I17" s="804">
        <f>'Interp-URBAN'!I347</f>
        <v>32222.067867749436</v>
      </c>
      <c r="J17" s="805">
        <f>'Interp-URBAN'!H87</f>
        <v>27844.991324425369</v>
      </c>
      <c r="K17" s="268"/>
      <c r="L17" s="42"/>
      <c r="M17" s="41"/>
      <c r="N17" s="126" t="s">
        <v>140</v>
      </c>
      <c r="AE17" s="37">
        <v>2018</v>
      </c>
      <c r="AF17" s="779">
        <f t="shared" ref="AF17:AP17" si="7">IF(C17&lt;&gt;"",C17*10^9,"")</f>
        <v>32222067867749.438</v>
      </c>
      <c r="AG17" s="780">
        <f t="shared" si="7"/>
        <v>32982582466978.676</v>
      </c>
      <c r="AH17" s="40" t="str">
        <f t="shared" si="7"/>
        <v/>
      </c>
      <c r="AI17" s="779">
        <f t="shared" si="7"/>
        <v>32137979893579.699</v>
      </c>
      <c r="AJ17" s="780">
        <f t="shared" si="7"/>
        <v>28473808006326.582</v>
      </c>
      <c r="AK17" s="40" t="str">
        <f t="shared" si="7"/>
        <v/>
      </c>
      <c r="AL17" s="779">
        <f t="shared" si="7"/>
        <v>32222067867749.438</v>
      </c>
      <c r="AM17" s="780">
        <f t="shared" si="7"/>
        <v>27844991324425.371</v>
      </c>
      <c r="AN17" s="41" t="str">
        <f t="shared" si="7"/>
        <v/>
      </c>
      <c r="AO17" s="42" t="str">
        <f t="shared" si="7"/>
        <v/>
      </c>
      <c r="AP17" s="41" t="str">
        <f t="shared" si="7"/>
        <v/>
      </c>
      <c r="AQ17" s="5" t="s">
        <v>44</v>
      </c>
    </row>
    <row r="18" spans="1:43" ht="30" customHeight="1" x14ac:dyDescent="0.3">
      <c r="A18" s="243" t="s">
        <v>151</v>
      </c>
      <c r="B18" s="37">
        <v>2019</v>
      </c>
      <c r="C18" s="804">
        <f>'Interp-URBAN'!I348</f>
        <v>33055.461586535705</v>
      </c>
      <c r="D18" s="805">
        <f>'Interp-URBAN'!I153</f>
        <v>34233.245025620519</v>
      </c>
      <c r="E18" s="575"/>
      <c r="F18" s="804">
        <f>'Interp-URBAN'!I283</f>
        <v>32950.392746011981</v>
      </c>
      <c r="G18" s="805">
        <f>'Interp-URBAN'!H23</f>
        <v>29053.913888787734</v>
      </c>
      <c r="H18" s="575"/>
      <c r="I18" s="804">
        <f>'Interp-URBAN'!I348</f>
        <v>33055.461586535705</v>
      </c>
      <c r="J18" s="805">
        <f>'Interp-URBAN'!H88</f>
        <v>28432.23251883221</v>
      </c>
      <c r="K18" s="268"/>
      <c r="L18" s="42"/>
      <c r="M18" s="41"/>
      <c r="N18" s="126" t="s">
        <v>140</v>
      </c>
      <c r="AE18" s="37">
        <v>2019</v>
      </c>
      <c r="AF18" s="779">
        <f t="shared" ref="AF18:AP18" si="8">IF(C18&lt;&gt;"",C18*10^9,"")</f>
        <v>33055461586535.703</v>
      </c>
      <c r="AG18" s="780">
        <f t="shared" si="8"/>
        <v>34233245025620.52</v>
      </c>
      <c r="AH18" s="40" t="str">
        <f t="shared" si="8"/>
        <v/>
      </c>
      <c r="AI18" s="779">
        <f t="shared" si="8"/>
        <v>32950392746011.98</v>
      </c>
      <c r="AJ18" s="780">
        <f t="shared" si="8"/>
        <v>29053913888787.734</v>
      </c>
      <c r="AK18" s="40" t="str">
        <f t="shared" si="8"/>
        <v/>
      </c>
      <c r="AL18" s="779">
        <f t="shared" si="8"/>
        <v>33055461586535.703</v>
      </c>
      <c r="AM18" s="780">
        <f t="shared" si="8"/>
        <v>28432232518832.211</v>
      </c>
      <c r="AN18" s="41" t="str">
        <f t="shared" si="8"/>
        <v/>
      </c>
      <c r="AO18" s="42" t="str">
        <f t="shared" si="8"/>
        <v/>
      </c>
      <c r="AP18" s="41" t="str">
        <f t="shared" si="8"/>
        <v/>
      </c>
      <c r="AQ18" s="5" t="s">
        <v>44</v>
      </c>
    </row>
    <row r="19" spans="1:43" ht="15.75" customHeight="1" x14ac:dyDescent="0.3">
      <c r="A19" s="242" t="s">
        <v>40</v>
      </c>
      <c r="B19" s="37">
        <v>2020</v>
      </c>
      <c r="C19" s="804">
        <f>'Interp-URBAN'!I349</f>
        <v>33899.100977762006</v>
      </c>
      <c r="D19" s="805">
        <f>'Interp-URBAN'!I154</f>
        <v>35495.920316561693</v>
      </c>
      <c r="E19" s="575"/>
      <c r="F19" s="804">
        <f>'Interp-URBAN'!I284</f>
        <v>33768.201874763166</v>
      </c>
      <c r="G19" s="805">
        <f>'Interp-URBAN'!H24</f>
        <v>29519.115166791067</v>
      </c>
      <c r="H19" s="575"/>
      <c r="I19" s="804">
        <f>'Interp-URBAN'!I349</f>
        <v>33899.100977762006</v>
      </c>
      <c r="J19" s="805">
        <f>'Interp-URBAN'!H89</f>
        <v>28974.718674705251</v>
      </c>
      <c r="K19" s="269"/>
      <c r="L19" s="50"/>
      <c r="M19" s="49"/>
      <c r="N19" s="126" t="s">
        <v>140</v>
      </c>
      <c r="AE19" s="37">
        <v>2020</v>
      </c>
      <c r="AF19" s="783">
        <f t="shared" ref="AF19:AP19" si="9">IF(C19&lt;&gt;"",C19*10^9,"")</f>
        <v>33899100977762.004</v>
      </c>
      <c r="AG19" s="782">
        <f t="shared" si="9"/>
        <v>35495920316561.695</v>
      </c>
      <c r="AH19" s="47" t="str">
        <f t="shared" si="9"/>
        <v/>
      </c>
      <c r="AI19" s="781">
        <f t="shared" si="9"/>
        <v>33768201874763.168</v>
      </c>
      <c r="AJ19" s="782">
        <f t="shared" si="9"/>
        <v>29519115166791.066</v>
      </c>
      <c r="AK19" s="47" t="str">
        <f t="shared" si="9"/>
        <v/>
      </c>
      <c r="AL19" s="781">
        <f t="shared" si="9"/>
        <v>33899100977762.004</v>
      </c>
      <c r="AM19" s="782">
        <f t="shared" si="9"/>
        <v>28974718674705.25</v>
      </c>
      <c r="AN19" s="49" t="str">
        <f t="shared" si="9"/>
        <v/>
      </c>
      <c r="AO19" s="50" t="str">
        <f t="shared" si="9"/>
        <v/>
      </c>
      <c r="AP19" s="49" t="str">
        <f t="shared" si="9"/>
        <v/>
      </c>
      <c r="AQ19" s="5" t="s">
        <v>44</v>
      </c>
    </row>
    <row r="20" spans="1:43" ht="28.8" x14ac:dyDescent="0.3">
      <c r="A20" s="240" t="s">
        <v>41</v>
      </c>
      <c r="B20" s="37">
        <v>2021</v>
      </c>
      <c r="C20" s="804">
        <f>'Interp-URBAN'!I350</f>
        <v>34708.988171819488</v>
      </c>
      <c r="D20" s="805">
        <f>'Interp-URBAN'!I155</f>
        <v>36728.802179295119</v>
      </c>
      <c r="E20" s="575"/>
      <c r="F20" s="804">
        <f>'Interp-URBAN'!I285</f>
        <v>34547.589032950054</v>
      </c>
      <c r="G20" s="805">
        <f>'Interp-URBAN'!H25</f>
        <v>30224.359585247839</v>
      </c>
      <c r="H20" s="575"/>
      <c r="I20" s="804">
        <f>'Interp-URBAN'!I350</f>
        <v>34708.988171819488</v>
      </c>
      <c r="J20" s="805">
        <f>'Interp-URBAN'!H90</f>
        <v>29601.450095186025</v>
      </c>
      <c r="K20" s="268"/>
      <c r="L20" s="42"/>
      <c r="M20" s="41"/>
      <c r="N20" s="126" t="s">
        <v>140</v>
      </c>
      <c r="AE20" s="37">
        <v>2021</v>
      </c>
      <c r="AF20" s="779">
        <f t="shared" ref="AF20:AP20" si="10">IF(C20&lt;&gt;"",C20*10^9,"")</f>
        <v>34708988171819.488</v>
      </c>
      <c r="AG20" s="780">
        <f t="shared" si="10"/>
        <v>36728802179295.117</v>
      </c>
      <c r="AH20" s="40" t="str">
        <f t="shared" si="10"/>
        <v/>
      </c>
      <c r="AI20" s="779">
        <f t="shared" si="10"/>
        <v>34547589032950.055</v>
      </c>
      <c r="AJ20" s="780">
        <f t="shared" si="10"/>
        <v>30224359585247.84</v>
      </c>
      <c r="AK20" s="40" t="str">
        <f t="shared" si="10"/>
        <v/>
      </c>
      <c r="AL20" s="779">
        <f t="shared" si="10"/>
        <v>34708988171819.488</v>
      </c>
      <c r="AM20" s="780">
        <f t="shared" si="10"/>
        <v>29601450095186.023</v>
      </c>
      <c r="AN20" s="41" t="str">
        <f t="shared" si="10"/>
        <v/>
      </c>
      <c r="AO20" s="42" t="str">
        <f t="shared" si="10"/>
        <v/>
      </c>
      <c r="AP20" s="41" t="str">
        <f t="shared" si="10"/>
        <v/>
      </c>
      <c r="AQ20" s="5" t="s">
        <v>44</v>
      </c>
    </row>
    <row r="21" spans="1:43" ht="15.75" customHeight="1" x14ac:dyDescent="0.3">
      <c r="A21" s="244" t="s">
        <v>42</v>
      </c>
      <c r="B21" s="37">
        <v>2022</v>
      </c>
      <c r="C21" s="804">
        <f>'Interp-URBAN'!I351</f>
        <v>35522.947633184463</v>
      </c>
      <c r="D21" s="805">
        <f>'Interp-URBAN'!I156</f>
        <v>37974.35940747225</v>
      </c>
      <c r="E21" s="575"/>
      <c r="F21" s="804">
        <f>'Interp-URBAN'!I286</f>
        <v>35326.379044458496</v>
      </c>
      <c r="G21" s="805">
        <f>'Interp-URBAN'!H26</f>
        <v>30809.375494178155</v>
      </c>
      <c r="H21" s="575"/>
      <c r="I21" s="804">
        <f>'Interp-URBAN'!I351</f>
        <v>35522.947633184463</v>
      </c>
      <c r="J21" s="805">
        <f>'Interp-URBAN'!H91</f>
        <v>30178.43259248104</v>
      </c>
      <c r="K21" s="270"/>
      <c r="L21" s="58"/>
      <c r="M21" s="57"/>
      <c r="N21" s="126" t="s">
        <v>140</v>
      </c>
      <c r="AE21" s="37">
        <v>2022</v>
      </c>
      <c r="AF21" s="779">
        <f t="shared" ref="AF21:AP21" si="11">IF(C21&lt;&gt;"",C21*10^9,"")</f>
        <v>35522947633184.461</v>
      </c>
      <c r="AG21" s="784">
        <f t="shared" si="11"/>
        <v>37974359407472.25</v>
      </c>
      <c r="AH21" s="56" t="str">
        <f t="shared" si="11"/>
        <v/>
      </c>
      <c r="AI21" s="783">
        <f t="shared" si="11"/>
        <v>35326379044458.492</v>
      </c>
      <c r="AJ21" s="784">
        <f t="shared" si="11"/>
        <v>30809375494178.156</v>
      </c>
      <c r="AK21" s="56" t="str">
        <f t="shared" si="11"/>
        <v/>
      </c>
      <c r="AL21" s="783">
        <f t="shared" si="11"/>
        <v>35522947633184.461</v>
      </c>
      <c r="AM21" s="784">
        <f t="shared" si="11"/>
        <v>30178432592481.039</v>
      </c>
      <c r="AN21" s="57" t="str">
        <f t="shared" si="11"/>
        <v/>
      </c>
      <c r="AO21" s="58" t="str">
        <f t="shared" si="11"/>
        <v/>
      </c>
      <c r="AP21" s="57" t="str">
        <f t="shared" si="11"/>
        <v/>
      </c>
      <c r="AQ21" s="5" t="s">
        <v>44</v>
      </c>
    </row>
    <row r="22" spans="1:43" ht="28.8" x14ac:dyDescent="0.3">
      <c r="A22" s="2"/>
      <c r="B22" s="37">
        <v>2023</v>
      </c>
      <c r="C22" s="804">
        <f>'Interp-URBAN'!I352</f>
        <v>36334.14531369193</v>
      </c>
      <c r="D22" s="805">
        <f>'Interp-URBAN'!I157</f>
        <v>39229.597621773195</v>
      </c>
      <c r="E22" s="575"/>
      <c r="F22" s="804">
        <f>'Interp-URBAN'!I287</f>
        <v>36097.81078781718</v>
      </c>
      <c r="G22" s="805">
        <f>'Interp-URBAN'!H27</f>
        <v>31400.123632429288</v>
      </c>
      <c r="H22" s="575"/>
      <c r="I22" s="804">
        <f>'Interp-URBAN'!I352</f>
        <v>36334.14531369193</v>
      </c>
      <c r="J22" s="805">
        <f>'Interp-URBAN'!H92</f>
        <v>30756.23766011613</v>
      </c>
      <c r="K22" s="270"/>
      <c r="L22" s="58"/>
      <c r="M22" s="57"/>
      <c r="N22" s="126" t="s">
        <v>140</v>
      </c>
      <c r="AE22" s="37">
        <v>2023</v>
      </c>
      <c r="AF22" s="779">
        <f t="shared" ref="AF22:AP22" si="12">IF(C22&lt;&gt;"",C22*10^9,"")</f>
        <v>36334145313691.93</v>
      </c>
      <c r="AG22" s="784">
        <f t="shared" si="12"/>
        <v>39229597621773.195</v>
      </c>
      <c r="AH22" s="40" t="str">
        <f t="shared" si="12"/>
        <v/>
      </c>
      <c r="AI22" s="783">
        <f t="shared" si="12"/>
        <v>36097810787817.18</v>
      </c>
      <c r="AJ22" s="784">
        <f t="shared" si="12"/>
        <v>31400123632429.289</v>
      </c>
      <c r="AK22" s="56" t="str">
        <f t="shared" si="12"/>
        <v/>
      </c>
      <c r="AL22" s="783">
        <f t="shared" si="12"/>
        <v>36334145313691.93</v>
      </c>
      <c r="AM22" s="784">
        <f t="shared" si="12"/>
        <v>30756237660116.129</v>
      </c>
      <c r="AN22" s="57" t="str">
        <f t="shared" si="12"/>
        <v/>
      </c>
      <c r="AO22" s="58" t="str">
        <f t="shared" si="12"/>
        <v/>
      </c>
      <c r="AP22" s="57" t="str">
        <f t="shared" si="12"/>
        <v/>
      </c>
      <c r="AQ22" s="5" t="s">
        <v>44</v>
      </c>
    </row>
    <row r="23" spans="1:43" ht="28.8" x14ac:dyDescent="0.3">
      <c r="A23" s="2"/>
      <c r="B23" s="37">
        <v>2024</v>
      </c>
      <c r="C23" s="804">
        <f>'Interp-URBAN'!I353</f>
        <v>37141.240865075219</v>
      </c>
      <c r="D23" s="805">
        <f>'Interp-URBAN'!I158</f>
        <v>40497.040579319313</v>
      </c>
      <c r="E23" s="575"/>
      <c r="F23" s="804">
        <f>'Interp-URBAN'!I288</f>
        <v>36860.623362820392</v>
      </c>
      <c r="G23" s="805">
        <f>'Interp-URBAN'!H28</f>
        <v>31995.532478888104</v>
      </c>
      <c r="H23" s="575"/>
      <c r="I23" s="804">
        <f>'Interp-URBAN'!I353</f>
        <v>37141.240865075219</v>
      </c>
      <c r="J23" s="805">
        <f>'Interp-URBAN'!H93</f>
        <v>31333.939549103823</v>
      </c>
      <c r="K23" s="268"/>
      <c r="L23" s="42"/>
      <c r="M23" s="41"/>
      <c r="N23" s="126" t="s">
        <v>140</v>
      </c>
      <c r="AE23" s="37">
        <v>2024</v>
      </c>
      <c r="AF23" s="779">
        <f t="shared" ref="AF23:AP23" si="13">IF(C23&lt;&gt;"",C23*10^9,"")</f>
        <v>37141240865075.219</v>
      </c>
      <c r="AG23" s="784">
        <f t="shared" si="13"/>
        <v>40497040579319.313</v>
      </c>
      <c r="AH23" s="40" t="str">
        <f t="shared" si="13"/>
        <v/>
      </c>
      <c r="AI23" s="779">
        <f t="shared" si="13"/>
        <v>36860623362820.391</v>
      </c>
      <c r="AJ23" s="780">
        <f t="shared" si="13"/>
        <v>31995532478888.105</v>
      </c>
      <c r="AK23" s="40" t="str">
        <f t="shared" si="13"/>
        <v/>
      </c>
      <c r="AL23" s="779">
        <f t="shared" si="13"/>
        <v>37141240865075.219</v>
      </c>
      <c r="AM23" s="780">
        <f t="shared" si="13"/>
        <v>31333939549103.824</v>
      </c>
      <c r="AN23" s="41" t="str">
        <f t="shared" si="13"/>
        <v/>
      </c>
      <c r="AO23" s="42" t="str">
        <f t="shared" si="13"/>
        <v/>
      </c>
      <c r="AP23" s="41" t="str">
        <f t="shared" si="13"/>
        <v/>
      </c>
      <c r="AQ23" s="5" t="s">
        <v>44</v>
      </c>
    </row>
    <row r="24" spans="1:43" ht="28.8" x14ac:dyDescent="0.3">
      <c r="A24" s="2"/>
      <c r="B24" s="37">
        <v>2025</v>
      </c>
      <c r="C24" s="804">
        <f>'Interp-URBAN'!I354</f>
        <v>37935.932984605883</v>
      </c>
      <c r="D24" s="805">
        <f>'Interp-URBAN'!I159</f>
        <v>41772.206962740187</v>
      </c>
      <c r="E24" s="575"/>
      <c r="F24" s="804">
        <f>'Interp-URBAN'!I289</f>
        <v>37606.597842194751</v>
      </c>
      <c r="G24" s="805">
        <f>'Interp-URBAN'!H29</f>
        <v>32651.395221016919</v>
      </c>
      <c r="H24" s="575"/>
      <c r="I24" s="804">
        <f>'Interp-URBAN'!I354</f>
        <v>37935.932984605883</v>
      </c>
      <c r="J24" s="805">
        <f>'Interp-URBAN'!H94</f>
        <v>31989.313293077659</v>
      </c>
      <c r="K24" s="268"/>
      <c r="L24" s="42"/>
      <c r="M24" s="41"/>
      <c r="N24" s="126" t="s">
        <v>140</v>
      </c>
      <c r="AE24" s="37">
        <v>2025</v>
      </c>
      <c r="AF24" s="779">
        <f t="shared" ref="AF24:AP24" si="14">IF(C24&lt;&gt;"",C24*10^9,"")</f>
        <v>37935932984605.883</v>
      </c>
      <c r="AG24" s="784">
        <f t="shared" si="14"/>
        <v>41772206962740.188</v>
      </c>
      <c r="AH24" s="40" t="str">
        <f t="shared" si="14"/>
        <v/>
      </c>
      <c r="AI24" s="779">
        <f t="shared" si="14"/>
        <v>37606597842194.75</v>
      </c>
      <c r="AJ24" s="780">
        <f t="shared" si="14"/>
        <v>32651395221016.918</v>
      </c>
      <c r="AK24" s="40" t="str">
        <f t="shared" si="14"/>
        <v/>
      </c>
      <c r="AL24" s="779">
        <f t="shared" si="14"/>
        <v>37935932984605.883</v>
      </c>
      <c r="AM24" s="780">
        <f t="shared" si="14"/>
        <v>31989313293077.66</v>
      </c>
      <c r="AN24" s="41" t="str">
        <f t="shared" si="14"/>
        <v/>
      </c>
      <c r="AO24" s="42" t="str">
        <f t="shared" si="14"/>
        <v/>
      </c>
      <c r="AP24" s="41" t="str">
        <f t="shared" si="14"/>
        <v/>
      </c>
      <c r="AQ24" s="5" t="s">
        <v>44</v>
      </c>
    </row>
    <row r="25" spans="1:43" ht="28.8" x14ac:dyDescent="0.3">
      <c r="A25" s="2"/>
      <c r="B25" s="37">
        <v>2026</v>
      </c>
      <c r="C25" s="804">
        <f>'Interp-URBAN'!I355</f>
        <v>38739.066126772195</v>
      </c>
      <c r="D25" s="805">
        <f>'Interp-URBAN'!I160</f>
        <v>43079.686981153718</v>
      </c>
      <c r="E25" s="575"/>
      <c r="F25" s="804">
        <f>'Interp-URBAN'!I290</f>
        <v>38356.658321653296</v>
      </c>
      <c r="G25" s="805">
        <f>'Interp-URBAN'!H30</f>
        <v>33197.294146201399</v>
      </c>
      <c r="H25" s="575"/>
      <c r="I25" s="804">
        <f>'Interp-URBAN'!I355</f>
        <v>38739.066126772195</v>
      </c>
      <c r="J25" s="805">
        <f>'Interp-URBAN'!H95</f>
        <v>32486.562587841752</v>
      </c>
      <c r="K25" s="268"/>
      <c r="L25" s="42"/>
      <c r="M25" s="41"/>
      <c r="N25" s="126" t="s">
        <v>140</v>
      </c>
      <c r="AE25" s="37">
        <v>2026</v>
      </c>
      <c r="AF25" s="779">
        <f t="shared" ref="AF25:AP25" si="15">IF(C25&lt;&gt;"",C25*10^9,"")</f>
        <v>38739066126772.195</v>
      </c>
      <c r="AG25" s="784">
        <f t="shared" si="15"/>
        <v>43079686981153.719</v>
      </c>
      <c r="AH25" s="40" t="str">
        <f t="shared" si="15"/>
        <v/>
      </c>
      <c r="AI25" s="779">
        <f t="shared" si="15"/>
        <v>38356658321653.297</v>
      </c>
      <c r="AJ25" s="780">
        <f t="shared" si="15"/>
        <v>33197294146201.398</v>
      </c>
      <c r="AK25" s="40" t="str">
        <f t="shared" si="15"/>
        <v/>
      </c>
      <c r="AL25" s="779">
        <f t="shared" si="15"/>
        <v>38739066126772.195</v>
      </c>
      <c r="AM25" s="780">
        <f t="shared" si="15"/>
        <v>32486562587841.754</v>
      </c>
      <c r="AN25" s="41" t="str">
        <f t="shared" si="15"/>
        <v/>
      </c>
      <c r="AO25" s="42" t="str">
        <f t="shared" si="15"/>
        <v/>
      </c>
      <c r="AP25" s="41" t="str">
        <f t="shared" si="15"/>
        <v/>
      </c>
      <c r="AQ25" s="5" t="s">
        <v>44</v>
      </c>
    </row>
    <row r="26" spans="1:43" ht="28.8" x14ac:dyDescent="0.3">
      <c r="A26" s="2"/>
      <c r="B26" s="37">
        <v>2027</v>
      </c>
      <c r="C26" s="804">
        <f>'Interp-URBAN'!I356</f>
        <v>39529.043578721918</v>
      </c>
      <c r="D26" s="805">
        <f>'Interp-URBAN'!I161</f>
        <v>44401.622024065618</v>
      </c>
      <c r="E26" s="575"/>
      <c r="F26" s="804">
        <f>'Interp-URBAN'!I291</f>
        <v>39089.28461691807</v>
      </c>
      <c r="G26" s="805">
        <f>'Interp-URBAN'!H31</f>
        <v>33803.320824678856</v>
      </c>
      <c r="H26" s="575"/>
      <c r="I26" s="804">
        <f>'Interp-URBAN'!I356</f>
        <v>39529.043578721918</v>
      </c>
      <c r="J26" s="805">
        <f>'Interp-URBAN'!H96</f>
        <v>33061.420386686652</v>
      </c>
      <c r="K26" s="268"/>
      <c r="L26" s="42"/>
      <c r="M26" s="41"/>
      <c r="N26" s="126" t="s">
        <v>140</v>
      </c>
      <c r="AE26" s="37">
        <v>2027</v>
      </c>
      <c r="AF26" s="779">
        <f t="shared" ref="AF26:AP26" si="16">IF(C26&lt;&gt;"",C26*10^9,"")</f>
        <v>39529043578721.914</v>
      </c>
      <c r="AG26" s="784">
        <f t="shared" si="16"/>
        <v>44401622024065.617</v>
      </c>
      <c r="AH26" s="40" t="str">
        <f t="shared" si="16"/>
        <v/>
      </c>
      <c r="AI26" s="779">
        <f t="shared" si="16"/>
        <v>39089284616918.07</v>
      </c>
      <c r="AJ26" s="780">
        <f t="shared" si="16"/>
        <v>33803320824678.855</v>
      </c>
      <c r="AK26" s="40" t="str">
        <f t="shared" si="16"/>
        <v/>
      </c>
      <c r="AL26" s="779">
        <f t="shared" si="16"/>
        <v>39529043578721.914</v>
      </c>
      <c r="AM26" s="780">
        <f t="shared" si="16"/>
        <v>33061420386686.652</v>
      </c>
      <c r="AN26" s="41" t="str">
        <f t="shared" si="16"/>
        <v/>
      </c>
      <c r="AO26" s="42" t="str">
        <f t="shared" si="16"/>
        <v/>
      </c>
      <c r="AP26" s="41" t="str">
        <f t="shared" si="16"/>
        <v/>
      </c>
      <c r="AQ26" s="5" t="s">
        <v>44</v>
      </c>
    </row>
    <row r="27" spans="1:43" ht="28.8" x14ac:dyDescent="0.3">
      <c r="A27" s="59" t="s">
        <v>34</v>
      </c>
      <c r="B27" s="37">
        <v>2028</v>
      </c>
      <c r="C27" s="804">
        <f>'Interp-URBAN'!I357</f>
        <v>40312.41647119246</v>
      </c>
      <c r="D27" s="805">
        <f>'Interp-URBAN'!I162</f>
        <v>45748.340809908754</v>
      </c>
      <c r="E27" s="575"/>
      <c r="F27" s="804">
        <f>'Interp-URBAN'!I292</f>
        <v>39811.108219837261</v>
      </c>
      <c r="G27" s="805">
        <f>'Interp-URBAN'!H32</f>
        <v>34412.411010847252</v>
      </c>
      <c r="H27" s="575"/>
      <c r="I27" s="804">
        <f>'Interp-URBAN'!I357</f>
        <v>40312.41647119246</v>
      </c>
      <c r="J27" s="805">
        <f>'Interp-URBAN'!H97</f>
        <v>33635.122019553113</v>
      </c>
      <c r="K27" s="268"/>
      <c r="L27" s="42"/>
      <c r="M27" s="41"/>
      <c r="N27" s="126" t="s">
        <v>140</v>
      </c>
      <c r="AE27" s="37">
        <v>2028</v>
      </c>
      <c r="AF27" s="779">
        <f t="shared" ref="AF27:AP27" si="17">IF(C27&lt;&gt;"",C27*10^9,"")</f>
        <v>40312416471192.461</v>
      </c>
      <c r="AG27" s="784">
        <f t="shared" si="17"/>
        <v>45748340809908.75</v>
      </c>
      <c r="AH27" s="40" t="str">
        <f t="shared" si="17"/>
        <v/>
      </c>
      <c r="AI27" s="779">
        <f t="shared" si="17"/>
        <v>39811108219837.258</v>
      </c>
      <c r="AJ27" s="780">
        <f t="shared" si="17"/>
        <v>34412411010847.254</v>
      </c>
      <c r="AK27" s="40" t="str">
        <f t="shared" si="17"/>
        <v/>
      </c>
      <c r="AL27" s="779">
        <f t="shared" si="17"/>
        <v>40312416471192.461</v>
      </c>
      <c r="AM27" s="780">
        <f t="shared" si="17"/>
        <v>33635122019553.113</v>
      </c>
      <c r="AN27" s="41" t="str">
        <f t="shared" si="17"/>
        <v/>
      </c>
      <c r="AO27" s="42" t="str">
        <f t="shared" si="17"/>
        <v/>
      </c>
      <c r="AP27" s="41" t="str">
        <f t="shared" si="17"/>
        <v/>
      </c>
      <c r="AQ27" s="5" t="s">
        <v>44</v>
      </c>
    </row>
    <row r="28" spans="1:43" ht="28.8" x14ac:dyDescent="0.3">
      <c r="A28" s="60" t="s">
        <v>29</v>
      </c>
      <c r="B28" s="37">
        <v>2029</v>
      </c>
      <c r="C28" s="804">
        <f>'Interp-URBAN'!I358</f>
        <v>41088.620778966193</v>
      </c>
      <c r="D28" s="805">
        <f>'Interp-URBAN'!I163</f>
        <v>47123.059483517201</v>
      </c>
      <c r="E28" s="575"/>
      <c r="F28" s="804">
        <f>'Interp-URBAN'!I293</f>
        <v>40521.64596262815</v>
      </c>
      <c r="G28" s="805">
        <f>'Interp-URBAN'!H33</f>
        <v>35024.209495921707</v>
      </c>
      <c r="H28" s="575"/>
      <c r="I28" s="804">
        <f>'Interp-URBAN'!I358</f>
        <v>41088.620778966193</v>
      </c>
      <c r="J28" s="805">
        <f>'Interp-URBAN'!H98</f>
        <v>34207.4500185988</v>
      </c>
      <c r="K28" s="268"/>
      <c r="L28" s="42"/>
      <c r="M28" s="41"/>
      <c r="N28" s="126" t="s">
        <v>140</v>
      </c>
      <c r="AE28" s="37">
        <v>2029</v>
      </c>
      <c r="AF28" s="779">
        <f t="shared" ref="AF28:AP28" si="18">IF(C28&lt;&gt;"",C28*10^9,"")</f>
        <v>41088620778966.195</v>
      </c>
      <c r="AG28" s="784">
        <f t="shared" si="18"/>
        <v>47123059483517.203</v>
      </c>
      <c r="AH28" s="40" t="str">
        <f t="shared" si="18"/>
        <v/>
      </c>
      <c r="AI28" s="779">
        <f t="shared" si="18"/>
        <v>40521645962628.148</v>
      </c>
      <c r="AJ28" s="780">
        <f t="shared" si="18"/>
        <v>35024209495921.707</v>
      </c>
      <c r="AK28" s="40" t="str">
        <f t="shared" si="18"/>
        <v/>
      </c>
      <c r="AL28" s="779">
        <f t="shared" si="18"/>
        <v>41088620778966.195</v>
      </c>
      <c r="AM28" s="780">
        <f t="shared" si="18"/>
        <v>34207450018598.801</v>
      </c>
      <c r="AN28" s="41" t="str">
        <f t="shared" si="18"/>
        <v/>
      </c>
      <c r="AO28" s="42" t="str">
        <f t="shared" si="18"/>
        <v/>
      </c>
      <c r="AP28" s="41" t="str">
        <f t="shared" si="18"/>
        <v/>
      </c>
      <c r="AQ28" s="5" t="s">
        <v>44</v>
      </c>
    </row>
    <row r="29" spans="1:43" ht="28.8" x14ac:dyDescent="0.3">
      <c r="A29" s="61" t="s">
        <v>35</v>
      </c>
      <c r="B29" s="37">
        <v>2030</v>
      </c>
      <c r="C29" s="804">
        <f>'Interp-URBAN'!I359</f>
        <v>41843.236033275971</v>
      </c>
      <c r="D29" s="805">
        <f>'Interp-URBAN'!I164</f>
        <v>48515.119661824843</v>
      </c>
      <c r="E29" s="575"/>
      <c r="F29" s="804">
        <f>'Interp-URBAN'!I294</f>
        <v>41206.559025727547</v>
      </c>
      <c r="G29" s="805">
        <f>'Interp-URBAN'!H34</f>
        <v>35828.26190347509</v>
      </c>
      <c r="H29" s="575"/>
      <c r="I29" s="804">
        <f>'Interp-URBAN'!I359</f>
        <v>41843.236033275971</v>
      </c>
      <c r="J29" s="805">
        <f>'Interp-URBAN'!H99</f>
        <v>34909.883109165959</v>
      </c>
      <c r="K29" s="268"/>
      <c r="L29" s="42"/>
      <c r="M29" s="41"/>
      <c r="N29" s="126" t="s">
        <v>140</v>
      </c>
      <c r="AE29" s="37">
        <v>2030</v>
      </c>
      <c r="AF29" s="779">
        <f t="shared" ref="AF29:AP29" si="19">IF(C29&lt;&gt;"",C29*10^9,"")</f>
        <v>41843236033275.969</v>
      </c>
      <c r="AG29" s="784">
        <f t="shared" si="19"/>
        <v>48515119661824.844</v>
      </c>
      <c r="AH29" s="40" t="str">
        <f t="shared" si="19"/>
        <v/>
      </c>
      <c r="AI29" s="779">
        <f t="shared" si="19"/>
        <v>41206559025727.547</v>
      </c>
      <c r="AJ29" s="780">
        <f t="shared" si="19"/>
        <v>35828261903475.086</v>
      </c>
      <c r="AK29" s="40" t="str">
        <f t="shared" si="19"/>
        <v/>
      </c>
      <c r="AL29" s="779">
        <f t="shared" si="19"/>
        <v>41843236033275.969</v>
      </c>
      <c r="AM29" s="780">
        <f t="shared" si="19"/>
        <v>34909883109165.961</v>
      </c>
      <c r="AN29" s="41" t="str">
        <f t="shared" si="19"/>
        <v/>
      </c>
      <c r="AO29" s="42" t="str">
        <f t="shared" si="19"/>
        <v/>
      </c>
      <c r="AP29" s="41" t="str">
        <f t="shared" si="19"/>
        <v/>
      </c>
      <c r="AQ29" s="5" t="s">
        <v>44</v>
      </c>
    </row>
    <row r="30" spans="1:43" ht="28.8" x14ac:dyDescent="0.3">
      <c r="A30" s="62" t="s">
        <v>36</v>
      </c>
      <c r="B30" s="37">
        <v>2031</v>
      </c>
      <c r="C30" s="804">
        <f>'Interp-URBAN'!I360</f>
        <v>42617.214090295522</v>
      </c>
      <c r="D30" s="805">
        <f>'Interp-URBAN'!I165</f>
        <v>49969.192532767695</v>
      </c>
      <c r="E30" s="575"/>
      <c r="F30" s="804">
        <f>'Interp-URBAN'!I295</f>
        <v>41906.881308181204</v>
      </c>
      <c r="G30" s="805">
        <f>'Interp-URBAN'!H35</f>
        <v>36254.439322782368</v>
      </c>
      <c r="H30" s="575"/>
      <c r="I30" s="804">
        <f>'Interp-URBAN'!I360</f>
        <v>42617.214090295522</v>
      </c>
      <c r="J30" s="805">
        <f>'Interp-URBAN'!H100</f>
        <v>35347.04871153694</v>
      </c>
      <c r="K30" s="268"/>
      <c r="L30" s="42"/>
      <c r="M30" s="41"/>
      <c r="N30" s="126" t="s">
        <v>140</v>
      </c>
      <c r="AE30" s="37">
        <v>2031</v>
      </c>
      <c r="AF30" s="779">
        <f t="shared" ref="AF30:AP30" si="20">IF(C30&lt;&gt;"",C30*10^9,"")</f>
        <v>42617214090295.523</v>
      </c>
      <c r="AG30" s="784">
        <f t="shared" si="20"/>
        <v>49969192532767.695</v>
      </c>
      <c r="AH30" s="40" t="str">
        <f t="shared" si="20"/>
        <v/>
      </c>
      <c r="AI30" s="779">
        <f t="shared" si="20"/>
        <v>41906881308181.203</v>
      </c>
      <c r="AJ30" s="780">
        <f t="shared" si="20"/>
        <v>36254439322782.367</v>
      </c>
      <c r="AK30" s="40" t="str">
        <f t="shared" si="20"/>
        <v/>
      </c>
      <c r="AL30" s="779">
        <f t="shared" si="20"/>
        <v>42617214090295.523</v>
      </c>
      <c r="AM30" s="780">
        <f t="shared" si="20"/>
        <v>35347048711536.938</v>
      </c>
      <c r="AN30" s="41" t="str">
        <f t="shared" si="20"/>
        <v/>
      </c>
      <c r="AO30" s="42" t="str">
        <f t="shared" si="20"/>
        <v/>
      </c>
      <c r="AP30" s="41" t="str">
        <f t="shared" si="20"/>
        <v/>
      </c>
      <c r="AQ30" s="5" t="s">
        <v>44</v>
      </c>
    </row>
    <row r="31" spans="1:43" ht="28.8" x14ac:dyDescent="0.3">
      <c r="A31" s="2"/>
      <c r="B31" s="37">
        <v>2032</v>
      </c>
      <c r="C31" s="804">
        <f>'Interp-URBAN'!I361</f>
        <v>43368.587066618427</v>
      </c>
      <c r="D31" s="805">
        <f>'Interp-URBAN'!I166</f>
        <v>51447.045415476779</v>
      </c>
      <c r="E31" s="575"/>
      <c r="F31" s="804">
        <f>'Interp-URBAN'!I296</f>
        <v>42580.724935659855</v>
      </c>
      <c r="G31" s="805">
        <f>'Interp-URBAN'!H36</f>
        <v>36872.243550253857</v>
      </c>
      <c r="H31" s="575"/>
      <c r="I31" s="804">
        <f>'Interp-URBAN'!I361</f>
        <v>43368.587066618427</v>
      </c>
      <c r="J31" s="805">
        <f>'Interp-URBAN'!H101</f>
        <v>35913.968140936558</v>
      </c>
      <c r="K31" s="268"/>
      <c r="L31" s="42"/>
      <c r="M31" s="41"/>
      <c r="N31" s="126" t="s">
        <v>140</v>
      </c>
      <c r="AE31" s="37">
        <v>2032</v>
      </c>
      <c r="AF31" s="779">
        <f t="shared" ref="AF31:AP31" si="21">IF(C31&lt;&gt;"",C31*10^9,"")</f>
        <v>43368587066618.43</v>
      </c>
      <c r="AG31" s="784">
        <f t="shared" si="21"/>
        <v>51447045415476.781</v>
      </c>
      <c r="AH31" s="40" t="str">
        <f t="shared" si="21"/>
        <v/>
      </c>
      <c r="AI31" s="779">
        <f t="shared" si="21"/>
        <v>42580724935659.852</v>
      </c>
      <c r="AJ31" s="780">
        <f t="shared" si="21"/>
        <v>36872243550253.859</v>
      </c>
      <c r="AK31" s="40" t="str">
        <f t="shared" si="21"/>
        <v/>
      </c>
      <c r="AL31" s="779">
        <f t="shared" si="21"/>
        <v>43368587066618.43</v>
      </c>
      <c r="AM31" s="780">
        <f t="shared" si="21"/>
        <v>35913968140936.555</v>
      </c>
      <c r="AN31" s="41" t="str">
        <f t="shared" si="21"/>
        <v/>
      </c>
      <c r="AO31" s="42" t="str">
        <f t="shared" si="21"/>
        <v/>
      </c>
      <c r="AP31" s="41" t="str">
        <f t="shared" si="21"/>
        <v/>
      </c>
      <c r="AQ31" s="5" t="s">
        <v>44</v>
      </c>
    </row>
    <row r="32" spans="1:43" ht="28.8" x14ac:dyDescent="0.3">
      <c r="A32" s="2"/>
      <c r="B32" s="37">
        <v>2033</v>
      </c>
      <c r="C32" s="804">
        <f>'Interp-URBAN'!I362</f>
        <v>44111.01513307196</v>
      </c>
      <c r="D32" s="805">
        <f>'Interp-URBAN'!I167</f>
        <v>52966.162443355133</v>
      </c>
      <c r="E32" s="575"/>
      <c r="F32" s="804">
        <f>'Interp-URBAN'!I297</f>
        <v>43241.823975214924</v>
      </c>
      <c r="G32" s="805">
        <f>'Interp-URBAN'!H37</f>
        <v>37491.738604496815</v>
      </c>
      <c r="H32" s="575"/>
      <c r="I32" s="804">
        <f>'Interp-URBAN'!I362</f>
        <v>44111.01513307196</v>
      </c>
      <c r="J32" s="805">
        <f>'Interp-URBAN'!H102</f>
        <v>36479.041019538134</v>
      </c>
      <c r="K32" s="268"/>
      <c r="L32" s="42"/>
      <c r="M32" s="41"/>
      <c r="N32" s="126" t="s">
        <v>140</v>
      </c>
      <c r="AE32" s="37">
        <v>2033</v>
      </c>
      <c r="AF32" s="779">
        <f t="shared" ref="AF32:AP32" si="22">IF(C32&lt;&gt;"",C32*10^9,"")</f>
        <v>44111015133071.961</v>
      </c>
      <c r="AG32" s="784">
        <f t="shared" si="22"/>
        <v>52966162443355.133</v>
      </c>
      <c r="AH32" s="40" t="str">
        <f t="shared" si="22"/>
        <v/>
      </c>
      <c r="AI32" s="779">
        <f t="shared" si="22"/>
        <v>43241823975214.922</v>
      </c>
      <c r="AJ32" s="780">
        <f t="shared" si="22"/>
        <v>37491738604496.813</v>
      </c>
      <c r="AK32" s="40" t="str">
        <f t="shared" si="22"/>
        <v/>
      </c>
      <c r="AL32" s="779">
        <f t="shared" si="22"/>
        <v>44111015133071.961</v>
      </c>
      <c r="AM32" s="780">
        <f t="shared" si="22"/>
        <v>36479041019538.133</v>
      </c>
      <c r="AN32" s="41" t="str">
        <f t="shared" si="22"/>
        <v/>
      </c>
      <c r="AO32" s="42" t="str">
        <f t="shared" si="22"/>
        <v/>
      </c>
      <c r="AP32" s="41" t="str">
        <f t="shared" si="22"/>
        <v/>
      </c>
      <c r="AQ32" s="5" t="s">
        <v>44</v>
      </c>
    </row>
    <row r="33" spans="1:43" ht="28.8" x14ac:dyDescent="0.3">
      <c r="A33" s="2"/>
      <c r="B33" s="37">
        <v>2034</v>
      </c>
      <c r="C33" s="804">
        <f>'Interp-URBAN'!I363</f>
        <v>44844.452064162208</v>
      </c>
      <c r="D33" s="805">
        <f>'Interp-URBAN'!I168</f>
        <v>54530.376859900905</v>
      </c>
      <c r="E33" s="575"/>
      <c r="F33" s="804">
        <f>'Interp-URBAN'!I298</f>
        <v>43890.200673715692</v>
      </c>
      <c r="G33" s="805">
        <f>'Interp-URBAN'!H38</f>
        <v>38113.028412749969</v>
      </c>
      <c r="H33" s="575"/>
      <c r="I33" s="804">
        <f>'Interp-URBAN'!I363</f>
        <v>44844.452064162208</v>
      </c>
      <c r="J33" s="805">
        <f>'Interp-URBAN'!H103</f>
        <v>37042.49635043017</v>
      </c>
      <c r="K33" s="268"/>
      <c r="L33" s="42"/>
      <c r="M33" s="41"/>
      <c r="N33" s="126" t="s">
        <v>140</v>
      </c>
      <c r="AE33" s="37">
        <v>2034</v>
      </c>
      <c r="AF33" s="779">
        <f t="shared" ref="AF33:AP33" si="23">IF(C33&lt;&gt;"",C33*10^9,"")</f>
        <v>44844452064162.211</v>
      </c>
      <c r="AG33" s="784">
        <f t="shared" si="23"/>
        <v>54530376859900.906</v>
      </c>
      <c r="AH33" s="40" t="str">
        <f t="shared" si="23"/>
        <v/>
      </c>
      <c r="AI33" s="779">
        <f t="shared" si="23"/>
        <v>43890200673715.695</v>
      </c>
      <c r="AJ33" s="780">
        <f t="shared" si="23"/>
        <v>38113028412749.969</v>
      </c>
      <c r="AK33" s="40" t="str">
        <f t="shared" si="23"/>
        <v/>
      </c>
      <c r="AL33" s="779">
        <f t="shared" si="23"/>
        <v>44844452064162.211</v>
      </c>
      <c r="AM33" s="780">
        <f t="shared" si="23"/>
        <v>37042496350430.172</v>
      </c>
      <c r="AN33" s="41" t="str">
        <f t="shared" si="23"/>
        <v/>
      </c>
      <c r="AO33" s="42" t="str">
        <f t="shared" si="23"/>
        <v/>
      </c>
      <c r="AP33" s="41" t="str">
        <f t="shared" si="23"/>
        <v/>
      </c>
      <c r="AQ33" s="5" t="s">
        <v>44</v>
      </c>
    </row>
    <row r="34" spans="1:43" ht="28.8" x14ac:dyDescent="0.3">
      <c r="A34" s="2"/>
      <c r="B34" s="37">
        <v>2035</v>
      </c>
      <c r="C34" s="804">
        <f>'Interp-URBAN'!I364</f>
        <v>45553.691062347571</v>
      </c>
      <c r="D34" s="805">
        <f>'Interp-URBAN'!I169</f>
        <v>56128.334846344871</v>
      </c>
      <c r="E34" s="575"/>
      <c r="F34" s="804">
        <f>'Interp-URBAN'!I299</f>
        <v>44510.716258553366</v>
      </c>
      <c r="G34" s="805">
        <f>'Interp-URBAN'!H39</f>
        <v>38791.602875502802</v>
      </c>
      <c r="H34" s="575"/>
      <c r="I34" s="804">
        <f>'Interp-URBAN'!I364</f>
        <v>45553.691062347571</v>
      </c>
      <c r="J34" s="805">
        <f>'Interp-URBAN'!H104</f>
        <v>37626.219420330315</v>
      </c>
      <c r="K34" s="268"/>
      <c r="L34" s="42"/>
      <c r="M34" s="41"/>
      <c r="N34" s="126" t="s">
        <v>140</v>
      </c>
      <c r="AE34" s="37">
        <v>2035</v>
      </c>
      <c r="AF34" s="779">
        <f t="shared" ref="AF34:AP34" si="24">IF(C34&lt;&gt;"",C34*10^9,"")</f>
        <v>45553691062347.57</v>
      </c>
      <c r="AG34" s="784">
        <f t="shared" si="24"/>
        <v>56128334846344.867</v>
      </c>
      <c r="AH34" s="40" t="str">
        <f t="shared" si="24"/>
        <v/>
      </c>
      <c r="AI34" s="779">
        <f t="shared" si="24"/>
        <v>44510716258553.367</v>
      </c>
      <c r="AJ34" s="780">
        <f t="shared" si="24"/>
        <v>38791602875502.805</v>
      </c>
      <c r="AK34" s="40" t="str">
        <f t="shared" si="24"/>
        <v/>
      </c>
      <c r="AL34" s="779">
        <f t="shared" si="24"/>
        <v>45553691062347.57</v>
      </c>
      <c r="AM34" s="780">
        <f t="shared" si="24"/>
        <v>37626219420330.313</v>
      </c>
      <c r="AN34" s="41" t="str">
        <f t="shared" si="24"/>
        <v/>
      </c>
      <c r="AO34" s="42" t="str">
        <f t="shared" si="24"/>
        <v/>
      </c>
      <c r="AP34" s="41" t="str">
        <f t="shared" si="24"/>
        <v/>
      </c>
      <c r="AQ34" s="5" t="s">
        <v>44</v>
      </c>
    </row>
    <row r="35" spans="1:43" ht="28.8" x14ac:dyDescent="0.3">
      <c r="A35" s="2"/>
      <c r="B35" s="37">
        <v>2036</v>
      </c>
      <c r="C35" s="804">
        <f>'Interp-URBAN'!I365</f>
        <v>46283.509117496054</v>
      </c>
      <c r="D35" s="805">
        <f>'Interp-URBAN'!I170</f>
        <v>57808.570494071573</v>
      </c>
      <c r="E35" s="575"/>
      <c r="F35" s="804">
        <f>'Interp-URBAN'!I300</f>
        <v>45148.21793070453</v>
      </c>
      <c r="G35" s="805">
        <f>'Interp-URBAN'!H40</f>
        <v>39360.783281581025</v>
      </c>
      <c r="H35" s="575"/>
      <c r="I35" s="804">
        <f>'Interp-URBAN'!I365</f>
        <v>46283.509117496054</v>
      </c>
      <c r="J35" s="805">
        <f>'Interp-URBAN'!H105</f>
        <v>38164.85312707493</v>
      </c>
      <c r="K35" s="268"/>
      <c r="L35" s="42"/>
      <c r="M35" s="41"/>
      <c r="N35" s="126" t="s">
        <v>140</v>
      </c>
      <c r="AE35" s="37">
        <v>2036</v>
      </c>
      <c r="AF35" s="779">
        <f t="shared" ref="AF35:AP35" si="25">IF(C35&lt;&gt;"",C35*10^9,"")</f>
        <v>46283509117496.055</v>
      </c>
      <c r="AG35" s="784">
        <f t="shared" si="25"/>
        <v>57808570494071.57</v>
      </c>
      <c r="AH35" s="40" t="str">
        <f t="shared" si="25"/>
        <v/>
      </c>
      <c r="AI35" s="779">
        <f t="shared" si="25"/>
        <v>45148217930704.531</v>
      </c>
      <c r="AJ35" s="780">
        <f t="shared" si="25"/>
        <v>39360783281581.023</v>
      </c>
      <c r="AK35" s="40" t="str">
        <f t="shared" si="25"/>
        <v/>
      </c>
      <c r="AL35" s="779">
        <f t="shared" si="25"/>
        <v>46283509117496.055</v>
      </c>
      <c r="AM35" s="780">
        <f t="shared" si="25"/>
        <v>38164853127074.93</v>
      </c>
      <c r="AN35" s="41" t="str">
        <f t="shared" si="25"/>
        <v/>
      </c>
      <c r="AO35" s="42" t="str">
        <f t="shared" si="25"/>
        <v/>
      </c>
      <c r="AP35" s="41" t="str">
        <f t="shared" si="25"/>
        <v/>
      </c>
      <c r="AQ35" s="5" t="s">
        <v>44</v>
      </c>
    </row>
    <row r="36" spans="1:43" ht="28.8" x14ac:dyDescent="0.3">
      <c r="A36" s="2"/>
      <c r="B36" s="37">
        <v>2037</v>
      </c>
      <c r="C36" s="804">
        <f>'Interp-URBAN'!I366</f>
        <v>46988.189118080874</v>
      </c>
      <c r="D36" s="805">
        <f>'Interp-URBAN'!I171</f>
        <v>59529.048683753375</v>
      </c>
      <c r="E36" s="575"/>
      <c r="F36" s="804">
        <f>'Interp-URBAN'!I301</f>
        <v>45757.064150363964</v>
      </c>
      <c r="G36" s="805">
        <f>'Interp-URBAN'!H41</f>
        <v>39986.660188615184</v>
      </c>
      <c r="H36" s="575"/>
      <c r="I36" s="804">
        <f>'Interp-URBAN'!I366</f>
        <v>46988.189118080874</v>
      </c>
      <c r="J36" s="805">
        <f>'Interp-URBAN'!H106</f>
        <v>38723.430969953428</v>
      </c>
      <c r="K36" s="268"/>
      <c r="L36" s="42"/>
      <c r="M36" s="41"/>
      <c r="N36" s="126" t="s">
        <v>140</v>
      </c>
      <c r="AE36" s="37">
        <v>2037</v>
      </c>
      <c r="AF36" s="779">
        <f t="shared" ref="AF36:AP36" si="26">IF(C36&lt;&gt;"",C36*10^9,"")</f>
        <v>46988189118080.875</v>
      </c>
      <c r="AG36" s="784">
        <f t="shared" si="26"/>
        <v>59529048683753.375</v>
      </c>
      <c r="AH36" s="40" t="str">
        <f t="shared" si="26"/>
        <v/>
      </c>
      <c r="AI36" s="779">
        <f t="shared" si="26"/>
        <v>45757064150363.961</v>
      </c>
      <c r="AJ36" s="780">
        <f t="shared" si="26"/>
        <v>39986660188615.188</v>
      </c>
      <c r="AK36" s="40" t="str">
        <f t="shared" si="26"/>
        <v/>
      </c>
      <c r="AL36" s="779">
        <f t="shared" si="26"/>
        <v>46988189118080.875</v>
      </c>
      <c r="AM36" s="780">
        <f t="shared" si="26"/>
        <v>38723430969953.43</v>
      </c>
      <c r="AN36" s="41" t="str">
        <f t="shared" si="26"/>
        <v/>
      </c>
      <c r="AO36" s="42" t="str">
        <f t="shared" si="26"/>
        <v/>
      </c>
      <c r="AP36" s="41" t="str">
        <f t="shared" si="26"/>
        <v/>
      </c>
      <c r="AQ36" s="5" t="s">
        <v>44</v>
      </c>
    </row>
    <row r="37" spans="1:43" ht="28.8" x14ac:dyDescent="0.3">
      <c r="A37" s="2"/>
      <c r="B37" s="37">
        <v>2038</v>
      </c>
      <c r="C37" s="804">
        <f>'Interp-URBAN'!I367</f>
        <v>47682.066280063278</v>
      </c>
      <c r="D37" s="805">
        <f>'Interp-URBAN'!I172</f>
        <v>61307.78591319378</v>
      </c>
      <c r="E37" s="575"/>
      <c r="F37" s="804">
        <f>'Interp-URBAN'!I302</f>
        <v>46351.669425931352</v>
      </c>
      <c r="G37" s="805">
        <f>'Interp-URBAN'!H42</f>
        <v>40613.220022088652</v>
      </c>
      <c r="H37" s="575"/>
      <c r="I37" s="804">
        <f>'Interp-URBAN'!I367</f>
        <v>47682.066280063278</v>
      </c>
      <c r="J37" s="805">
        <f>'Interp-URBAN'!H107</f>
        <v>39279.80855991201</v>
      </c>
      <c r="K37" s="268"/>
      <c r="L37" s="42"/>
      <c r="M37" s="41"/>
      <c r="N37" s="126" t="s">
        <v>140</v>
      </c>
      <c r="AE37" s="37">
        <v>2038</v>
      </c>
      <c r="AF37" s="779">
        <f t="shared" ref="AF37:AP37" si="27">IF(C37&lt;&gt;"",C37*10^9,"")</f>
        <v>47682066280063.281</v>
      </c>
      <c r="AG37" s="784">
        <f t="shared" si="27"/>
        <v>61307785913193.781</v>
      </c>
      <c r="AH37" s="40" t="str">
        <f t="shared" si="27"/>
        <v/>
      </c>
      <c r="AI37" s="779">
        <f t="shared" si="27"/>
        <v>46351669425931.352</v>
      </c>
      <c r="AJ37" s="780">
        <f t="shared" si="27"/>
        <v>40613220022088.648</v>
      </c>
      <c r="AK37" s="40" t="str">
        <f t="shared" si="27"/>
        <v/>
      </c>
      <c r="AL37" s="779">
        <f t="shared" si="27"/>
        <v>47682066280063.281</v>
      </c>
      <c r="AM37" s="780">
        <f t="shared" si="27"/>
        <v>39279808559912.008</v>
      </c>
      <c r="AN37" s="41" t="str">
        <f t="shared" si="27"/>
        <v/>
      </c>
      <c r="AO37" s="42" t="str">
        <f t="shared" si="27"/>
        <v/>
      </c>
      <c r="AP37" s="41" t="str">
        <f t="shared" si="27"/>
        <v/>
      </c>
      <c r="AQ37" s="5" t="s">
        <v>44</v>
      </c>
    </row>
    <row r="38" spans="1:43" ht="28.8" x14ac:dyDescent="0.3">
      <c r="A38" s="2"/>
      <c r="B38" s="37">
        <v>2039</v>
      </c>
      <c r="C38" s="804">
        <f>'Interp-URBAN'!I368</f>
        <v>48364.303236025771</v>
      </c>
      <c r="D38" s="805">
        <f>'Interp-URBAN'!I173</f>
        <v>63147.566062873026</v>
      </c>
      <c r="E38" s="575"/>
      <c r="F38" s="804">
        <f>'Interp-URBAN'!I303</f>
        <v>46931.280980368421</v>
      </c>
      <c r="G38" s="805">
        <f>'Interp-URBAN'!H43</f>
        <v>41239.82622464648</v>
      </c>
      <c r="H38" s="575"/>
      <c r="I38" s="804">
        <f>'Interp-URBAN'!I368</f>
        <v>48364.303236025771</v>
      </c>
      <c r="J38" s="805">
        <f>'Interp-URBAN'!H108</f>
        <v>39833.492235806538</v>
      </c>
      <c r="K38" s="268"/>
      <c r="L38" s="42"/>
      <c r="M38" s="41"/>
      <c r="N38" s="126" t="s">
        <v>140</v>
      </c>
      <c r="AE38" s="37">
        <v>2039</v>
      </c>
      <c r="AF38" s="779">
        <f t="shared" ref="AF38:AP38" si="28">IF(C38&lt;&gt;"",C38*10^9,"")</f>
        <v>48364303236025.773</v>
      </c>
      <c r="AG38" s="784">
        <f t="shared" si="28"/>
        <v>63147566062873.023</v>
      </c>
      <c r="AH38" s="40" t="str">
        <f t="shared" si="28"/>
        <v/>
      </c>
      <c r="AI38" s="779">
        <f t="shared" si="28"/>
        <v>46931280980368.422</v>
      </c>
      <c r="AJ38" s="780">
        <f t="shared" si="28"/>
        <v>41239826224646.477</v>
      </c>
      <c r="AK38" s="40" t="str">
        <f t="shared" si="28"/>
        <v/>
      </c>
      <c r="AL38" s="779">
        <f t="shared" si="28"/>
        <v>48364303236025.773</v>
      </c>
      <c r="AM38" s="780">
        <f t="shared" si="28"/>
        <v>39833492235806.539</v>
      </c>
      <c r="AN38" s="41" t="str">
        <f t="shared" si="28"/>
        <v/>
      </c>
      <c r="AO38" s="42" t="str">
        <f t="shared" si="28"/>
        <v/>
      </c>
      <c r="AP38" s="41" t="str">
        <f t="shared" si="28"/>
        <v/>
      </c>
      <c r="AQ38" s="5" t="s">
        <v>44</v>
      </c>
    </row>
    <row r="39" spans="1:43" ht="28.8" x14ac:dyDescent="0.3">
      <c r="A39" s="2"/>
      <c r="B39" s="37">
        <v>2040</v>
      </c>
      <c r="C39" s="804">
        <f>'Interp-URBAN'!I369</f>
        <v>49031.433481259985</v>
      </c>
      <c r="D39" s="805">
        <f>'Interp-URBAN'!I174</f>
        <v>65048.492954543006</v>
      </c>
      <c r="E39" s="575"/>
      <c r="F39" s="804">
        <f>'Interp-URBAN'!I304</f>
        <v>47492.516804046951</v>
      </c>
      <c r="G39" s="805">
        <f>'Interp-URBAN'!H44</f>
        <v>41740.293036367038</v>
      </c>
      <c r="H39" s="575"/>
      <c r="I39" s="804">
        <f>'Interp-URBAN'!I369</f>
        <v>49031.433481259985</v>
      </c>
      <c r="J39" s="805">
        <f>'Interp-URBAN'!H109</f>
        <v>40315.124823267921</v>
      </c>
      <c r="K39" s="268"/>
      <c r="L39" s="42"/>
      <c r="M39" s="41"/>
      <c r="N39" s="126" t="s">
        <v>140</v>
      </c>
      <c r="AE39" s="37">
        <v>2040</v>
      </c>
      <c r="AF39" s="779">
        <f t="shared" ref="AF39:AP39" si="29">IF(C39&lt;&gt;"",C39*10^9,"")</f>
        <v>49031433481259.984</v>
      </c>
      <c r="AG39" s="784">
        <f t="shared" si="29"/>
        <v>65048492954543.008</v>
      </c>
      <c r="AH39" s="40" t="str">
        <f t="shared" si="29"/>
        <v/>
      </c>
      <c r="AI39" s="779">
        <f t="shared" si="29"/>
        <v>47492516804046.953</v>
      </c>
      <c r="AJ39" s="780">
        <f t="shared" si="29"/>
        <v>41740293036367.039</v>
      </c>
      <c r="AK39" s="40" t="str">
        <f t="shared" si="29"/>
        <v/>
      </c>
      <c r="AL39" s="779">
        <f t="shared" si="29"/>
        <v>49031433481259.984</v>
      </c>
      <c r="AM39" s="780">
        <f t="shared" si="29"/>
        <v>40315124823267.922</v>
      </c>
      <c r="AN39" s="41" t="str">
        <f t="shared" si="29"/>
        <v/>
      </c>
      <c r="AO39" s="42" t="str">
        <f t="shared" si="29"/>
        <v/>
      </c>
      <c r="AP39" s="41" t="str">
        <f t="shared" si="29"/>
        <v/>
      </c>
      <c r="AQ39" s="5" t="s">
        <v>44</v>
      </c>
    </row>
    <row r="40" spans="1:43" ht="28.8" x14ac:dyDescent="0.3">
      <c r="A40" s="2"/>
      <c r="B40" s="37">
        <v>2041</v>
      </c>
      <c r="C40" s="804">
        <f>'Interp-URBAN'!I370</f>
        <v>49690.964096712101</v>
      </c>
      <c r="D40" s="805">
        <f>'Interp-URBAN'!I175</f>
        <v>67021.645483495027</v>
      </c>
      <c r="E40" s="575"/>
      <c r="F40" s="804">
        <f>'Interp-URBAN'!I305</f>
        <v>48042.963270553388</v>
      </c>
      <c r="G40" s="805">
        <f>'Interp-URBAN'!H45</f>
        <v>42491.045270237635</v>
      </c>
      <c r="H40" s="575"/>
      <c r="I40" s="804">
        <f>'Interp-URBAN'!I370</f>
        <v>49690.964096712101</v>
      </c>
      <c r="J40" s="805">
        <f>'Interp-URBAN'!H110</f>
        <v>40931.206642789133</v>
      </c>
      <c r="K40" s="268"/>
      <c r="L40" s="42"/>
      <c r="M40" s="41"/>
      <c r="N40" s="126" t="s">
        <v>140</v>
      </c>
      <c r="AE40" s="37">
        <v>2041</v>
      </c>
      <c r="AF40" s="779">
        <f t="shared" ref="AF40:AP40" si="30">IF(C40&lt;&gt;"",C40*10^9,"")</f>
        <v>49690964096712.102</v>
      </c>
      <c r="AG40" s="784">
        <f t="shared" si="30"/>
        <v>67021645483495.023</v>
      </c>
      <c r="AH40" s="40" t="str">
        <f t="shared" si="30"/>
        <v/>
      </c>
      <c r="AI40" s="779">
        <f t="shared" si="30"/>
        <v>48042963270553.391</v>
      </c>
      <c r="AJ40" s="780">
        <f t="shared" si="30"/>
        <v>42491045270237.633</v>
      </c>
      <c r="AK40" s="40" t="str">
        <f t="shared" si="30"/>
        <v/>
      </c>
      <c r="AL40" s="779">
        <f t="shared" si="30"/>
        <v>49690964096712.102</v>
      </c>
      <c r="AM40" s="780">
        <f t="shared" si="30"/>
        <v>40931206642789.133</v>
      </c>
      <c r="AN40" s="41" t="str">
        <f t="shared" si="30"/>
        <v/>
      </c>
      <c r="AO40" s="42" t="str">
        <f t="shared" si="30"/>
        <v/>
      </c>
      <c r="AP40" s="41" t="str">
        <f t="shared" si="30"/>
        <v/>
      </c>
      <c r="AQ40" s="5" t="s">
        <v>44</v>
      </c>
    </row>
    <row r="41" spans="1:43" ht="28.8" x14ac:dyDescent="0.3">
      <c r="A41" s="2"/>
      <c r="B41" s="37">
        <v>2042</v>
      </c>
      <c r="C41" s="804">
        <f>'Interp-URBAN'!I371</f>
        <v>50334.339996759518</v>
      </c>
      <c r="D41" s="805">
        <f>'Interp-URBAN'!I176</f>
        <v>69061.987935310215</v>
      </c>
      <c r="E41" s="575"/>
      <c r="F41" s="804">
        <f>'Interp-URBAN'!I306</f>
        <v>48574.14081037516</v>
      </c>
      <c r="G41" s="805">
        <f>'Interp-URBAN'!H46</f>
        <v>43114.955826936115</v>
      </c>
      <c r="H41" s="575"/>
      <c r="I41" s="804">
        <f>'Interp-URBAN'!I371</f>
        <v>50334.339996759518</v>
      </c>
      <c r="J41" s="805">
        <f>'Interp-URBAN'!H111</f>
        <v>41474.803074760617</v>
      </c>
      <c r="K41" s="268"/>
      <c r="L41" s="42"/>
      <c r="M41" s="41"/>
      <c r="N41" s="126" t="s">
        <v>140</v>
      </c>
      <c r="AE41" s="37">
        <v>2042</v>
      </c>
      <c r="AF41" s="779">
        <f t="shared" ref="AF41:AP41" si="31">IF(C41&lt;&gt;"",C41*10^9,"")</f>
        <v>50334339996759.516</v>
      </c>
      <c r="AG41" s="784">
        <f t="shared" si="31"/>
        <v>69061987935310.219</v>
      </c>
      <c r="AH41" s="40" t="str">
        <f t="shared" si="31"/>
        <v/>
      </c>
      <c r="AI41" s="779">
        <f t="shared" si="31"/>
        <v>48574140810375.156</v>
      </c>
      <c r="AJ41" s="780">
        <f t="shared" si="31"/>
        <v>43114955826936.117</v>
      </c>
      <c r="AK41" s="40" t="str">
        <f t="shared" si="31"/>
        <v/>
      </c>
      <c r="AL41" s="779">
        <f t="shared" si="31"/>
        <v>50334339996759.516</v>
      </c>
      <c r="AM41" s="780">
        <f t="shared" si="31"/>
        <v>41474803074760.617</v>
      </c>
      <c r="AN41" s="41" t="str">
        <f t="shared" si="31"/>
        <v/>
      </c>
      <c r="AO41" s="42" t="str">
        <f t="shared" si="31"/>
        <v/>
      </c>
      <c r="AP41" s="41" t="str">
        <f t="shared" si="31"/>
        <v/>
      </c>
      <c r="AQ41" s="5" t="s">
        <v>44</v>
      </c>
    </row>
    <row r="42" spans="1:43" ht="28.8" x14ac:dyDescent="0.3">
      <c r="A42" s="2"/>
      <c r="B42" s="37">
        <v>2043</v>
      </c>
      <c r="C42" s="804">
        <f>'Interp-URBAN'!I372</f>
        <v>50963.698237983226</v>
      </c>
      <c r="D42" s="805">
        <f>'Interp-URBAN'!I177</f>
        <v>71175.052965019699</v>
      </c>
      <c r="E42" s="575"/>
      <c r="F42" s="804">
        <f>'Interp-URBAN'!I307</f>
        <v>49088.265018296101</v>
      </c>
      <c r="G42" s="805">
        <f>'Interp-URBAN'!H47</f>
        <v>43737.247973643302</v>
      </c>
      <c r="H42" s="575"/>
      <c r="I42" s="804">
        <f>'Interp-URBAN'!I372</f>
        <v>50963.698237983226</v>
      </c>
      <c r="J42" s="805">
        <f>'Interp-URBAN'!H112</f>
        <v>42014.585105394457</v>
      </c>
      <c r="K42" s="268"/>
      <c r="L42" s="42"/>
      <c r="M42" s="41"/>
      <c r="N42" s="126" t="s">
        <v>140</v>
      </c>
      <c r="AE42" s="37">
        <v>2043</v>
      </c>
      <c r="AF42" s="779">
        <f t="shared" ref="AF42:AP42" si="32">IF(C42&lt;&gt;"",C42*10^9,"")</f>
        <v>50963698237983.227</v>
      </c>
      <c r="AG42" s="784">
        <f t="shared" si="32"/>
        <v>71175052965019.703</v>
      </c>
      <c r="AH42" s="40" t="str">
        <f t="shared" si="32"/>
        <v/>
      </c>
      <c r="AI42" s="779">
        <f t="shared" si="32"/>
        <v>49088265018296.102</v>
      </c>
      <c r="AJ42" s="780">
        <f t="shared" si="32"/>
        <v>43737247973643.305</v>
      </c>
      <c r="AK42" s="40" t="str">
        <f t="shared" si="32"/>
        <v/>
      </c>
      <c r="AL42" s="779">
        <f t="shared" si="32"/>
        <v>50963698237983.227</v>
      </c>
      <c r="AM42" s="780">
        <f t="shared" si="32"/>
        <v>42014585105394.461</v>
      </c>
      <c r="AN42" s="41" t="str">
        <f t="shared" si="32"/>
        <v/>
      </c>
      <c r="AO42" s="42" t="str">
        <f t="shared" si="32"/>
        <v/>
      </c>
      <c r="AP42" s="41" t="str">
        <f t="shared" si="32"/>
        <v/>
      </c>
      <c r="AQ42" s="5" t="s">
        <v>44</v>
      </c>
    </row>
    <row r="43" spans="1:43" ht="28.8" x14ac:dyDescent="0.3">
      <c r="A43" s="2"/>
      <c r="B43" s="37">
        <v>2044</v>
      </c>
      <c r="C43" s="804">
        <f>'Interp-URBAN'!I373</f>
        <v>51578.500485803306</v>
      </c>
      <c r="D43" s="805">
        <f>'Interp-URBAN'!I178</f>
        <v>73363.620221093544</v>
      </c>
      <c r="E43" s="575"/>
      <c r="F43" s="804">
        <f>'Interp-URBAN'!I308</f>
        <v>49584.875489707847</v>
      </c>
      <c r="G43" s="805">
        <f>'Interp-URBAN'!H48</f>
        <v>44357.553099847239</v>
      </c>
      <c r="H43" s="575"/>
      <c r="I43" s="804">
        <f>'Interp-URBAN'!I373</f>
        <v>51578.500485803306</v>
      </c>
      <c r="J43" s="805">
        <f>'Interp-URBAN'!H113</f>
        <v>42550.317670550299</v>
      </c>
      <c r="K43" s="268"/>
      <c r="L43" s="42"/>
      <c r="M43" s="41"/>
      <c r="N43" s="126" t="s">
        <v>140</v>
      </c>
      <c r="AE43" s="37">
        <v>2044</v>
      </c>
      <c r="AF43" s="779">
        <f t="shared" ref="AF43:AP43" si="33">IF(C43&lt;&gt;"",C43*10^9,"")</f>
        <v>51578500485803.305</v>
      </c>
      <c r="AG43" s="784">
        <f t="shared" si="33"/>
        <v>73363620221093.547</v>
      </c>
      <c r="AH43" s="40" t="str">
        <f t="shared" si="33"/>
        <v/>
      </c>
      <c r="AI43" s="779">
        <f t="shared" si="33"/>
        <v>49584875489707.844</v>
      </c>
      <c r="AJ43" s="780">
        <f t="shared" si="33"/>
        <v>44357553099847.242</v>
      </c>
      <c r="AK43" s="40" t="str">
        <f t="shared" si="33"/>
        <v/>
      </c>
      <c r="AL43" s="779">
        <f t="shared" si="33"/>
        <v>51578500485803.305</v>
      </c>
      <c r="AM43" s="780">
        <f t="shared" si="33"/>
        <v>42550317670550.297</v>
      </c>
      <c r="AN43" s="41" t="str">
        <f t="shared" si="33"/>
        <v/>
      </c>
      <c r="AO43" s="42" t="str">
        <f t="shared" si="33"/>
        <v/>
      </c>
      <c r="AP43" s="41" t="str">
        <f t="shared" si="33"/>
        <v/>
      </c>
      <c r="AQ43" s="5" t="s">
        <v>44</v>
      </c>
    </row>
    <row r="44" spans="1:43" ht="28.8" x14ac:dyDescent="0.3">
      <c r="A44" s="2"/>
      <c r="B44" s="37">
        <v>2045</v>
      </c>
      <c r="C44" s="804">
        <f>'Interp-URBAN'!I374</f>
        <v>52222.708114321678</v>
      </c>
      <c r="D44" s="805">
        <f>'Interp-URBAN'!I179</f>
        <v>75674.939876006232</v>
      </c>
      <c r="E44" s="575"/>
      <c r="F44" s="804">
        <f>'Interp-URBAN'!I309</f>
        <v>50108.012010013437</v>
      </c>
      <c r="G44" s="805">
        <f>'Interp-URBAN'!H49</f>
        <v>44858.29138141367</v>
      </c>
      <c r="H44" s="575"/>
      <c r="I44" s="804">
        <f>'Interp-URBAN'!I374</f>
        <v>52222.708114321678</v>
      </c>
      <c r="J44" s="805">
        <f>'Interp-URBAN'!H114</f>
        <v>42960.694182004241</v>
      </c>
      <c r="K44" s="268"/>
      <c r="L44" s="42"/>
      <c r="M44" s="41"/>
      <c r="N44" s="126" t="s">
        <v>140</v>
      </c>
      <c r="AE44" s="37">
        <v>2045</v>
      </c>
      <c r="AF44" s="779">
        <f t="shared" ref="AF44:AP44" si="34">IF(C44&lt;&gt;"",C44*10^9,"")</f>
        <v>52222708114321.68</v>
      </c>
      <c r="AG44" s="784">
        <f t="shared" si="34"/>
        <v>75674939876006.234</v>
      </c>
      <c r="AH44" s="40" t="str">
        <f t="shared" si="34"/>
        <v/>
      </c>
      <c r="AI44" s="779">
        <f t="shared" si="34"/>
        <v>50108012010013.438</v>
      </c>
      <c r="AJ44" s="780">
        <f t="shared" si="34"/>
        <v>44858291381413.672</v>
      </c>
      <c r="AK44" s="40" t="str">
        <f t="shared" si="34"/>
        <v/>
      </c>
      <c r="AL44" s="779">
        <f t="shared" si="34"/>
        <v>52222708114321.68</v>
      </c>
      <c r="AM44" s="780">
        <f t="shared" si="34"/>
        <v>42960694182004.242</v>
      </c>
      <c r="AN44" s="41" t="str">
        <f t="shared" si="34"/>
        <v/>
      </c>
      <c r="AO44" s="42" t="str">
        <f t="shared" si="34"/>
        <v/>
      </c>
      <c r="AP44" s="41" t="str">
        <f t="shared" si="34"/>
        <v/>
      </c>
      <c r="AQ44" s="5" t="s">
        <v>44</v>
      </c>
    </row>
    <row r="45" spans="1:43" ht="28.8" x14ac:dyDescent="0.3">
      <c r="A45" s="2"/>
      <c r="B45" s="37">
        <v>2046</v>
      </c>
      <c r="C45" s="804">
        <f>'Interp-URBAN'!I375</f>
        <v>52762.247340921589</v>
      </c>
      <c r="D45" s="805">
        <f>'Interp-URBAN'!I180</f>
        <v>77978.246634718394</v>
      </c>
      <c r="E45" s="575"/>
      <c r="F45" s="804">
        <f>'Interp-URBAN'!I310</f>
        <v>50523.679418313324</v>
      </c>
      <c r="G45" s="805">
        <f>'Interp-URBAN'!H50</f>
        <v>45590.685433403698</v>
      </c>
      <c r="H45" s="575"/>
      <c r="I45" s="804">
        <f>'Interp-URBAN'!I375</f>
        <v>52762.247340921589</v>
      </c>
      <c r="J45" s="805">
        <f>'Interp-URBAN'!H115</f>
        <v>43608.651471103301</v>
      </c>
      <c r="K45" s="268"/>
      <c r="L45" s="42"/>
      <c r="M45" s="41"/>
      <c r="N45" s="126" t="s">
        <v>140</v>
      </c>
      <c r="AE45" s="37">
        <v>2046</v>
      </c>
      <c r="AF45" s="779">
        <f t="shared" ref="AF45:AP45" si="35">IF(C45&lt;&gt;"",C45*10^9,"")</f>
        <v>52762247340921.586</v>
      </c>
      <c r="AG45" s="784">
        <f t="shared" si="35"/>
        <v>77978246634718.391</v>
      </c>
      <c r="AH45" s="40" t="str">
        <f t="shared" si="35"/>
        <v/>
      </c>
      <c r="AI45" s="779">
        <f t="shared" si="35"/>
        <v>50523679418313.328</v>
      </c>
      <c r="AJ45" s="780">
        <f t="shared" si="35"/>
        <v>45590685433403.695</v>
      </c>
      <c r="AK45" s="40" t="str">
        <f t="shared" si="35"/>
        <v/>
      </c>
      <c r="AL45" s="779">
        <f t="shared" si="35"/>
        <v>52762247340921.586</v>
      </c>
      <c r="AM45" s="780">
        <f t="shared" si="35"/>
        <v>43608651471103.305</v>
      </c>
      <c r="AN45" s="41" t="str">
        <f t="shared" si="35"/>
        <v/>
      </c>
      <c r="AO45" s="42" t="str">
        <f t="shared" si="35"/>
        <v/>
      </c>
      <c r="AP45" s="41" t="str">
        <f t="shared" si="35"/>
        <v/>
      </c>
      <c r="AQ45" s="5" t="s">
        <v>44</v>
      </c>
    </row>
    <row r="46" spans="1:43" ht="28.8" x14ac:dyDescent="0.3">
      <c r="A46" s="2"/>
      <c r="B46" s="37">
        <v>2047</v>
      </c>
      <c r="C46" s="804">
        <f>'Interp-URBAN'!I376</f>
        <v>53330.076182998353</v>
      </c>
      <c r="D46" s="805">
        <f>'Interp-URBAN'!I181</f>
        <v>80409.780852941694</v>
      </c>
      <c r="E46" s="575"/>
      <c r="F46" s="804">
        <f>'Interp-URBAN'!I311</f>
        <v>50964.915550916092</v>
      </c>
      <c r="G46" s="805">
        <f>'Interp-URBAN'!H51</f>
        <v>46202.730127661751</v>
      </c>
      <c r="H46" s="575"/>
      <c r="I46" s="804">
        <f>'Interp-URBAN'!I376</f>
        <v>53330.076182998353</v>
      </c>
      <c r="J46" s="805">
        <f>'Interp-URBAN'!H116</f>
        <v>44130.737305022143</v>
      </c>
      <c r="K46" s="268"/>
      <c r="L46" s="42"/>
      <c r="M46" s="41"/>
      <c r="N46" s="126" t="s">
        <v>140</v>
      </c>
      <c r="AE46" s="37">
        <v>2047</v>
      </c>
      <c r="AF46" s="779">
        <f t="shared" ref="AF46:AP46" si="36">IF(C46&lt;&gt;"",C46*10^9,"")</f>
        <v>53330076182998.352</v>
      </c>
      <c r="AG46" s="784">
        <f t="shared" si="36"/>
        <v>80409780852941.688</v>
      </c>
      <c r="AH46" s="40" t="str">
        <f t="shared" si="36"/>
        <v/>
      </c>
      <c r="AI46" s="779">
        <f t="shared" si="36"/>
        <v>50964915550916.094</v>
      </c>
      <c r="AJ46" s="780">
        <f t="shared" si="36"/>
        <v>46202730127661.75</v>
      </c>
      <c r="AK46" s="40" t="str">
        <f t="shared" si="36"/>
        <v/>
      </c>
      <c r="AL46" s="779">
        <f t="shared" si="36"/>
        <v>53330076182998.352</v>
      </c>
      <c r="AM46" s="780">
        <f t="shared" si="36"/>
        <v>44130737305022.141</v>
      </c>
      <c r="AN46" s="41" t="str">
        <f t="shared" si="36"/>
        <v/>
      </c>
      <c r="AO46" s="42" t="str">
        <f t="shared" si="36"/>
        <v/>
      </c>
      <c r="AP46" s="41" t="str">
        <f t="shared" si="36"/>
        <v/>
      </c>
      <c r="AQ46" s="5" t="s">
        <v>44</v>
      </c>
    </row>
    <row r="47" spans="1:43" ht="28.8" x14ac:dyDescent="0.3">
      <c r="A47" s="2"/>
      <c r="B47" s="37">
        <v>2048</v>
      </c>
      <c r="C47" s="804">
        <f>'Interp-URBAN'!I377</f>
        <v>53881.098266667657</v>
      </c>
      <c r="D47" s="805">
        <f>'Interp-URBAN'!I182</f>
        <v>82927.627329031777</v>
      </c>
      <c r="E47" s="575"/>
      <c r="F47" s="804">
        <f>'Interp-URBAN'!I312</f>
        <v>51386.705265468452</v>
      </c>
      <c r="G47" s="805">
        <f>'Interp-URBAN'!H52</f>
        <v>46811.204482815941</v>
      </c>
      <c r="H47" s="575"/>
      <c r="I47" s="804">
        <f>'Interp-URBAN'!I377</f>
        <v>53881.098266667657</v>
      </c>
      <c r="J47" s="805">
        <f>'Interp-URBAN'!H117</f>
        <v>44647.725543325549</v>
      </c>
      <c r="K47" s="268"/>
      <c r="L47" s="42"/>
      <c r="M47" s="41"/>
      <c r="N47" s="126" t="s">
        <v>140</v>
      </c>
      <c r="AE47" s="37">
        <v>2048</v>
      </c>
      <c r="AF47" s="779">
        <f t="shared" ref="AF47:AP47" si="37">IF(C47&lt;&gt;"",C47*10^9,"")</f>
        <v>53881098266667.656</v>
      </c>
      <c r="AG47" s="784">
        <f t="shared" si="37"/>
        <v>82927627329031.781</v>
      </c>
      <c r="AH47" s="40" t="str">
        <f t="shared" si="37"/>
        <v/>
      </c>
      <c r="AI47" s="779">
        <f t="shared" si="37"/>
        <v>51386705265468.453</v>
      </c>
      <c r="AJ47" s="780">
        <f t="shared" si="37"/>
        <v>46811204482815.945</v>
      </c>
      <c r="AK47" s="40" t="str">
        <f t="shared" si="37"/>
        <v/>
      </c>
      <c r="AL47" s="779">
        <f t="shared" si="37"/>
        <v>53881098266667.656</v>
      </c>
      <c r="AM47" s="780">
        <f t="shared" si="37"/>
        <v>44647725543325.547</v>
      </c>
      <c r="AN47" s="41" t="str">
        <f t="shared" si="37"/>
        <v/>
      </c>
      <c r="AO47" s="42" t="str">
        <f t="shared" si="37"/>
        <v/>
      </c>
      <c r="AP47" s="41" t="str">
        <f t="shared" si="37"/>
        <v/>
      </c>
      <c r="AQ47" s="5" t="s">
        <v>44</v>
      </c>
    </row>
    <row r="48" spans="1:43" ht="28.8" x14ac:dyDescent="0.3">
      <c r="A48" s="2"/>
      <c r="B48" s="37">
        <v>2049</v>
      </c>
      <c r="C48" s="804">
        <f>'Interp-URBAN'!I378</f>
        <v>54414.718024649876</v>
      </c>
      <c r="D48" s="805">
        <f>'Interp-URBAN'!I183</f>
        <v>85534.306965365366</v>
      </c>
      <c r="E48" s="575"/>
      <c r="F48" s="804">
        <f>'Interp-URBAN'!I313</f>
        <v>51788.535272763394</v>
      </c>
      <c r="G48" s="805">
        <f>'Interp-URBAN'!H53</f>
        <v>47415.67663929992</v>
      </c>
      <c r="H48" s="575"/>
      <c r="I48" s="804">
        <f>'Interp-URBAN'!I378</f>
        <v>54414.718024649876</v>
      </c>
      <c r="J48" s="805">
        <f>'Interp-URBAN'!H118</f>
        <v>45159.319163226872</v>
      </c>
      <c r="K48" s="268"/>
      <c r="L48" s="42"/>
      <c r="M48" s="41"/>
      <c r="N48" s="126" t="s">
        <v>140</v>
      </c>
      <c r="AE48" s="37">
        <v>2049</v>
      </c>
      <c r="AF48" s="779">
        <f t="shared" ref="AF48:AP48" si="38">IF(C48&lt;&gt;"",C48*10^9,"")</f>
        <v>54414718024649.875</v>
      </c>
      <c r="AG48" s="784">
        <f t="shared" si="38"/>
        <v>85534306965365.359</v>
      </c>
      <c r="AH48" s="40" t="str">
        <f t="shared" si="38"/>
        <v/>
      </c>
      <c r="AI48" s="779">
        <f t="shared" si="38"/>
        <v>51788535272763.391</v>
      </c>
      <c r="AJ48" s="780">
        <f t="shared" si="38"/>
        <v>47415676639299.922</v>
      </c>
      <c r="AK48" s="40" t="str">
        <f t="shared" si="38"/>
        <v/>
      </c>
      <c r="AL48" s="779">
        <f t="shared" si="38"/>
        <v>54414718024649.875</v>
      </c>
      <c r="AM48" s="780">
        <f t="shared" si="38"/>
        <v>45159319163226.875</v>
      </c>
      <c r="AN48" s="41" t="str">
        <f t="shared" si="38"/>
        <v/>
      </c>
      <c r="AO48" s="42" t="str">
        <f t="shared" si="38"/>
        <v/>
      </c>
      <c r="AP48" s="41" t="str">
        <f t="shared" si="38"/>
        <v/>
      </c>
      <c r="AQ48" s="5" t="s">
        <v>44</v>
      </c>
    </row>
    <row r="49" spans="1:44" ht="28.8" x14ac:dyDescent="0.3">
      <c r="A49" s="2"/>
      <c r="B49" s="37">
        <v>2050</v>
      </c>
      <c r="C49" s="804">
        <f>'Interp-URBAN'!I379</f>
        <v>54907.304920636765</v>
      </c>
      <c r="D49" s="805">
        <f>'Interp-URBAN'!I184</f>
        <v>88209.250601982989</v>
      </c>
      <c r="E49" s="575"/>
      <c r="F49" s="804">
        <f>'Interp-URBAN'!I314</f>
        <v>52146.857071609076</v>
      </c>
      <c r="G49" s="805">
        <f>'Interp-URBAN'!H54</f>
        <v>48108.749431982156</v>
      </c>
      <c r="H49" s="575"/>
      <c r="I49" s="804">
        <f>'Interp-URBAN'!I379</f>
        <v>54907.304920636765</v>
      </c>
      <c r="J49" s="805">
        <f>'Interp-URBAN'!H119</f>
        <v>45750.263527195624</v>
      </c>
      <c r="K49" s="268"/>
      <c r="L49" s="42"/>
      <c r="M49" s="41"/>
      <c r="N49" s="126" t="s">
        <v>140</v>
      </c>
      <c r="AE49" s="37">
        <v>2050</v>
      </c>
      <c r="AF49" s="779">
        <f t="shared" ref="AF49:AP49" si="39">IF(C49&lt;&gt;"",C49*10^9,"")</f>
        <v>54907304920636.766</v>
      </c>
      <c r="AG49" s="784">
        <f t="shared" si="39"/>
        <v>88209250601982.984</v>
      </c>
      <c r="AH49" s="40" t="str">
        <f t="shared" si="39"/>
        <v/>
      </c>
      <c r="AI49" s="779">
        <f t="shared" si="39"/>
        <v>52146857071609.078</v>
      </c>
      <c r="AJ49" s="780">
        <f t="shared" si="39"/>
        <v>48108749431982.156</v>
      </c>
      <c r="AK49" s="40" t="str">
        <f t="shared" si="39"/>
        <v/>
      </c>
      <c r="AL49" s="779">
        <f t="shared" si="39"/>
        <v>54907304920636.766</v>
      </c>
      <c r="AM49" s="780">
        <f t="shared" si="39"/>
        <v>45750263527195.625</v>
      </c>
      <c r="AN49" s="41" t="str">
        <f t="shared" si="39"/>
        <v/>
      </c>
      <c r="AO49" s="42" t="str">
        <f t="shared" si="39"/>
        <v/>
      </c>
      <c r="AP49" s="41" t="str">
        <f t="shared" si="39"/>
        <v/>
      </c>
      <c r="AQ49" s="5" t="s">
        <v>44</v>
      </c>
    </row>
    <row r="50" spans="1:44" ht="28.8" x14ac:dyDescent="0.3">
      <c r="A50" s="2"/>
      <c r="B50" s="37">
        <v>2051</v>
      </c>
      <c r="C50" s="804">
        <f>'Interp-URBAN'!I380</f>
        <v>55427.465801990998</v>
      </c>
      <c r="D50" s="805">
        <f>'Interp-URBAN'!I185</f>
        <v>91024.176869382092</v>
      </c>
      <c r="E50" s="575"/>
      <c r="F50" s="804">
        <f>'Interp-URBAN'!I315</f>
        <v>52530.35885414941</v>
      </c>
      <c r="G50" s="805">
        <f>'Interp-URBAN'!H55</f>
        <v>48610.966002332723</v>
      </c>
      <c r="H50" s="575"/>
      <c r="I50" s="804">
        <f>'Interp-URBAN'!I380</f>
        <v>55427.465801990998</v>
      </c>
      <c r="J50" s="805">
        <f>'Interp-URBAN'!H120</f>
        <v>46165.209022238472</v>
      </c>
      <c r="K50" s="268"/>
      <c r="L50" s="42"/>
      <c r="M50" s="41"/>
      <c r="N50" s="126" t="s">
        <v>140</v>
      </c>
      <c r="AE50" s="37">
        <v>2051</v>
      </c>
      <c r="AF50" s="779">
        <f t="shared" ref="AF50:AP50" si="40">IF(C50&lt;&gt;"",C50*10^9,"")</f>
        <v>55427465801991</v>
      </c>
      <c r="AG50" s="784">
        <f t="shared" si="40"/>
        <v>91024176869382.094</v>
      </c>
      <c r="AH50" s="40" t="str">
        <f t="shared" si="40"/>
        <v/>
      </c>
      <c r="AI50" s="779">
        <f t="shared" si="40"/>
        <v>52530358854149.406</v>
      </c>
      <c r="AJ50" s="780">
        <f t="shared" si="40"/>
        <v>48610966002332.727</v>
      </c>
      <c r="AK50" s="40" t="str">
        <f t="shared" si="40"/>
        <v/>
      </c>
      <c r="AL50" s="779">
        <f t="shared" si="40"/>
        <v>55427465801991</v>
      </c>
      <c r="AM50" s="780">
        <f t="shared" si="40"/>
        <v>46165209022238.469</v>
      </c>
      <c r="AN50" s="41" t="str">
        <f t="shared" si="40"/>
        <v/>
      </c>
      <c r="AO50" s="42" t="str">
        <f t="shared" si="40"/>
        <v/>
      </c>
      <c r="AP50" s="41" t="str">
        <f t="shared" si="40"/>
        <v/>
      </c>
      <c r="AQ50" s="5" t="s">
        <v>44</v>
      </c>
    </row>
    <row r="51" spans="1:44" ht="28.8" x14ac:dyDescent="0.3">
      <c r="A51" s="2"/>
      <c r="B51" s="37">
        <v>2052</v>
      </c>
      <c r="C51" s="804">
        <f>'Interp-URBAN'!I381</f>
        <v>55905.531601923001</v>
      </c>
      <c r="D51" s="805">
        <f>'Interp-URBAN'!I186</f>
        <v>93912.41803659701</v>
      </c>
      <c r="E51" s="575"/>
      <c r="F51" s="804">
        <f>'Interp-URBAN'!I316</f>
        <v>52869.450807085057</v>
      </c>
      <c r="G51" s="805">
        <f>'Interp-URBAN'!H56</f>
        <v>49201.028508996089</v>
      </c>
      <c r="H51" s="575"/>
      <c r="I51" s="804">
        <f>'Interp-URBAN'!I381</f>
        <v>55905.531601923001</v>
      </c>
      <c r="J51" s="805">
        <f>'Interp-URBAN'!H121</f>
        <v>46659.013820675376</v>
      </c>
      <c r="K51" s="268"/>
      <c r="L51" s="42"/>
      <c r="M51" s="41"/>
      <c r="N51" s="126" t="s">
        <v>140</v>
      </c>
      <c r="AE51" s="37">
        <v>2052</v>
      </c>
      <c r="AF51" s="779">
        <f t="shared" ref="AF51:AP51" si="41">IF(C51&lt;&gt;"",C51*10^9,"")</f>
        <v>55905531601923</v>
      </c>
      <c r="AG51" s="784">
        <f t="shared" si="41"/>
        <v>93912418036597.016</v>
      </c>
      <c r="AH51" s="40" t="str">
        <f t="shared" si="41"/>
        <v/>
      </c>
      <c r="AI51" s="779">
        <f t="shared" si="41"/>
        <v>52869450807085.055</v>
      </c>
      <c r="AJ51" s="780">
        <f t="shared" si="41"/>
        <v>49201028508996.086</v>
      </c>
      <c r="AK51" s="40" t="str">
        <f t="shared" si="41"/>
        <v/>
      </c>
      <c r="AL51" s="779">
        <f t="shared" si="41"/>
        <v>55905531601923</v>
      </c>
      <c r="AM51" s="780">
        <f t="shared" si="41"/>
        <v>46659013820675.375</v>
      </c>
      <c r="AN51" s="41" t="str">
        <f t="shared" si="41"/>
        <v/>
      </c>
      <c r="AO51" s="42" t="str">
        <f t="shared" si="41"/>
        <v/>
      </c>
      <c r="AP51" s="41" t="str">
        <f t="shared" si="41"/>
        <v/>
      </c>
      <c r="AQ51" s="5" t="s">
        <v>44</v>
      </c>
    </row>
    <row r="52" spans="1:44" ht="28.8" x14ac:dyDescent="0.3">
      <c r="A52" s="2"/>
      <c r="B52" s="37">
        <v>2053</v>
      </c>
      <c r="C52" s="804">
        <f>'Interp-URBAN'!I382</f>
        <v>56364.082833635141</v>
      </c>
      <c r="D52" s="805">
        <f>'Interp-URBAN'!I187</f>
        <v>96899.31947517606</v>
      </c>
      <c r="E52" s="575"/>
      <c r="F52" s="804">
        <f>'Interp-URBAN'!I317</f>
        <v>53186.790680033657</v>
      </c>
      <c r="G52" s="805">
        <f>'Interp-URBAN'!H57</f>
        <v>49785.591552388236</v>
      </c>
      <c r="H52" s="575"/>
      <c r="I52" s="804">
        <f>'Interp-URBAN'!I382</f>
        <v>56364.082833635141</v>
      </c>
      <c r="J52" s="805">
        <f>'Interp-URBAN'!H122</f>
        <v>47146.452219110281</v>
      </c>
      <c r="K52" s="268"/>
      <c r="L52" s="42"/>
      <c r="M52" s="41"/>
      <c r="N52" s="126" t="s">
        <v>140</v>
      </c>
      <c r="AE52" s="37">
        <v>2053</v>
      </c>
      <c r="AF52" s="779">
        <f t="shared" ref="AF52:AP52" si="42">IF(C52&lt;&gt;"",C52*10^9,"")</f>
        <v>56364082833635.141</v>
      </c>
      <c r="AG52" s="784">
        <f t="shared" si="42"/>
        <v>96899319475176.063</v>
      </c>
      <c r="AH52" s="40" t="str">
        <f t="shared" si="42"/>
        <v/>
      </c>
      <c r="AI52" s="779">
        <f t="shared" si="42"/>
        <v>53186790680033.656</v>
      </c>
      <c r="AJ52" s="780">
        <f t="shared" si="42"/>
        <v>49785591552388.234</v>
      </c>
      <c r="AK52" s="40" t="str">
        <f t="shared" si="42"/>
        <v/>
      </c>
      <c r="AL52" s="779">
        <f t="shared" si="42"/>
        <v>56364082833635.141</v>
      </c>
      <c r="AM52" s="780">
        <f t="shared" si="42"/>
        <v>47146452219110.281</v>
      </c>
      <c r="AN52" s="41" t="str">
        <f t="shared" si="42"/>
        <v/>
      </c>
      <c r="AO52" s="42" t="str">
        <f t="shared" si="42"/>
        <v/>
      </c>
      <c r="AP52" s="41" t="str">
        <f t="shared" si="42"/>
        <v/>
      </c>
      <c r="AQ52" s="5" t="s">
        <v>44</v>
      </c>
    </row>
    <row r="53" spans="1:44" ht="28.8" x14ac:dyDescent="0.3">
      <c r="A53" s="2"/>
      <c r="B53" s="37">
        <v>2054</v>
      </c>
      <c r="C53" s="804">
        <f>'Interp-URBAN'!I383</f>
        <v>56802.675568601131</v>
      </c>
      <c r="D53" s="805">
        <f>'Interp-URBAN'!I188</f>
        <v>99987.067448951449</v>
      </c>
      <c r="E53" s="575"/>
      <c r="F53" s="804">
        <f>'Interp-URBAN'!I318</f>
        <v>53482.009859137244</v>
      </c>
      <c r="G53" s="805">
        <f>'Interp-URBAN'!H58</f>
        <v>50364.355421433174</v>
      </c>
      <c r="H53" s="575"/>
      <c r="I53" s="804">
        <f>'Interp-URBAN'!I383</f>
        <v>56802.675568601131</v>
      </c>
      <c r="J53" s="805">
        <f>'Interp-URBAN'!H123</f>
        <v>47627.350612794857</v>
      </c>
      <c r="K53" s="268"/>
      <c r="L53" s="42"/>
      <c r="M53" s="41"/>
      <c r="N53" s="126" t="s">
        <v>140</v>
      </c>
      <c r="AE53" s="37">
        <v>2054</v>
      </c>
      <c r="AF53" s="779">
        <f t="shared" ref="AF53:AP53" si="43">IF(C53&lt;&gt;"",C53*10^9,"")</f>
        <v>56802675568601.133</v>
      </c>
      <c r="AG53" s="784">
        <f t="shared" si="43"/>
        <v>99987067448951.453</v>
      </c>
      <c r="AH53" s="40" t="str">
        <f t="shared" si="43"/>
        <v/>
      </c>
      <c r="AI53" s="779">
        <f t="shared" si="43"/>
        <v>53482009859137.242</v>
      </c>
      <c r="AJ53" s="780">
        <f t="shared" si="43"/>
        <v>50364355421433.172</v>
      </c>
      <c r="AK53" s="40" t="str">
        <f t="shared" si="43"/>
        <v/>
      </c>
      <c r="AL53" s="779">
        <f t="shared" si="43"/>
        <v>56802675568601.133</v>
      </c>
      <c r="AM53" s="780">
        <f t="shared" si="43"/>
        <v>47627350612794.859</v>
      </c>
      <c r="AN53" s="41" t="str">
        <f t="shared" si="43"/>
        <v/>
      </c>
      <c r="AO53" s="42" t="str">
        <f t="shared" si="43"/>
        <v/>
      </c>
      <c r="AP53" s="41" t="str">
        <f t="shared" si="43"/>
        <v/>
      </c>
      <c r="AQ53" s="5" t="s">
        <v>44</v>
      </c>
    </row>
    <row r="54" spans="1:44" ht="28.8" x14ac:dyDescent="0.3">
      <c r="A54" s="2"/>
      <c r="B54" s="37">
        <v>2055</v>
      </c>
      <c r="C54" s="804">
        <f>'Interp-URBAN'!I384</f>
        <v>57220.85406829384</v>
      </c>
      <c r="D54" s="805">
        <f>'Interp-URBAN'!I189</f>
        <v>103177.87202940055</v>
      </c>
      <c r="E54" s="575"/>
      <c r="F54" s="804">
        <f>'Interp-URBAN'!I319</f>
        <v>53754.728363792899</v>
      </c>
      <c r="G54" s="805">
        <f>'Interp-URBAN'!H59</f>
        <v>50937.007688756225</v>
      </c>
      <c r="H54" s="575"/>
      <c r="I54" s="804">
        <f>'Interp-URBAN'!I384</f>
        <v>57220.85406829384</v>
      </c>
      <c r="J54" s="805">
        <f>'Interp-URBAN'!H124</f>
        <v>48101.522542119506</v>
      </c>
      <c r="K54" s="268"/>
      <c r="L54" s="42"/>
      <c r="M54" s="41"/>
      <c r="N54" s="126" t="s">
        <v>140</v>
      </c>
      <c r="AE54" s="37">
        <v>2055</v>
      </c>
      <c r="AF54" s="779">
        <f t="shared" ref="AF54:AP54" si="44">IF(C54&lt;&gt;"",C54*10^9,"")</f>
        <v>57220854068293.844</v>
      </c>
      <c r="AG54" s="784">
        <f t="shared" si="44"/>
        <v>103177872029400.55</v>
      </c>
      <c r="AH54" s="40" t="str">
        <f t="shared" si="44"/>
        <v/>
      </c>
      <c r="AI54" s="779">
        <f t="shared" si="44"/>
        <v>53754728363792.898</v>
      </c>
      <c r="AJ54" s="780">
        <f t="shared" si="44"/>
        <v>50937007688756.227</v>
      </c>
      <c r="AK54" s="40" t="str">
        <f t="shared" si="44"/>
        <v/>
      </c>
      <c r="AL54" s="779">
        <f t="shared" si="44"/>
        <v>57220854068293.844</v>
      </c>
      <c r="AM54" s="780">
        <f t="shared" si="44"/>
        <v>48101522542119.508</v>
      </c>
      <c r="AN54" s="41" t="str">
        <f t="shared" si="44"/>
        <v/>
      </c>
      <c r="AO54" s="42" t="str">
        <f t="shared" si="44"/>
        <v/>
      </c>
      <c r="AP54" s="41" t="str">
        <f t="shared" si="44"/>
        <v/>
      </c>
      <c r="AQ54" s="5" t="s">
        <v>44</v>
      </c>
    </row>
    <row r="55" spans="1:44" ht="28.8" x14ac:dyDescent="0.3">
      <c r="A55" s="2"/>
      <c r="B55" s="37">
        <v>2056</v>
      </c>
      <c r="C55" s="804">
        <f>'Interp-URBAN'!I385</f>
        <v>57618.113515247518</v>
      </c>
      <c r="D55" s="805">
        <f>'Interp-URBAN'!I190</f>
        <v>106474.0007604453</v>
      </c>
      <c r="E55" s="575"/>
      <c r="F55" s="804">
        <f>'Interp-URBAN'!I320</f>
        <v>54004.520248455512</v>
      </c>
      <c r="G55" s="805">
        <f>'Interp-URBAN'!H60</f>
        <v>51503.187339105483</v>
      </c>
      <c r="H55" s="575"/>
      <c r="I55" s="804">
        <f>'Interp-URBAN'!I385</f>
        <v>57618.113515247518</v>
      </c>
      <c r="J55" s="805">
        <f>'Interp-URBAN'!H125</f>
        <v>48568.734952319617</v>
      </c>
      <c r="K55" s="268"/>
      <c r="L55" s="42"/>
      <c r="M55" s="41"/>
      <c r="N55" s="126" t="s">
        <v>140</v>
      </c>
      <c r="AE55" s="37">
        <v>2056</v>
      </c>
      <c r="AF55" s="779">
        <f t="shared" ref="AF55:AP55" si="45">IF(C55&lt;&gt;"",C55*10^9,"")</f>
        <v>57618113515247.516</v>
      </c>
      <c r="AG55" s="784">
        <f t="shared" si="45"/>
        <v>106474000760445.3</v>
      </c>
      <c r="AH55" s="40" t="str">
        <f t="shared" si="45"/>
        <v/>
      </c>
      <c r="AI55" s="779">
        <f t="shared" si="45"/>
        <v>54004520248455.516</v>
      </c>
      <c r="AJ55" s="780">
        <f t="shared" si="45"/>
        <v>51503187339105.484</v>
      </c>
      <c r="AK55" s="40" t="str">
        <f t="shared" si="45"/>
        <v/>
      </c>
      <c r="AL55" s="779">
        <f t="shared" si="45"/>
        <v>57618113515247.516</v>
      </c>
      <c r="AM55" s="780">
        <f t="shared" si="45"/>
        <v>48568734952319.617</v>
      </c>
      <c r="AN55" s="41" t="str">
        <f t="shared" si="45"/>
        <v/>
      </c>
      <c r="AO55" s="42" t="str">
        <f t="shared" si="45"/>
        <v/>
      </c>
      <c r="AP55" s="41" t="str">
        <f t="shared" si="45"/>
        <v/>
      </c>
      <c r="AQ55" s="5" t="s">
        <v>44</v>
      </c>
    </row>
    <row r="56" spans="1:44" ht="28.8" x14ac:dyDescent="0.3">
      <c r="A56" s="2"/>
      <c r="B56" s="37">
        <v>2057</v>
      </c>
      <c r="C56" s="804">
        <f>'Interp-URBAN'!I386</f>
        <v>57993.936189551314</v>
      </c>
      <c r="D56" s="805">
        <f>'Interp-URBAN'!I191</f>
        <v>109877.82564476429</v>
      </c>
      <c r="E56" s="575"/>
      <c r="F56" s="804">
        <f>'Interp-URBAN'!I321</f>
        <v>54230.947862245572</v>
      </c>
      <c r="G56" s="805">
        <f>'Interp-URBAN'!H61</f>
        <v>52062.518688965465</v>
      </c>
      <c r="H56" s="575"/>
      <c r="I56" s="804">
        <f>'Interp-URBAN'!I386</f>
        <v>57993.936189551314</v>
      </c>
      <c r="J56" s="805">
        <f>'Interp-URBAN'!H126</f>
        <v>49028.740455305968</v>
      </c>
      <c r="K56" s="268"/>
      <c r="L56" s="42"/>
      <c r="M56" s="41"/>
      <c r="N56" s="126" t="s">
        <v>140</v>
      </c>
      <c r="AE56" s="37">
        <v>2057</v>
      </c>
      <c r="AF56" s="779">
        <f t="shared" ref="AF56:AP56" si="46">IF(C56&lt;&gt;"",C56*10^9,"")</f>
        <v>57993936189551.313</v>
      </c>
      <c r="AG56" s="784">
        <f t="shared" si="46"/>
        <v>109877825644764.3</v>
      </c>
      <c r="AH56" s="40" t="str">
        <f t="shared" si="46"/>
        <v/>
      </c>
      <c r="AI56" s="779">
        <f t="shared" si="46"/>
        <v>54230947862245.57</v>
      </c>
      <c r="AJ56" s="780">
        <f t="shared" si="46"/>
        <v>52062518688965.469</v>
      </c>
      <c r="AK56" s="40" t="str">
        <f t="shared" si="46"/>
        <v/>
      </c>
      <c r="AL56" s="779">
        <f t="shared" si="46"/>
        <v>57993936189551.313</v>
      </c>
      <c r="AM56" s="780">
        <f t="shared" si="46"/>
        <v>49028740455305.969</v>
      </c>
      <c r="AN56" s="41" t="str">
        <f t="shared" si="46"/>
        <v/>
      </c>
      <c r="AO56" s="42" t="str">
        <f t="shared" si="46"/>
        <v/>
      </c>
      <c r="AP56" s="41" t="str">
        <f t="shared" si="46"/>
        <v/>
      </c>
      <c r="AQ56" s="5" t="s">
        <v>44</v>
      </c>
    </row>
    <row r="57" spans="1:44" ht="28.8" x14ac:dyDescent="0.3">
      <c r="A57" s="2"/>
      <c r="B57" s="37">
        <v>2058</v>
      </c>
      <c r="C57" s="804">
        <f>'Interp-URBAN'!I387</f>
        <v>58347.84318747199</v>
      </c>
      <c r="D57" s="805">
        <f>'Interp-URBAN'!I192</f>
        <v>113391.77666711448</v>
      </c>
      <c r="E57" s="575"/>
      <c r="F57" s="804">
        <f>'Interp-URBAN'!I322</f>
        <v>54433.610060139086</v>
      </c>
      <c r="G57" s="805">
        <f>'Interp-URBAN'!H62</f>
        <v>52614.66091490192</v>
      </c>
      <c r="H57" s="575"/>
      <c r="I57" s="804">
        <f>'Interp-URBAN'!I387</f>
        <v>58347.84318747199</v>
      </c>
      <c r="J57" s="805">
        <f>'Interp-URBAN'!H127</f>
        <v>49481.324000110733</v>
      </c>
      <c r="K57" s="268"/>
      <c r="L57" s="42"/>
      <c r="M57" s="41"/>
      <c r="N57" s="126" t="s">
        <v>140</v>
      </c>
      <c r="AE57" s="37">
        <v>2058</v>
      </c>
      <c r="AF57" s="779">
        <f t="shared" ref="AF57:AP57" si="47">IF(C57&lt;&gt;"",C57*10^9,"")</f>
        <v>58347843187471.992</v>
      </c>
      <c r="AG57" s="784">
        <f t="shared" si="47"/>
        <v>113391776667114.48</v>
      </c>
      <c r="AH57" s="40" t="str">
        <f t="shared" si="47"/>
        <v/>
      </c>
      <c r="AI57" s="779">
        <f t="shared" si="47"/>
        <v>54433610060139.086</v>
      </c>
      <c r="AJ57" s="780">
        <f t="shared" si="47"/>
        <v>52614660914901.922</v>
      </c>
      <c r="AK57" s="40" t="str">
        <f t="shared" si="47"/>
        <v/>
      </c>
      <c r="AL57" s="779">
        <f t="shared" si="47"/>
        <v>58347843187471.992</v>
      </c>
      <c r="AM57" s="780">
        <f t="shared" si="47"/>
        <v>49481324000110.734</v>
      </c>
      <c r="AN57" s="41" t="str">
        <f t="shared" si="47"/>
        <v/>
      </c>
      <c r="AO57" s="42" t="str">
        <f t="shared" si="47"/>
        <v/>
      </c>
      <c r="AP57" s="41" t="str">
        <f t="shared" si="47"/>
        <v/>
      </c>
      <c r="AQ57" s="5" t="s">
        <v>44</v>
      </c>
    </row>
    <row r="58" spans="1:44" ht="28.8" x14ac:dyDescent="0.3">
      <c r="A58" s="2"/>
      <c r="B58" s="37">
        <v>2059</v>
      </c>
      <c r="C58" s="804">
        <f>'Interp-URBAN'!I388</f>
        <v>58679.363152069702</v>
      </c>
      <c r="D58" s="805">
        <f>'Interp-URBAN'!I193</f>
        <v>117018.35665738297</v>
      </c>
      <c r="E58" s="575"/>
      <c r="F58" s="804">
        <f>'Interp-URBAN'!I323</f>
        <v>54612.112861332185</v>
      </c>
      <c r="G58" s="805">
        <f>'Interp-URBAN'!H63</f>
        <v>53159.278335319897</v>
      </c>
      <c r="H58" s="575"/>
      <c r="I58" s="804">
        <f>'Interp-URBAN'!I388</f>
        <v>58679.363152069702</v>
      </c>
      <c r="J58" s="805">
        <f>'Interp-URBAN'!H128</f>
        <v>49926.274736747364</v>
      </c>
      <c r="K58" s="268"/>
      <c r="L58" s="42"/>
      <c r="M58" s="41"/>
      <c r="N58" s="126" t="s">
        <v>140</v>
      </c>
      <c r="AE58" s="37">
        <v>2059</v>
      </c>
      <c r="AF58" s="779">
        <f t="shared" ref="AF58:AP58" si="48">IF(C58&lt;&gt;"",C58*10^9,"")</f>
        <v>58679363152069.703</v>
      </c>
      <c r="AG58" s="784">
        <f t="shared" si="48"/>
        <v>117018356657382.97</v>
      </c>
      <c r="AH58" s="40" t="str">
        <f t="shared" si="48"/>
        <v/>
      </c>
      <c r="AI58" s="779">
        <f t="shared" si="48"/>
        <v>54612112861332.188</v>
      </c>
      <c r="AJ58" s="780">
        <f t="shared" si="48"/>
        <v>53159278335319.898</v>
      </c>
      <c r="AK58" s="40" t="str">
        <f t="shared" si="48"/>
        <v/>
      </c>
      <c r="AL58" s="779">
        <f t="shared" si="48"/>
        <v>58679363152069.703</v>
      </c>
      <c r="AM58" s="780">
        <f t="shared" si="48"/>
        <v>49926274736747.367</v>
      </c>
      <c r="AN58" s="41" t="str">
        <f t="shared" si="48"/>
        <v/>
      </c>
      <c r="AO58" s="42" t="str">
        <f t="shared" si="48"/>
        <v/>
      </c>
      <c r="AP58" s="41" t="str">
        <f t="shared" si="48"/>
        <v/>
      </c>
      <c r="AQ58" s="5" t="s">
        <v>44</v>
      </c>
    </row>
    <row r="59" spans="1:44" ht="25.05" customHeight="1" x14ac:dyDescent="0.3">
      <c r="A59" s="238" t="s">
        <v>246</v>
      </c>
      <c r="B59" s="37">
        <v>2060</v>
      </c>
      <c r="C59" s="804">
        <f>'Interp-URBAN'!I389</f>
        <v>58988.020035047681</v>
      </c>
      <c r="D59" s="805">
        <f>'Interp-URBAN'!I194</f>
        <v>120760.03224145461</v>
      </c>
      <c r="E59" s="575"/>
      <c r="F59" s="804">
        <f>'Interp-URBAN'!I324</f>
        <v>54766.058112496896</v>
      </c>
      <c r="G59" s="805">
        <f>'Interp-URBAN'!H64</f>
        <v>53696.028554464436</v>
      </c>
      <c r="H59" s="575"/>
      <c r="I59" s="804">
        <f>'Interp-URBAN'!I389</f>
        <v>58988.020035047681</v>
      </c>
      <c r="J59" s="805">
        <f>'Interp-URBAN'!H129</f>
        <v>50363.374864450154</v>
      </c>
      <c r="K59" s="268"/>
      <c r="L59" s="42"/>
      <c r="M59" s="63"/>
      <c r="N59" s="126" t="s">
        <v>140</v>
      </c>
      <c r="AE59" s="37">
        <v>2060</v>
      </c>
      <c r="AF59" s="779">
        <f t="shared" ref="AF59:AP59" si="49">IF(C59&lt;&gt;"",C59*10^9,"")</f>
        <v>58988020035047.68</v>
      </c>
      <c r="AG59" s="784">
        <f t="shared" si="49"/>
        <v>120760032241454.61</v>
      </c>
      <c r="AH59" s="40" t="str">
        <f t="shared" si="49"/>
        <v/>
      </c>
      <c r="AI59" s="779">
        <f t="shared" si="49"/>
        <v>54766058112496.898</v>
      </c>
      <c r="AJ59" s="780">
        <f t="shared" si="49"/>
        <v>53696028554464.438</v>
      </c>
      <c r="AK59" s="40" t="str">
        <f t="shared" si="49"/>
        <v/>
      </c>
      <c r="AL59" s="779">
        <f t="shared" si="49"/>
        <v>58988020035047.68</v>
      </c>
      <c r="AM59" s="780">
        <f t="shared" si="49"/>
        <v>50363374864450.156</v>
      </c>
      <c r="AN59" s="41" t="str">
        <f t="shared" si="49"/>
        <v/>
      </c>
      <c r="AO59" s="42" t="str">
        <f t="shared" si="49"/>
        <v/>
      </c>
      <c r="AP59" s="63" t="str">
        <f t="shared" si="49"/>
        <v/>
      </c>
      <c r="AQ59" s="5" t="s">
        <v>44</v>
      </c>
      <c r="AR59" s="238" t="s">
        <v>246</v>
      </c>
    </row>
    <row r="60" spans="1:44" ht="14.4" x14ac:dyDescent="0.3">
      <c r="A60" s="2"/>
      <c r="B60" s="2"/>
      <c r="C60" s="2"/>
      <c r="D60" s="2"/>
      <c r="E60" s="2"/>
      <c r="F60" s="2"/>
      <c r="G60" s="2"/>
      <c r="H60" s="2"/>
      <c r="I60" s="2"/>
      <c r="J60" s="2"/>
      <c r="K60" s="2"/>
      <c r="L60" s="2"/>
      <c r="M60" s="2"/>
      <c r="N60" s="2"/>
      <c r="AF60" s="2"/>
      <c r="AG60" s="2"/>
      <c r="AH60" s="2"/>
      <c r="AI60" s="2"/>
      <c r="AJ60" s="2"/>
      <c r="AK60" s="2"/>
      <c r="AL60" s="2"/>
      <c r="AM60" s="2"/>
      <c r="AN60" s="2"/>
      <c r="AQ60" s="2"/>
    </row>
    <row r="61" spans="1:44" ht="14.4" x14ac:dyDescent="0.3">
      <c r="A61" s="2"/>
      <c r="B61" s="2"/>
      <c r="C61" s="2"/>
      <c r="D61" s="2"/>
      <c r="E61" s="2"/>
      <c r="F61" s="2"/>
      <c r="G61" s="2"/>
      <c r="H61" s="2"/>
      <c r="I61" s="2"/>
      <c r="J61" s="2"/>
      <c r="K61" s="2"/>
      <c r="L61" s="2"/>
      <c r="M61" s="2"/>
      <c r="N61" s="2"/>
      <c r="AF61" s="2"/>
      <c r="AG61" s="2"/>
      <c r="AH61" s="2"/>
      <c r="AI61" s="2"/>
      <c r="AJ61" s="2"/>
      <c r="AK61" s="2"/>
      <c r="AL61" s="2"/>
      <c r="AM61" s="2"/>
      <c r="AN61" s="2"/>
      <c r="AQ61" s="2"/>
    </row>
    <row r="62" spans="1:44" ht="14.4" x14ac:dyDescent="0.3">
      <c r="A62" s="2"/>
      <c r="B62" s="2"/>
      <c r="C62" s="2"/>
      <c r="D62" s="2"/>
      <c r="E62" s="2"/>
      <c r="F62" s="2"/>
      <c r="G62" s="2"/>
      <c r="H62" s="2"/>
      <c r="I62" s="2"/>
      <c r="J62" s="2"/>
      <c r="K62" s="2"/>
      <c r="L62" s="2"/>
      <c r="M62" s="2"/>
      <c r="N62" s="2"/>
      <c r="AF62" s="2"/>
      <c r="AG62" s="2"/>
      <c r="AH62" s="2"/>
      <c r="AI62" s="2"/>
      <c r="AJ62" s="2"/>
      <c r="AK62" s="2"/>
      <c r="AL62" s="2"/>
      <c r="AM62" s="2"/>
      <c r="AN62" s="2"/>
      <c r="AQ62" s="2"/>
    </row>
    <row r="63" spans="1:44" ht="14.4" x14ac:dyDescent="0.3">
      <c r="A63" s="2"/>
      <c r="B63" s="2"/>
      <c r="C63" s="2"/>
      <c r="D63" s="2"/>
      <c r="E63" s="2"/>
      <c r="F63" s="2"/>
      <c r="G63" s="2"/>
      <c r="H63" s="2"/>
      <c r="I63" s="2"/>
      <c r="J63" s="2"/>
      <c r="K63" s="2"/>
      <c r="L63" s="2"/>
      <c r="M63" s="2"/>
      <c r="N63" s="2"/>
      <c r="AF63" s="2"/>
      <c r="AG63" s="2"/>
      <c r="AH63" s="2"/>
      <c r="AI63" s="2"/>
      <c r="AJ63" s="2"/>
      <c r="AK63" s="2"/>
      <c r="AL63" s="2"/>
      <c r="AM63" s="2"/>
      <c r="AN63" s="2"/>
      <c r="AQ63" s="2"/>
    </row>
    <row r="64" spans="1:44" ht="14.4" x14ac:dyDescent="0.3">
      <c r="A64" s="2"/>
      <c r="B64" s="2"/>
      <c r="C64" s="2"/>
      <c r="D64" s="2"/>
      <c r="E64" s="2"/>
      <c r="F64" s="2"/>
      <c r="G64" s="2"/>
      <c r="H64" s="2"/>
      <c r="I64" s="2"/>
      <c r="J64" s="2"/>
      <c r="K64" s="2"/>
      <c r="L64" s="2"/>
      <c r="M64" s="2"/>
      <c r="N64" s="2"/>
      <c r="AF64" s="2"/>
      <c r="AG64" s="2"/>
      <c r="AH64" s="2"/>
      <c r="AI64" s="2"/>
      <c r="AJ64" s="2"/>
      <c r="AK64" s="2"/>
      <c r="AL64" s="2"/>
      <c r="AM64" s="2"/>
      <c r="AN64" s="2"/>
      <c r="AQ64" s="2"/>
    </row>
    <row r="65" spans="1:43" ht="14.4" x14ac:dyDescent="0.3">
      <c r="A65" s="2"/>
      <c r="B65" s="2"/>
      <c r="C65" s="2"/>
      <c r="D65" s="2"/>
      <c r="E65" s="2"/>
      <c r="F65" s="2"/>
      <c r="G65" s="2"/>
      <c r="H65" s="2"/>
      <c r="I65" s="2"/>
      <c r="J65" s="2"/>
      <c r="K65" s="2"/>
      <c r="L65" s="2"/>
      <c r="M65" s="2"/>
      <c r="N65" s="2"/>
      <c r="AF65" s="2"/>
      <c r="AG65" s="2"/>
      <c r="AH65" s="2"/>
      <c r="AI65" s="2"/>
      <c r="AJ65" s="2"/>
      <c r="AK65" s="2"/>
      <c r="AL65" s="2"/>
      <c r="AM65" s="2"/>
      <c r="AN65" s="2"/>
      <c r="AQ65" s="2"/>
    </row>
    <row r="66" spans="1:43" ht="18.75" customHeight="1" x14ac:dyDescent="0.3">
      <c r="A66" s="27" t="s">
        <v>57</v>
      </c>
      <c r="B66" s="2"/>
      <c r="C66" s="2"/>
      <c r="D66" s="2"/>
      <c r="E66" s="2"/>
      <c r="F66" s="2"/>
      <c r="G66" s="2"/>
      <c r="H66" s="2"/>
      <c r="I66" s="2"/>
      <c r="J66" s="2"/>
      <c r="K66" s="2"/>
      <c r="L66" s="2"/>
      <c r="M66" s="2"/>
      <c r="N66" s="2"/>
      <c r="AF66" s="2"/>
      <c r="AG66" s="2"/>
      <c r="AH66" s="2"/>
      <c r="AI66" s="2"/>
      <c r="AJ66" s="2"/>
      <c r="AK66" s="2"/>
      <c r="AL66" s="2"/>
      <c r="AM66" s="2"/>
      <c r="AN66" s="2"/>
      <c r="AQ66" s="2"/>
    </row>
    <row r="67" spans="1:43" ht="14.4" x14ac:dyDescent="0.3">
      <c r="A67" s="2"/>
      <c r="B67" s="2"/>
      <c r="C67" s="5"/>
      <c r="D67" s="5"/>
      <c r="E67" s="5"/>
      <c r="F67" s="2"/>
      <c r="G67" s="2"/>
      <c r="H67" s="2"/>
      <c r="I67" s="2"/>
      <c r="J67" s="2"/>
      <c r="K67" s="2"/>
      <c r="L67" s="2"/>
      <c r="M67" s="2"/>
      <c r="N67" s="2"/>
      <c r="AF67" s="2"/>
      <c r="AG67" s="2"/>
      <c r="AH67" s="2"/>
      <c r="AI67" s="2"/>
      <c r="AJ67" s="2"/>
      <c r="AK67" s="2"/>
      <c r="AL67" s="2"/>
      <c r="AM67" s="2"/>
      <c r="AN67" s="2"/>
      <c r="AQ67" s="2"/>
    </row>
    <row r="68" spans="1:43" ht="19.5" customHeight="1" x14ac:dyDescent="0.3">
      <c r="A68" s="27" t="s">
        <v>32</v>
      </c>
      <c r="B68" s="2"/>
      <c r="C68" s="2"/>
      <c r="D68" s="2"/>
      <c r="E68" s="2"/>
      <c r="F68" s="2"/>
      <c r="G68" s="2"/>
      <c r="H68" s="2"/>
      <c r="I68" s="2"/>
      <c r="J68" s="2"/>
      <c r="K68" s="2"/>
      <c r="L68" s="2"/>
      <c r="M68" s="2"/>
      <c r="N68" s="2"/>
      <c r="AF68" s="2"/>
      <c r="AG68" s="2"/>
      <c r="AH68" s="2"/>
      <c r="AI68" s="2"/>
      <c r="AJ68" s="2"/>
      <c r="AK68" s="2"/>
      <c r="AL68" s="2"/>
      <c r="AM68" s="2"/>
      <c r="AN68" s="2"/>
      <c r="AQ68" s="2"/>
    </row>
    <row r="69" spans="1:43" ht="16.5" customHeight="1" x14ac:dyDescent="0.3">
      <c r="A69" s="29" t="s">
        <v>33</v>
      </c>
      <c r="B69" s="2"/>
      <c r="C69" s="856" t="s">
        <v>34</v>
      </c>
      <c r="D69" s="857"/>
      <c r="E69" s="858"/>
      <c r="F69" s="859" t="s">
        <v>29</v>
      </c>
      <c r="G69" s="857"/>
      <c r="H69" s="858"/>
      <c r="I69" s="860" t="s">
        <v>35</v>
      </c>
      <c r="J69" s="857"/>
      <c r="K69" s="858"/>
      <c r="L69" s="861" t="s">
        <v>36</v>
      </c>
      <c r="M69" s="858"/>
      <c r="N69" s="5"/>
      <c r="AF69" s="2"/>
      <c r="AG69" s="2"/>
      <c r="AH69" s="2"/>
      <c r="AI69" s="2"/>
      <c r="AJ69" s="2"/>
      <c r="AK69" s="2"/>
      <c r="AL69" s="2"/>
      <c r="AM69" s="2"/>
      <c r="AN69" s="2"/>
      <c r="AQ69" s="2"/>
    </row>
    <row r="70" spans="1:43" ht="143.25" customHeight="1" x14ac:dyDescent="0.3">
      <c r="A70" s="29" t="s">
        <v>37</v>
      </c>
      <c r="B70" s="2"/>
      <c r="C70" s="127" t="str">
        <f t="array" ref="C70:M70">TRANSPOSE(A71:A81)</f>
        <v>Based on IEA (2016), "Energy Technology Perspectives - 6DS", IEA/OECD + Telepresence Adjustment</v>
      </c>
      <c r="D70" s="128" t="str">
        <v>Based on ICCT (2012) "Global Transport Roadmap Model", http://www.theicct.org/global-transportation-roadmap-model + Telepresence Adjustment</v>
      </c>
      <c r="E70" s="129" t="str">
        <v>[Source 3 - Base]</v>
      </c>
      <c r="F70" s="127" t="str">
        <v>Based on IEA (2016), "Energy Technology Perspectives - 4DS", IEA/OECD + Telepresence Adjustment</v>
      </c>
      <c r="G70" s="128" t="str">
        <v>[Source 2 - Conservative]</v>
      </c>
      <c r="H70" s="129" t="str">
        <v>[Source 3 - Conservative]</v>
      </c>
      <c r="I70" s="127" t="str">
        <v>Based on IEA (2016), "Energy Technology Perspectives - 2DS", IEA/OECD + Telepresence Adjustment</v>
      </c>
      <c r="J70" s="128" t="str">
        <v>[Source 2 - Ambitious]</v>
      </c>
      <c r="K70" s="129" t="str">
        <v>[Source 3 - Ambitious]</v>
      </c>
      <c r="L70" s="127" t="str">
        <v>[Source 1 - Maximum]</v>
      </c>
      <c r="M70" s="129" t="str">
        <v>[Source 2 - Maximum]</v>
      </c>
      <c r="N70" s="130" t="s">
        <v>43</v>
      </c>
      <c r="AF70" s="2"/>
      <c r="AG70" s="2"/>
      <c r="AH70" s="2"/>
      <c r="AI70" s="2"/>
      <c r="AJ70" s="2"/>
      <c r="AK70" s="2"/>
      <c r="AL70" s="2"/>
      <c r="AM70" s="2"/>
      <c r="AN70" s="2"/>
      <c r="AQ70" s="2"/>
    </row>
    <row r="71" spans="1:43" ht="30" customHeight="1" x14ac:dyDescent="0.3">
      <c r="A71" s="240" t="s">
        <v>250</v>
      </c>
      <c r="B71" s="37">
        <v>2012</v>
      </c>
      <c r="C71" s="804">
        <f>'Interp-NONURBAN'!I17</f>
        <v>24232.576698968507</v>
      </c>
      <c r="D71" s="805">
        <f>'Interp-NONURBAN'!I212</f>
        <v>23654.711772563536</v>
      </c>
      <c r="E71" s="575"/>
      <c r="F71" s="804">
        <f>'Interp-NONURBAN'!I82</f>
        <v>23930.227582741474</v>
      </c>
      <c r="G71" s="574"/>
      <c r="H71" s="575"/>
      <c r="I71" s="804">
        <f>'Interp-NONURBAN'!I147</f>
        <v>23745.170573047144</v>
      </c>
      <c r="J71" s="39"/>
      <c r="K71" s="41"/>
      <c r="L71" s="42"/>
      <c r="M71" s="41"/>
      <c r="N71" s="126" t="s">
        <v>139</v>
      </c>
      <c r="AF71" s="2"/>
      <c r="AG71" s="2"/>
      <c r="AH71" s="2"/>
      <c r="AI71" s="2"/>
      <c r="AJ71" s="2"/>
      <c r="AK71" s="2"/>
      <c r="AL71" s="2"/>
      <c r="AM71" s="2"/>
      <c r="AN71" s="2"/>
      <c r="AQ71" s="2"/>
    </row>
    <row r="72" spans="1:43" ht="45" customHeight="1" x14ac:dyDescent="0.3">
      <c r="A72" s="243" t="s">
        <v>253</v>
      </c>
      <c r="B72" s="37">
        <v>2013</v>
      </c>
      <c r="C72" s="804">
        <f>'Interp-NONURBAN'!I18</f>
        <v>25087.96950593053</v>
      </c>
      <c r="D72" s="805">
        <f>'Interp-NONURBAN'!I213</f>
        <v>24437.651622549492</v>
      </c>
      <c r="E72" s="575"/>
      <c r="F72" s="804">
        <f>'Interp-NONURBAN'!I83</f>
        <v>24855.874808876422</v>
      </c>
      <c r="G72" s="574"/>
      <c r="H72" s="575"/>
      <c r="I72" s="804">
        <f>'Interp-NONURBAN'!I148</f>
        <v>24754.538238745805</v>
      </c>
      <c r="J72" s="39"/>
      <c r="K72" s="41"/>
      <c r="L72" s="42"/>
      <c r="M72" s="41"/>
      <c r="N72" s="126" t="s">
        <v>139</v>
      </c>
      <c r="AF72" s="2"/>
      <c r="AG72" s="2"/>
      <c r="AH72" s="2"/>
      <c r="AI72" s="2"/>
      <c r="AJ72" s="2"/>
      <c r="AK72" s="2"/>
      <c r="AL72" s="2"/>
      <c r="AM72" s="2"/>
      <c r="AN72" s="2"/>
      <c r="AQ72" s="2"/>
    </row>
    <row r="73" spans="1:43" ht="15.75" customHeight="1" x14ac:dyDescent="0.3">
      <c r="A73" s="242" t="s">
        <v>38</v>
      </c>
      <c r="B73" s="37">
        <v>2014</v>
      </c>
      <c r="C73" s="804">
        <f>'Interp-NONURBAN'!I19</f>
        <v>26120.424650515532</v>
      </c>
      <c r="D73" s="805">
        <f>'Interp-NONURBAN'!I214</f>
        <v>25464.148712370679</v>
      </c>
      <c r="E73" s="575"/>
      <c r="F73" s="804">
        <f>'Interp-NONURBAN'!I84</f>
        <v>25946.675553854449</v>
      </c>
      <c r="G73" s="574"/>
      <c r="H73" s="575"/>
      <c r="I73" s="804">
        <f>'Interp-NONURBAN'!I149</f>
        <v>25903.193009830804</v>
      </c>
      <c r="J73" s="46"/>
      <c r="K73" s="49"/>
      <c r="L73" s="50"/>
      <c r="M73" s="49"/>
      <c r="N73" s="126" t="s">
        <v>139</v>
      </c>
      <c r="AF73" s="2"/>
      <c r="AG73" s="2"/>
      <c r="AH73" s="2"/>
      <c r="AI73" s="2"/>
      <c r="AJ73" s="2"/>
      <c r="AK73" s="2"/>
      <c r="AL73" s="2"/>
      <c r="AM73" s="2"/>
      <c r="AN73" s="2"/>
      <c r="AQ73" s="2"/>
    </row>
    <row r="74" spans="1:43" ht="30" customHeight="1" x14ac:dyDescent="0.3">
      <c r="A74" s="240" t="s">
        <v>251</v>
      </c>
      <c r="B74" s="37">
        <v>2015</v>
      </c>
      <c r="C74" s="804">
        <f>'Interp-NONURBAN'!I20</f>
        <v>27013.827023012112</v>
      </c>
      <c r="D74" s="805">
        <f>'Interp-NONURBAN'!I215</f>
        <v>26286.444766110868</v>
      </c>
      <c r="E74" s="575"/>
      <c r="F74" s="804">
        <f>'Interp-NONURBAN'!I85</f>
        <v>26889.302132140241</v>
      </c>
      <c r="G74" s="574"/>
      <c r="H74" s="575"/>
      <c r="I74" s="804">
        <f>'Interp-NONURBAN'!I150</f>
        <v>26879.506682525327</v>
      </c>
      <c r="J74" s="39"/>
      <c r="K74" s="41"/>
      <c r="L74" s="42"/>
      <c r="M74" s="41"/>
      <c r="N74" s="126" t="s">
        <v>139</v>
      </c>
      <c r="AF74" s="2"/>
      <c r="AG74" s="2"/>
      <c r="AH74" s="2"/>
      <c r="AI74" s="2"/>
      <c r="AJ74" s="2"/>
      <c r="AK74" s="2"/>
      <c r="AL74" s="2"/>
      <c r="AM74" s="2"/>
      <c r="AN74" s="2"/>
      <c r="AQ74" s="2"/>
    </row>
    <row r="75" spans="1:43" ht="28.8" x14ac:dyDescent="0.3">
      <c r="A75" s="243" t="s">
        <v>60</v>
      </c>
      <c r="B75" s="37">
        <v>2016</v>
      </c>
      <c r="C75" s="804">
        <f>'Interp-NONURBAN'!I21</f>
        <v>27922.201433326318</v>
      </c>
      <c r="D75" s="805">
        <f>'Interp-NONURBAN'!I216</f>
        <v>27123.865173826507</v>
      </c>
      <c r="E75" s="575"/>
      <c r="F75" s="804">
        <f>'Interp-NONURBAN'!I86</f>
        <v>27836.665078380385</v>
      </c>
      <c r="G75" s="574"/>
      <c r="H75" s="575"/>
      <c r="I75" s="804">
        <f>'Interp-NONURBAN'!I151</f>
        <v>27836.711154405439</v>
      </c>
      <c r="J75" s="39"/>
      <c r="K75" s="41"/>
      <c r="L75" s="42"/>
      <c r="M75" s="41"/>
      <c r="N75" s="126" t="s">
        <v>139</v>
      </c>
      <c r="AF75" s="2"/>
      <c r="AG75" s="2"/>
      <c r="AH75" s="2"/>
      <c r="AI75" s="2"/>
      <c r="AJ75" s="2"/>
      <c r="AK75" s="2"/>
      <c r="AL75" s="2"/>
      <c r="AM75" s="2"/>
      <c r="AN75" s="2"/>
      <c r="AQ75" s="2"/>
    </row>
    <row r="76" spans="1:43" ht="15.75" customHeight="1" x14ac:dyDescent="0.3">
      <c r="A76" s="242" t="s">
        <v>39</v>
      </c>
      <c r="B76" s="37">
        <v>2017</v>
      </c>
      <c r="C76" s="804">
        <f>'Interp-NONURBAN'!I22</f>
        <v>28844.87262954325</v>
      </c>
      <c r="D76" s="805">
        <f>'Interp-NONURBAN'!I217</f>
        <v>27977.645669273013</v>
      </c>
      <c r="E76" s="575"/>
      <c r="F76" s="804">
        <f>'Interp-NONURBAN'!I87</f>
        <v>28788.416054893893</v>
      </c>
      <c r="G76" s="574"/>
      <c r="H76" s="575"/>
      <c r="I76" s="804">
        <f>'Interp-NONURBAN'!I152</f>
        <v>28775.406318140143</v>
      </c>
      <c r="J76" s="46"/>
      <c r="K76" s="49"/>
      <c r="L76" s="50"/>
      <c r="M76" s="49"/>
      <c r="N76" s="126" t="s">
        <v>139</v>
      </c>
      <c r="AF76" s="2"/>
      <c r="AG76" s="2"/>
      <c r="AH76" s="2"/>
      <c r="AI76" s="2"/>
      <c r="AJ76" s="2"/>
      <c r="AK76" s="2"/>
      <c r="AL76" s="2"/>
      <c r="AM76" s="2"/>
      <c r="AN76" s="2"/>
      <c r="AQ76" s="2"/>
    </row>
    <row r="77" spans="1:43" ht="30" customHeight="1" x14ac:dyDescent="0.3">
      <c r="A77" s="240" t="s">
        <v>252</v>
      </c>
      <c r="B77" s="37">
        <v>2018</v>
      </c>
      <c r="C77" s="804">
        <f>'Interp-NONURBAN'!I23</f>
        <v>29780.941542760724</v>
      </c>
      <c r="D77" s="805">
        <f>'Interp-NONURBAN'!I218</f>
        <v>28848.694155778725</v>
      </c>
      <c r="E77" s="575"/>
      <c r="F77" s="804">
        <f>'Interp-NONURBAN'!I88</f>
        <v>29743.981926931407</v>
      </c>
      <c r="G77" s="574"/>
      <c r="H77" s="575"/>
      <c r="I77" s="804">
        <f>'Interp-NONURBAN'!I153</f>
        <v>29695.96498939754</v>
      </c>
      <c r="J77" s="39"/>
      <c r="K77" s="41"/>
      <c r="L77" s="42"/>
      <c r="M77" s="41"/>
      <c r="N77" s="126" t="s">
        <v>139</v>
      </c>
      <c r="AF77" s="2"/>
      <c r="AG77" s="2"/>
      <c r="AH77" s="2"/>
      <c r="AI77" s="2"/>
      <c r="AJ77" s="2"/>
      <c r="AK77" s="2"/>
      <c r="AL77" s="2"/>
      <c r="AM77" s="2"/>
      <c r="AN77" s="2"/>
      <c r="AQ77" s="2"/>
    </row>
    <row r="78" spans="1:43" ht="28.8" x14ac:dyDescent="0.3">
      <c r="A78" s="243" t="s">
        <v>62</v>
      </c>
      <c r="B78" s="37">
        <v>2019</v>
      </c>
      <c r="C78" s="804">
        <f>'Interp-NONURBAN'!I24</f>
        <v>30729.374158923198</v>
      </c>
      <c r="D78" s="805">
        <f>'Interp-NONURBAN'!I219</f>
        <v>29737.626583585636</v>
      </c>
      <c r="E78" s="575"/>
      <c r="F78" s="804">
        <f>'Interp-NONURBAN'!I89</f>
        <v>30702.653264782413</v>
      </c>
      <c r="G78" s="574"/>
      <c r="H78" s="575"/>
      <c r="I78" s="804">
        <f>'Interp-NONURBAN'!I154</f>
        <v>30598.623431638396</v>
      </c>
      <c r="J78" s="39"/>
      <c r="K78" s="41"/>
      <c r="L78" s="42"/>
      <c r="M78" s="41"/>
      <c r="N78" s="126" t="s">
        <v>139</v>
      </c>
      <c r="AF78" s="2"/>
      <c r="AG78" s="2"/>
      <c r="AH78" s="2"/>
      <c r="AI78" s="2"/>
      <c r="AJ78" s="2"/>
      <c r="AK78" s="2"/>
      <c r="AL78" s="2"/>
      <c r="AM78" s="2"/>
      <c r="AN78" s="2"/>
      <c r="AQ78" s="2"/>
    </row>
    <row r="79" spans="1:43" ht="15.75" customHeight="1" x14ac:dyDescent="0.3">
      <c r="A79" s="242" t="s">
        <v>40</v>
      </c>
      <c r="B79" s="37">
        <v>2020</v>
      </c>
      <c r="C79" s="804">
        <f>'Interp-NONURBAN'!I25</f>
        <v>31691.70864337833</v>
      </c>
      <c r="D79" s="805">
        <f>'Interp-NONURBAN'!I220</f>
        <v>30647.644001277306</v>
      </c>
      <c r="E79" s="575"/>
      <c r="F79" s="804">
        <f>'Interp-NONURBAN'!I90</f>
        <v>31666.290043319623</v>
      </c>
      <c r="G79" s="574"/>
      <c r="H79" s="575"/>
      <c r="I79" s="804">
        <f>'Interp-NONURBAN'!I155</f>
        <v>31486.174624779269</v>
      </c>
      <c r="J79" s="46"/>
      <c r="K79" s="49"/>
      <c r="L79" s="50"/>
      <c r="M79" s="49"/>
      <c r="N79" s="126" t="s">
        <v>139</v>
      </c>
      <c r="AF79" s="2"/>
      <c r="AG79" s="2"/>
      <c r="AH79" s="2"/>
      <c r="AI79" s="2"/>
      <c r="AJ79" s="2"/>
      <c r="AK79" s="2"/>
      <c r="AL79" s="2"/>
      <c r="AM79" s="2"/>
      <c r="AN79" s="2"/>
      <c r="AQ79" s="2"/>
    </row>
    <row r="80" spans="1:43" ht="28.8" x14ac:dyDescent="0.3">
      <c r="A80" s="240" t="s">
        <v>41</v>
      </c>
      <c r="B80" s="37">
        <v>2021</v>
      </c>
      <c r="C80" s="804">
        <f>'Interp-NONURBAN'!I26</f>
        <v>32641.41914454681</v>
      </c>
      <c r="D80" s="805">
        <f>'Interp-NONURBAN'!I221</f>
        <v>31555.050561775246</v>
      </c>
      <c r="E80" s="575"/>
      <c r="F80" s="804">
        <f>'Interp-NONURBAN'!I91</f>
        <v>32608.714741080224</v>
      </c>
      <c r="G80" s="574"/>
      <c r="H80" s="575"/>
      <c r="I80" s="804">
        <f>'Interp-NONURBAN'!I156</f>
        <v>32333.587388320091</v>
      </c>
      <c r="J80" s="39"/>
      <c r="K80" s="41"/>
      <c r="L80" s="42"/>
      <c r="M80" s="41"/>
      <c r="N80" s="126" t="s">
        <v>139</v>
      </c>
      <c r="AF80" s="2"/>
      <c r="AG80" s="2"/>
      <c r="AH80" s="2"/>
      <c r="AI80" s="2"/>
      <c r="AJ80" s="2"/>
      <c r="AK80" s="2"/>
      <c r="AL80" s="2"/>
      <c r="AM80" s="2"/>
      <c r="AN80" s="2"/>
      <c r="AQ80" s="2"/>
    </row>
    <row r="81" spans="1:43" ht="15.75" customHeight="1" x14ac:dyDescent="0.3">
      <c r="A81" s="242" t="s">
        <v>42</v>
      </c>
      <c r="B81" s="37">
        <v>2022</v>
      </c>
      <c r="C81" s="804">
        <f>'Interp-NONURBAN'!I27</f>
        <v>33598.1929744136</v>
      </c>
      <c r="D81" s="805">
        <f>'Interp-NONURBAN'!I222</f>
        <v>32481.017622915904</v>
      </c>
      <c r="E81" s="575"/>
      <c r="F81" s="804">
        <f>'Interp-NONURBAN'!I92</f>
        <v>33549.938185754916</v>
      </c>
      <c r="G81" s="574"/>
      <c r="H81" s="575"/>
      <c r="I81" s="804">
        <f>'Interp-NONURBAN'!I157</f>
        <v>33161.80122333912</v>
      </c>
      <c r="J81" s="55"/>
      <c r="K81" s="57"/>
      <c r="L81" s="58"/>
      <c r="M81" s="57"/>
      <c r="N81" s="126" t="s">
        <v>139</v>
      </c>
      <c r="AF81" s="2"/>
      <c r="AG81" s="2"/>
      <c r="AH81" s="2"/>
      <c r="AI81" s="2"/>
      <c r="AJ81" s="2"/>
      <c r="AK81" s="2"/>
      <c r="AL81" s="2"/>
      <c r="AM81" s="2"/>
      <c r="AN81" s="2"/>
      <c r="AQ81" s="2"/>
    </row>
    <row r="82" spans="1:43" ht="28.8" x14ac:dyDescent="0.3">
      <c r="A82" s="2"/>
      <c r="B82" s="37">
        <v>2023</v>
      </c>
      <c r="C82" s="804">
        <f>'Interp-NONURBAN'!I28</f>
        <v>34561.08144455358</v>
      </c>
      <c r="D82" s="805">
        <f>'Interp-NONURBAN'!I223</f>
        <v>33426.741404019172</v>
      </c>
      <c r="E82" s="575"/>
      <c r="F82" s="804">
        <f>'Interp-NONURBAN'!I93</f>
        <v>34489.355269175852</v>
      </c>
      <c r="G82" s="574"/>
      <c r="H82" s="575"/>
      <c r="I82" s="804">
        <f>'Interp-NONURBAN'!I158</f>
        <v>33971.214335127406</v>
      </c>
      <c r="J82" s="55"/>
      <c r="K82" s="57"/>
      <c r="L82" s="58"/>
      <c r="M82" s="57"/>
      <c r="N82" s="126" t="s">
        <v>139</v>
      </c>
      <c r="AF82" s="2"/>
      <c r="AG82" s="2"/>
      <c r="AH82" s="2"/>
      <c r="AI82" s="2"/>
      <c r="AJ82" s="2"/>
      <c r="AK82" s="2"/>
      <c r="AL82" s="2"/>
      <c r="AM82" s="2"/>
      <c r="AN82" s="2"/>
      <c r="AQ82" s="2"/>
    </row>
    <row r="83" spans="1:43" ht="28.8" x14ac:dyDescent="0.3">
      <c r="A83" s="2"/>
      <c r="B83" s="37">
        <v>2024</v>
      </c>
      <c r="C83" s="804">
        <f>'Interp-NONURBAN'!I29</f>
        <v>35528.510820142641</v>
      </c>
      <c r="D83" s="805">
        <f>'Interp-NONURBAN'!I224</f>
        <v>34392.889813201044</v>
      </c>
      <c r="E83" s="575"/>
      <c r="F83" s="804">
        <f>'Interp-NONURBAN'!I94</f>
        <v>35425.739586854084</v>
      </c>
      <c r="G83" s="574"/>
      <c r="H83" s="575"/>
      <c r="I83" s="804">
        <f>'Interp-NONURBAN'!I159</f>
        <v>34761.619343153623</v>
      </c>
      <c r="J83" s="39"/>
      <c r="K83" s="41"/>
      <c r="L83" s="42"/>
      <c r="M83" s="41"/>
      <c r="N83" s="126" t="s">
        <v>139</v>
      </c>
      <c r="AF83" s="2"/>
      <c r="AG83" s="2"/>
      <c r="AH83" s="2"/>
      <c r="AI83" s="2"/>
      <c r="AJ83" s="2"/>
      <c r="AK83" s="2"/>
      <c r="AL83" s="2"/>
      <c r="AM83" s="2"/>
      <c r="AN83" s="2"/>
      <c r="AQ83" s="2"/>
    </row>
    <row r="84" spans="1:43" ht="28.8" x14ac:dyDescent="0.3">
      <c r="A84" s="2"/>
      <c r="B84" s="37">
        <v>2025</v>
      </c>
      <c r="C84" s="804">
        <f>'Interp-NONURBAN'!I30</f>
        <v>36499.067391378128</v>
      </c>
      <c r="D84" s="805">
        <f>'Interp-NONURBAN'!I225</f>
        <v>35380.250545391311</v>
      </c>
      <c r="E84" s="575"/>
      <c r="F84" s="804">
        <f>'Interp-NONURBAN'!I95</f>
        <v>36358.028410002305</v>
      </c>
      <c r="G84" s="574"/>
      <c r="H84" s="575"/>
      <c r="I84" s="804">
        <f>'Interp-NONURBAN'!I160</f>
        <v>35532.982276495357</v>
      </c>
      <c r="J84" s="39"/>
      <c r="K84" s="41"/>
      <c r="L84" s="42"/>
      <c r="M84" s="41"/>
      <c r="N84" s="126" t="s">
        <v>139</v>
      </c>
      <c r="AF84" s="2"/>
      <c r="AG84" s="2"/>
      <c r="AH84" s="2"/>
      <c r="AI84" s="2"/>
      <c r="AJ84" s="2"/>
      <c r="AK84" s="2"/>
      <c r="AL84" s="2"/>
      <c r="AM84" s="2"/>
      <c r="AN84" s="2"/>
      <c r="AQ84" s="2"/>
    </row>
    <row r="85" spans="1:43" ht="28.8" x14ac:dyDescent="0.3">
      <c r="A85" s="2"/>
      <c r="B85" s="37">
        <v>2026</v>
      </c>
      <c r="C85" s="804">
        <f>'Interp-NONURBAN'!I31</f>
        <v>37471.990938785581</v>
      </c>
      <c r="D85" s="805">
        <f>'Interp-NONURBAN'!I226</f>
        <v>36390.123334265081</v>
      </c>
      <c r="E85" s="575"/>
      <c r="F85" s="804">
        <f>'Interp-NONURBAN'!I96</f>
        <v>37285.813508183972</v>
      </c>
      <c r="G85" s="574"/>
      <c r="H85" s="575"/>
      <c r="I85" s="804">
        <f>'Interp-NONURBAN'!I161</f>
        <v>36285.917469373606</v>
      </c>
      <c r="J85" s="39"/>
      <c r="K85" s="41"/>
      <c r="L85" s="42"/>
      <c r="M85" s="41"/>
      <c r="N85" s="126" t="s">
        <v>139</v>
      </c>
      <c r="AF85" s="2"/>
      <c r="AG85" s="2"/>
      <c r="AH85" s="2"/>
      <c r="AI85" s="2"/>
      <c r="AJ85" s="2"/>
      <c r="AK85" s="2"/>
      <c r="AL85" s="2"/>
      <c r="AM85" s="2"/>
      <c r="AN85" s="2"/>
      <c r="AQ85" s="2"/>
    </row>
    <row r="86" spans="1:43" ht="28.8" x14ac:dyDescent="0.3">
      <c r="A86" s="2"/>
      <c r="B86" s="37">
        <v>2027</v>
      </c>
      <c r="C86" s="804">
        <f>'Interp-NONURBAN'!I32</f>
        <v>38446.87192426408</v>
      </c>
      <c r="D86" s="805">
        <f>'Interp-NONURBAN'!I227</f>
        <v>37424.097620869179</v>
      </c>
      <c r="E86" s="575"/>
      <c r="F86" s="804">
        <f>'Interp-NONURBAN'!I97</f>
        <v>38209.036494630665</v>
      </c>
      <c r="G86" s="574"/>
      <c r="H86" s="575"/>
      <c r="I86" s="804">
        <f>'Interp-NONURBAN'!I162</f>
        <v>37021.378365528821</v>
      </c>
      <c r="J86" s="39"/>
      <c r="K86" s="41"/>
      <c r="L86" s="42"/>
      <c r="M86" s="41"/>
      <c r="N86" s="126" t="s">
        <v>139</v>
      </c>
      <c r="AF86" s="2"/>
      <c r="AG86" s="2"/>
      <c r="AH86" s="2"/>
      <c r="AI86" s="2"/>
      <c r="AJ86" s="2"/>
      <c r="AK86" s="2"/>
      <c r="AL86" s="2"/>
      <c r="AM86" s="2"/>
      <c r="AN86" s="2"/>
      <c r="AQ86" s="2"/>
    </row>
    <row r="87" spans="1:43" ht="28.8" x14ac:dyDescent="0.3">
      <c r="A87" s="59" t="s">
        <v>34</v>
      </c>
      <c r="B87" s="37">
        <v>2028</v>
      </c>
      <c r="C87" s="804">
        <f>'Interp-NONURBAN'!I33</f>
        <v>39422.919619850887</v>
      </c>
      <c r="D87" s="805">
        <f>'Interp-NONURBAN'!I228</f>
        <v>38483.462389769615</v>
      </c>
      <c r="E87" s="575"/>
      <c r="F87" s="804">
        <f>'Interp-NONURBAN'!I98</f>
        <v>39127.259641883953</v>
      </c>
      <c r="G87" s="574"/>
      <c r="H87" s="575"/>
      <c r="I87" s="804">
        <f>'Interp-NONURBAN'!I163</f>
        <v>37739.945601113635</v>
      </c>
      <c r="J87" s="39"/>
      <c r="K87" s="41"/>
      <c r="L87" s="42"/>
      <c r="M87" s="41"/>
      <c r="N87" s="126" t="s">
        <v>139</v>
      </c>
      <c r="AF87" s="2"/>
      <c r="AG87" s="2"/>
      <c r="AH87" s="2"/>
      <c r="AI87" s="2"/>
      <c r="AJ87" s="2"/>
      <c r="AK87" s="2"/>
      <c r="AL87" s="2"/>
      <c r="AM87" s="2"/>
      <c r="AN87" s="2"/>
      <c r="AQ87" s="2"/>
    </row>
    <row r="88" spans="1:43" ht="28.8" x14ac:dyDescent="0.3">
      <c r="A88" s="60" t="s">
        <v>29</v>
      </c>
      <c r="B88" s="37">
        <v>2029</v>
      </c>
      <c r="C88" s="804">
        <f>'Interp-NONURBAN'!I34</f>
        <v>40399.358304867834</v>
      </c>
      <c r="D88" s="805">
        <f>'Interp-NONURBAN'!I229</f>
        <v>39569.521945776076</v>
      </c>
      <c r="E88" s="575"/>
      <c r="F88" s="804">
        <f>'Interp-NONURBAN'!I99</f>
        <v>40040.060487148672</v>
      </c>
      <c r="G88" s="574"/>
      <c r="H88" s="575"/>
      <c r="I88" s="804">
        <f>'Interp-NONURBAN'!I164</f>
        <v>38442.21311364702</v>
      </c>
      <c r="J88" s="39"/>
      <c r="K88" s="41"/>
      <c r="L88" s="42"/>
      <c r="M88" s="41"/>
      <c r="N88" s="126" t="s">
        <v>139</v>
      </c>
      <c r="AF88" s="2"/>
      <c r="AG88" s="2"/>
      <c r="AH88" s="2"/>
      <c r="AI88" s="2"/>
      <c r="AJ88" s="2"/>
      <c r="AK88" s="2"/>
      <c r="AL88" s="2"/>
      <c r="AM88" s="2"/>
      <c r="AN88" s="2"/>
      <c r="AQ88" s="2"/>
    </row>
    <row r="89" spans="1:43" ht="28.8" x14ac:dyDescent="0.3">
      <c r="A89" s="61" t="s">
        <v>35</v>
      </c>
      <c r="B89" s="37">
        <v>2030</v>
      </c>
      <c r="C89" s="804">
        <f>'Interp-NONURBAN'!I35</f>
        <v>41375.396503515411</v>
      </c>
      <c r="D89" s="805">
        <f>'Interp-NONURBAN'!I230</f>
        <v>40683.552199693826</v>
      </c>
      <c r="E89" s="575"/>
      <c r="F89" s="804">
        <f>'Interp-NONURBAN'!I100</f>
        <v>40947.000980402612</v>
      </c>
      <c r="G89" s="574"/>
      <c r="H89" s="575"/>
      <c r="I89" s="804">
        <f>'Interp-NONURBAN'!I165</f>
        <v>39128.757685942895</v>
      </c>
      <c r="J89" s="39"/>
      <c r="K89" s="41"/>
      <c r="L89" s="42"/>
      <c r="M89" s="41"/>
      <c r="N89" s="126" t="s">
        <v>139</v>
      </c>
      <c r="AF89" s="2"/>
      <c r="AG89" s="2"/>
      <c r="AH89" s="2"/>
      <c r="AI89" s="2"/>
      <c r="AJ89" s="2"/>
      <c r="AK89" s="2"/>
      <c r="AL89" s="2"/>
      <c r="AM89" s="2"/>
      <c r="AN89" s="2"/>
      <c r="AQ89" s="2"/>
    </row>
    <row r="90" spans="1:43" ht="28.8" x14ac:dyDescent="0.3">
      <c r="A90" s="62" t="s">
        <v>36</v>
      </c>
      <c r="B90" s="37">
        <v>2031</v>
      </c>
      <c r="C90" s="804">
        <f>'Interp-NONURBAN'!I36</f>
        <v>42350.253135107494</v>
      </c>
      <c r="D90" s="805">
        <f>'Interp-NONURBAN'!I231</f>
        <v>41826.802012456101</v>
      </c>
      <c r="E90" s="575"/>
      <c r="F90" s="804">
        <f>'Interp-NONURBAN'!I101</f>
        <v>41847.653176950218</v>
      </c>
      <c r="G90" s="574"/>
      <c r="H90" s="575"/>
      <c r="I90" s="804">
        <f>'Interp-NONURBAN'!I166</f>
        <v>39800.163169916865</v>
      </c>
      <c r="J90" s="39"/>
      <c r="K90" s="41"/>
      <c r="L90" s="42"/>
      <c r="M90" s="41"/>
      <c r="N90" s="126" t="s">
        <v>139</v>
      </c>
      <c r="AF90" s="2"/>
      <c r="AG90" s="2"/>
      <c r="AH90" s="2"/>
      <c r="AI90" s="2"/>
      <c r="AJ90" s="2"/>
      <c r="AK90" s="2"/>
      <c r="AL90" s="2"/>
      <c r="AM90" s="2"/>
      <c r="AN90" s="2"/>
      <c r="AQ90" s="2"/>
    </row>
    <row r="91" spans="1:43" ht="28.8" x14ac:dyDescent="0.3">
      <c r="A91" s="2"/>
      <c r="B91" s="37">
        <v>2032</v>
      </c>
      <c r="C91" s="804">
        <f>'Interp-NONURBAN'!I37</f>
        <v>43323.283749617629</v>
      </c>
      <c r="D91" s="805">
        <f>'Interp-NONURBAN'!I232</f>
        <v>43000.650778449672</v>
      </c>
      <c r="E91" s="575"/>
      <c r="F91" s="804">
        <f>'Interp-NONURBAN'!I102</f>
        <v>42741.723469488003</v>
      </c>
      <c r="G91" s="574"/>
      <c r="H91" s="575"/>
      <c r="I91" s="804">
        <f>'Interp-NONURBAN'!I167</f>
        <v>40457.137332064754</v>
      </c>
      <c r="J91" s="39"/>
      <c r="K91" s="41"/>
      <c r="L91" s="42"/>
      <c r="M91" s="41"/>
      <c r="N91" s="126" t="s">
        <v>139</v>
      </c>
      <c r="AF91" s="2"/>
      <c r="AG91" s="2"/>
      <c r="AH91" s="2"/>
      <c r="AI91" s="2"/>
      <c r="AJ91" s="2"/>
      <c r="AK91" s="2"/>
      <c r="AL91" s="2"/>
      <c r="AM91" s="2"/>
      <c r="AN91" s="2"/>
      <c r="AQ91" s="2"/>
    </row>
    <row r="92" spans="1:43" ht="28.8" x14ac:dyDescent="0.3">
      <c r="A92" s="2"/>
      <c r="B92" s="37">
        <v>2033</v>
      </c>
      <c r="C92" s="804">
        <f>'Interp-NONURBAN'!I38</f>
        <v>44294.135547677484</v>
      </c>
      <c r="D92" s="805">
        <f>'Interp-NONURBAN'!I233</f>
        <v>44206.796698669401</v>
      </c>
      <c r="E92" s="575"/>
      <c r="F92" s="804">
        <f>'Interp-NONURBAN'!I103</f>
        <v>43629.203988115376</v>
      </c>
      <c r="G92" s="574"/>
      <c r="H92" s="575"/>
      <c r="I92" s="804">
        <f>'Interp-NONURBAN'!I168</f>
        <v>41100.650973439457</v>
      </c>
      <c r="J92" s="39"/>
      <c r="K92" s="41"/>
      <c r="L92" s="42"/>
      <c r="M92" s="41"/>
      <c r="N92" s="126" t="s">
        <v>139</v>
      </c>
      <c r="AF92" s="2"/>
      <c r="AG92" s="2"/>
      <c r="AH92" s="2"/>
      <c r="AI92" s="2"/>
      <c r="AJ92" s="2"/>
      <c r="AK92" s="2"/>
      <c r="AL92" s="2"/>
      <c r="AM92" s="2"/>
      <c r="AN92" s="2"/>
      <c r="AQ92" s="2"/>
    </row>
    <row r="93" spans="1:43" ht="28.8" x14ac:dyDescent="0.3">
      <c r="A93" s="2"/>
      <c r="B93" s="37">
        <v>2034</v>
      </c>
      <c r="C93" s="804">
        <f>'Interp-NONURBAN'!I39</f>
        <v>45262.611339234485</v>
      </c>
      <c r="D93" s="805">
        <f>'Interp-NONURBAN'!I234</f>
        <v>45447.107437607046</v>
      </c>
      <c r="E93" s="575"/>
      <c r="F93" s="804">
        <f>'Interp-NONURBAN'!I104</f>
        <v>44510.236275692616</v>
      </c>
      <c r="G93" s="574"/>
      <c r="H93" s="575"/>
      <c r="I93" s="804">
        <f>'Interp-NONURBAN'!I169</f>
        <v>41731.803421038065</v>
      </c>
      <c r="J93" s="39"/>
      <c r="K93" s="41"/>
      <c r="L93" s="42"/>
      <c r="M93" s="41"/>
      <c r="N93" s="126" t="s">
        <v>139</v>
      </c>
      <c r="AF93" s="2"/>
      <c r="AG93" s="2"/>
      <c r="AH93" s="2"/>
      <c r="AI93" s="2"/>
      <c r="AJ93" s="2"/>
      <c r="AK93" s="2"/>
      <c r="AL93" s="2"/>
      <c r="AM93" s="2"/>
      <c r="AN93" s="2"/>
      <c r="AQ93" s="2"/>
    </row>
    <row r="94" spans="1:43" ht="28.8" x14ac:dyDescent="0.3">
      <c r="A94" s="2"/>
      <c r="B94" s="37">
        <v>2035</v>
      </c>
      <c r="C94" s="804">
        <f>'Interp-NONURBAN'!I40</f>
        <v>46228.39470470458</v>
      </c>
      <c r="D94" s="805">
        <f>'Interp-NONURBAN'!I235</f>
        <v>46723.320915257515</v>
      </c>
      <c r="E94" s="575"/>
      <c r="F94" s="804">
        <f>'Interp-NONURBAN'!I105</f>
        <v>45384.840023381832</v>
      </c>
      <c r="G94" s="574"/>
      <c r="H94" s="575"/>
      <c r="I94" s="804">
        <f>'Interp-NONURBAN'!I170</f>
        <v>42351.566080887162</v>
      </c>
      <c r="J94" s="39"/>
      <c r="K94" s="41"/>
      <c r="L94" s="42"/>
      <c r="M94" s="41"/>
      <c r="N94" s="126" t="s">
        <v>139</v>
      </c>
      <c r="AF94" s="2"/>
      <c r="AG94" s="2"/>
      <c r="AH94" s="2"/>
      <c r="AI94" s="2"/>
      <c r="AJ94" s="2"/>
      <c r="AK94" s="2"/>
      <c r="AL94" s="2"/>
      <c r="AM94" s="2"/>
      <c r="AN94" s="2"/>
      <c r="AQ94" s="2"/>
    </row>
    <row r="95" spans="1:43" ht="28.8" x14ac:dyDescent="0.3">
      <c r="A95" s="2"/>
      <c r="B95" s="37">
        <v>2036</v>
      </c>
      <c r="C95" s="804">
        <f>'Interp-NONURBAN'!I41</f>
        <v>47190.973971349347</v>
      </c>
      <c r="D95" s="805">
        <f>'Interp-NONURBAN'!I236</f>
        <v>48036.927232305134</v>
      </c>
      <c r="E95" s="575"/>
      <c r="F95" s="804">
        <f>'Interp-NONURBAN'!I106</f>
        <v>46252.839418131422</v>
      </c>
      <c r="G95" s="574"/>
      <c r="H95" s="575"/>
      <c r="I95" s="804">
        <f>'Interp-NONURBAN'!I171</f>
        <v>42960.716883645684</v>
      </c>
      <c r="J95" s="39"/>
      <c r="K95" s="41"/>
      <c r="L95" s="42"/>
      <c r="M95" s="41"/>
      <c r="N95" s="126" t="s">
        <v>139</v>
      </c>
      <c r="AF95" s="2"/>
      <c r="AG95" s="2"/>
      <c r="AH95" s="2"/>
      <c r="AI95" s="2"/>
      <c r="AJ95" s="2"/>
      <c r="AK95" s="2"/>
      <c r="AL95" s="2"/>
      <c r="AM95" s="2"/>
      <c r="AN95" s="2"/>
      <c r="AQ95" s="2"/>
    </row>
    <row r="96" spans="1:43" ht="28.8" x14ac:dyDescent="0.3">
      <c r="A96" s="2"/>
      <c r="B96" s="37">
        <v>2037</v>
      </c>
      <c r="C96" s="804">
        <f>'Interp-NONURBAN'!I42</f>
        <v>48149.574167003768</v>
      </c>
      <c r="D96" s="805">
        <f>'Interp-NONURBAN'!I237</f>
        <v>49389.139865403529</v>
      </c>
      <c r="E96" s="575"/>
      <c r="F96" s="804">
        <f>'Interp-NONURBAN'!I107</f>
        <v>47113.798130332856</v>
      </c>
      <c r="G96" s="574"/>
      <c r="H96" s="575"/>
      <c r="I96" s="804">
        <f>'Interp-NONURBAN'!I172</f>
        <v>43559.784623641142</v>
      </c>
      <c r="J96" s="39"/>
      <c r="K96" s="41"/>
      <c r="L96" s="42"/>
      <c r="M96" s="41"/>
      <c r="N96" s="126" t="s">
        <v>139</v>
      </c>
      <c r="AF96" s="2"/>
      <c r="AG96" s="2"/>
      <c r="AH96" s="2"/>
      <c r="AI96" s="2"/>
      <c r="AJ96" s="2"/>
      <c r="AK96" s="2"/>
      <c r="AL96" s="2"/>
      <c r="AM96" s="2"/>
      <c r="AN96" s="2"/>
      <c r="AQ96" s="2"/>
    </row>
    <row r="97" spans="1:43" ht="28.8" x14ac:dyDescent="0.3">
      <c r="A97" s="2"/>
      <c r="B97" s="37">
        <v>2038</v>
      </c>
      <c r="C97" s="804">
        <f>'Interp-NONURBAN'!I43</f>
        <v>49103.29100500761</v>
      </c>
      <c r="D97" s="805">
        <f>'Interp-NONURBAN'!I238</f>
        <v>50781.075428090226</v>
      </c>
      <c r="E97" s="575"/>
      <c r="F97" s="804">
        <f>'Interp-NONURBAN'!I108</f>
        <v>47967.152345315102</v>
      </c>
      <c r="G97" s="574"/>
      <c r="H97" s="575"/>
      <c r="I97" s="804">
        <f>'Interp-NONURBAN'!I173</f>
        <v>44149.176970597786</v>
      </c>
      <c r="J97" s="39"/>
      <c r="K97" s="41"/>
      <c r="L97" s="42"/>
      <c r="M97" s="41"/>
      <c r="N97" s="126" t="s">
        <v>139</v>
      </c>
      <c r="AF97" s="2"/>
      <c r="AG97" s="2"/>
      <c r="AH97" s="2"/>
      <c r="AI97" s="2"/>
      <c r="AJ97" s="2"/>
      <c r="AK97" s="2"/>
      <c r="AL97" s="2"/>
      <c r="AM97" s="2"/>
      <c r="AN97" s="2"/>
      <c r="AQ97" s="2"/>
    </row>
    <row r="98" spans="1:43" ht="28.8" x14ac:dyDescent="0.3">
      <c r="A98" s="2"/>
      <c r="B98" s="37">
        <v>2039</v>
      </c>
      <c r="C98" s="804">
        <f>'Interp-NONURBAN'!I44</f>
        <v>50051.071800172089</v>
      </c>
      <c r="D98" s="805">
        <f>'Interp-NONURBAN'!I239</f>
        <v>52213.690389033087</v>
      </c>
      <c r="E98" s="575"/>
      <c r="F98" s="804">
        <f>'Interp-NONURBAN'!I109</f>
        <v>48812.193208087119</v>
      </c>
      <c r="G98" s="574"/>
      <c r="H98" s="575"/>
      <c r="I98" s="804">
        <f>'Interp-NONURBAN'!I174</f>
        <v>44729.166923268458</v>
      </c>
      <c r="J98" s="39"/>
      <c r="K98" s="41"/>
      <c r="L98" s="42"/>
      <c r="M98" s="41"/>
      <c r="N98" s="126" t="s">
        <v>139</v>
      </c>
      <c r="AF98" s="2"/>
      <c r="AG98" s="2"/>
      <c r="AH98" s="2"/>
      <c r="AI98" s="2"/>
      <c r="AJ98" s="2"/>
      <c r="AK98" s="2"/>
      <c r="AL98" s="2"/>
      <c r="AM98" s="2"/>
      <c r="AN98" s="2"/>
      <c r="AQ98" s="2"/>
    </row>
    <row r="99" spans="1:43" ht="28.8" x14ac:dyDescent="0.3">
      <c r="A99" s="2"/>
      <c r="B99" s="37">
        <v>2040</v>
      </c>
      <c r="C99" s="804">
        <f>'Interp-NONURBAN'!I45</f>
        <v>50991.933017198826</v>
      </c>
      <c r="D99" s="805">
        <f>'Interp-NONURBAN'!I240</f>
        <v>53687.963289028936</v>
      </c>
      <c r="E99" s="575"/>
      <c r="F99" s="804">
        <f>'Interp-NONURBAN'!I110</f>
        <v>49648.279786790314</v>
      </c>
      <c r="G99" s="574"/>
      <c r="H99" s="575"/>
      <c r="I99" s="804">
        <f>'Interp-NONURBAN'!I175</f>
        <v>45300.089683556063</v>
      </c>
      <c r="J99" s="39"/>
      <c r="K99" s="41"/>
      <c r="L99" s="42"/>
      <c r="M99" s="41"/>
      <c r="N99" s="126" t="s">
        <v>139</v>
      </c>
      <c r="AF99" s="2"/>
      <c r="AG99" s="2"/>
      <c r="AH99" s="2"/>
      <c r="AI99" s="2"/>
      <c r="AJ99" s="2"/>
      <c r="AK99" s="2"/>
      <c r="AL99" s="2"/>
      <c r="AM99" s="2"/>
      <c r="AN99" s="2"/>
      <c r="AQ99" s="2"/>
    </row>
    <row r="100" spans="1:43" ht="28.8" x14ac:dyDescent="0.3">
      <c r="A100" s="2"/>
      <c r="B100" s="37">
        <v>2041</v>
      </c>
      <c r="C100" s="804">
        <f>'Interp-NONURBAN'!I46</f>
        <v>51925.105444787427</v>
      </c>
      <c r="D100" s="805">
        <f>'Interp-NONURBAN'!I241</f>
        <v>55205.051078121345</v>
      </c>
      <c r="E100" s="575"/>
      <c r="F100" s="804">
        <f>'Interp-NONURBAN'!I111</f>
        <v>50474.979562947083</v>
      </c>
      <c r="G100" s="574"/>
      <c r="H100" s="575"/>
      <c r="I100" s="804">
        <f>'Interp-NONURBAN'!I176</f>
        <v>45862.468513436819</v>
      </c>
      <c r="J100" s="39"/>
      <c r="K100" s="41"/>
      <c r="L100" s="42"/>
      <c r="M100" s="41"/>
      <c r="N100" s="126" t="s">
        <v>139</v>
      </c>
      <c r="AF100" s="2"/>
      <c r="AG100" s="2"/>
      <c r="AH100" s="2"/>
      <c r="AI100" s="2"/>
      <c r="AJ100" s="2"/>
      <c r="AK100" s="2"/>
      <c r="AL100" s="2"/>
      <c r="AM100" s="2"/>
      <c r="AN100" s="2"/>
      <c r="AQ100" s="2"/>
    </row>
    <row r="101" spans="1:43" ht="28.8" x14ac:dyDescent="0.3">
      <c r="A101" s="2"/>
      <c r="B101" s="37">
        <v>2042</v>
      </c>
      <c r="C101" s="804">
        <f>'Interp-NONURBAN'!I47</f>
        <v>52849.942602126575</v>
      </c>
      <c r="D101" s="805">
        <f>'Interp-NONURBAN'!I242</f>
        <v>56766.165841299568</v>
      </c>
      <c r="E101" s="575"/>
      <c r="F101" s="804">
        <f>'Interp-NONURBAN'!I112</f>
        <v>51291.977804526119</v>
      </c>
      <c r="G101" s="574"/>
      <c r="H101" s="575"/>
      <c r="I101" s="804">
        <f>'Interp-NONURBAN'!I177</f>
        <v>46416.928512742226</v>
      </c>
      <c r="J101" s="39"/>
      <c r="K101" s="41"/>
      <c r="L101" s="42"/>
      <c r="M101" s="41"/>
      <c r="N101" s="126" t="s">
        <v>139</v>
      </c>
      <c r="AF101" s="2"/>
      <c r="AG101" s="2"/>
      <c r="AH101" s="2"/>
      <c r="AI101" s="2"/>
      <c r="AJ101" s="2"/>
      <c r="AK101" s="2"/>
      <c r="AL101" s="2"/>
      <c r="AM101" s="2"/>
      <c r="AN101" s="2"/>
      <c r="AQ101" s="2"/>
    </row>
    <row r="102" spans="1:43" ht="28.8" x14ac:dyDescent="0.3">
      <c r="A102" s="2"/>
      <c r="B102" s="37">
        <v>2043</v>
      </c>
      <c r="C102" s="804">
        <f>'Interp-NONURBAN'!I48</f>
        <v>53765.69966873563</v>
      </c>
      <c r="D102" s="805">
        <f>'Interp-NONURBAN'!I243</f>
        <v>58372.342295987532</v>
      </c>
      <c r="E102" s="575"/>
      <c r="F102" s="804">
        <f>'Interp-NONURBAN'!I113</f>
        <v>52098.862405876709</v>
      </c>
      <c r="G102" s="574"/>
      <c r="H102" s="575"/>
      <c r="I102" s="804">
        <f>'Interp-NONURBAN'!I178</f>
        <v>46964.000521569287</v>
      </c>
      <c r="J102" s="39"/>
      <c r="K102" s="41"/>
      <c r="L102" s="42"/>
      <c r="M102" s="41"/>
      <c r="N102" s="126" t="s">
        <v>139</v>
      </c>
      <c r="AF102" s="2"/>
      <c r="AG102" s="2"/>
      <c r="AH102" s="2"/>
      <c r="AI102" s="2"/>
      <c r="AJ102" s="2"/>
      <c r="AK102" s="2"/>
      <c r="AL102" s="2"/>
      <c r="AM102" s="2"/>
      <c r="AN102" s="2"/>
      <c r="AQ102" s="2"/>
    </row>
    <row r="103" spans="1:43" ht="28.8" x14ac:dyDescent="0.3">
      <c r="A103" s="2"/>
      <c r="B103" s="37">
        <v>2044</v>
      </c>
      <c r="C103" s="804">
        <f>'Interp-NONURBAN'!I49</f>
        <v>54671.654564784549</v>
      </c>
      <c r="D103" s="805">
        <f>'Interp-NONURBAN'!I244</f>
        <v>60024.573725102819</v>
      </c>
      <c r="E103" s="575"/>
      <c r="F103" s="804">
        <f>'Interp-NONURBAN'!I114</f>
        <v>52895.241760683806</v>
      </c>
      <c r="G103" s="574"/>
      <c r="H103" s="575"/>
      <c r="I103" s="804">
        <f>'Interp-NONURBAN'!I179</f>
        <v>47504.228601468683</v>
      </c>
      <c r="J103" s="39"/>
      <c r="K103" s="41"/>
      <c r="L103" s="42"/>
      <c r="M103" s="41"/>
      <c r="N103" s="126" t="s">
        <v>139</v>
      </c>
      <c r="AF103" s="2"/>
      <c r="AG103" s="2"/>
      <c r="AH103" s="2"/>
      <c r="AI103" s="2"/>
      <c r="AJ103" s="2"/>
      <c r="AK103" s="2"/>
      <c r="AL103" s="2"/>
      <c r="AM103" s="2"/>
      <c r="AN103" s="2"/>
      <c r="AQ103" s="2"/>
    </row>
    <row r="104" spans="1:43" ht="28.8" x14ac:dyDescent="0.3">
      <c r="A104" s="2"/>
      <c r="B104" s="37">
        <v>2045</v>
      </c>
      <c r="C104" s="804">
        <f>'Interp-NONURBAN'!I50</f>
        <v>55567.075477007049</v>
      </c>
      <c r="D104" s="805">
        <f>'Interp-NONURBAN'!I245</f>
        <v>61723.829922741374</v>
      </c>
      <c r="E104" s="575"/>
      <c r="F104" s="804">
        <f>'Interp-NONURBAN'!I115</f>
        <v>53680.71320571551</v>
      </c>
      <c r="G104" s="574"/>
      <c r="H104" s="575"/>
      <c r="I104" s="804">
        <f>'Interp-NONURBAN'!I180</f>
        <v>48038.141359195863</v>
      </c>
      <c r="J104" s="39"/>
      <c r="K104" s="41"/>
      <c r="L104" s="42"/>
      <c r="M104" s="41"/>
      <c r="N104" s="126" t="s">
        <v>139</v>
      </c>
      <c r="AF104" s="2"/>
      <c r="AG104" s="2"/>
      <c r="AH104" s="2"/>
      <c r="AI104" s="2"/>
      <c r="AJ104" s="2"/>
      <c r="AK104" s="2"/>
      <c r="AL104" s="2"/>
      <c r="AM104" s="2"/>
      <c r="AN104" s="2"/>
      <c r="AQ104" s="2"/>
    </row>
    <row r="105" spans="1:43" ht="28.8" x14ac:dyDescent="0.3">
      <c r="A105" s="2"/>
      <c r="B105" s="37">
        <v>2046</v>
      </c>
      <c r="C105" s="804">
        <f>'Interp-NONURBAN'!I51</f>
        <v>56451.230399923574</v>
      </c>
      <c r="D105" s="805">
        <f>'Interp-NONURBAN'!I246</f>
        <v>63471.106923256433</v>
      </c>
      <c r="E105" s="575"/>
      <c r="F105" s="804">
        <f>'Interp-NONURBAN'!I116</f>
        <v>54454.872277209281</v>
      </c>
      <c r="G105" s="574"/>
      <c r="H105" s="575"/>
      <c r="I105" s="804">
        <f>'Interp-NONURBAN'!I181</f>
        <v>48566.260273986467</v>
      </c>
      <c r="J105" s="39"/>
      <c r="K105" s="41"/>
      <c r="L105" s="42"/>
      <c r="M105" s="41"/>
      <c r="N105" s="126" t="s">
        <v>139</v>
      </c>
      <c r="AF105" s="2"/>
      <c r="AG105" s="2"/>
      <c r="AH105" s="2"/>
      <c r="AI105" s="2"/>
      <c r="AJ105" s="2"/>
      <c r="AK105" s="2"/>
      <c r="AL105" s="2"/>
      <c r="AM105" s="2"/>
      <c r="AN105" s="2"/>
      <c r="AQ105" s="2"/>
    </row>
    <row r="106" spans="1:43" ht="28.8" x14ac:dyDescent="0.3">
      <c r="A106" s="2"/>
      <c r="B106" s="37">
        <v>2047</v>
      </c>
      <c r="C106" s="804">
        <f>'Interp-NONURBAN'!I52</f>
        <v>57323.364145779262</v>
      </c>
      <c r="D106" s="805">
        <f>'Interp-NONURBAN'!I247</f>
        <v>65267.37084114462</v>
      </c>
      <c r="E106" s="575"/>
      <c r="F106" s="804">
        <f>'Interp-NONURBAN'!I117</f>
        <v>55217.290549656762</v>
      </c>
      <c r="G106" s="574"/>
      <c r="H106" s="575"/>
      <c r="I106" s="804">
        <f>'Interp-NONURBAN'!I182</f>
        <v>49089.079914506336</v>
      </c>
      <c r="J106" s="39"/>
      <c r="K106" s="41"/>
      <c r="L106" s="42"/>
      <c r="M106" s="41"/>
      <c r="N106" s="126" t="s">
        <v>139</v>
      </c>
      <c r="AF106" s="2"/>
      <c r="AG106" s="2"/>
      <c r="AH106" s="2"/>
      <c r="AI106" s="2"/>
      <c r="AJ106" s="2"/>
      <c r="AK106" s="2"/>
      <c r="AL106" s="2"/>
      <c r="AM106" s="2"/>
      <c r="AN106" s="2"/>
      <c r="AQ106" s="2"/>
    </row>
    <row r="107" spans="1:43" ht="28.8" x14ac:dyDescent="0.3">
      <c r="A107" s="2"/>
      <c r="B107" s="37">
        <v>2048</v>
      </c>
      <c r="C107" s="804">
        <f>'Interp-NONURBAN'!I53</f>
        <v>58182.698506409317</v>
      </c>
      <c r="D107" s="805">
        <f>'Interp-NONURBAN'!I248</f>
        <v>67113.495673237747</v>
      </c>
      <c r="E107" s="575"/>
      <c r="F107" s="804">
        <f>'Interp-NONURBAN'!I118</f>
        <v>55967.515924229825</v>
      </c>
      <c r="G107" s="574"/>
      <c r="H107" s="575"/>
      <c r="I107" s="804">
        <f>'Interp-NONURBAN'!I183</f>
        <v>49607.068387712534</v>
      </c>
      <c r="J107" s="39"/>
      <c r="K107" s="41"/>
      <c r="L107" s="42"/>
      <c r="M107" s="41"/>
      <c r="N107" s="126" t="s">
        <v>139</v>
      </c>
      <c r="AF107" s="2"/>
      <c r="AG107" s="2"/>
      <c r="AH107" s="2"/>
      <c r="AI107" s="2"/>
      <c r="AJ107" s="2"/>
      <c r="AK107" s="2"/>
      <c r="AL107" s="2"/>
      <c r="AM107" s="2"/>
      <c r="AN107" s="2"/>
      <c r="AQ107" s="2"/>
    </row>
    <row r="108" spans="1:43" ht="28.8" x14ac:dyDescent="0.3">
      <c r="A108" s="2"/>
      <c r="B108" s="37">
        <v>2049</v>
      </c>
      <c r="C108" s="804">
        <f>'Interp-NONURBAN'!I54</f>
        <v>59028.445497541856</v>
      </c>
      <c r="D108" s="805">
        <f>'Interp-NONURBAN'!I249</f>
        <v>69010.306235818323</v>
      </c>
      <c r="E108" s="575"/>
      <c r="F108" s="804">
        <f>'Interp-NONURBAN'!I119</f>
        <v>56705.085463414944</v>
      </c>
      <c r="G108" s="574"/>
      <c r="H108" s="575"/>
      <c r="I108" s="804">
        <f>'Interp-NONURBAN'!I184</f>
        <v>50120.678790939382</v>
      </c>
      <c r="J108" s="39"/>
      <c r="K108" s="41"/>
      <c r="L108" s="42"/>
      <c r="M108" s="41"/>
      <c r="N108" s="126" t="s">
        <v>139</v>
      </c>
      <c r="AF108" s="2"/>
      <c r="AG108" s="2"/>
      <c r="AH108" s="2"/>
      <c r="AI108" s="2"/>
      <c r="AJ108" s="2"/>
      <c r="AK108" s="2"/>
      <c r="AL108" s="2"/>
      <c r="AM108" s="2"/>
      <c r="AN108" s="2"/>
      <c r="AQ108" s="2"/>
    </row>
    <row r="109" spans="1:43" ht="28.8" x14ac:dyDescent="0.3">
      <c r="A109" s="2"/>
      <c r="B109" s="37">
        <v>2050</v>
      </c>
      <c r="C109" s="804">
        <f>'Interp-NONURBAN'!I55</f>
        <v>59859.837853511199</v>
      </c>
      <c r="D109" s="805">
        <f>'Interp-NONURBAN'!I250</f>
        <v>70958.609696833388</v>
      </c>
      <c r="E109" s="575"/>
      <c r="F109" s="804">
        <f>'Interp-NONURBAN'!I120</f>
        <v>57429.554654327017</v>
      </c>
      <c r="G109" s="574"/>
      <c r="H109" s="575"/>
      <c r="I109" s="804">
        <f>'Interp-NONURBAN'!I185</f>
        <v>50630.374883681921</v>
      </c>
      <c r="J109" s="39"/>
      <c r="K109" s="41"/>
      <c r="L109" s="42"/>
      <c r="M109" s="41"/>
      <c r="N109" s="126" t="s">
        <v>139</v>
      </c>
      <c r="AF109" s="2"/>
      <c r="AG109" s="2"/>
      <c r="AH109" s="2"/>
      <c r="AI109" s="2"/>
      <c r="AJ109" s="2"/>
      <c r="AK109" s="2"/>
      <c r="AL109" s="2"/>
      <c r="AM109" s="2"/>
      <c r="AN109" s="2"/>
      <c r="AQ109" s="2"/>
    </row>
    <row r="110" spans="1:43" ht="28.8" x14ac:dyDescent="0.3">
      <c r="A110" s="2"/>
      <c r="B110" s="37">
        <v>2051</v>
      </c>
      <c r="C110" s="804">
        <f>'Interp-NONURBAN'!I56</f>
        <v>60676.135759980963</v>
      </c>
      <c r="D110" s="805">
        <f>'Interp-NONURBAN'!I251</f>
        <v>72959.288943478052</v>
      </c>
      <c r="E110" s="575"/>
      <c r="F110" s="804">
        <f>'Interp-NONURBAN'!I121</f>
        <v>58140.503675794178</v>
      </c>
      <c r="G110" s="574"/>
      <c r="H110" s="575"/>
      <c r="I110" s="804">
        <f>'Interp-NONURBAN'!I186</f>
        <v>51136.636130289575</v>
      </c>
      <c r="J110" s="39"/>
      <c r="K110" s="41"/>
      <c r="L110" s="42"/>
      <c r="M110" s="41"/>
      <c r="N110" s="126" t="s">
        <v>139</v>
      </c>
      <c r="AF110" s="2"/>
      <c r="AG110" s="2"/>
      <c r="AH110" s="2"/>
      <c r="AI110" s="2"/>
      <c r="AJ110" s="2"/>
      <c r="AK110" s="2"/>
      <c r="AL110" s="2"/>
      <c r="AM110" s="2"/>
      <c r="AN110" s="2"/>
      <c r="AQ110" s="2"/>
    </row>
    <row r="111" spans="1:43" ht="28.8" x14ac:dyDescent="0.3">
      <c r="A111" s="2"/>
      <c r="B111" s="37">
        <v>2052</v>
      </c>
      <c r="C111" s="804">
        <f>'Interp-NONURBAN'!I57</f>
        <v>61476.651496007158</v>
      </c>
      <c r="D111" s="805">
        <f>'Interp-NONURBAN'!I252</f>
        <v>75013.184403410691</v>
      </c>
      <c r="E111" s="575"/>
      <c r="F111" s="804">
        <f>'Interp-NONURBAN'!I122</f>
        <v>58837.560767704985</v>
      </c>
      <c r="G111" s="574"/>
      <c r="H111" s="575"/>
      <c r="I111" s="804">
        <f>'Interp-NONURBAN'!I187</f>
        <v>51639.977715948677</v>
      </c>
      <c r="J111" s="39"/>
      <c r="K111" s="41"/>
      <c r="L111" s="42"/>
      <c r="M111" s="41"/>
      <c r="N111" s="126" t="s">
        <v>139</v>
      </c>
      <c r="AF111" s="2"/>
      <c r="AG111" s="2"/>
      <c r="AH111" s="2"/>
      <c r="AI111" s="2"/>
      <c r="AJ111" s="2"/>
      <c r="AK111" s="2"/>
      <c r="AL111" s="2"/>
      <c r="AM111" s="2"/>
      <c r="AN111" s="2"/>
      <c r="AQ111" s="2"/>
    </row>
    <row r="112" spans="1:43" ht="28.8" x14ac:dyDescent="0.3">
      <c r="A112" s="2"/>
      <c r="B112" s="37">
        <v>2053</v>
      </c>
      <c r="C112" s="804">
        <f>'Interp-NONURBAN'!I58</f>
        <v>62260.740486489674</v>
      </c>
      <c r="D112" s="805">
        <f>'Interp-NONURBAN'!I253</f>
        <v>77120.98410668633</v>
      </c>
      <c r="E112" s="575"/>
      <c r="F112" s="804">
        <f>'Interp-NONURBAN'!I123</f>
        <v>59520.393349780388</v>
      </c>
      <c r="G112" s="574"/>
      <c r="H112" s="575"/>
      <c r="I112" s="804">
        <f>'Interp-NONURBAN'!I188</f>
        <v>52140.942155480821</v>
      </c>
      <c r="J112" s="39"/>
      <c r="K112" s="41"/>
      <c r="L112" s="42"/>
      <c r="M112" s="41"/>
      <c r="N112" s="126" t="s">
        <v>139</v>
      </c>
      <c r="AF112" s="2"/>
      <c r="AG112" s="2"/>
      <c r="AH112" s="2"/>
      <c r="AI112" s="2"/>
      <c r="AJ112" s="2"/>
      <c r="AK112" s="2"/>
      <c r="AL112" s="2"/>
      <c r="AM112" s="2"/>
      <c r="AN112" s="2"/>
      <c r="AQ112" s="2"/>
    </row>
    <row r="113" spans="1:43" ht="28.8" x14ac:dyDescent="0.3">
      <c r="A113" s="2"/>
      <c r="B113" s="37">
        <v>2054</v>
      </c>
      <c r="C113" s="804">
        <f>'Interp-NONURBAN'!I59</f>
        <v>63027.793571765149</v>
      </c>
      <c r="D113" s="805">
        <f>'Interp-NONURBAN'!I254</f>
        <v>79283.305577376726</v>
      </c>
      <c r="E113" s="575"/>
      <c r="F113" s="804">
        <f>'Interp-NONURBAN'!I124</f>
        <v>60188.700396065877</v>
      </c>
      <c r="G113" s="574"/>
      <c r="H113" s="575"/>
      <c r="I113" s="804">
        <f>'Interp-NONURBAN'!I189</f>
        <v>52640.092220020771</v>
      </c>
      <c r="J113" s="39"/>
      <c r="K113" s="41"/>
      <c r="L113" s="42"/>
      <c r="M113" s="41"/>
      <c r="N113" s="126" t="s">
        <v>139</v>
      </c>
      <c r="AF113" s="2"/>
      <c r="AG113" s="2"/>
      <c r="AH113" s="2"/>
      <c r="AI113" s="2"/>
      <c r="AJ113" s="2"/>
      <c r="AK113" s="2"/>
      <c r="AL113" s="2"/>
      <c r="AM113" s="2"/>
      <c r="AN113" s="2"/>
      <c r="AQ113" s="2"/>
    </row>
    <row r="114" spans="1:43" ht="28.8" x14ac:dyDescent="0.3">
      <c r="A114" s="2"/>
      <c r="B114" s="37">
        <v>2055</v>
      </c>
      <c r="C114" s="804">
        <f>'Interp-NONURBAN'!I60</f>
        <v>63777.189006212153</v>
      </c>
      <c r="D114" s="805">
        <f>'Interp-NONURBAN'!I255</f>
        <v>81500.803926192384</v>
      </c>
      <c r="E114" s="575"/>
      <c r="F114" s="804">
        <f>'Interp-NONURBAN'!I125</f>
        <v>60842.166475730315</v>
      </c>
      <c r="G114" s="574"/>
      <c r="H114" s="575"/>
      <c r="I114" s="804">
        <f>'Interp-NONURBAN'!I190</f>
        <v>53137.970576918247</v>
      </c>
      <c r="J114" s="39"/>
      <c r="K114" s="41"/>
      <c r="L114" s="42"/>
      <c r="M114" s="41"/>
      <c r="N114" s="126" t="s">
        <v>139</v>
      </c>
      <c r="AF114" s="2"/>
      <c r="AG114" s="2"/>
      <c r="AH114" s="2"/>
      <c r="AI114" s="2"/>
      <c r="AJ114" s="2"/>
      <c r="AK114" s="2"/>
      <c r="AL114" s="2"/>
      <c r="AM114" s="2"/>
      <c r="AN114" s="2"/>
      <c r="AQ114" s="2"/>
    </row>
    <row r="115" spans="1:43" ht="28.8" x14ac:dyDescent="0.3">
      <c r="A115" s="2"/>
      <c r="B115" s="37">
        <v>2056</v>
      </c>
      <c r="C115" s="804">
        <f>'Interp-NONURBAN'!I61</f>
        <v>64508.24754560228</v>
      </c>
      <c r="D115" s="805">
        <f>'Interp-NONURBAN'!I256</f>
        <v>83774.198539936449</v>
      </c>
      <c r="E115" s="575"/>
      <c r="F115" s="804">
        <f>'Interp-NONURBAN'!I126</f>
        <v>61480.419029626952</v>
      </c>
      <c r="G115" s="574"/>
      <c r="H115" s="575"/>
      <c r="I115" s="804">
        <f>'Interp-NONURBAN'!I191</f>
        <v>53635.062622825761</v>
      </c>
      <c r="J115" s="39"/>
      <c r="K115" s="41"/>
      <c r="L115" s="42"/>
      <c r="M115" s="41"/>
      <c r="N115" s="126" t="s">
        <v>139</v>
      </c>
      <c r="AF115" s="2"/>
      <c r="AG115" s="2"/>
      <c r="AH115" s="2"/>
      <c r="AI115" s="2"/>
      <c r="AJ115" s="2"/>
      <c r="AK115" s="2"/>
      <c r="AL115" s="2"/>
      <c r="AM115" s="2"/>
      <c r="AN115" s="2"/>
      <c r="AQ115" s="2"/>
    </row>
    <row r="116" spans="1:43" ht="28.8" x14ac:dyDescent="0.3">
      <c r="A116" s="2"/>
      <c r="B116" s="37">
        <v>2057</v>
      </c>
      <c r="C116" s="804">
        <f>'Interp-NONURBAN'!I62</f>
        <v>65220.274693811181</v>
      </c>
      <c r="D116" s="805">
        <f>'Interp-NONURBAN'!I257</f>
        <v>86104.309572073355</v>
      </c>
      <c r="E116" s="575"/>
      <c r="F116" s="804">
        <f>'Interp-NONURBAN'!I127</f>
        <v>62103.068845626665</v>
      </c>
      <c r="G116" s="574"/>
      <c r="H116" s="575"/>
      <c r="I116" s="804">
        <f>'Interp-NONURBAN'!I192</f>
        <v>54131.831937682131</v>
      </c>
      <c r="J116" s="39"/>
      <c r="K116" s="41"/>
      <c r="L116" s="42"/>
      <c r="M116" s="41"/>
      <c r="N116" s="126" t="s">
        <v>139</v>
      </c>
      <c r="AF116" s="2"/>
      <c r="AG116" s="2"/>
      <c r="AH116" s="2"/>
      <c r="AI116" s="2"/>
      <c r="AJ116" s="2"/>
      <c r="AK116" s="2"/>
      <c r="AL116" s="2"/>
      <c r="AM116" s="2"/>
      <c r="AN116" s="2"/>
      <c r="AQ116" s="2"/>
    </row>
    <row r="117" spans="1:43" ht="28.8" x14ac:dyDescent="0.3">
      <c r="A117" s="2"/>
      <c r="B117" s="37">
        <v>2058</v>
      </c>
      <c r="C117" s="804">
        <f>'Interp-NONURBAN'!I63</f>
        <v>65912.622618104797</v>
      </c>
      <c r="D117" s="805">
        <f>'Interp-NONURBAN'!I258</f>
        <v>88492.017799223453</v>
      </c>
      <c r="E117" s="575"/>
      <c r="F117" s="804">
        <f>'Interp-NONURBAN'!I128</f>
        <v>62709.768985837363</v>
      </c>
      <c r="G117" s="574"/>
      <c r="H117" s="575"/>
      <c r="I117" s="804">
        <f>'Interp-NONURBAN'!I193</f>
        <v>54628.771469190775</v>
      </c>
      <c r="J117" s="39"/>
      <c r="K117" s="41"/>
      <c r="L117" s="42"/>
      <c r="M117" s="41"/>
      <c r="N117" s="126" t="s">
        <v>139</v>
      </c>
      <c r="AF117" s="2"/>
      <c r="AG117" s="2"/>
      <c r="AH117" s="2"/>
      <c r="AI117" s="2"/>
      <c r="AJ117" s="2"/>
      <c r="AK117" s="2"/>
      <c r="AL117" s="2"/>
      <c r="AM117" s="2"/>
      <c r="AN117" s="2"/>
      <c r="AQ117" s="2"/>
    </row>
    <row r="118" spans="1:43" ht="28.8" x14ac:dyDescent="0.3">
      <c r="A118" s="2"/>
      <c r="B118" s="37">
        <v>2059</v>
      </c>
      <c r="C118" s="804">
        <f>'Interp-NONURBAN'!I64</f>
        <v>66584.653107880964</v>
      </c>
      <c r="D118" s="805">
        <f>'Interp-NONURBAN'!I259</f>
        <v>90938.27473175741</v>
      </c>
      <c r="E118" s="575"/>
      <c r="F118" s="804">
        <f>'Interp-NONURBAN'!I129</f>
        <v>63300.179360039714</v>
      </c>
      <c r="G118" s="574"/>
      <c r="H118" s="575"/>
      <c r="I118" s="804">
        <f>'Interp-NONURBAN'!I194</f>
        <v>55126.372417255494</v>
      </c>
      <c r="J118" s="39"/>
      <c r="K118" s="41"/>
      <c r="L118" s="42"/>
      <c r="M118" s="41"/>
      <c r="N118" s="126" t="s">
        <v>139</v>
      </c>
      <c r="AF118" s="2"/>
      <c r="AG118" s="2"/>
      <c r="AH118" s="2"/>
      <c r="AI118" s="2"/>
      <c r="AJ118" s="2"/>
      <c r="AK118" s="2"/>
      <c r="AL118" s="2"/>
      <c r="AM118" s="2"/>
      <c r="AN118" s="2"/>
      <c r="AQ118" s="2"/>
    </row>
    <row r="119" spans="1:43" ht="15.75" customHeight="1" x14ac:dyDescent="0.3">
      <c r="A119" s="238" t="s">
        <v>246</v>
      </c>
      <c r="B119" s="37">
        <v>2060</v>
      </c>
      <c r="C119" s="804">
        <f>'Interp-NONURBAN'!I65</f>
        <v>67235.722798301227</v>
      </c>
      <c r="D119" s="805">
        <f>'Interp-NONURBAN'!I260</f>
        <v>93444.013545071371</v>
      </c>
      <c r="E119" s="575"/>
      <c r="F119" s="804">
        <f>'Interp-NONURBAN'!I130</f>
        <v>63873.952635041373</v>
      </c>
      <c r="G119" s="574"/>
      <c r="H119" s="575"/>
      <c r="I119" s="804">
        <f>'Interp-NONURBAN'!I195</f>
        <v>55625.111833732662</v>
      </c>
      <c r="J119" s="39"/>
      <c r="K119" s="41"/>
      <c r="L119" s="42"/>
      <c r="M119" s="63"/>
      <c r="N119" s="126" t="s">
        <v>139</v>
      </c>
      <c r="AF119" s="2"/>
      <c r="AG119" s="2"/>
      <c r="AH119" s="2"/>
      <c r="AI119" s="2"/>
      <c r="AJ119" s="2"/>
      <c r="AK119" s="2"/>
      <c r="AL119" s="2"/>
      <c r="AM119" s="2"/>
      <c r="AN119" s="2"/>
      <c r="AQ119" s="2"/>
    </row>
    <row r="120" spans="1:43" ht="14.4" x14ac:dyDescent="0.3">
      <c r="A120" s="2"/>
      <c r="B120" s="2"/>
      <c r="C120" s="2"/>
      <c r="D120" s="2"/>
      <c r="E120" s="2"/>
      <c r="F120" s="2"/>
      <c r="G120" s="2"/>
      <c r="H120" s="2"/>
      <c r="I120" s="2"/>
      <c r="J120" s="2"/>
      <c r="K120" s="2"/>
      <c r="L120" s="2"/>
      <c r="M120" s="2"/>
      <c r="N120" s="2"/>
      <c r="AF120" s="2"/>
      <c r="AG120" s="2"/>
      <c r="AH120" s="2"/>
      <c r="AI120" s="2"/>
      <c r="AJ120" s="2"/>
      <c r="AK120" s="2"/>
      <c r="AL120" s="2"/>
      <c r="AM120" s="2"/>
      <c r="AN120" s="2"/>
      <c r="AQ120" s="2"/>
    </row>
    <row r="121" spans="1:43" ht="14.4" x14ac:dyDescent="0.3">
      <c r="A121" s="2"/>
      <c r="B121" s="2"/>
      <c r="C121" s="2"/>
      <c r="D121" s="2"/>
      <c r="E121" s="2"/>
      <c r="F121" s="2"/>
      <c r="G121" s="2"/>
      <c r="H121" s="2"/>
      <c r="I121" s="2"/>
      <c r="J121" s="2"/>
      <c r="K121" s="2"/>
      <c r="L121" s="2"/>
      <c r="M121" s="2"/>
      <c r="N121" s="2"/>
      <c r="AF121" s="2"/>
      <c r="AG121" s="2"/>
      <c r="AH121" s="2"/>
      <c r="AI121" s="2"/>
      <c r="AJ121" s="2"/>
      <c r="AK121" s="2"/>
      <c r="AL121" s="2"/>
      <c r="AM121" s="2"/>
      <c r="AN121" s="2"/>
      <c r="AQ121" s="2"/>
    </row>
    <row r="122" spans="1:43" ht="14.4" x14ac:dyDescent="0.3">
      <c r="A122" s="2"/>
      <c r="B122" s="2"/>
      <c r="C122" s="2"/>
      <c r="D122" s="2"/>
      <c r="E122" s="2"/>
      <c r="F122" s="2"/>
      <c r="G122" s="2"/>
      <c r="H122" s="2"/>
      <c r="I122" s="2"/>
      <c r="J122" s="2"/>
      <c r="K122" s="2"/>
      <c r="L122" s="2"/>
      <c r="M122" s="2"/>
      <c r="N122" s="2"/>
      <c r="AF122" s="2"/>
      <c r="AG122" s="2"/>
      <c r="AH122" s="2"/>
      <c r="AI122" s="2"/>
      <c r="AJ122" s="2"/>
      <c r="AK122" s="2"/>
      <c r="AL122" s="2"/>
      <c r="AM122" s="2"/>
      <c r="AN122" s="2"/>
      <c r="AQ122" s="2"/>
    </row>
    <row r="123" spans="1:43" ht="14.4" x14ac:dyDescent="0.3">
      <c r="A123" s="2"/>
      <c r="B123" s="2"/>
      <c r="C123" s="2"/>
      <c r="D123" s="2"/>
      <c r="E123" s="2"/>
      <c r="F123" s="2"/>
      <c r="G123" s="2"/>
      <c r="H123" s="2"/>
      <c r="I123" s="2"/>
      <c r="J123" s="2"/>
      <c r="K123" s="2"/>
      <c r="L123" s="2"/>
      <c r="M123" s="2"/>
      <c r="N123" s="2"/>
      <c r="AF123" s="2"/>
      <c r="AG123" s="2"/>
      <c r="AH123" s="2"/>
      <c r="AI123" s="2"/>
      <c r="AJ123" s="2"/>
      <c r="AK123" s="2"/>
      <c r="AL123" s="2"/>
      <c r="AM123" s="2"/>
      <c r="AN123" s="2"/>
      <c r="AQ123" s="2"/>
    </row>
    <row r="124" spans="1:43" ht="18.75" customHeight="1" x14ac:dyDescent="0.3">
      <c r="A124" s="136" t="s">
        <v>64</v>
      </c>
      <c r="B124" s="2"/>
      <c r="C124" s="2"/>
      <c r="D124" s="2"/>
      <c r="E124" s="2"/>
      <c r="F124" s="2"/>
      <c r="G124" s="2"/>
      <c r="H124" s="2"/>
      <c r="I124" s="2"/>
      <c r="J124" s="2"/>
      <c r="K124" s="2"/>
      <c r="L124" s="2"/>
      <c r="M124" s="2"/>
      <c r="N124" s="2"/>
      <c r="AF124" s="2"/>
      <c r="AG124" s="2"/>
      <c r="AH124" s="2"/>
      <c r="AI124" s="2"/>
      <c r="AJ124" s="2"/>
      <c r="AK124" s="2"/>
      <c r="AL124" s="2"/>
      <c r="AM124" s="2"/>
      <c r="AN124" s="2"/>
      <c r="AQ124" s="2"/>
    </row>
    <row r="125" spans="1:43" ht="18" x14ac:dyDescent="0.35">
      <c r="A125" s="2"/>
      <c r="B125" s="2"/>
      <c r="C125" s="5"/>
      <c r="D125" s="5"/>
      <c r="E125" s="5"/>
      <c r="F125" s="2"/>
      <c r="G125" s="2"/>
      <c r="H125" s="2"/>
      <c r="I125" s="2"/>
      <c r="J125" s="2"/>
      <c r="K125" s="2"/>
      <c r="L125" s="2"/>
      <c r="M125" s="2"/>
      <c r="N125" s="2"/>
      <c r="AF125" s="131" t="s">
        <v>31</v>
      </c>
      <c r="AG125" s="2"/>
      <c r="AH125" s="2"/>
      <c r="AI125" s="2"/>
      <c r="AJ125" s="2"/>
      <c r="AK125" s="2"/>
      <c r="AL125" s="2"/>
      <c r="AM125" s="2"/>
      <c r="AN125" s="2"/>
      <c r="AQ125" s="2"/>
    </row>
    <row r="126" spans="1:43" ht="19.5" customHeight="1" x14ac:dyDescent="0.3">
      <c r="A126" s="27" t="s">
        <v>32</v>
      </c>
      <c r="B126" s="2"/>
      <c r="C126" s="2"/>
      <c r="D126" s="2"/>
      <c r="E126" s="2"/>
      <c r="F126" s="2"/>
      <c r="G126" s="2"/>
      <c r="H126" s="2"/>
      <c r="I126" s="2"/>
      <c r="J126" s="2"/>
      <c r="K126" s="2"/>
      <c r="L126" s="2"/>
      <c r="M126" s="2"/>
      <c r="N126" s="2"/>
      <c r="AF126" s="2"/>
      <c r="AG126" s="2"/>
      <c r="AH126" s="2"/>
      <c r="AI126" s="2"/>
      <c r="AJ126" s="2"/>
      <c r="AK126" s="2"/>
      <c r="AL126" s="2"/>
      <c r="AM126" s="2"/>
      <c r="AN126" s="2"/>
      <c r="AQ126" s="2"/>
    </row>
    <row r="127" spans="1:43" ht="16.5" customHeight="1" x14ac:dyDescent="0.3">
      <c r="A127" s="29" t="s">
        <v>33</v>
      </c>
      <c r="B127" s="2"/>
      <c r="C127" s="856" t="s">
        <v>34</v>
      </c>
      <c r="D127" s="857"/>
      <c r="E127" s="858"/>
      <c r="F127" s="859" t="s">
        <v>29</v>
      </c>
      <c r="G127" s="857"/>
      <c r="H127" s="858"/>
      <c r="I127" s="860" t="s">
        <v>35</v>
      </c>
      <c r="J127" s="857"/>
      <c r="K127" s="858"/>
      <c r="L127" s="861" t="s">
        <v>36</v>
      </c>
      <c r="M127" s="858"/>
      <c r="N127" s="5"/>
      <c r="AF127" s="856" t="s">
        <v>34</v>
      </c>
      <c r="AG127" s="857"/>
      <c r="AH127" s="858"/>
      <c r="AI127" s="859" t="s">
        <v>29</v>
      </c>
      <c r="AJ127" s="857"/>
      <c r="AK127" s="858"/>
      <c r="AL127" s="860" t="s">
        <v>35</v>
      </c>
      <c r="AM127" s="857"/>
      <c r="AN127" s="858"/>
      <c r="AO127" s="861" t="s">
        <v>36</v>
      </c>
      <c r="AP127" s="858"/>
      <c r="AQ127" s="5"/>
    </row>
    <row r="128" spans="1:43" ht="143.25" customHeight="1" x14ac:dyDescent="0.3">
      <c r="A128" s="29" t="s">
        <v>37</v>
      </c>
      <c r="B128" s="2"/>
      <c r="C128" s="127" t="str">
        <f t="array" ref="C128:M128">TRANSPOSE(A129:A139)</f>
        <v>Based on IEA (2016), "Energy Technology Perspectives - 6DS", IEA/OECD</v>
      </c>
      <c r="D128" s="128" t="str">
        <v>Based on ICCT (2012) "Global Transport Roadmap Model", http://www.theicct.org/global-transportation-roadmap-model</v>
      </c>
      <c r="E128" s="129" t="str">
        <v>[Source 3 - Base]</v>
      </c>
      <c r="F128" s="127" t="str">
        <v>Based on IEA (2016), "Energy Technology Perspectives - 4DS", IEA/OECD</v>
      </c>
      <c r="G128" s="128" t="str">
        <v>[Source 2 - Conservative]</v>
      </c>
      <c r="H128" s="129" t="str">
        <v>[Source 3 - Conservative]</v>
      </c>
      <c r="I128" s="127" t="str">
        <v>Based on IEA (2016), "Energy Technology Perspectives - 2DS", IEA/OECD</v>
      </c>
      <c r="J128" s="128" t="str">
        <v>[Source 2 - Ambitious]</v>
      </c>
      <c r="K128" s="129" t="str">
        <v>[Source 3 - Ambitious]</v>
      </c>
      <c r="L128" s="127" t="str">
        <v>[Source 1 - Maximum]</v>
      </c>
      <c r="M128" s="129" t="str">
        <v>[Source 2 - Maximum]</v>
      </c>
      <c r="N128" s="130" t="s">
        <v>43</v>
      </c>
      <c r="AF128" s="127" t="str">
        <f t="shared" ref="AF128:AP128" si="50">C128</f>
        <v>Based on IEA (2016), "Energy Technology Perspectives - 6DS", IEA/OECD</v>
      </c>
      <c r="AG128" s="128" t="str">
        <f t="shared" si="50"/>
        <v>Based on ICCT (2012) "Global Transport Roadmap Model", http://www.theicct.org/global-transportation-roadmap-model</v>
      </c>
      <c r="AH128" s="129" t="str">
        <f t="shared" si="50"/>
        <v>[Source 3 - Base]</v>
      </c>
      <c r="AI128" s="127" t="str">
        <f t="shared" si="50"/>
        <v>Based on IEA (2016), "Energy Technology Perspectives - 4DS", IEA/OECD</v>
      </c>
      <c r="AJ128" s="128" t="str">
        <f t="shared" si="50"/>
        <v>[Source 2 - Conservative]</v>
      </c>
      <c r="AK128" s="129" t="str">
        <f t="shared" si="50"/>
        <v>[Source 3 - Conservative]</v>
      </c>
      <c r="AL128" s="127" t="str">
        <f t="shared" si="50"/>
        <v>Based on IEA (2016), "Energy Technology Perspectives - 2DS", IEA/OECD</v>
      </c>
      <c r="AM128" s="128" t="str">
        <f t="shared" si="50"/>
        <v>[Source 2 - Ambitious]</v>
      </c>
      <c r="AN128" s="129" t="str">
        <f t="shared" si="50"/>
        <v>[Source 3 - Ambitious]</v>
      </c>
      <c r="AO128" s="127" t="str">
        <f t="shared" si="50"/>
        <v>[Source 1 - Maximum]</v>
      </c>
      <c r="AP128" s="129" t="str">
        <f t="shared" si="50"/>
        <v>[Source 2 - Maximum]</v>
      </c>
      <c r="AQ128" s="130" t="s">
        <v>43</v>
      </c>
    </row>
    <row r="129" spans="1:43" ht="30" customHeight="1" x14ac:dyDescent="0.3">
      <c r="A129" s="132" t="s">
        <v>142</v>
      </c>
      <c r="B129" s="37">
        <v>2012</v>
      </c>
      <c r="C129" s="779">
        <f>SUM(C11,C71)</f>
        <v>51381.494257447128</v>
      </c>
      <c r="D129" s="780">
        <f>SUM(D11,D71)</f>
        <v>48852.107921970135</v>
      </c>
      <c r="E129" s="40"/>
      <c r="F129" s="779">
        <f>SUM(F11,F71)</f>
        <v>51016.489468580679</v>
      </c>
      <c r="G129" s="39"/>
      <c r="H129" s="40"/>
      <c r="I129" s="779">
        <f>SUM(I11,I71)</f>
        <v>50894.088131525765</v>
      </c>
      <c r="J129" s="39"/>
      <c r="K129" s="41"/>
      <c r="L129" s="42"/>
      <c r="M129" s="41"/>
      <c r="N129" s="125" t="s">
        <v>138</v>
      </c>
      <c r="AE129" s="37">
        <v>2012</v>
      </c>
      <c r="AF129" s="779">
        <f t="shared" ref="AF129:AP129" si="51">IF(C129&lt;&gt;"",C129*10^9,"")</f>
        <v>51381494257447.125</v>
      </c>
      <c r="AG129" s="780">
        <f t="shared" si="51"/>
        <v>48852107921970.133</v>
      </c>
      <c r="AH129" s="40" t="str">
        <f t="shared" si="51"/>
        <v/>
      </c>
      <c r="AI129" s="779">
        <f t="shared" si="51"/>
        <v>51016489468580.68</v>
      </c>
      <c r="AJ129" s="39" t="str">
        <f t="shared" si="51"/>
        <v/>
      </c>
      <c r="AK129" s="40" t="str">
        <f t="shared" si="51"/>
        <v/>
      </c>
      <c r="AL129" s="779">
        <f t="shared" si="51"/>
        <v>50894088131525.766</v>
      </c>
      <c r="AM129" s="39" t="str">
        <f t="shared" si="51"/>
        <v/>
      </c>
      <c r="AN129" s="41" t="str">
        <f t="shared" si="51"/>
        <v/>
      </c>
      <c r="AO129" s="42" t="str">
        <f t="shared" si="51"/>
        <v/>
      </c>
      <c r="AP129" s="41" t="str">
        <f t="shared" si="51"/>
        <v/>
      </c>
      <c r="AQ129" s="125" t="s">
        <v>141</v>
      </c>
    </row>
    <row r="130" spans="1:43" ht="45" customHeight="1" x14ac:dyDescent="0.3">
      <c r="A130" s="133" t="s">
        <v>143</v>
      </c>
      <c r="B130" s="37">
        <v>2013</v>
      </c>
      <c r="C130" s="779">
        <f>SUM(C12,C72)</f>
        <v>53039.242879725047</v>
      </c>
      <c r="D130" s="780">
        <f t="shared" ref="D130:D176" si="52">SUM(D12,D72)</f>
        <v>50908.327638277609</v>
      </c>
      <c r="E130" s="40"/>
      <c r="F130" s="779">
        <f>SUM(F12,F72)</f>
        <v>52753.698129830736</v>
      </c>
      <c r="G130" s="39"/>
      <c r="H130" s="40"/>
      <c r="I130" s="779">
        <f>SUM(I12,I72)</f>
        <v>52705.811612540318</v>
      </c>
      <c r="J130" s="39"/>
      <c r="K130" s="41"/>
      <c r="L130" s="42"/>
      <c r="M130" s="41"/>
      <c r="N130" s="125" t="s">
        <v>138</v>
      </c>
      <c r="AE130" s="37">
        <v>2013</v>
      </c>
      <c r="AF130" s="779">
        <f t="shared" ref="AF130:AP130" si="53">IF(C130&lt;&gt;"",C130*10^9,"")</f>
        <v>53039242879725.047</v>
      </c>
      <c r="AG130" s="780">
        <f t="shared" si="53"/>
        <v>50908327638277.609</v>
      </c>
      <c r="AH130" s="40" t="str">
        <f t="shared" si="53"/>
        <v/>
      </c>
      <c r="AI130" s="779">
        <f t="shared" si="53"/>
        <v>52753698129830.734</v>
      </c>
      <c r="AJ130" s="39" t="str">
        <f t="shared" si="53"/>
        <v/>
      </c>
      <c r="AK130" s="40" t="str">
        <f t="shared" si="53"/>
        <v/>
      </c>
      <c r="AL130" s="779">
        <f t="shared" si="53"/>
        <v>52705811612540.32</v>
      </c>
      <c r="AM130" s="39" t="str">
        <f t="shared" si="53"/>
        <v/>
      </c>
      <c r="AN130" s="41" t="str">
        <f t="shared" si="53"/>
        <v/>
      </c>
      <c r="AO130" s="42" t="str">
        <f t="shared" si="53"/>
        <v/>
      </c>
      <c r="AP130" s="41" t="str">
        <f t="shared" si="53"/>
        <v/>
      </c>
      <c r="AQ130" s="125" t="s">
        <v>141</v>
      </c>
    </row>
    <row r="131" spans="1:43" ht="15.75" customHeight="1" x14ac:dyDescent="0.3">
      <c r="A131" s="134" t="s">
        <v>38</v>
      </c>
      <c r="B131" s="37">
        <v>2014</v>
      </c>
      <c r="C131" s="781">
        <f t="shared" ref="C131:C177" si="54">SUM(C13,C73)</f>
        <v>55042.108780265931</v>
      </c>
      <c r="D131" s="782">
        <f t="shared" si="52"/>
        <v>53424.13222258928</v>
      </c>
      <c r="E131" s="47"/>
      <c r="F131" s="781">
        <f t="shared" ref="F131:F177" si="55">SUM(F13,F73)</f>
        <v>54818.653721378229</v>
      </c>
      <c r="G131" s="46"/>
      <c r="H131" s="47"/>
      <c r="I131" s="781">
        <f t="shared" ref="I131:I177" si="56">SUM(I13,I73)</f>
        <v>54824.877139581207</v>
      </c>
      <c r="J131" s="46"/>
      <c r="K131" s="49"/>
      <c r="L131" s="50"/>
      <c r="M131" s="49"/>
      <c r="N131" s="125" t="s">
        <v>138</v>
      </c>
      <c r="AE131" s="37">
        <v>2014</v>
      </c>
      <c r="AF131" s="783">
        <f t="shared" ref="AF131:AP131" si="57">IF(C131&lt;&gt;"",C131*10^9,"")</f>
        <v>55042108780265.93</v>
      </c>
      <c r="AG131" s="782">
        <f t="shared" si="57"/>
        <v>53424132222589.281</v>
      </c>
      <c r="AH131" s="47" t="str">
        <f t="shared" si="57"/>
        <v/>
      </c>
      <c r="AI131" s="781">
        <f t="shared" si="57"/>
        <v>54818653721378.227</v>
      </c>
      <c r="AJ131" s="46" t="str">
        <f t="shared" si="57"/>
        <v/>
      </c>
      <c r="AK131" s="47" t="str">
        <f t="shared" si="57"/>
        <v/>
      </c>
      <c r="AL131" s="781">
        <f t="shared" si="57"/>
        <v>54824877139581.211</v>
      </c>
      <c r="AM131" s="46" t="str">
        <f t="shared" si="57"/>
        <v/>
      </c>
      <c r="AN131" s="49" t="str">
        <f t="shared" si="57"/>
        <v/>
      </c>
      <c r="AO131" s="50" t="str">
        <f t="shared" si="57"/>
        <v/>
      </c>
      <c r="AP131" s="49" t="str">
        <f t="shared" si="57"/>
        <v/>
      </c>
      <c r="AQ131" s="125" t="s">
        <v>141</v>
      </c>
    </row>
    <row r="132" spans="1:43" ht="30" customHeight="1" x14ac:dyDescent="0.3">
      <c r="A132" s="132" t="s">
        <v>144</v>
      </c>
      <c r="B132" s="37">
        <v>2015</v>
      </c>
      <c r="C132" s="779">
        <f t="shared" si="54"/>
        <v>56782.997007997954</v>
      </c>
      <c r="D132" s="780">
        <f t="shared" si="52"/>
        <v>55539.589218484121</v>
      </c>
      <c r="E132" s="40"/>
      <c r="F132" s="779">
        <f t="shared" si="55"/>
        <v>56607.71626745518</v>
      </c>
      <c r="G132" s="39"/>
      <c r="H132" s="40"/>
      <c r="I132" s="779">
        <f t="shared" si="56"/>
        <v>56648.676667511172</v>
      </c>
      <c r="J132" s="39"/>
      <c r="K132" s="41"/>
      <c r="L132" s="42"/>
      <c r="M132" s="41"/>
      <c r="N132" s="125" t="s">
        <v>138</v>
      </c>
      <c r="AE132" s="37">
        <v>2015</v>
      </c>
      <c r="AF132" s="779">
        <f t="shared" ref="AF132:AP132" si="58">IF(C132&lt;&gt;"",C132*10^9,"")</f>
        <v>56782997007997.953</v>
      </c>
      <c r="AG132" s="780">
        <f t="shared" si="58"/>
        <v>55539589218484.125</v>
      </c>
      <c r="AH132" s="40" t="str">
        <f t="shared" si="58"/>
        <v/>
      </c>
      <c r="AI132" s="779">
        <f t="shared" si="58"/>
        <v>56607716267455.18</v>
      </c>
      <c r="AJ132" s="39" t="str">
        <f t="shared" si="58"/>
        <v/>
      </c>
      <c r="AK132" s="40" t="str">
        <f t="shared" si="58"/>
        <v/>
      </c>
      <c r="AL132" s="779">
        <f t="shared" si="58"/>
        <v>56648676667511.172</v>
      </c>
      <c r="AM132" s="39" t="str">
        <f t="shared" si="58"/>
        <v/>
      </c>
      <c r="AN132" s="41" t="str">
        <f t="shared" si="58"/>
        <v/>
      </c>
      <c r="AO132" s="42" t="str">
        <f t="shared" si="58"/>
        <v/>
      </c>
      <c r="AP132" s="41" t="str">
        <f t="shared" si="58"/>
        <v/>
      </c>
      <c r="AQ132" s="125" t="s">
        <v>141</v>
      </c>
    </row>
    <row r="133" spans="1:43" ht="14.4" x14ac:dyDescent="0.3">
      <c r="A133" s="43" t="s">
        <v>60</v>
      </c>
      <c r="B133" s="37">
        <v>2016</v>
      </c>
      <c r="C133" s="779">
        <f t="shared" si="54"/>
        <v>58485.899359273542</v>
      </c>
      <c r="D133" s="780">
        <f t="shared" si="52"/>
        <v>57604.666595952694</v>
      </c>
      <c r="E133" s="40"/>
      <c r="F133" s="779">
        <f t="shared" si="55"/>
        <v>58343.488809003393</v>
      </c>
      <c r="G133" s="39"/>
      <c r="H133" s="40"/>
      <c r="I133" s="779">
        <f t="shared" si="56"/>
        <v>58400.409080352663</v>
      </c>
      <c r="J133" s="39"/>
      <c r="K133" s="41"/>
      <c r="L133" s="42"/>
      <c r="M133" s="41"/>
      <c r="N133" s="125" t="s">
        <v>138</v>
      </c>
      <c r="AE133" s="37">
        <v>2016</v>
      </c>
      <c r="AF133" s="779">
        <f t="shared" ref="AF133:AP133" si="59">IF(C133&lt;&gt;"",C133*10^9,"")</f>
        <v>58485899359273.539</v>
      </c>
      <c r="AG133" s="780">
        <f t="shared" si="59"/>
        <v>57604666595952.695</v>
      </c>
      <c r="AH133" s="40" t="str">
        <f t="shared" si="59"/>
        <v/>
      </c>
      <c r="AI133" s="779">
        <f t="shared" si="59"/>
        <v>58343488809003.391</v>
      </c>
      <c r="AJ133" s="39" t="str">
        <f t="shared" si="59"/>
        <v/>
      </c>
      <c r="AK133" s="40" t="str">
        <f t="shared" si="59"/>
        <v/>
      </c>
      <c r="AL133" s="779">
        <f t="shared" si="59"/>
        <v>58400409080352.664</v>
      </c>
      <c r="AM133" s="39" t="str">
        <f t="shared" si="59"/>
        <v/>
      </c>
      <c r="AN133" s="41" t="str">
        <f t="shared" si="59"/>
        <v/>
      </c>
      <c r="AO133" s="42" t="str">
        <f t="shared" si="59"/>
        <v/>
      </c>
      <c r="AP133" s="41" t="str">
        <f t="shared" si="59"/>
        <v/>
      </c>
      <c r="AQ133" s="125" t="s">
        <v>141</v>
      </c>
    </row>
    <row r="134" spans="1:43" ht="15.75" customHeight="1" x14ac:dyDescent="0.3">
      <c r="A134" s="44" t="s">
        <v>39</v>
      </c>
      <c r="B134" s="37">
        <v>2017</v>
      </c>
      <c r="C134" s="781">
        <f t="shared" si="54"/>
        <v>60236.059066430593</v>
      </c>
      <c r="D134" s="782">
        <f t="shared" si="52"/>
        <v>59710.250669708184</v>
      </c>
      <c r="E134" s="47"/>
      <c r="F134" s="781">
        <f t="shared" si="55"/>
        <v>60111.598562283449</v>
      </c>
      <c r="G134" s="46"/>
      <c r="H134" s="47"/>
      <c r="I134" s="781">
        <f t="shared" si="56"/>
        <v>60166.592755027494</v>
      </c>
      <c r="J134" s="46"/>
      <c r="K134" s="49"/>
      <c r="L134" s="50"/>
      <c r="M134" s="49"/>
      <c r="N134" s="125" t="s">
        <v>138</v>
      </c>
      <c r="AE134" s="37">
        <v>2017</v>
      </c>
      <c r="AF134" s="783">
        <f t="shared" ref="AF134:AP134" si="60">IF(C134&lt;&gt;"",C134*10^9,"")</f>
        <v>60236059066430.594</v>
      </c>
      <c r="AG134" s="782">
        <f t="shared" si="60"/>
        <v>59710250669708.188</v>
      </c>
      <c r="AH134" s="47" t="str">
        <f t="shared" si="60"/>
        <v/>
      </c>
      <c r="AI134" s="781">
        <f t="shared" si="60"/>
        <v>60111598562283.445</v>
      </c>
      <c r="AJ134" s="46" t="str">
        <f t="shared" si="60"/>
        <v/>
      </c>
      <c r="AK134" s="47" t="str">
        <f t="shared" si="60"/>
        <v/>
      </c>
      <c r="AL134" s="781">
        <f t="shared" si="60"/>
        <v>60166592755027.492</v>
      </c>
      <c r="AM134" s="46" t="str">
        <f t="shared" si="60"/>
        <v/>
      </c>
      <c r="AN134" s="49" t="str">
        <f t="shared" si="60"/>
        <v/>
      </c>
      <c r="AO134" s="50" t="str">
        <f t="shared" si="60"/>
        <v/>
      </c>
      <c r="AP134" s="49" t="str">
        <f t="shared" si="60"/>
        <v/>
      </c>
      <c r="AQ134" s="125" t="s">
        <v>141</v>
      </c>
    </row>
    <row r="135" spans="1:43" ht="30" customHeight="1" x14ac:dyDescent="0.3">
      <c r="A135" s="132" t="s">
        <v>145</v>
      </c>
      <c r="B135" s="37">
        <v>2018</v>
      </c>
      <c r="C135" s="779">
        <f t="shared" si="54"/>
        <v>62003.00941051016</v>
      </c>
      <c r="D135" s="780">
        <f t="shared" si="52"/>
        <v>61831.276622757403</v>
      </c>
      <c r="E135" s="40"/>
      <c r="F135" s="779">
        <f t="shared" si="55"/>
        <v>61881.961820511104</v>
      </c>
      <c r="G135" s="39"/>
      <c r="H135" s="40"/>
      <c r="I135" s="779">
        <f t="shared" si="56"/>
        <v>61918.032857146973</v>
      </c>
      <c r="J135" s="39"/>
      <c r="K135" s="41"/>
      <c r="L135" s="42"/>
      <c r="M135" s="41"/>
      <c r="N135" s="125" t="s">
        <v>138</v>
      </c>
      <c r="AE135" s="37">
        <v>2018</v>
      </c>
      <c r="AF135" s="779">
        <f t="shared" ref="AF135:AP135" si="61">IF(C135&lt;&gt;"",C135*10^9,"")</f>
        <v>62003009410510.156</v>
      </c>
      <c r="AG135" s="780">
        <f t="shared" si="61"/>
        <v>61831276622757.406</v>
      </c>
      <c r="AH135" s="40" t="str">
        <f t="shared" si="61"/>
        <v/>
      </c>
      <c r="AI135" s="779">
        <f t="shared" si="61"/>
        <v>61881961820511.102</v>
      </c>
      <c r="AJ135" s="39" t="str">
        <f t="shared" si="61"/>
        <v/>
      </c>
      <c r="AK135" s="40" t="str">
        <f t="shared" si="61"/>
        <v/>
      </c>
      <c r="AL135" s="779">
        <f t="shared" si="61"/>
        <v>61918032857146.977</v>
      </c>
      <c r="AM135" s="39" t="str">
        <f t="shared" si="61"/>
        <v/>
      </c>
      <c r="AN135" s="41" t="str">
        <f t="shared" si="61"/>
        <v/>
      </c>
      <c r="AO135" s="42" t="str">
        <f t="shared" si="61"/>
        <v/>
      </c>
      <c r="AP135" s="41" t="str">
        <f t="shared" si="61"/>
        <v/>
      </c>
      <c r="AQ135" s="125" t="s">
        <v>141</v>
      </c>
    </row>
    <row r="136" spans="1:43" ht="14.4" x14ac:dyDescent="0.3">
      <c r="A136" s="43" t="s">
        <v>62</v>
      </c>
      <c r="B136" s="37">
        <v>2019</v>
      </c>
      <c r="C136" s="779">
        <f t="shared" si="54"/>
        <v>63784.835745458899</v>
      </c>
      <c r="D136" s="780">
        <f t="shared" si="52"/>
        <v>63970.871609206151</v>
      </c>
      <c r="E136" s="40"/>
      <c r="F136" s="779">
        <f t="shared" si="55"/>
        <v>63653.046010794395</v>
      </c>
      <c r="G136" s="39"/>
      <c r="H136" s="40"/>
      <c r="I136" s="779">
        <f t="shared" si="56"/>
        <v>63654.085018174097</v>
      </c>
      <c r="J136" s="39"/>
      <c r="K136" s="41"/>
      <c r="L136" s="42"/>
      <c r="M136" s="41"/>
      <c r="N136" s="125" t="s">
        <v>138</v>
      </c>
      <c r="AE136" s="37">
        <v>2019</v>
      </c>
      <c r="AF136" s="779">
        <f t="shared" ref="AF136:AP136" si="62">IF(C136&lt;&gt;"",C136*10^9,"")</f>
        <v>63784835745458.898</v>
      </c>
      <c r="AG136" s="780">
        <f t="shared" si="62"/>
        <v>63970871609206.148</v>
      </c>
      <c r="AH136" s="40" t="str">
        <f t="shared" si="62"/>
        <v/>
      </c>
      <c r="AI136" s="779">
        <f t="shared" si="62"/>
        <v>63653046010794.391</v>
      </c>
      <c r="AJ136" s="39" t="str">
        <f t="shared" si="62"/>
        <v/>
      </c>
      <c r="AK136" s="40" t="str">
        <f t="shared" si="62"/>
        <v/>
      </c>
      <c r="AL136" s="779">
        <f t="shared" si="62"/>
        <v>63654085018174.094</v>
      </c>
      <c r="AM136" s="39" t="str">
        <f t="shared" si="62"/>
        <v/>
      </c>
      <c r="AN136" s="41" t="str">
        <f t="shared" si="62"/>
        <v/>
      </c>
      <c r="AO136" s="42" t="str">
        <f t="shared" si="62"/>
        <v/>
      </c>
      <c r="AP136" s="41" t="str">
        <f t="shared" si="62"/>
        <v/>
      </c>
      <c r="AQ136" s="125" t="s">
        <v>141</v>
      </c>
    </row>
    <row r="137" spans="1:43" ht="15.75" customHeight="1" x14ac:dyDescent="0.3">
      <c r="A137" s="44" t="s">
        <v>40</v>
      </c>
      <c r="B137" s="37">
        <v>2020</v>
      </c>
      <c r="C137" s="781">
        <f t="shared" si="54"/>
        <v>65590.809621140332</v>
      </c>
      <c r="D137" s="782">
        <f t="shared" si="52"/>
        <v>66143.564317839002</v>
      </c>
      <c r="E137" s="47"/>
      <c r="F137" s="781">
        <f t="shared" si="55"/>
        <v>65434.491918082786</v>
      </c>
      <c r="G137" s="46"/>
      <c r="H137" s="47"/>
      <c r="I137" s="781">
        <f t="shared" si="56"/>
        <v>65385.275602541275</v>
      </c>
      <c r="J137" s="46"/>
      <c r="K137" s="49"/>
      <c r="L137" s="50"/>
      <c r="M137" s="49"/>
      <c r="N137" s="125" t="s">
        <v>138</v>
      </c>
      <c r="AE137" s="37">
        <v>2020</v>
      </c>
      <c r="AF137" s="783">
        <f t="shared" ref="AF137:AP137" si="63">IF(C137&lt;&gt;"",C137*10^9,"")</f>
        <v>65590809621140.328</v>
      </c>
      <c r="AG137" s="782">
        <f t="shared" si="63"/>
        <v>66143564317839</v>
      </c>
      <c r="AH137" s="47" t="str">
        <f t="shared" si="63"/>
        <v/>
      </c>
      <c r="AI137" s="781">
        <f t="shared" si="63"/>
        <v>65434491918082.789</v>
      </c>
      <c r="AJ137" s="46" t="str">
        <f t="shared" si="63"/>
        <v/>
      </c>
      <c r="AK137" s="47" t="str">
        <f t="shared" si="63"/>
        <v/>
      </c>
      <c r="AL137" s="781">
        <f t="shared" si="63"/>
        <v>65385275602541.273</v>
      </c>
      <c r="AM137" s="46" t="str">
        <f t="shared" si="63"/>
        <v/>
      </c>
      <c r="AN137" s="49" t="str">
        <f t="shared" si="63"/>
        <v/>
      </c>
      <c r="AO137" s="50" t="str">
        <f t="shared" si="63"/>
        <v/>
      </c>
      <c r="AP137" s="49" t="str">
        <f t="shared" si="63"/>
        <v/>
      </c>
      <c r="AQ137" s="125" t="s">
        <v>141</v>
      </c>
    </row>
    <row r="138" spans="1:43" ht="14.4" x14ac:dyDescent="0.3">
      <c r="A138" s="36" t="s">
        <v>41</v>
      </c>
      <c r="B138" s="37">
        <v>2021</v>
      </c>
      <c r="C138" s="779">
        <f t="shared" si="54"/>
        <v>67350.407316366298</v>
      </c>
      <c r="D138" s="780">
        <f t="shared" si="52"/>
        <v>68283.852741070368</v>
      </c>
      <c r="E138" s="40"/>
      <c r="F138" s="779">
        <f t="shared" si="55"/>
        <v>67156.303774030283</v>
      </c>
      <c r="G138" s="39"/>
      <c r="H138" s="40"/>
      <c r="I138" s="779">
        <f t="shared" si="56"/>
        <v>67042.575560139579</v>
      </c>
      <c r="J138" s="39"/>
      <c r="K138" s="41"/>
      <c r="L138" s="42"/>
      <c r="M138" s="41"/>
      <c r="N138" s="125" t="s">
        <v>138</v>
      </c>
      <c r="AE138" s="37">
        <v>2021</v>
      </c>
      <c r="AF138" s="779">
        <f t="shared" ref="AF138:AP138" si="64">IF(C138&lt;&gt;"",C138*10^9,"")</f>
        <v>67350407316366.297</v>
      </c>
      <c r="AG138" s="780">
        <f t="shared" si="64"/>
        <v>68283852741070.367</v>
      </c>
      <c r="AH138" s="40" t="str">
        <f t="shared" si="64"/>
        <v/>
      </c>
      <c r="AI138" s="779">
        <f t="shared" si="64"/>
        <v>67156303774030.281</v>
      </c>
      <c r="AJ138" s="39" t="str">
        <f t="shared" si="64"/>
        <v/>
      </c>
      <c r="AK138" s="40" t="str">
        <f t="shared" si="64"/>
        <v/>
      </c>
      <c r="AL138" s="779">
        <f t="shared" si="64"/>
        <v>67042575560139.578</v>
      </c>
      <c r="AM138" s="39" t="str">
        <f t="shared" si="64"/>
        <v/>
      </c>
      <c r="AN138" s="41" t="str">
        <f t="shared" si="64"/>
        <v/>
      </c>
      <c r="AO138" s="42" t="str">
        <f t="shared" si="64"/>
        <v/>
      </c>
      <c r="AP138" s="41" t="str">
        <f t="shared" si="64"/>
        <v/>
      </c>
      <c r="AQ138" s="125" t="s">
        <v>141</v>
      </c>
    </row>
    <row r="139" spans="1:43" ht="15.75" customHeight="1" x14ac:dyDescent="0.3">
      <c r="A139" s="44" t="s">
        <v>42</v>
      </c>
      <c r="B139" s="37">
        <v>2022</v>
      </c>
      <c r="C139" s="783">
        <f t="shared" si="54"/>
        <v>69121.140607598063</v>
      </c>
      <c r="D139" s="784">
        <f t="shared" si="52"/>
        <v>70455.377030388161</v>
      </c>
      <c r="E139" s="56"/>
      <c r="F139" s="783">
        <f t="shared" si="55"/>
        <v>68876.317230213404</v>
      </c>
      <c r="G139" s="55"/>
      <c r="H139" s="56"/>
      <c r="I139" s="783">
        <f t="shared" si="56"/>
        <v>68684.748856523584</v>
      </c>
      <c r="J139" s="55"/>
      <c r="K139" s="57"/>
      <c r="L139" s="58"/>
      <c r="M139" s="57"/>
      <c r="N139" s="125" t="s">
        <v>138</v>
      </c>
      <c r="AE139" s="37">
        <v>2022</v>
      </c>
      <c r="AF139" s="779">
        <f t="shared" ref="AF139:AP139" si="65">IF(C139&lt;&gt;"",C139*10^9,"")</f>
        <v>69121140607598.063</v>
      </c>
      <c r="AG139" s="784">
        <f t="shared" si="65"/>
        <v>70455377030388.156</v>
      </c>
      <c r="AH139" s="56" t="str">
        <f t="shared" si="65"/>
        <v/>
      </c>
      <c r="AI139" s="783">
        <f t="shared" si="65"/>
        <v>68876317230213.406</v>
      </c>
      <c r="AJ139" s="55" t="str">
        <f t="shared" si="65"/>
        <v/>
      </c>
      <c r="AK139" s="56" t="str">
        <f t="shared" si="65"/>
        <v/>
      </c>
      <c r="AL139" s="783">
        <f t="shared" si="65"/>
        <v>68684748856523.586</v>
      </c>
      <c r="AM139" s="55" t="str">
        <f t="shared" si="65"/>
        <v/>
      </c>
      <c r="AN139" s="57" t="str">
        <f t="shared" si="65"/>
        <v/>
      </c>
      <c r="AO139" s="58" t="str">
        <f t="shared" si="65"/>
        <v/>
      </c>
      <c r="AP139" s="57" t="str">
        <f t="shared" si="65"/>
        <v/>
      </c>
      <c r="AQ139" s="125" t="s">
        <v>141</v>
      </c>
    </row>
    <row r="140" spans="1:43" ht="14.4" x14ac:dyDescent="0.3">
      <c r="A140" s="2"/>
      <c r="B140" s="37">
        <v>2023</v>
      </c>
      <c r="C140" s="783">
        <f t="shared" si="54"/>
        <v>70895.22675824551</v>
      </c>
      <c r="D140" s="784">
        <f t="shared" si="52"/>
        <v>72656.339025792375</v>
      </c>
      <c r="E140" s="56"/>
      <c r="F140" s="783">
        <f t="shared" si="55"/>
        <v>70587.166056993039</v>
      </c>
      <c r="G140" s="55"/>
      <c r="H140" s="56"/>
      <c r="I140" s="783">
        <f t="shared" si="56"/>
        <v>70305.359648819343</v>
      </c>
      <c r="J140" s="55"/>
      <c r="K140" s="57"/>
      <c r="L140" s="58"/>
      <c r="M140" s="57"/>
      <c r="N140" s="125" t="s">
        <v>138</v>
      </c>
      <c r="AE140" s="37">
        <v>2023</v>
      </c>
      <c r="AF140" s="779">
        <f t="shared" ref="AF140:AP140" si="66">IF(C140&lt;&gt;"",C140*10^9,"")</f>
        <v>70895226758245.516</v>
      </c>
      <c r="AG140" s="784">
        <f t="shared" si="66"/>
        <v>72656339025792.375</v>
      </c>
      <c r="AH140" s="40" t="str">
        <f t="shared" si="66"/>
        <v/>
      </c>
      <c r="AI140" s="783">
        <f t="shared" si="66"/>
        <v>70587166056993.047</v>
      </c>
      <c r="AJ140" s="55" t="str">
        <f t="shared" si="66"/>
        <v/>
      </c>
      <c r="AK140" s="56" t="str">
        <f t="shared" si="66"/>
        <v/>
      </c>
      <c r="AL140" s="783">
        <f t="shared" si="66"/>
        <v>70305359648819.344</v>
      </c>
      <c r="AM140" s="55" t="str">
        <f t="shared" si="66"/>
        <v/>
      </c>
      <c r="AN140" s="57" t="str">
        <f t="shared" si="66"/>
        <v/>
      </c>
      <c r="AO140" s="58" t="str">
        <f t="shared" si="66"/>
        <v/>
      </c>
      <c r="AP140" s="57" t="str">
        <f t="shared" si="66"/>
        <v/>
      </c>
      <c r="AQ140" s="125" t="s">
        <v>141</v>
      </c>
    </row>
    <row r="141" spans="1:43" ht="14.4" x14ac:dyDescent="0.3">
      <c r="A141" s="2"/>
      <c r="B141" s="37">
        <v>2024</v>
      </c>
      <c r="C141" s="779">
        <f t="shared" si="54"/>
        <v>72669.751685217867</v>
      </c>
      <c r="D141" s="780">
        <f t="shared" si="52"/>
        <v>74889.930392520357</v>
      </c>
      <c r="E141" s="40"/>
      <c r="F141" s="779">
        <f t="shared" si="55"/>
        <v>72286.362949674483</v>
      </c>
      <c r="G141" s="39"/>
      <c r="H141" s="40"/>
      <c r="I141" s="779">
        <f t="shared" si="56"/>
        <v>71902.860208228842</v>
      </c>
      <c r="J141" s="39"/>
      <c r="K141" s="41"/>
      <c r="L141" s="42"/>
      <c r="M141" s="41"/>
      <c r="N141" s="125" t="s">
        <v>138</v>
      </c>
      <c r="AE141" s="37">
        <v>2024</v>
      </c>
      <c r="AF141" s="779">
        <f t="shared" ref="AF141:AP141" si="67">IF(C141&lt;&gt;"",C141*10^9,"")</f>
        <v>72669751685217.859</v>
      </c>
      <c r="AG141" s="784">
        <f t="shared" si="67"/>
        <v>74889930392520.359</v>
      </c>
      <c r="AH141" s="40" t="str">
        <f t="shared" si="67"/>
        <v/>
      </c>
      <c r="AI141" s="779">
        <f t="shared" si="67"/>
        <v>72286362949674.484</v>
      </c>
      <c r="AJ141" s="39" t="str">
        <f t="shared" si="67"/>
        <v/>
      </c>
      <c r="AK141" s="40" t="str">
        <f t="shared" si="67"/>
        <v/>
      </c>
      <c r="AL141" s="779">
        <f t="shared" si="67"/>
        <v>71902860208228.844</v>
      </c>
      <c r="AM141" s="39" t="str">
        <f t="shared" si="67"/>
        <v/>
      </c>
      <c r="AN141" s="41" t="str">
        <f t="shared" si="67"/>
        <v/>
      </c>
      <c r="AO141" s="42" t="str">
        <f t="shared" si="67"/>
        <v/>
      </c>
      <c r="AP141" s="41" t="str">
        <f t="shared" si="67"/>
        <v/>
      </c>
      <c r="AQ141" s="125" t="s">
        <v>141</v>
      </c>
    </row>
    <row r="142" spans="1:43" ht="14.4" x14ac:dyDescent="0.3">
      <c r="A142" s="2"/>
      <c r="B142" s="37">
        <v>2025</v>
      </c>
      <c r="C142" s="779">
        <f t="shared" si="54"/>
        <v>74435.000375984004</v>
      </c>
      <c r="D142" s="780">
        <f t="shared" si="52"/>
        <v>77152.457508131498</v>
      </c>
      <c r="E142" s="40"/>
      <c r="F142" s="779">
        <f t="shared" si="55"/>
        <v>73964.626252197049</v>
      </c>
      <c r="G142" s="39"/>
      <c r="H142" s="40"/>
      <c r="I142" s="779">
        <f t="shared" si="56"/>
        <v>73468.91526110124</v>
      </c>
      <c r="J142" s="39"/>
      <c r="K142" s="41"/>
      <c r="L142" s="42"/>
      <c r="M142" s="41"/>
      <c r="N142" s="125" t="s">
        <v>138</v>
      </c>
      <c r="AE142" s="37">
        <v>2025</v>
      </c>
      <c r="AF142" s="779">
        <f t="shared" ref="AF142:AP142" si="68">IF(C142&lt;&gt;"",C142*10^9,"")</f>
        <v>74435000375984</v>
      </c>
      <c r="AG142" s="784">
        <f t="shared" si="68"/>
        <v>77152457508131.5</v>
      </c>
      <c r="AH142" s="40" t="str">
        <f t="shared" si="68"/>
        <v/>
      </c>
      <c r="AI142" s="779">
        <f t="shared" si="68"/>
        <v>73964626252197.047</v>
      </c>
      <c r="AJ142" s="39" t="str">
        <f t="shared" si="68"/>
        <v/>
      </c>
      <c r="AK142" s="40" t="str">
        <f t="shared" si="68"/>
        <v/>
      </c>
      <c r="AL142" s="779">
        <f t="shared" si="68"/>
        <v>73468915261101.234</v>
      </c>
      <c r="AM142" s="39" t="str">
        <f t="shared" si="68"/>
        <v/>
      </c>
      <c r="AN142" s="41" t="str">
        <f t="shared" si="68"/>
        <v/>
      </c>
      <c r="AO142" s="42" t="str">
        <f t="shared" si="68"/>
        <v/>
      </c>
      <c r="AP142" s="41" t="str">
        <f t="shared" si="68"/>
        <v/>
      </c>
      <c r="AQ142" s="125" t="s">
        <v>141</v>
      </c>
    </row>
    <row r="143" spans="1:43" ht="14.4" x14ac:dyDescent="0.3">
      <c r="A143" s="2"/>
      <c r="B143" s="37">
        <v>2026</v>
      </c>
      <c r="C143" s="779">
        <f t="shared" si="54"/>
        <v>76211.057065557776</v>
      </c>
      <c r="D143" s="780">
        <f t="shared" si="52"/>
        <v>79469.810315418799</v>
      </c>
      <c r="E143" s="40"/>
      <c r="F143" s="779">
        <f t="shared" si="55"/>
        <v>75642.471829837275</v>
      </c>
      <c r="G143" s="39"/>
      <c r="H143" s="40"/>
      <c r="I143" s="779">
        <f t="shared" si="56"/>
        <v>75024.983596145801</v>
      </c>
      <c r="J143" s="39"/>
      <c r="K143" s="41"/>
      <c r="L143" s="42"/>
      <c r="M143" s="41"/>
      <c r="N143" s="125" t="s">
        <v>138</v>
      </c>
      <c r="AE143" s="37">
        <v>2026</v>
      </c>
      <c r="AF143" s="779">
        <f t="shared" ref="AF143:AP143" si="69">IF(C143&lt;&gt;"",C143*10^9,"")</f>
        <v>76211057065557.781</v>
      </c>
      <c r="AG143" s="784">
        <f t="shared" si="69"/>
        <v>79469810315418.797</v>
      </c>
      <c r="AH143" s="40" t="str">
        <f t="shared" si="69"/>
        <v/>
      </c>
      <c r="AI143" s="779">
        <f t="shared" si="69"/>
        <v>75642471829837.281</v>
      </c>
      <c r="AJ143" s="39" t="str">
        <f t="shared" si="69"/>
        <v/>
      </c>
      <c r="AK143" s="40" t="str">
        <f t="shared" si="69"/>
        <v/>
      </c>
      <c r="AL143" s="779">
        <f t="shared" si="69"/>
        <v>75024983596145.797</v>
      </c>
      <c r="AM143" s="39" t="str">
        <f t="shared" si="69"/>
        <v/>
      </c>
      <c r="AN143" s="41" t="str">
        <f t="shared" si="69"/>
        <v/>
      </c>
      <c r="AO143" s="42" t="str">
        <f t="shared" si="69"/>
        <v/>
      </c>
      <c r="AP143" s="41" t="str">
        <f t="shared" si="69"/>
        <v/>
      </c>
      <c r="AQ143" s="125" t="s">
        <v>141</v>
      </c>
    </row>
    <row r="144" spans="1:43" ht="14.4" x14ac:dyDescent="0.3">
      <c r="A144" s="2"/>
      <c r="B144" s="37">
        <v>2027</v>
      </c>
      <c r="C144" s="779">
        <f t="shared" si="54"/>
        <v>77975.915502985998</v>
      </c>
      <c r="D144" s="780">
        <f t="shared" si="52"/>
        <v>81825.719644934798</v>
      </c>
      <c r="E144" s="40"/>
      <c r="F144" s="779">
        <f t="shared" si="55"/>
        <v>77298.321111548736</v>
      </c>
      <c r="G144" s="39"/>
      <c r="H144" s="40"/>
      <c r="I144" s="779">
        <f t="shared" si="56"/>
        <v>76550.421944250731</v>
      </c>
      <c r="J144" s="39"/>
      <c r="K144" s="41"/>
      <c r="L144" s="42"/>
      <c r="M144" s="41"/>
      <c r="N144" s="125" t="s">
        <v>138</v>
      </c>
      <c r="AE144" s="37">
        <v>2027</v>
      </c>
      <c r="AF144" s="779">
        <f t="shared" ref="AF144:AP144" si="70">IF(C144&lt;&gt;"",C144*10^9,"")</f>
        <v>77975915502986</v>
      </c>
      <c r="AG144" s="784">
        <f t="shared" si="70"/>
        <v>81825719644934.797</v>
      </c>
      <c r="AH144" s="40" t="str">
        <f t="shared" si="70"/>
        <v/>
      </c>
      <c r="AI144" s="779">
        <f t="shared" si="70"/>
        <v>77298321111548.734</v>
      </c>
      <c r="AJ144" s="39" t="str">
        <f t="shared" si="70"/>
        <v/>
      </c>
      <c r="AK144" s="40" t="str">
        <f t="shared" si="70"/>
        <v/>
      </c>
      <c r="AL144" s="779">
        <f t="shared" si="70"/>
        <v>76550421944250.734</v>
      </c>
      <c r="AM144" s="39" t="str">
        <f t="shared" si="70"/>
        <v/>
      </c>
      <c r="AN144" s="41" t="str">
        <f t="shared" si="70"/>
        <v/>
      </c>
      <c r="AO144" s="42" t="str">
        <f t="shared" si="70"/>
        <v/>
      </c>
      <c r="AP144" s="41" t="str">
        <f t="shared" si="70"/>
        <v/>
      </c>
      <c r="AQ144" s="125" t="s">
        <v>141</v>
      </c>
    </row>
    <row r="145" spans="1:43" ht="14.4" x14ac:dyDescent="0.3">
      <c r="A145" s="59" t="s">
        <v>34</v>
      </c>
      <c r="B145" s="37">
        <v>2028</v>
      </c>
      <c r="C145" s="779">
        <f t="shared" si="54"/>
        <v>79735.33609104334</v>
      </c>
      <c r="D145" s="780">
        <f t="shared" si="52"/>
        <v>84231.803199678368</v>
      </c>
      <c r="E145" s="40"/>
      <c r="F145" s="779">
        <f t="shared" si="55"/>
        <v>78938.367861721214</v>
      </c>
      <c r="G145" s="39"/>
      <c r="H145" s="40"/>
      <c r="I145" s="779">
        <f t="shared" si="56"/>
        <v>78052.362072306103</v>
      </c>
      <c r="J145" s="39"/>
      <c r="K145" s="41"/>
      <c r="L145" s="42"/>
      <c r="M145" s="41"/>
      <c r="N145" s="125" t="s">
        <v>138</v>
      </c>
      <c r="AE145" s="37">
        <v>2028</v>
      </c>
      <c r="AF145" s="779">
        <f t="shared" ref="AF145:AP145" si="71">IF(C145&lt;&gt;"",C145*10^9,"")</f>
        <v>79735336091043.344</v>
      </c>
      <c r="AG145" s="784">
        <f t="shared" si="71"/>
        <v>84231803199678.375</v>
      </c>
      <c r="AH145" s="40" t="str">
        <f t="shared" si="71"/>
        <v/>
      </c>
      <c r="AI145" s="779">
        <f t="shared" si="71"/>
        <v>78938367861721.219</v>
      </c>
      <c r="AJ145" s="39" t="str">
        <f t="shared" si="71"/>
        <v/>
      </c>
      <c r="AK145" s="40" t="str">
        <f t="shared" si="71"/>
        <v/>
      </c>
      <c r="AL145" s="779">
        <f t="shared" si="71"/>
        <v>78052362072306.109</v>
      </c>
      <c r="AM145" s="39" t="str">
        <f t="shared" si="71"/>
        <v/>
      </c>
      <c r="AN145" s="41" t="str">
        <f t="shared" si="71"/>
        <v/>
      </c>
      <c r="AO145" s="42" t="str">
        <f t="shared" si="71"/>
        <v/>
      </c>
      <c r="AP145" s="41" t="str">
        <f t="shared" si="71"/>
        <v/>
      </c>
      <c r="AQ145" s="125" t="s">
        <v>141</v>
      </c>
    </row>
    <row r="146" spans="1:43" ht="14.4" x14ac:dyDescent="0.3">
      <c r="A146" s="60" t="s">
        <v>29</v>
      </c>
      <c r="B146" s="37">
        <v>2029</v>
      </c>
      <c r="C146" s="779">
        <f t="shared" si="54"/>
        <v>81487.979083834027</v>
      </c>
      <c r="D146" s="780">
        <f t="shared" si="52"/>
        <v>86692.581429293277</v>
      </c>
      <c r="E146" s="40"/>
      <c r="F146" s="779">
        <f t="shared" si="55"/>
        <v>80561.70644977683</v>
      </c>
      <c r="G146" s="39"/>
      <c r="H146" s="40"/>
      <c r="I146" s="779">
        <f t="shared" si="56"/>
        <v>79530.833892613213</v>
      </c>
      <c r="J146" s="39"/>
      <c r="K146" s="41"/>
      <c r="L146" s="42"/>
      <c r="M146" s="41"/>
      <c r="N146" s="125" t="s">
        <v>138</v>
      </c>
      <c r="AE146" s="37">
        <v>2029</v>
      </c>
      <c r="AF146" s="779">
        <f t="shared" ref="AF146:AP146" si="72">IF(C146&lt;&gt;"",C146*10^9,"")</f>
        <v>81487979083834.031</v>
      </c>
      <c r="AG146" s="784">
        <f t="shared" si="72"/>
        <v>86692581429293.281</v>
      </c>
      <c r="AH146" s="40" t="str">
        <f t="shared" si="72"/>
        <v/>
      </c>
      <c r="AI146" s="779">
        <f t="shared" si="72"/>
        <v>80561706449776.828</v>
      </c>
      <c r="AJ146" s="39" t="str">
        <f t="shared" si="72"/>
        <v/>
      </c>
      <c r="AK146" s="40" t="str">
        <f t="shared" si="72"/>
        <v/>
      </c>
      <c r="AL146" s="779">
        <f t="shared" si="72"/>
        <v>79530833892613.219</v>
      </c>
      <c r="AM146" s="39" t="str">
        <f t="shared" si="72"/>
        <v/>
      </c>
      <c r="AN146" s="41" t="str">
        <f t="shared" si="72"/>
        <v/>
      </c>
      <c r="AO146" s="42" t="str">
        <f t="shared" si="72"/>
        <v/>
      </c>
      <c r="AP146" s="41" t="str">
        <f t="shared" si="72"/>
        <v/>
      </c>
      <c r="AQ146" s="125" t="s">
        <v>141</v>
      </c>
    </row>
    <row r="147" spans="1:43" ht="14.4" x14ac:dyDescent="0.3">
      <c r="A147" s="61" t="s">
        <v>35</v>
      </c>
      <c r="B147" s="37">
        <v>2030</v>
      </c>
      <c r="C147" s="779">
        <f t="shared" si="54"/>
        <v>83218.632536791381</v>
      </c>
      <c r="D147" s="780">
        <f t="shared" si="52"/>
        <v>89198.671861518669</v>
      </c>
      <c r="E147" s="40"/>
      <c r="F147" s="779">
        <f t="shared" si="55"/>
        <v>82153.560006130167</v>
      </c>
      <c r="G147" s="39"/>
      <c r="H147" s="40"/>
      <c r="I147" s="779">
        <f t="shared" si="56"/>
        <v>80971.993719218866</v>
      </c>
      <c r="J147" s="39"/>
      <c r="K147" s="41"/>
      <c r="L147" s="42"/>
      <c r="M147" s="41"/>
      <c r="N147" s="125" t="s">
        <v>138</v>
      </c>
      <c r="AE147" s="37">
        <v>2030</v>
      </c>
      <c r="AF147" s="779">
        <f t="shared" ref="AF147:AP147" si="73">IF(C147&lt;&gt;"",C147*10^9,"")</f>
        <v>83218632536791.375</v>
      </c>
      <c r="AG147" s="784">
        <f t="shared" si="73"/>
        <v>89198671861518.672</v>
      </c>
      <c r="AH147" s="40" t="str">
        <f t="shared" si="73"/>
        <v/>
      </c>
      <c r="AI147" s="779">
        <f t="shared" si="73"/>
        <v>82153560006130.172</v>
      </c>
      <c r="AJ147" s="39" t="str">
        <f t="shared" si="73"/>
        <v/>
      </c>
      <c r="AK147" s="40" t="str">
        <f t="shared" si="73"/>
        <v/>
      </c>
      <c r="AL147" s="779">
        <f t="shared" si="73"/>
        <v>80971993719218.859</v>
      </c>
      <c r="AM147" s="39" t="str">
        <f t="shared" si="73"/>
        <v/>
      </c>
      <c r="AN147" s="41" t="str">
        <f t="shared" si="73"/>
        <v/>
      </c>
      <c r="AO147" s="42" t="str">
        <f t="shared" si="73"/>
        <v/>
      </c>
      <c r="AP147" s="41" t="str">
        <f t="shared" si="73"/>
        <v/>
      </c>
      <c r="AQ147" s="125" t="s">
        <v>141</v>
      </c>
    </row>
    <row r="148" spans="1:43" ht="14.4" x14ac:dyDescent="0.3">
      <c r="A148" s="62" t="s">
        <v>36</v>
      </c>
      <c r="B148" s="37">
        <v>2031</v>
      </c>
      <c r="C148" s="779">
        <f t="shared" si="54"/>
        <v>84967.467225403016</v>
      </c>
      <c r="D148" s="780">
        <f t="shared" si="52"/>
        <v>91795.994545223803</v>
      </c>
      <c r="E148" s="40"/>
      <c r="F148" s="779">
        <f t="shared" si="55"/>
        <v>83754.534485131415</v>
      </c>
      <c r="G148" s="39"/>
      <c r="H148" s="40"/>
      <c r="I148" s="779">
        <f t="shared" si="56"/>
        <v>82417.377260212379</v>
      </c>
      <c r="J148" s="39"/>
      <c r="K148" s="41"/>
      <c r="L148" s="42"/>
      <c r="M148" s="41"/>
      <c r="N148" s="125" t="s">
        <v>138</v>
      </c>
      <c r="AE148" s="37">
        <v>2031</v>
      </c>
      <c r="AF148" s="779">
        <f t="shared" ref="AF148:AP148" si="74">IF(C148&lt;&gt;"",C148*10^9,"")</f>
        <v>84967467225403.016</v>
      </c>
      <c r="AG148" s="784">
        <f t="shared" si="74"/>
        <v>91795994545223.797</v>
      </c>
      <c r="AH148" s="40" t="str">
        <f t="shared" si="74"/>
        <v/>
      </c>
      <c r="AI148" s="779">
        <f t="shared" si="74"/>
        <v>83754534485131.422</v>
      </c>
      <c r="AJ148" s="39" t="str">
        <f t="shared" si="74"/>
        <v/>
      </c>
      <c r="AK148" s="40" t="str">
        <f t="shared" si="74"/>
        <v/>
      </c>
      <c r="AL148" s="779">
        <f t="shared" si="74"/>
        <v>82417377260212.375</v>
      </c>
      <c r="AM148" s="39" t="str">
        <f t="shared" si="74"/>
        <v/>
      </c>
      <c r="AN148" s="41" t="str">
        <f t="shared" si="74"/>
        <v/>
      </c>
      <c r="AO148" s="42" t="str">
        <f t="shared" si="74"/>
        <v/>
      </c>
      <c r="AP148" s="41" t="str">
        <f t="shared" si="74"/>
        <v/>
      </c>
      <c r="AQ148" s="125" t="s">
        <v>141</v>
      </c>
    </row>
    <row r="149" spans="1:43" ht="14.4" x14ac:dyDescent="0.3">
      <c r="A149" s="2"/>
      <c r="B149" s="37">
        <v>2032</v>
      </c>
      <c r="C149" s="779">
        <f t="shared" si="54"/>
        <v>86691.870816236056</v>
      </c>
      <c r="D149" s="780">
        <f t="shared" si="52"/>
        <v>94447.696193926444</v>
      </c>
      <c r="E149" s="40"/>
      <c r="F149" s="779">
        <f t="shared" si="55"/>
        <v>85322.44840514785</v>
      </c>
      <c r="G149" s="39"/>
      <c r="H149" s="40"/>
      <c r="I149" s="779">
        <f t="shared" si="56"/>
        <v>83825.724398683175</v>
      </c>
      <c r="J149" s="39"/>
      <c r="K149" s="41"/>
      <c r="L149" s="42"/>
      <c r="M149" s="41"/>
      <c r="N149" s="125" t="s">
        <v>138</v>
      </c>
      <c r="AE149" s="37">
        <v>2032</v>
      </c>
      <c r="AF149" s="779">
        <f t="shared" ref="AF149:AP149" si="75">IF(C149&lt;&gt;"",C149*10^9,"")</f>
        <v>86691870816236.063</v>
      </c>
      <c r="AG149" s="784">
        <f t="shared" si="75"/>
        <v>94447696193926.438</v>
      </c>
      <c r="AH149" s="40" t="str">
        <f t="shared" si="75"/>
        <v/>
      </c>
      <c r="AI149" s="779">
        <f t="shared" si="75"/>
        <v>85322448405147.844</v>
      </c>
      <c r="AJ149" s="39" t="str">
        <f t="shared" si="75"/>
        <v/>
      </c>
      <c r="AK149" s="40" t="str">
        <f t="shared" si="75"/>
        <v/>
      </c>
      <c r="AL149" s="779">
        <f t="shared" si="75"/>
        <v>83825724398683.172</v>
      </c>
      <c r="AM149" s="39" t="str">
        <f t="shared" si="75"/>
        <v/>
      </c>
      <c r="AN149" s="41" t="str">
        <f t="shared" si="75"/>
        <v/>
      </c>
      <c r="AO149" s="42" t="str">
        <f t="shared" si="75"/>
        <v/>
      </c>
      <c r="AP149" s="41" t="str">
        <f t="shared" si="75"/>
        <v/>
      </c>
      <c r="AQ149" s="125" t="s">
        <v>141</v>
      </c>
    </row>
    <row r="150" spans="1:43" ht="14.4" x14ac:dyDescent="0.3">
      <c r="A150" s="2"/>
      <c r="B150" s="37">
        <v>2033</v>
      </c>
      <c r="C150" s="779">
        <f t="shared" si="54"/>
        <v>88405.150680749444</v>
      </c>
      <c r="D150" s="780">
        <f t="shared" si="52"/>
        <v>97172.959142024542</v>
      </c>
      <c r="E150" s="40"/>
      <c r="F150" s="779">
        <f t="shared" si="55"/>
        <v>86871.0279633303</v>
      </c>
      <c r="G150" s="39"/>
      <c r="H150" s="40"/>
      <c r="I150" s="779">
        <f t="shared" si="56"/>
        <v>85211.666106511417</v>
      </c>
      <c r="J150" s="39"/>
      <c r="K150" s="41"/>
      <c r="L150" s="42"/>
      <c r="M150" s="41"/>
      <c r="N150" s="125" t="s">
        <v>138</v>
      </c>
      <c r="AE150" s="37">
        <v>2033</v>
      </c>
      <c r="AF150" s="779">
        <f t="shared" ref="AF150:AP150" si="76">IF(C150&lt;&gt;"",C150*10^9,"")</f>
        <v>88405150680749.438</v>
      </c>
      <c r="AG150" s="784">
        <f t="shared" si="76"/>
        <v>97172959142024.547</v>
      </c>
      <c r="AH150" s="40" t="str">
        <f t="shared" si="76"/>
        <v/>
      </c>
      <c r="AI150" s="779">
        <f t="shared" si="76"/>
        <v>86871027963330.297</v>
      </c>
      <c r="AJ150" s="39" t="str">
        <f t="shared" si="76"/>
        <v/>
      </c>
      <c r="AK150" s="40" t="str">
        <f t="shared" si="76"/>
        <v/>
      </c>
      <c r="AL150" s="779">
        <f t="shared" si="76"/>
        <v>85211666106511.422</v>
      </c>
      <c r="AM150" s="39" t="str">
        <f t="shared" si="76"/>
        <v/>
      </c>
      <c r="AN150" s="41" t="str">
        <f t="shared" si="76"/>
        <v/>
      </c>
      <c r="AO150" s="42" t="str">
        <f t="shared" si="76"/>
        <v/>
      </c>
      <c r="AP150" s="41" t="str">
        <f t="shared" si="76"/>
        <v/>
      </c>
      <c r="AQ150" s="125" t="s">
        <v>141</v>
      </c>
    </row>
    <row r="151" spans="1:43" ht="14.4" x14ac:dyDescent="0.3">
      <c r="A151" s="2"/>
      <c r="B151" s="37">
        <v>2034</v>
      </c>
      <c r="C151" s="779">
        <f t="shared" si="54"/>
        <v>90107.063403396693</v>
      </c>
      <c r="D151" s="780">
        <f t="shared" si="52"/>
        <v>99977.484297507952</v>
      </c>
      <c r="E151" s="40"/>
      <c r="F151" s="779">
        <f t="shared" si="55"/>
        <v>88400.436949408308</v>
      </c>
      <c r="G151" s="39"/>
      <c r="H151" s="40"/>
      <c r="I151" s="779">
        <f t="shared" si="56"/>
        <v>86576.255485200265</v>
      </c>
      <c r="J151" s="39"/>
      <c r="K151" s="41"/>
      <c r="L151" s="42"/>
      <c r="M151" s="41"/>
      <c r="N151" s="125" t="s">
        <v>138</v>
      </c>
      <c r="AE151" s="37">
        <v>2034</v>
      </c>
      <c r="AF151" s="779">
        <f t="shared" ref="AF151:AP151" si="77">IF(C151&lt;&gt;"",C151*10^9,"")</f>
        <v>90107063403396.688</v>
      </c>
      <c r="AG151" s="784">
        <f t="shared" si="77"/>
        <v>99977484297507.953</v>
      </c>
      <c r="AH151" s="40" t="str">
        <f t="shared" si="77"/>
        <v/>
      </c>
      <c r="AI151" s="779">
        <f t="shared" si="77"/>
        <v>88400436949408.313</v>
      </c>
      <c r="AJ151" s="39" t="str">
        <f t="shared" si="77"/>
        <v/>
      </c>
      <c r="AK151" s="40" t="str">
        <f t="shared" si="77"/>
        <v/>
      </c>
      <c r="AL151" s="779">
        <f t="shared" si="77"/>
        <v>86576255485200.266</v>
      </c>
      <c r="AM151" s="39" t="str">
        <f t="shared" si="77"/>
        <v/>
      </c>
      <c r="AN151" s="41" t="str">
        <f t="shared" si="77"/>
        <v/>
      </c>
      <c r="AO151" s="42" t="str">
        <f t="shared" si="77"/>
        <v/>
      </c>
      <c r="AP151" s="41" t="str">
        <f t="shared" si="77"/>
        <v/>
      </c>
      <c r="AQ151" s="125" t="s">
        <v>141</v>
      </c>
    </row>
    <row r="152" spans="1:43" ht="14.4" x14ac:dyDescent="0.3">
      <c r="A152" s="2"/>
      <c r="B152" s="37">
        <v>2035</v>
      </c>
      <c r="C152" s="779">
        <f t="shared" si="54"/>
        <v>91782.085767052151</v>
      </c>
      <c r="D152" s="780">
        <f t="shared" si="52"/>
        <v>102851.65576160239</v>
      </c>
      <c r="E152" s="40"/>
      <c r="F152" s="779">
        <f t="shared" si="55"/>
        <v>89895.556281935191</v>
      </c>
      <c r="G152" s="39"/>
      <c r="H152" s="40"/>
      <c r="I152" s="779">
        <f t="shared" si="56"/>
        <v>87905.257143234732</v>
      </c>
      <c r="J152" s="39"/>
      <c r="K152" s="41"/>
      <c r="L152" s="42"/>
      <c r="M152" s="41"/>
      <c r="N152" s="125" t="s">
        <v>138</v>
      </c>
      <c r="AE152" s="37">
        <v>2035</v>
      </c>
      <c r="AF152" s="779">
        <f t="shared" ref="AF152:AP152" si="78">IF(C152&lt;&gt;"",C152*10^9,"")</f>
        <v>91782085767052.156</v>
      </c>
      <c r="AG152" s="784">
        <f t="shared" si="78"/>
        <v>102851655761602.39</v>
      </c>
      <c r="AH152" s="40" t="str">
        <f t="shared" si="78"/>
        <v/>
      </c>
      <c r="AI152" s="779">
        <f t="shared" si="78"/>
        <v>89895556281935.188</v>
      </c>
      <c r="AJ152" s="39" t="str">
        <f t="shared" si="78"/>
        <v/>
      </c>
      <c r="AK152" s="40" t="str">
        <f t="shared" si="78"/>
        <v/>
      </c>
      <c r="AL152" s="779">
        <f t="shared" si="78"/>
        <v>87905257143234.734</v>
      </c>
      <c r="AM152" s="39" t="str">
        <f t="shared" si="78"/>
        <v/>
      </c>
      <c r="AN152" s="41" t="str">
        <f t="shared" si="78"/>
        <v/>
      </c>
      <c r="AO152" s="42" t="str">
        <f t="shared" si="78"/>
        <v/>
      </c>
      <c r="AP152" s="41" t="str">
        <f t="shared" si="78"/>
        <v/>
      </c>
      <c r="AQ152" s="125" t="s">
        <v>141</v>
      </c>
    </row>
    <row r="153" spans="1:43" ht="14.4" x14ac:dyDescent="0.3">
      <c r="A153" s="2"/>
      <c r="B153" s="37">
        <v>2036</v>
      </c>
      <c r="C153" s="779">
        <f t="shared" si="54"/>
        <v>93474.483088845402</v>
      </c>
      <c r="D153" s="780">
        <f t="shared" si="52"/>
        <v>105845.49772637671</v>
      </c>
      <c r="E153" s="40"/>
      <c r="F153" s="779">
        <f t="shared" si="55"/>
        <v>91401.057348835951</v>
      </c>
      <c r="G153" s="39"/>
      <c r="H153" s="40"/>
      <c r="I153" s="779">
        <f t="shared" si="56"/>
        <v>89244.226001141738</v>
      </c>
      <c r="J153" s="39"/>
      <c r="K153" s="41"/>
      <c r="L153" s="42"/>
      <c r="M153" s="41"/>
      <c r="N153" s="125" t="s">
        <v>138</v>
      </c>
      <c r="AE153" s="37">
        <v>2036</v>
      </c>
      <c r="AF153" s="779">
        <f t="shared" ref="AF153:AP153" si="79">IF(C153&lt;&gt;"",C153*10^9,"")</f>
        <v>93474483088845.406</v>
      </c>
      <c r="AG153" s="784">
        <f t="shared" si="79"/>
        <v>105845497726376.7</v>
      </c>
      <c r="AH153" s="40" t="str">
        <f t="shared" si="79"/>
        <v/>
      </c>
      <c r="AI153" s="779">
        <f t="shared" si="79"/>
        <v>91401057348835.953</v>
      </c>
      <c r="AJ153" s="39" t="str">
        <f t="shared" si="79"/>
        <v/>
      </c>
      <c r="AK153" s="40" t="str">
        <f t="shared" si="79"/>
        <v/>
      </c>
      <c r="AL153" s="779">
        <f t="shared" si="79"/>
        <v>89244226001141.734</v>
      </c>
      <c r="AM153" s="39" t="str">
        <f t="shared" si="79"/>
        <v/>
      </c>
      <c r="AN153" s="41" t="str">
        <f t="shared" si="79"/>
        <v/>
      </c>
      <c r="AO153" s="42" t="str">
        <f t="shared" si="79"/>
        <v/>
      </c>
      <c r="AP153" s="41" t="str">
        <f t="shared" si="79"/>
        <v/>
      </c>
      <c r="AQ153" s="125" t="s">
        <v>141</v>
      </c>
    </row>
    <row r="154" spans="1:43" ht="14.4" x14ac:dyDescent="0.3">
      <c r="A154" s="2"/>
      <c r="B154" s="37">
        <v>2037</v>
      </c>
      <c r="C154" s="779">
        <f t="shared" si="54"/>
        <v>95137.763285084642</v>
      </c>
      <c r="D154" s="780">
        <f t="shared" si="52"/>
        <v>108918.18854915691</v>
      </c>
      <c r="E154" s="40"/>
      <c r="F154" s="779">
        <f t="shared" si="55"/>
        <v>92870.86228069682</v>
      </c>
      <c r="G154" s="39"/>
      <c r="H154" s="40"/>
      <c r="I154" s="779">
        <f t="shared" si="56"/>
        <v>90547.973741722017</v>
      </c>
      <c r="J154" s="39"/>
      <c r="K154" s="41"/>
      <c r="L154" s="42"/>
      <c r="M154" s="41"/>
      <c r="N154" s="125" t="s">
        <v>138</v>
      </c>
      <c r="AE154" s="37">
        <v>2037</v>
      </c>
      <c r="AF154" s="779">
        <f t="shared" ref="AF154:AP154" si="80">IF(C154&lt;&gt;"",C154*10^9,"")</f>
        <v>95137763285084.641</v>
      </c>
      <c r="AG154" s="784">
        <f t="shared" si="80"/>
        <v>108918188549156.91</v>
      </c>
      <c r="AH154" s="40" t="str">
        <f t="shared" si="80"/>
        <v/>
      </c>
      <c r="AI154" s="779">
        <f t="shared" si="80"/>
        <v>92870862280696.813</v>
      </c>
      <c r="AJ154" s="39" t="str">
        <f t="shared" si="80"/>
        <v/>
      </c>
      <c r="AK154" s="40" t="str">
        <f t="shared" si="80"/>
        <v/>
      </c>
      <c r="AL154" s="779">
        <f t="shared" si="80"/>
        <v>90547973741722.016</v>
      </c>
      <c r="AM154" s="39" t="str">
        <f t="shared" si="80"/>
        <v/>
      </c>
      <c r="AN154" s="41" t="str">
        <f t="shared" si="80"/>
        <v/>
      </c>
      <c r="AO154" s="42" t="str">
        <f t="shared" si="80"/>
        <v/>
      </c>
      <c r="AP154" s="41" t="str">
        <f t="shared" si="80"/>
        <v/>
      </c>
      <c r="AQ154" s="125" t="s">
        <v>141</v>
      </c>
    </row>
    <row r="155" spans="1:43" ht="14.4" x14ac:dyDescent="0.3">
      <c r="A155" s="2"/>
      <c r="B155" s="37">
        <v>2038</v>
      </c>
      <c r="C155" s="779">
        <f t="shared" si="54"/>
        <v>96785.357285070888</v>
      </c>
      <c r="D155" s="780">
        <f t="shared" si="52"/>
        <v>112088.86134128401</v>
      </c>
      <c r="E155" s="40"/>
      <c r="F155" s="779">
        <f t="shared" si="55"/>
        <v>94318.821771246454</v>
      </c>
      <c r="G155" s="39"/>
      <c r="H155" s="40"/>
      <c r="I155" s="779">
        <f t="shared" si="56"/>
        <v>91831.243250661064</v>
      </c>
      <c r="J155" s="39"/>
      <c r="K155" s="41"/>
      <c r="L155" s="42"/>
      <c r="M155" s="41"/>
      <c r="N155" s="125" t="s">
        <v>138</v>
      </c>
      <c r="AE155" s="37">
        <v>2038</v>
      </c>
      <c r="AF155" s="779">
        <f t="shared" ref="AF155:AP155" si="81">IF(C155&lt;&gt;"",C155*10^9,"")</f>
        <v>96785357285070.891</v>
      </c>
      <c r="AG155" s="784">
        <f t="shared" si="81"/>
        <v>112088861341284</v>
      </c>
      <c r="AH155" s="40" t="str">
        <f t="shared" si="81"/>
        <v/>
      </c>
      <c r="AI155" s="779">
        <f t="shared" si="81"/>
        <v>94318821771246.453</v>
      </c>
      <c r="AJ155" s="39" t="str">
        <f t="shared" si="81"/>
        <v/>
      </c>
      <c r="AK155" s="40" t="str">
        <f t="shared" si="81"/>
        <v/>
      </c>
      <c r="AL155" s="779">
        <f t="shared" si="81"/>
        <v>91831243250661.063</v>
      </c>
      <c r="AM155" s="39" t="str">
        <f t="shared" si="81"/>
        <v/>
      </c>
      <c r="AN155" s="41" t="str">
        <f t="shared" si="81"/>
        <v/>
      </c>
      <c r="AO155" s="42" t="str">
        <f t="shared" si="81"/>
        <v/>
      </c>
      <c r="AP155" s="41" t="str">
        <f t="shared" si="81"/>
        <v/>
      </c>
      <c r="AQ155" s="125" t="s">
        <v>141</v>
      </c>
    </row>
    <row r="156" spans="1:43" ht="14.4" x14ac:dyDescent="0.3">
      <c r="A156" s="2"/>
      <c r="B156" s="37">
        <v>2039</v>
      </c>
      <c r="C156" s="779">
        <f t="shared" si="54"/>
        <v>98415.37503619786</v>
      </c>
      <c r="D156" s="780">
        <f t="shared" si="52"/>
        <v>115361.25645190611</v>
      </c>
      <c r="E156" s="40"/>
      <c r="F156" s="779">
        <f t="shared" si="55"/>
        <v>95743.474188455541</v>
      </c>
      <c r="G156" s="39"/>
      <c r="H156" s="40"/>
      <c r="I156" s="779">
        <f t="shared" si="56"/>
        <v>93093.470159294229</v>
      </c>
      <c r="J156" s="39"/>
      <c r="K156" s="41"/>
      <c r="L156" s="42"/>
      <c r="M156" s="41"/>
      <c r="N156" s="125" t="s">
        <v>138</v>
      </c>
      <c r="AE156" s="37">
        <v>2039</v>
      </c>
      <c r="AF156" s="779">
        <f t="shared" ref="AF156:AP156" si="82">IF(C156&lt;&gt;"",C156*10^9,"")</f>
        <v>98415375036197.859</v>
      </c>
      <c r="AG156" s="784">
        <f t="shared" si="82"/>
        <v>115361256451906.11</v>
      </c>
      <c r="AH156" s="40" t="str">
        <f t="shared" si="82"/>
        <v/>
      </c>
      <c r="AI156" s="779">
        <f t="shared" si="82"/>
        <v>95743474188455.547</v>
      </c>
      <c r="AJ156" s="39" t="str">
        <f t="shared" si="82"/>
        <v/>
      </c>
      <c r="AK156" s="40" t="str">
        <f t="shared" si="82"/>
        <v/>
      </c>
      <c r="AL156" s="779">
        <f t="shared" si="82"/>
        <v>93093470159294.234</v>
      </c>
      <c r="AM156" s="39" t="str">
        <f t="shared" si="82"/>
        <v/>
      </c>
      <c r="AN156" s="41" t="str">
        <f t="shared" si="82"/>
        <v/>
      </c>
      <c r="AO156" s="42" t="str">
        <f t="shared" si="82"/>
        <v/>
      </c>
      <c r="AP156" s="41" t="str">
        <f t="shared" si="82"/>
        <v/>
      </c>
      <c r="AQ156" s="125" t="s">
        <v>141</v>
      </c>
    </row>
    <row r="157" spans="1:43" ht="14.4" x14ac:dyDescent="0.3">
      <c r="A157" s="2"/>
      <c r="B157" s="37">
        <v>2040</v>
      </c>
      <c r="C157" s="779">
        <f t="shared" si="54"/>
        <v>100023.36649845881</v>
      </c>
      <c r="D157" s="780">
        <f t="shared" si="52"/>
        <v>118736.45624357194</v>
      </c>
      <c r="E157" s="40"/>
      <c r="F157" s="779">
        <f t="shared" si="55"/>
        <v>97140.796590837272</v>
      </c>
      <c r="G157" s="39"/>
      <c r="H157" s="40"/>
      <c r="I157" s="779">
        <f t="shared" si="56"/>
        <v>94331.523164816055</v>
      </c>
      <c r="J157" s="39"/>
      <c r="K157" s="41"/>
      <c r="L157" s="42"/>
      <c r="M157" s="41"/>
      <c r="N157" s="125" t="s">
        <v>138</v>
      </c>
      <c r="AE157" s="37">
        <v>2040</v>
      </c>
      <c r="AF157" s="779">
        <f t="shared" ref="AF157:AP157" si="83">IF(C157&lt;&gt;"",C157*10^9,"")</f>
        <v>100023366498458.81</v>
      </c>
      <c r="AG157" s="784">
        <f t="shared" si="83"/>
        <v>118736456243571.94</v>
      </c>
      <c r="AH157" s="40" t="str">
        <f t="shared" si="83"/>
        <v/>
      </c>
      <c r="AI157" s="779">
        <f t="shared" si="83"/>
        <v>97140796590837.266</v>
      </c>
      <c r="AJ157" s="39" t="str">
        <f t="shared" si="83"/>
        <v/>
      </c>
      <c r="AK157" s="40" t="str">
        <f t="shared" si="83"/>
        <v/>
      </c>
      <c r="AL157" s="779">
        <f t="shared" si="83"/>
        <v>94331523164816.063</v>
      </c>
      <c r="AM157" s="39" t="str">
        <f t="shared" si="83"/>
        <v/>
      </c>
      <c r="AN157" s="41" t="str">
        <f t="shared" si="83"/>
        <v/>
      </c>
      <c r="AO157" s="42" t="str">
        <f t="shared" si="83"/>
        <v/>
      </c>
      <c r="AP157" s="41" t="str">
        <f t="shared" si="83"/>
        <v/>
      </c>
      <c r="AQ157" s="125" t="s">
        <v>141</v>
      </c>
    </row>
    <row r="158" spans="1:43" ht="14.4" x14ac:dyDescent="0.3">
      <c r="A158" s="2"/>
      <c r="B158" s="37">
        <v>2041</v>
      </c>
      <c r="C158" s="779">
        <f t="shared" si="54"/>
        <v>101616.06954149953</v>
      </c>
      <c r="D158" s="780">
        <f t="shared" si="52"/>
        <v>122226.69656161638</v>
      </c>
      <c r="E158" s="40"/>
      <c r="F158" s="779">
        <f t="shared" si="55"/>
        <v>98517.942833500478</v>
      </c>
      <c r="G158" s="39"/>
      <c r="H158" s="40"/>
      <c r="I158" s="779">
        <f t="shared" si="56"/>
        <v>95553.432610148913</v>
      </c>
      <c r="J158" s="39"/>
      <c r="K158" s="41"/>
      <c r="L158" s="42"/>
      <c r="M158" s="41"/>
      <c r="N158" s="125" t="s">
        <v>138</v>
      </c>
      <c r="AE158" s="37">
        <v>2041</v>
      </c>
      <c r="AF158" s="779">
        <f t="shared" ref="AF158:AP158" si="84">IF(C158&lt;&gt;"",C158*10^9,"")</f>
        <v>101616069541499.53</v>
      </c>
      <c r="AG158" s="784">
        <f t="shared" si="84"/>
        <v>122226696561616.38</v>
      </c>
      <c r="AH158" s="40" t="str">
        <f t="shared" si="84"/>
        <v/>
      </c>
      <c r="AI158" s="779">
        <f t="shared" si="84"/>
        <v>98517942833500.484</v>
      </c>
      <c r="AJ158" s="39" t="str">
        <f t="shared" si="84"/>
        <v/>
      </c>
      <c r="AK158" s="40" t="str">
        <f t="shared" si="84"/>
        <v/>
      </c>
      <c r="AL158" s="779">
        <f t="shared" si="84"/>
        <v>95553432610148.906</v>
      </c>
      <c r="AM158" s="39" t="str">
        <f t="shared" si="84"/>
        <v/>
      </c>
      <c r="AN158" s="41" t="str">
        <f t="shared" si="84"/>
        <v/>
      </c>
      <c r="AO158" s="42" t="str">
        <f t="shared" si="84"/>
        <v/>
      </c>
      <c r="AP158" s="41" t="str">
        <f t="shared" si="84"/>
        <v/>
      </c>
      <c r="AQ158" s="125" t="s">
        <v>141</v>
      </c>
    </row>
    <row r="159" spans="1:43" ht="14.4" x14ac:dyDescent="0.3">
      <c r="A159" s="2"/>
      <c r="B159" s="37">
        <v>2042</v>
      </c>
      <c r="C159" s="779">
        <f t="shared" si="54"/>
        <v>103184.28259888609</v>
      </c>
      <c r="D159" s="780">
        <f t="shared" si="52"/>
        <v>125828.15377660978</v>
      </c>
      <c r="E159" s="40"/>
      <c r="F159" s="779">
        <f t="shared" si="55"/>
        <v>99866.118614901279</v>
      </c>
      <c r="G159" s="39"/>
      <c r="H159" s="40"/>
      <c r="I159" s="779">
        <f t="shared" si="56"/>
        <v>96751.268509501737</v>
      </c>
      <c r="J159" s="39"/>
      <c r="K159" s="41"/>
      <c r="L159" s="42"/>
      <c r="M159" s="41"/>
      <c r="N159" s="125" t="s">
        <v>138</v>
      </c>
      <c r="AE159" s="37">
        <v>2042</v>
      </c>
      <c r="AF159" s="779">
        <f t="shared" ref="AF159:AP159" si="85">IF(C159&lt;&gt;"",C159*10^9,"")</f>
        <v>103184282598886.08</v>
      </c>
      <c r="AG159" s="784">
        <f t="shared" si="85"/>
        <v>125828153776609.78</v>
      </c>
      <c r="AH159" s="40" t="str">
        <f t="shared" si="85"/>
        <v/>
      </c>
      <c r="AI159" s="779">
        <f t="shared" si="85"/>
        <v>99866118614901.281</v>
      </c>
      <c r="AJ159" s="39" t="str">
        <f t="shared" si="85"/>
        <v/>
      </c>
      <c r="AK159" s="40" t="str">
        <f t="shared" si="85"/>
        <v/>
      </c>
      <c r="AL159" s="779">
        <f t="shared" si="85"/>
        <v>96751268509501.734</v>
      </c>
      <c r="AM159" s="39" t="str">
        <f t="shared" si="85"/>
        <v/>
      </c>
      <c r="AN159" s="41" t="str">
        <f t="shared" si="85"/>
        <v/>
      </c>
      <c r="AO159" s="42" t="str">
        <f t="shared" si="85"/>
        <v/>
      </c>
      <c r="AP159" s="41" t="str">
        <f t="shared" si="85"/>
        <v/>
      </c>
      <c r="AQ159" s="125" t="s">
        <v>141</v>
      </c>
    </row>
    <row r="160" spans="1:43" ht="14.4" x14ac:dyDescent="0.3">
      <c r="A160" s="2"/>
      <c r="B160" s="37">
        <v>2043</v>
      </c>
      <c r="C160" s="779">
        <f t="shared" si="54"/>
        <v>104729.39790671886</v>
      </c>
      <c r="D160" s="780">
        <f t="shared" si="52"/>
        <v>129547.39526100723</v>
      </c>
      <c r="E160" s="40"/>
      <c r="F160" s="779">
        <f t="shared" si="55"/>
        <v>101187.12742417281</v>
      </c>
      <c r="G160" s="39"/>
      <c r="H160" s="40"/>
      <c r="I160" s="779">
        <f t="shared" si="56"/>
        <v>97927.698759552513</v>
      </c>
      <c r="J160" s="39"/>
      <c r="K160" s="41"/>
      <c r="L160" s="42"/>
      <c r="M160" s="41"/>
      <c r="N160" s="125" t="s">
        <v>138</v>
      </c>
      <c r="AE160" s="37">
        <v>2043</v>
      </c>
      <c r="AF160" s="779">
        <f t="shared" ref="AF160:AP160" si="86">IF(C160&lt;&gt;"",C160*10^9,"")</f>
        <v>104729397906718.86</v>
      </c>
      <c r="AG160" s="784">
        <f t="shared" si="86"/>
        <v>129547395261007.23</v>
      </c>
      <c r="AH160" s="40" t="str">
        <f t="shared" si="86"/>
        <v/>
      </c>
      <c r="AI160" s="779">
        <f t="shared" si="86"/>
        <v>101187127424172.81</v>
      </c>
      <c r="AJ160" s="39" t="str">
        <f t="shared" si="86"/>
        <v/>
      </c>
      <c r="AK160" s="40" t="str">
        <f t="shared" si="86"/>
        <v/>
      </c>
      <c r="AL160" s="779">
        <f t="shared" si="86"/>
        <v>97927698759552.516</v>
      </c>
      <c r="AM160" s="39" t="str">
        <f t="shared" si="86"/>
        <v/>
      </c>
      <c r="AN160" s="41" t="str">
        <f t="shared" si="86"/>
        <v/>
      </c>
      <c r="AO160" s="42" t="str">
        <f t="shared" si="86"/>
        <v/>
      </c>
      <c r="AP160" s="41" t="str">
        <f t="shared" si="86"/>
        <v/>
      </c>
      <c r="AQ160" s="125" t="s">
        <v>141</v>
      </c>
    </row>
    <row r="161" spans="1:43" ht="14.4" x14ac:dyDescent="0.3">
      <c r="A161" s="2"/>
      <c r="B161" s="37">
        <v>2044</v>
      </c>
      <c r="C161" s="779">
        <f t="shared" si="54"/>
        <v>106250.15505058785</v>
      </c>
      <c r="D161" s="780">
        <f t="shared" si="52"/>
        <v>133388.19394619635</v>
      </c>
      <c r="E161" s="40"/>
      <c r="F161" s="779">
        <f t="shared" si="55"/>
        <v>102480.11725039166</v>
      </c>
      <c r="G161" s="39"/>
      <c r="H161" s="40"/>
      <c r="I161" s="779">
        <f t="shared" si="56"/>
        <v>99082.72908727199</v>
      </c>
      <c r="J161" s="39"/>
      <c r="K161" s="41"/>
      <c r="L161" s="42"/>
      <c r="M161" s="41"/>
      <c r="N161" s="125" t="s">
        <v>138</v>
      </c>
      <c r="AE161" s="37">
        <v>2044</v>
      </c>
      <c r="AF161" s="779">
        <f t="shared" ref="AF161:AP161" si="87">IF(C161&lt;&gt;"",C161*10^9,"")</f>
        <v>106250155050587.86</v>
      </c>
      <c r="AG161" s="784">
        <f t="shared" si="87"/>
        <v>133388193946196.34</v>
      </c>
      <c r="AH161" s="40" t="str">
        <f t="shared" si="87"/>
        <v/>
      </c>
      <c r="AI161" s="779">
        <f t="shared" si="87"/>
        <v>102480117250391.66</v>
      </c>
      <c r="AJ161" s="39" t="str">
        <f t="shared" si="87"/>
        <v/>
      </c>
      <c r="AK161" s="40" t="str">
        <f t="shared" si="87"/>
        <v/>
      </c>
      <c r="AL161" s="779">
        <f t="shared" si="87"/>
        <v>99082729087271.984</v>
      </c>
      <c r="AM161" s="39" t="str">
        <f t="shared" si="87"/>
        <v/>
      </c>
      <c r="AN161" s="41" t="str">
        <f t="shared" si="87"/>
        <v/>
      </c>
      <c r="AO161" s="42" t="str">
        <f t="shared" si="87"/>
        <v/>
      </c>
      <c r="AP161" s="41" t="str">
        <f t="shared" si="87"/>
        <v/>
      </c>
      <c r="AQ161" s="125" t="s">
        <v>141</v>
      </c>
    </row>
    <row r="162" spans="1:43" ht="14.4" x14ac:dyDescent="0.3">
      <c r="A162" s="2"/>
      <c r="B162" s="37">
        <v>2045</v>
      </c>
      <c r="C162" s="779">
        <f t="shared" si="54"/>
        <v>107789.78359132873</v>
      </c>
      <c r="D162" s="780">
        <f t="shared" si="52"/>
        <v>137398.76979874761</v>
      </c>
      <c r="E162" s="40"/>
      <c r="F162" s="779">
        <f t="shared" si="55"/>
        <v>103788.72521572895</v>
      </c>
      <c r="G162" s="39"/>
      <c r="H162" s="40"/>
      <c r="I162" s="779">
        <f t="shared" si="56"/>
        <v>100260.84947351753</v>
      </c>
      <c r="J162" s="39"/>
      <c r="K162" s="41"/>
      <c r="L162" s="42"/>
      <c r="M162" s="41"/>
      <c r="N162" s="125" t="s">
        <v>138</v>
      </c>
      <c r="AE162" s="37">
        <v>2045</v>
      </c>
      <c r="AF162" s="779">
        <f t="shared" ref="AF162:AP162" si="88">IF(C162&lt;&gt;"",C162*10^9,"")</f>
        <v>107789783591328.73</v>
      </c>
      <c r="AG162" s="784">
        <f t="shared" si="88"/>
        <v>137398769798747.61</v>
      </c>
      <c r="AH162" s="40" t="str">
        <f t="shared" si="88"/>
        <v/>
      </c>
      <c r="AI162" s="779">
        <f t="shared" si="88"/>
        <v>103788725215728.95</v>
      </c>
      <c r="AJ162" s="39" t="str">
        <f t="shared" si="88"/>
        <v/>
      </c>
      <c r="AK162" s="40" t="str">
        <f t="shared" si="88"/>
        <v/>
      </c>
      <c r="AL162" s="779">
        <f t="shared" si="88"/>
        <v>100260849473517.53</v>
      </c>
      <c r="AM162" s="39" t="str">
        <f t="shared" si="88"/>
        <v/>
      </c>
      <c r="AN162" s="41" t="str">
        <f t="shared" si="88"/>
        <v/>
      </c>
      <c r="AO162" s="42" t="str">
        <f t="shared" si="88"/>
        <v/>
      </c>
      <c r="AP162" s="41" t="str">
        <f t="shared" si="88"/>
        <v/>
      </c>
      <c r="AQ162" s="125" t="s">
        <v>141</v>
      </c>
    </row>
    <row r="163" spans="1:43" ht="14.4" x14ac:dyDescent="0.3">
      <c r="A163" s="2"/>
      <c r="B163" s="37">
        <v>2046</v>
      </c>
      <c r="C163" s="779">
        <f t="shared" si="54"/>
        <v>109213.47774084516</v>
      </c>
      <c r="D163" s="780">
        <f t="shared" si="52"/>
        <v>141449.35355797483</v>
      </c>
      <c r="E163" s="40"/>
      <c r="F163" s="779">
        <f t="shared" si="55"/>
        <v>104978.5516955226</v>
      </c>
      <c r="G163" s="39"/>
      <c r="H163" s="40"/>
      <c r="I163" s="779">
        <f t="shared" si="56"/>
        <v>101328.50761490806</v>
      </c>
      <c r="J163" s="39"/>
      <c r="K163" s="41"/>
      <c r="L163" s="42"/>
      <c r="M163" s="41"/>
      <c r="N163" s="125" t="s">
        <v>138</v>
      </c>
      <c r="AE163" s="37">
        <v>2046</v>
      </c>
      <c r="AF163" s="779">
        <f t="shared" ref="AF163:AP163" si="89">IF(C163&lt;&gt;"",C163*10^9,"")</f>
        <v>109213477740845.16</v>
      </c>
      <c r="AG163" s="784">
        <f t="shared" si="89"/>
        <v>141449353557974.81</v>
      </c>
      <c r="AH163" s="40" t="str">
        <f t="shared" si="89"/>
        <v/>
      </c>
      <c r="AI163" s="779">
        <f t="shared" si="89"/>
        <v>104978551695522.61</v>
      </c>
      <c r="AJ163" s="39" t="str">
        <f t="shared" si="89"/>
        <v/>
      </c>
      <c r="AK163" s="40" t="str">
        <f t="shared" si="89"/>
        <v/>
      </c>
      <c r="AL163" s="779">
        <f t="shared" si="89"/>
        <v>101328507614908.06</v>
      </c>
      <c r="AM163" s="39" t="str">
        <f t="shared" si="89"/>
        <v/>
      </c>
      <c r="AN163" s="41" t="str">
        <f t="shared" si="89"/>
        <v/>
      </c>
      <c r="AO163" s="42" t="str">
        <f t="shared" si="89"/>
        <v/>
      </c>
      <c r="AP163" s="41" t="str">
        <f t="shared" si="89"/>
        <v/>
      </c>
      <c r="AQ163" s="125" t="s">
        <v>141</v>
      </c>
    </row>
    <row r="164" spans="1:43" ht="14.4" x14ac:dyDescent="0.3">
      <c r="A164" s="2"/>
      <c r="B164" s="37">
        <v>2047</v>
      </c>
      <c r="C164" s="779">
        <f t="shared" si="54"/>
        <v>110653.44032877762</v>
      </c>
      <c r="D164" s="780">
        <f t="shared" si="52"/>
        <v>145677.15169408632</v>
      </c>
      <c r="E164" s="40"/>
      <c r="F164" s="779">
        <f t="shared" si="55"/>
        <v>106182.20610057286</v>
      </c>
      <c r="G164" s="39"/>
      <c r="H164" s="40"/>
      <c r="I164" s="779">
        <f t="shared" si="56"/>
        <v>102419.15609750469</v>
      </c>
      <c r="J164" s="39"/>
      <c r="K164" s="41"/>
      <c r="L164" s="42"/>
      <c r="M164" s="41"/>
      <c r="N164" s="125" t="s">
        <v>138</v>
      </c>
      <c r="AE164" s="37">
        <v>2047</v>
      </c>
      <c r="AF164" s="779">
        <f t="shared" ref="AF164:AP164" si="90">IF(C164&lt;&gt;"",C164*10^9,"")</f>
        <v>110653440328777.63</v>
      </c>
      <c r="AG164" s="784">
        <f t="shared" si="90"/>
        <v>145677151694086.31</v>
      </c>
      <c r="AH164" s="40" t="str">
        <f t="shared" si="90"/>
        <v/>
      </c>
      <c r="AI164" s="779">
        <f t="shared" si="90"/>
        <v>106182206100572.86</v>
      </c>
      <c r="AJ164" s="39" t="str">
        <f t="shared" si="90"/>
        <v/>
      </c>
      <c r="AK164" s="40" t="str">
        <f t="shared" si="90"/>
        <v/>
      </c>
      <c r="AL164" s="779">
        <f t="shared" si="90"/>
        <v>102419156097504.69</v>
      </c>
      <c r="AM164" s="39" t="str">
        <f t="shared" si="90"/>
        <v/>
      </c>
      <c r="AN164" s="41" t="str">
        <f t="shared" si="90"/>
        <v/>
      </c>
      <c r="AO164" s="42" t="str">
        <f t="shared" si="90"/>
        <v/>
      </c>
      <c r="AP164" s="41" t="str">
        <f t="shared" si="90"/>
        <v/>
      </c>
      <c r="AQ164" s="125" t="s">
        <v>141</v>
      </c>
    </row>
    <row r="165" spans="1:43" ht="14.4" x14ac:dyDescent="0.3">
      <c r="A165" s="2"/>
      <c r="B165" s="37">
        <v>2048</v>
      </c>
      <c r="C165" s="779">
        <f t="shared" si="54"/>
        <v>112063.79677307697</v>
      </c>
      <c r="D165" s="780">
        <f t="shared" si="52"/>
        <v>150041.12300226954</v>
      </c>
      <c r="E165" s="40"/>
      <c r="F165" s="779">
        <f t="shared" si="55"/>
        <v>107354.22118969828</v>
      </c>
      <c r="G165" s="39"/>
      <c r="H165" s="40"/>
      <c r="I165" s="779">
        <f t="shared" si="56"/>
        <v>103488.16665438018</v>
      </c>
      <c r="J165" s="39"/>
      <c r="K165" s="41"/>
      <c r="L165" s="42"/>
      <c r="M165" s="41"/>
      <c r="N165" s="125" t="s">
        <v>138</v>
      </c>
      <c r="AE165" s="37">
        <v>2048</v>
      </c>
      <c r="AF165" s="779">
        <f t="shared" ref="AF165:AP165" si="91">IF(C165&lt;&gt;"",C165*10^9,"")</f>
        <v>112063796773076.97</v>
      </c>
      <c r="AG165" s="784">
        <f t="shared" si="91"/>
        <v>150041123002269.53</v>
      </c>
      <c r="AH165" s="40" t="str">
        <f t="shared" si="91"/>
        <v/>
      </c>
      <c r="AI165" s="779">
        <f t="shared" si="91"/>
        <v>107354221189698.28</v>
      </c>
      <c r="AJ165" s="39" t="str">
        <f t="shared" si="91"/>
        <v/>
      </c>
      <c r="AK165" s="40" t="str">
        <f t="shared" si="91"/>
        <v/>
      </c>
      <c r="AL165" s="779">
        <f t="shared" si="91"/>
        <v>103488166654380.19</v>
      </c>
      <c r="AM165" s="39" t="str">
        <f t="shared" si="91"/>
        <v/>
      </c>
      <c r="AN165" s="41" t="str">
        <f t="shared" si="91"/>
        <v/>
      </c>
      <c r="AO165" s="42" t="str">
        <f t="shared" si="91"/>
        <v/>
      </c>
      <c r="AP165" s="41" t="str">
        <f t="shared" si="91"/>
        <v/>
      </c>
      <c r="AQ165" s="125" t="s">
        <v>141</v>
      </c>
    </row>
    <row r="166" spans="1:43" ht="14.4" x14ac:dyDescent="0.3">
      <c r="A166" s="2"/>
      <c r="B166" s="37">
        <v>2049</v>
      </c>
      <c r="C166" s="779">
        <f t="shared" si="54"/>
        <v>113443.16352219172</v>
      </c>
      <c r="D166" s="780">
        <f t="shared" si="52"/>
        <v>154544.61320118367</v>
      </c>
      <c r="E166" s="40"/>
      <c r="F166" s="779">
        <f t="shared" si="55"/>
        <v>108493.62073617833</v>
      </c>
      <c r="G166" s="39"/>
      <c r="H166" s="40"/>
      <c r="I166" s="779">
        <f t="shared" si="56"/>
        <v>104535.39681558925</v>
      </c>
      <c r="J166" s="39"/>
      <c r="K166" s="41"/>
      <c r="L166" s="42"/>
      <c r="M166" s="41"/>
      <c r="N166" s="125" t="s">
        <v>138</v>
      </c>
      <c r="AE166" s="37">
        <v>2049</v>
      </c>
      <c r="AF166" s="779">
        <f t="shared" ref="AF166:AP166" si="92">IF(C166&lt;&gt;"",C166*10^9,"")</f>
        <v>113443163522191.72</v>
      </c>
      <c r="AG166" s="784">
        <f t="shared" si="92"/>
        <v>154544613201183.69</v>
      </c>
      <c r="AH166" s="40" t="str">
        <f t="shared" si="92"/>
        <v/>
      </c>
      <c r="AI166" s="779">
        <f t="shared" si="92"/>
        <v>108493620736178.33</v>
      </c>
      <c r="AJ166" s="39" t="str">
        <f t="shared" si="92"/>
        <v/>
      </c>
      <c r="AK166" s="40" t="str">
        <f t="shared" si="92"/>
        <v/>
      </c>
      <c r="AL166" s="779">
        <f t="shared" si="92"/>
        <v>104535396815589.25</v>
      </c>
      <c r="AM166" s="39" t="str">
        <f t="shared" si="92"/>
        <v/>
      </c>
      <c r="AN166" s="41" t="str">
        <f t="shared" si="92"/>
        <v/>
      </c>
      <c r="AO166" s="42" t="str">
        <f t="shared" si="92"/>
        <v/>
      </c>
      <c r="AP166" s="41" t="str">
        <f t="shared" si="92"/>
        <v/>
      </c>
      <c r="AQ166" s="125" t="s">
        <v>141</v>
      </c>
    </row>
    <row r="167" spans="1:43" ht="14.4" x14ac:dyDescent="0.3">
      <c r="A167" s="2"/>
      <c r="B167" s="37">
        <v>2050</v>
      </c>
      <c r="C167" s="779">
        <f t="shared" si="54"/>
        <v>114767.14277414797</v>
      </c>
      <c r="D167" s="780">
        <f t="shared" si="52"/>
        <v>159167.86029881638</v>
      </c>
      <c r="E167" s="40"/>
      <c r="F167" s="779">
        <f t="shared" si="55"/>
        <v>109576.41172593609</v>
      </c>
      <c r="G167" s="39"/>
      <c r="H167" s="40"/>
      <c r="I167" s="779">
        <f t="shared" si="56"/>
        <v>105537.67980431869</v>
      </c>
      <c r="J167" s="39"/>
      <c r="K167" s="41"/>
      <c r="L167" s="42"/>
      <c r="M167" s="41"/>
      <c r="N167" s="125" t="s">
        <v>138</v>
      </c>
      <c r="AE167" s="37">
        <v>2050</v>
      </c>
      <c r="AF167" s="779">
        <f t="shared" ref="AF167:AP167" si="93">IF(C167&lt;&gt;"",C167*10^9,"")</f>
        <v>114767142774147.97</v>
      </c>
      <c r="AG167" s="784">
        <f t="shared" si="93"/>
        <v>159167860298816.38</v>
      </c>
      <c r="AH167" s="40" t="str">
        <f t="shared" si="93"/>
        <v/>
      </c>
      <c r="AI167" s="779">
        <f t="shared" si="93"/>
        <v>109576411725936.09</v>
      </c>
      <c r="AJ167" s="39" t="str">
        <f t="shared" si="93"/>
        <v/>
      </c>
      <c r="AK167" s="40" t="str">
        <f t="shared" si="93"/>
        <v/>
      </c>
      <c r="AL167" s="779">
        <f t="shared" si="93"/>
        <v>105537679804318.69</v>
      </c>
      <c r="AM167" s="39" t="str">
        <f t="shared" si="93"/>
        <v/>
      </c>
      <c r="AN167" s="41" t="str">
        <f t="shared" si="93"/>
        <v/>
      </c>
      <c r="AO167" s="42" t="str">
        <f t="shared" si="93"/>
        <v/>
      </c>
      <c r="AP167" s="41" t="str">
        <f t="shared" si="93"/>
        <v/>
      </c>
      <c r="AQ167" s="125" t="s">
        <v>141</v>
      </c>
    </row>
    <row r="168" spans="1:43" ht="14.4" x14ac:dyDescent="0.3">
      <c r="A168" s="2"/>
      <c r="B168" s="37">
        <v>2051</v>
      </c>
      <c r="C168" s="779">
        <f t="shared" si="54"/>
        <v>116103.60156197197</v>
      </c>
      <c r="D168" s="780">
        <f t="shared" si="52"/>
        <v>163983.46581286014</v>
      </c>
      <c r="E168" s="40"/>
      <c r="F168" s="779">
        <f t="shared" si="55"/>
        <v>110670.86252994358</v>
      </c>
      <c r="G168" s="39"/>
      <c r="H168" s="40"/>
      <c r="I168" s="779">
        <f t="shared" si="56"/>
        <v>106564.10193228058</v>
      </c>
      <c r="J168" s="39"/>
      <c r="K168" s="41"/>
      <c r="L168" s="42"/>
      <c r="M168" s="41"/>
      <c r="N168" s="125" t="s">
        <v>138</v>
      </c>
      <c r="AE168" s="37">
        <v>2051</v>
      </c>
      <c r="AF168" s="779">
        <f t="shared" ref="AF168:AP168" si="94">IF(C168&lt;&gt;"",C168*10^9,"")</f>
        <v>116103601561971.97</v>
      </c>
      <c r="AG168" s="784">
        <f t="shared" si="94"/>
        <v>163983465812860.16</v>
      </c>
      <c r="AH168" s="40" t="str">
        <f t="shared" si="94"/>
        <v/>
      </c>
      <c r="AI168" s="779">
        <f t="shared" si="94"/>
        <v>110670862529943.58</v>
      </c>
      <c r="AJ168" s="39" t="str">
        <f t="shared" si="94"/>
        <v/>
      </c>
      <c r="AK168" s="40" t="str">
        <f t="shared" si="94"/>
        <v/>
      </c>
      <c r="AL168" s="779">
        <f t="shared" si="94"/>
        <v>106564101932280.58</v>
      </c>
      <c r="AM168" s="39" t="str">
        <f t="shared" si="94"/>
        <v/>
      </c>
      <c r="AN168" s="41" t="str">
        <f t="shared" si="94"/>
        <v/>
      </c>
      <c r="AO168" s="42" t="str">
        <f t="shared" si="94"/>
        <v/>
      </c>
      <c r="AP168" s="41" t="str">
        <f t="shared" si="94"/>
        <v/>
      </c>
      <c r="AQ168" s="125" t="s">
        <v>141</v>
      </c>
    </row>
    <row r="169" spans="1:43" ht="14.4" x14ac:dyDescent="0.3">
      <c r="A169" s="2"/>
      <c r="B169" s="37">
        <v>2052</v>
      </c>
      <c r="C169" s="779">
        <f t="shared" si="54"/>
        <v>117382.18309793016</v>
      </c>
      <c r="D169" s="780">
        <f t="shared" si="52"/>
        <v>168925.6024400077</v>
      </c>
      <c r="E169" s="40"/>
      <c r="F169" s="779">
        <f t="shared" si="55"/>
        <v>111707.01157479004</v>
      </c>
      <c r="G169" s="39"/>
      <c r="H169" s="40"/>
      <c r="I169" s="779">
        <f t="shared" si="56"/>
        <v>107545.50931787168</v>
      </c>
      <c r="J169" s="39"/>
      <c r="K169" s="41"/>
      <c r="L169" s="42"/>
      <c r="M169" s="41"/>
      <c r="N169" s="125" t="s">
        <v>138</v>
      </c>
      <c r="AE169" s="37">
        <v>2052</v>
      </c>
      <c r="AF169" s="779">
        <f t="shared" ref="AF169:AP169" si="95">IF(C169&lt;&gt;"",C169*10^9,"")</f>
        <v>117382183097930.16</v>
      </c>
      <c r="AG169" s="784">
        <f t="shared" si="95"/>
        <v>168925602440007.69</v>
      </c>
      <c r="AH169" s="40" t="str">
        <f t="shared" si="95"/>
        <v/>
      </c>
      <c r="AI169" s="779">
        <f t="shared" si="95"/>
        <v>111707011574790.05</v>
      </c>
      <c r="AJ169" s="39" t="str">
        <f t="shared" si="95"/>
        <v/>
      </c>
      <c r="AK169" s="40" t="str">
        <f t="shared" si="95"/>
        <v/>
      </c>
      <c r="AL169" s="779">
        <f t="shared" si="95"/>
        <v>107545509317871.67</v>
      </c>
      <c r="AM169" s="39" t="str">
        <f t="shared" si="95"/>
        <v/>
      </c>
      <c r="AN169" s="41" t="str">
        <f t="shared" si="95"/>
        <v/>
      </c>
      <c r="AO169" s="42" t="str">
        <f t="shared" si="95"/>
        <v/>
      </c>
      <c r="AP169" s="41" t="str">
        <f t="shared" si="95"/>
        <v/>
      </c>
      <c r="AQ169" s="125" t="s">
        <v>141</v>
      </c>
    </row>
    <row r="170" spans="1:43" ht="14.4" x14ac:dyDescent="0.3">
      <c r="A170" s="2"/>
      <c r="B170" s="37">
        <v>2053</v>
      </c>
      <c r="C170" s="779">
        <f t="shared" si="54"/>
        <v>118624.82332012482</v>
      </c>
      <c r="D170" s="780">
        <f t="shared" si="52"/>
        <v>174020.30358186239</v>
      </c>
      <c r="E170" s="40"/>
      <c r="F170" s="779">
        <f t="shared" si="55"/>
        <v>112707.18402981405</v>
      </c>
      <c r="G170" s="39"/>
      <c r="H170" s="40"/>
      <c r="I170" s="779">
        <f t="shared" si="56"/>
        <v>108505.02498911596</v>
      </c>
      <c r="J170" s="39"/>
      <c r="K170" s="41"/>
      <c r="L170" s="42"/>
      <c r="M170" s="41"/>
      <c r="N170" s="125" t="s">
        <v>138</v>
      </c>
      <c r="AE170" s="37">
        <v>2053</v>
      </c>
      <c r="AF170" s="779">
        <f t="shared" ref="AF170:AP170" si="96">IF(C170&lt;&gt;"",C170*10^9,"")</f>
        <v>118624823320124.83</v>
      </c>
      <c r="AG170" s="784">
        <f t="shared" si="96"/>
        <v>174020303581862.38</v>
      </c>
      <c r="AH170" s="40" t="str">
        <f t="shared" si="96"/>
        <v/>
      </c>
      <c r="AI170" s="779">
        <f t="shared" si="96"/>
        <v>112707184029814.05</v>
      </c>
      <c r="AJ170" s="39" t="str">
        <f t="shared" si="96"/>
        <v/>
      </c>
      <c r="AK170" s="40" t="str">
        <f t="shared" si="96"/>
        <v/>
      </c>
      <c r="AL170" s="779">
        <f t="shared" si="96"/>
        <v>108505024989115.97</v>
      </c>
      <c r="AM170" s="39" t="str">
        <f t="shared" si="96"/>
        <v/>
      </c>
      <c r="AN170" s="41" t="str">
        <f t="shared" si="96"/>
        <v/>
      </c>
      <c r="AO170" s="42" t="str">
        <f t="shared" si="96"/>
        <v/>
      </c>
      <c r="AP170" s="41" t="str">
        <f t="shared" si="96"/>
        <v/>
      </c>
      <c r="AQ170" s="125" t="s">
        <v>141</v>
      </c>
    </row>
    <row r="171" spans="1:43" ht="14.4" x14ac:dyDescent="0.3">
      <c r="A171" s="2"/>
      <c r="B171" s="37">
        <v>2054</v>
      </c>
      <c r="C171" s="779">
        <f t="shared" si="54"/>
        <v>119830.46914036627</v>
      </c>
      <c r="D171" s="780">
        <f t="shared" si="52"/>
        <v>179270.37302632816</v>
      </c>
      <c r="E171" s="40"/>
      <c r="F171" s="779">
        <f t="shared" si="55"/>
        <v>113670.71025520313</v>
      </c>
      <c r="G171" s="39"/>
      <c r="H171" s="40"/>
      <c r="I171" s="779">
        <f t="shared" si="56"/>
        <v>109442.7677886219</v>
      </c>
      <c r="J171" s="39"/>
      <c r="K171" s="41"/>
      <c r="L171" s="42"/>
      <c r="M171" s="41"/>
      <c r="N171" s="125" t="s">
        <v>138</v>
      </c>
      <c r="AE171" s="37">
        <v>2054</v>
      </c>
      <c r="AF171" s="779">
        <f t="shared" ref="AF171:AP171" si="97">IF(C171&lt;&gt;"",C171*10^9,"")</f>
        <v>119830469140366.27</v>
      </c>
      <c r="AG171" s="784">
        <f t="shared" si="97"/>
        <v>179270373026328.16</v>
      </c>
      <c r="AH171" s="40" t="str">
        <f t="shared" si="97"/>
        <v/>
      </c>
      <c r="AI171" s="779">
        <f t="shared" si="97"/>
        <v>113670710255203.13</v>
      </c>
      <c r="AJ171" s="39" t="str">
        <f t="shared" si="97"/>
        <v/>
      </c>
      <c r="AK171" s="40" t="str">
        <f t="shared" si="97"/>
        <v/>
      </c>
      <c r="AL171" s="779">
        <f t="shared" si="97"/>
        <v>109442767788621.91</v>
      </c>
      <c r="AM171" s="39" t="str">
        <f t="shared" si="97"/>
        <v/>
      </c>
      <c r="AN171" s="41" t="str">
        <f t="shared" si="97"/>
        <v/>
      </c>
      <c r="AO171" s="42" t="str">
        <f t="shared" si="97"/>
        <v/>
      </c>
      <c r="AP171" s="41" t="str">
        <f t="shared" si="97"/>
        <v/>
      </c>
      <c r="AQ171" s="125" t="s">
        <v>141</v>
      </c>
    </row>
    <row r="172" spans="1:43" ht="14.4" x14ac:dyDescent="0.3">
      <c r="A172" s="2"/>
      <c r="B172" s="37">
        <v>2055</v>
      </c>
      <c r="C172" s="779">
        <f t="shared" si="54"/>
        <v>120998.04307450599</v>
      </c>
      <c r="D172" s="780">
        <f t="shared" si="52"/>
        <v>184678.67595559295</v>
      </c>
      <c r="E172" s="40"/>
      <c r="F172" s="779">
        <f t="shared" si="55"/>
        <v>114596.89483952321</v>
      </c>
      <c r="G172" s="39"/>
      <c r="H172" s="40"/>
      <c r="I172" s="779">
        <f t="shared" si="56"/>
        <v>110358.82464521209</v>
      </c>
      <c r="J172" s="39"/>
      <c r="K172" s="41"/>
      <c r="L172" s="42"/>
      <c r="M172" s="41"/>
      <c r="N172" s="125" t="s">
        <v>138</v>
      </c>
      <c r="AE172" s="37">
        <v>2055</v>
      </c>
      <c r="AF172" s="779">
        <f t="shared" ref="AF172:AP172" si="98">IF(C172&lt;&gt;"",C172*10^9,"")</f>
        <v>120998043074505.98</v>
      </c>
      <c r="AG172" s="784">
        <f t="shared" si="98"/>
        <v>184678675955592.94</v>
      </c>
      <c r="AH172" s="40" t="str">
        <f t="shared" si="98"/>
        <v/>
      </c>
      <c r="AI172" s="779">
        <f t="shared" si="98"/>
        <v>114596894839523.22</v>
      </c>
      <c r="AJ172" s="39" t="str">
        <f t="shared" si="98"/>
        <v/>
      </c>
      <c r="AK172" s="40" t="str">
        <f t="shared" si="98"/>
        <v/>
      </c>
      <c r="AL172" s="779">
        <f t="shared" si="98"/>
        <v>110358824645212.09</v>
      </c>
      <c r="AM172" s="39" t="str">
        <f t="shared" si="98"/>
        <v/>
      </c>
      <c r="AN172" s="41" t="str">
        <f t="shared" si="98"/>
        <v/>
      </c>
      <c r="AO172" s="42" t="str">
        <f t="shared" si="98"/>
        <v/>
      </c>
      <c r="AP172" s="41" t="str">
        <f t="shared" si="98"/>
        <v/>
      </c>
      <c r="AQ172" s="125" t="s">
        <v>141</v>
      </c>
    </row>
    <row r="173" spans="1:43" ht="14.4" x14ac:dyDescent="0.3">
      <c r="A173" s="2"/>
      <c r="B173" s="37">
        <v>2056</v>
      </c>
      <c r="C173" s="779">
        <f t="shared" si="54"/>
        <v>122126.3610608498</v>
      </c>
      <c r="D173" s="780">
        <f t="shared" si="52"/>
        <v>190248.19930038176</v>
      </c>
      <c r="E173" s="40"/>
      <c r="F173" s="779">
        <f t="shared" si="55"/>
        <v>115484.93927808246</v>
      </c>
      <c r="G173" s="39"/>
      <c r="H173" s="40"/>
      <c r="I173" s="779">
        <f t="shared" si="56"/>
        <v>111253.17613807328</v>
      </c>
      <c r="J173" s="39"/>
      <c r="K173" s="41"/>
      <c r="L173" s="42"/>
      <c r="M173" s="41"/>
      <c r="N173" s="125" t="s">
        <v>138</v>
      </c>
      <c r="AE173" s="37">
        <v>2056</v>
      </c>
      <c r="AF173" s="779">
        <f t="shared" ref="AF173:AP173" si="99">IF(C173&lt;&gt;"",C173*10^9,"")</f>
        <v>122126361060849.8</v>
      </c>
      <c r="AG173" s="784">
        <f t="shared" si="99"/>
        <v>190248199300381.75</v>
      </c>
      <c r="AH173" s="40" t="str">
        <f t="shared" si="99"/>
        <v/>
      </c>
      <c r="AI173" s="779">
        <f t="shared" si="99"/>
        <v>115484939278082.45</v>
      </c>
      <c r="AJ173" s="39" t="str">
        <f t="shared" si="99"/>
        <v/>
      </c>
      <c r="AK173" s="40" t="str">
        <f t="shared" si="99"/>
        <v/>
      </c>
      <c r="AL173" s="779">
        <f t="shared" si="99"/>
        <v>111253176138073.28</v>
      </c>
      <c r="AM173" s="39" t="str">
        <f t="shared" si="99"/>
        <v/>
      </c>
      <c r="AN173" s="41" t="str">
        <f t="shared" si="99"/>
        <v/>
      </c>
      <c r="AO173" s="42" t="str">
        <f t="shared" si="99"/>
        <v/>
      </c>
      <c r="AP173" s="41" t="str">
        <f t="shared" si="99"/>
        <v/>
      </c>
      <c r="AQ173" s="125" t="s">
        <v>141</v>
      </c>
    </row>
    <row r="174" spans="1:43" ht="14.4" x14ac:dyDescent="0.3">
      <c r="A174" s="2"/>
      <c r="B174" s="37">
        <v>2057</v>
      </c>
      <c r="C174" s="779">
        <f t="shared" si="54"/>
        <v>123214.2108833625</v>
      </c>
      <c r="D174" s="780">
        <f t="shared" si="52"/>
        <v>195982.13521683763</v>
      </c>
      <c r="E174" s="40"/>
      <c r="F174" s="779">
        <f t="shared" si="55"/>
        <v>116334.01670787224</v>
      </c>
      <c r="G174" s="39"/>
      <c r="H174" s="40"/>
      <c r="I174" s="779">
        <f t="shared" si="56"/>
        <v>112125.76812723344</v>
      </c>
      <c r="J174" s="39"/>
      <c r="K174" s="41"/>
      <c r="L174" s="42"/>
      <c r="M174" s="41"/>
      <c r="N174" s="125" t="s">
        <v>138</v>
      </c>
      <c r="AE174" s="37">
        <v>2057</v>
      </c>
      <c r="AF174" s="779">
        <f t="shared" ref="AF174:AP174" si="100">IF(C174&lt;&gt;"",C174*10^9,"")</f>
        <v>123214210883362.5</v>
      </c>
      <c r="AG174" s="784">
        <f t="shared" si="100"/>
        <v>195982135216837.63</v>
      </c>
      <c r="AH174" s="40" t="str">
        <f t="shared" si="100"/>
        <v/>
      </c>
      <c r="AI174" s="779">
        <f t="shared" si="100"/>
        <v>116334016707872.25</v>
      </c>
      <c r="AJ174" s="39" t="str">
        <f t="shared" si="100"/>
        <v/>
      </c>
      <c r="AK174" s="40" t="str">
        <f t="shared" si="100"/>
        <v/>
      </c>
      <c r="AL174" s="779">
        <f t="shared" si="100"/>
        <v>112125768127233.44</v>
      </c>
      <c r="AM174" s="39" t="str">
        <f t="shared" si="100"/>
        <v/>
      </c>
      <c r="AN174" s="41" t="str">
        <f t="shared" si="100"/>
        <v/>
      </c>
      <c r="AO174" s="42" t="str">
        <f t="shared" si="100"/>
        <v/>
      </c>
      <c r="AP174" s="41" t="str">
        <f t="shared" si="100"/>
        <v/>
      </c>
      <c r="AQ174" s="125" t="s">
        <v>141</v>
      </c>
    </row>
    <row r="175" spans="1:43" ht="14.4" x14ac:dyDescent="0.3">
      <c r="A175" s="2"/>
      <c r="B175" s="37">
        <v>2058</v>
      </c>
      <c r="C175" s="779">
        <f t="shared" si="54"/>
        <v>124260.46580557679</v>
      </c>
      <c r="D175" s="780">
        <f t="shared" si="52"/>
        <v>201883.79446633795</v>
      </c>
      <c r="E175" s="40"/>
      <c r="F175" s="779">
        <f t="shared" si="55"/>
        <v>117143.37904597644</v>
      </c>
      <c r="G175" s="39"/>
      <c r="H175" s="40"/>
      <c r="I175" s="779">
        <f t="shared" si="56"/>
        <v>112976.61465666277</v>
      </c>
      <c r="J175" s="39"/>
      <c r="K175" s="41"/>
      <c r="L175" s="42"/>
      <c r="M175" s="41"/>
      <c r="N175" s="125" t="s">
        <v>138</v>
      </c>
      <c r="AE175" s="37">
        <v>2058</v>
      </c>
      <c r="AF175" s="779">
        <f t="shared" ref="AF175:AP175" si="101">IF(C175&lt;&gt;"",C175*10^9,"")</f>
        <v>124260465805576.8</v>
      </c>
      <c r="AG175" s="784">
        <f t="shared" si="101"/>
        <v>201883794466337.94</v>
      </c>
      <c r="AH175" s="40" t="str">
        <f t="shared" si="101"/>
        <v/>
      </c>
      <c r="AI175" s="779">
        <f t="shared" si="101"/>
        <v>117143379045976.44</v>
      </c>
      <c r="AJ175" s="39" t="str">
        <f t="shared" si="101"/>
        <v/>
      </c>
      <c r="AK175" s="40" t="str">
        <f t="shared" si="101"/>
        <v/>
      </c>
      <c r="AL175" s="779">
        <f t="shared" si="101"/>
        <v>112976614656662.77</v>
      </c>
      <c r="AM175" s="39" t="str">
        <f t="shared" si="101"/>
        <v/>
      </c>
      <c r="AN175" s="41" t="str">
        <f t="shared" si="101"/>
        <v/>
      </c>
      <c r="AO175" s="42" t="str">
        <f t="shared" si="101"/>
        <v/>
      </c>
      <c r="AP175" s="41" t="str">
        <f t="shared" si="101"/>
        <v/>
      </c>
      <c r="AQ175" s="125" t="s">
        <v>141</v>
      </c>
    </row>
    <row r="176" spans="1:43" ht="14.4" x14ac:dyDescent="0.3">
      <c r="A176" s="2"/>
      <c r="B176" s="37">
        <v>2059</v>
      </c>
      <c r="C176" s="779">
        <f t="shared" si="54"/>
        <v>125264.01625995067</v>
      </c>
      <c r="D176" s="780">
        <f t="shared" si="52"/>
        <v>207956.63138914038</v>
      </c>
      <c r="E176" s="40"/>
      <c r="F176" s="779">
        <f t="shared" si="55"/>
        <v>117912.2922213719</v>
      </c>
      <c r="G176" s="39"/>
      <c r="H176" s="40"/>
      <c r="I176" s="779">
        <f t="shared" si="56"/>
        <v>113805.73556932519</v>
      </c>
      <c r="J176" s="39"/>
      <c r="K176" s="41"/>
      <c r="L176" s="42"/>
      <c r="M176" s="41"/>
      <c r="N176" s="125" t="s">
        <v>138</v>
      </c>
      <c r="AE176" s="37">
        <v>2059</v>
      </c>
      <c r="AF176" s="779">
        <f t="shared" ref="AF176:AP176" si="102">IF(C176&lt;&gt;"",C176*10^9,"")</f>
        <v>125264016259950.67</v>
      </c>
      <c r="AG176" s="784">
        <f t="shared" si="102"/>
        <v>207956631389140.38</v>
      </c>
      <c r="AH176" s="40" t="str">
        <f t="shared" si="102"/>
        <v/>
      </c>
      <c r="AI176" s="779">
        <f t="shared" si="102"/>
        <v>117912292221371.91</v>
      </c>
      <c r="AJ176" s="39" t="str">
        <f t="shared" si="102"/>
        <v/>
      </c>
      <c r="AK176" s="40" t="str">
        <f t="shared" si="102"/>
        <v/>
      </c>
      <c r="AL176" s="779">
        <f t="shared" si="102"/>
        <v>113805735569325.19</v>
      </c>
      <c r="AM176" s="39" t="str">
        <f t="shared" si="102"/>
        <v/>
      </c>
      <c r="AN176" s="41" t="str">
        <f t="shared" si="102"/>
        <v/>
      </c>
      <c r="AO176" s="42" t="str">
        <f t="shared" si="102"/>
        <v/>
      </c>
      <c r="AP176" s="41" t="str">
        <f t="shared" si="102"/>
        <v/>
      </c>
      <c r="AQ176" s="125" t="s">
        <v>141</v>
      </c>
    </row>
    <row r="177" spans="1:44" ht="15.75" customHeight="1" x14ac:dyDescent="0.3">
      <c r="A177" s="238" t="s">
        <v>246</v>
      </c>
      <c r="B177" s="37">
        <v>2060</v>
      </c>
      <c r="C177" s="779">
        <f t="shared" si="54"/>
        <v>126223.74283334891</v>
      </c>
      <c r="D177" s="780">
        <f>SUM(D59,D119)</f>
        <v>214204.045786526</v>
      </c>
      <c r="E177" s="40"/>
      <c r="F177" s="779">
        <f t="shared" si="55"/>
        <v>118640.01074753827</v>
      </c>
      <c r="G177" s="39"/>
      <c r="H177" s="40"/>
      <c r="I177" s="779">
        <f t="shared" si="56"/>
        <v>114613.13186878034</v>
      </c>
      <c r="J177" s="39"/>
      <c r="K177" s="41"/>
      <c r="L177" s="42"/>
      <c r="M177" s="63"/>
      <c r="N177" s="125" t="s">
        <v>138</v>
      </c>
      <c r="AE177" s="37">
        <v>2060</v>
      </c>
      <c r="AF177" s="779">
        <f t="shared" ref="AF177:AP177" si="103">IF(C177&lt;&gt;"",C177*10^9,"")</f>
        <v>126223742833348.91</v>
      </c>
      <c r="AG177" s="784">
        <f t="shared" si="103"/>
        <v>214204045786526</v>
      </c>
      <c r="AH177" s="40" t="str">
        <f t="shared" si="103"/>
        <v/>
      </c>
      <c r="AI177" s="779">
        <f t="shared" si="103"/>
        <v>118640010747538.27</v>
      </c>
      <c r="AJ177" s="39" t="str">
        <f t="shared" si="103"/>
        <v/>
      </c>
      <c r="AK177" s="40" t="str">
        <f t="shared" si="103"/>
        <v/>
      </c>
      <c r="AL177" s="779">
        <f t="shared" si="103"/>
        <v>114613131868780.34</v>
      </c>
      <c r="AM177" s="39" t="str">
        <f t="shared" si="103"/>
        <v/>
      </c>
      <c r="AN177" s="41" t="str">
        <f t="shared" si="103"/>
        <v/>
      </c>
      <c r="AO177" s="42" t="str">
        <f t="shared" si="103"/>
        <v/>
      </c>
      <c r="AP177" s="63" t="str">
        <f t="shared" si="103"/>
        <v/>
      </c>
      <c r="AQ177" s="125" t="s">
        <v>141</v>
      </c>
      <c r="AR177" s="238" t="s">
        <v>246</v>
      </c>
    </row>
    <row r="178" spans="1:44" ht="14.4" x14ac:dyDescent="0.3">
      <c r="A178" s="2"/>
      <c r="B178" s="2"/>
      <c r="C178" s="2"/>
      <c r="D178" s="2"/>
      <c r="E178" s="2"/>
      <c r="F178" s="2"/>
      <c r="G178" s="2"/>
      <c r="H178" s="2"/>
      <c r="I178" s="2"/>
      <c r="J178" s="2"/>
      <c r="K178" s="2"/>
      <c r="L178" s="2"/>
      <c r="M178" s="2"/>
      <c r="N178" s="2"/>
      <c r="AF178" s="2"/>
      <c r="AG178" s="2"/>
      <c r="AH178" s="2"/>
      <c r="AI178" s="2"/>
      <c r="AJ178" s="2"/>
      <c r="AK178" s="2"/>
      <c r="AL178" s="2"/>
      <c r="AM178" s="2"/>
      <c r="AN178" s="2"/>
      <c r="AQ178" s="2"/>
    </row>
    <row r="179" spans="1:44" ht="14.4" x14ac:dyDescent="0.3">
      <c r="A179" s="2"/>
      <c r="B179" s="2"/>
      <c r="C179" s="2"/>
      <c r="D179" s="2"/>
      <c r="E179" s="2"/>
      <c r="F179" s="2"/>
      <c r="G179" s="2"/>
      <c r="H179" s="2"/>
      <c r="I179" s="2"/>
      <c r="J179" s="2"/>
      <c r="K179" s="2"/>
      <c r="L179" s="2"/>
      <c r="M179" s="2"/>
      <c r="N179" s="2"/>
      <c r="AF179" s="2"/>
      <c r="AG179" s="2"/>
      <c r="AH179" s="2"/>
      <c r="AI179" s="2"/>
      <c r="AJ179" s="2"/>
      <c r="AK179" s="2"/>
      <c r="AL179" s="2"/>
      <c r="AM179" s="2"/>
      <c r="AN179" s="2"/>
      <c r="AQ179" s="2"/>
    </row>
    <row r="181" spans="1:44" s="219" customFormat="1" ht="18.75" customHeight="1" x14ac:dyDescent="0.3">
      <c r="A181" s="27" t="s">
        <v>249</v>
      </c>
      <c r="B181" s="5"/>
      <c r="C181" s="5"/>
      <c r="D181" s="5"/>
      <c r="E181" s="5"/>
      <c r="F181" s="5"/>
      <c r="G181" s="5"/>
      <c r="H181" s="5"/>
      <c r="I181" s="5"/>
      <c r="J181" s="5"/>
      <c r="K181" s="5"/>
      <c r="L181" s="5"/>
      <c r="M181" s="5"/>
      <c r="N181" s="5"/>
      <c r="AF181" s="5"/>
      <c r="AG181" s="5"/>
      <c r="AH181" s="5"/>
      <c r="AI181" s="5"/>
      <c r="AJ181" s="5"/>
      <c r="AK181" s="5"/>
      <c r="AL181" s="5"/>
      <c r="AM181" s="5"/>
      <c r="AN181" s="5"/>
      <c r="AQ181" s="5"/>
    </row>
    <row r="182" spans="1:44" s="219" customFormat="1" ht="18" x14ac:dyDescent="0.35">
      <c r="A182" s="5"/>
      <c r="B182" s="5"/>
      <c r="C182" s="5"/>
      <c r="D182" s="5"/>
      <c r="E182" s="5"/>
      <c r="F182" s="28"/>
      <c r="G182" s="5"/>
      <c r="H182" s="5"/>
      <c r="I182" s="5"/>
      <c r="J182" s="5"/>
      <c r="K182" s="5"/>
      <c r="L182" s="5"/>
      <c r="M182" s="5"/>
      <c r="N182" s="5"/>
      <c r="AF182" s="131" t="s">
        <v>31</v>
      </c>
      <c r="AG182" s="5"/>
      <c r="AH182" s="5"/>
      <c r="AI182" s="5"/>
      <c r="AJ182" s="5"/>
      <c r="AK182" s="5"/>
      <c r="AL182" s="5"/>
      <c r="AM182" s="5"/>
      <c r="AN182" s="5"/>
      <c r="AQ182" s="5"/>
    </row>
    <row r="183" spans="1:44" s="219" customFormat="1" ht="19.5" customHeight="1" thickBot="1" x14ac:dyDescent="0.35">
      <c r="A183" s="27" t="s">
        <v>32</v>
      </c>
      <c r="B183" s="5"/>
      <c r="C183" s="5"/>
      <c r="D183" s="5"/>
      <c r="E183" s="5"/>
      <c r="F183" s="5"/>
      <c r="G183" s="5"/>
      <c r="H183" s="5"/>
      <c r="I183" s="5"/>
      <c r="J183" s="5"/>
      <c r="K183" s="5"/>
      <c r="L183" s="5"/>
      <c r="M183" s="5"/>
      <c r="N183" s="5"/>
      <c r="AF183" s="5"/>
      <c r="AG183" s="5"/>
      <c r="AH183" s="5"/>
      <c r="AI183" s="5"/>
      <c r="AJ183" s="5"/>
      <c r="AK183" s="5"/>
      <c r="AL183" s="5"/>
      <c r="AM183" s="5"/>
      <c r="AN183" s="5"/>
      <c r="AQ183" s="5"/>
    </row>
    <row r="184" spans="1:44" s="219" customFormat="1" ht="16.5" customHeight="1" thickBot="1" x14ac:dyDescent="0.35">
      <c r="A184" s="29" t="s">
        <v>33</v>
      </c>
      <c r="B184" s="5"/>
      <c r="C184" s="856" t="s">
        <v>34</v>
      </c>
      <c r="D184" s="857"/>
      <c r="E184" s="858"/>
      <c r="F184" s="859" t="s">
        <v>29</v>
      </c>
      <c r="G184" s="857"/>
      <c r="H184" s="858"/>
      <c r="I184" s="860" t="s">
        <v>35</v>
      </c>
      <c r="J184" s="857"/>
      <c r="K184" s="858"/>
      <c r="L184" s="861" t="s">
        <v>36</v>
      </c>
      <c r="M184" s="858"/>
      <c r="N184" s="5"/>
      <c r="AF184" s="856" t="s">
        <v>34</v>
      </c>
      <c r="AG184" s="857"/>
      <c r="AH184" s="858"/>
      <c r="AI184" s="859" t="s">
        <v>29</v>
      </c>
      <c r="AJ184" s="857"/>
      <c r="AK184" s="858"/>
      <c r="AL184" s="860" t="s">
        <v>35</v>
      </c>
      <c r="AM184" s="857"/>
      <c r="AN184" s="858"/>
      <c r="AO184" s="861" t="s">
        <v>36</v>
      </c>
      <c r="AP184" s="858"/>
      <c r="AQ184" s="5"/>
    </row>
    <row r="185" spans="1:44" s="219" customFormat="1" ht="129" customHeight="1" thickBot="1" x14ac:dyDescent="0.35">
      <c r="A185" s="29" t="s">
        <v>37</v>
      </c>
      <c r="B185" s="5"/>
      <c r="C185" s="127" t="str">
        <f t="array" ref="C185:M185">TRANSPOSE(A186:A196)</f>
        <v>Based on IEA (2016) ETP 6DS/4DS Projection of Air Travel + Telepresence Adjustment</v>
      </c>
      <c r="D185" s="128" t="str">
        <v>Based on ICCT (2012) Base Scenario + Telepresence Adjustment</v>
      </c>
      <c r="E185" s="129" t="str">
        <v>[Source 3 - Base]</v>
      </c>
      <c r="F185" s="127" t="str">
        <v>[Source 1 - Conservative]</v>
      </c>
      <c r="G185" s="128" t="str">
        <v>[Source 2 - Conservative]</v>
      </c>
      <c r="H185" s="129" t="str">
        <v>[Source 3 - Conservative]</v>
      </c>
      <c r="I185" s="127" t="str">
        <v>Based on IEA (2016) ETP 2DS Projection of Air Travel + Telepresence Adjustment</v>
      </c>
      <c r="J185" s="128" t="str">
        <v>[Source 2 - Ambitious]</v>
      </c>
      <c r="K185" s="129" t="str">
        <v>[Source 3 - Ambitious]</v>
      </c>
      <c r="L185" s="127" t="str">
        <v>[Source 1 - Maximum]</v>
      </c>
      <c r="M185" s="129" t="str">
        <v>[Source 2 - Maximum]</v>
      </c>
      <c r="N185" s="130" t="s">
        <v>43</v>
      </c>
      <c r="AF185" s="127" t="str">
        <f t="shared" ref="AF185" si="104">C185</f>
        <v>Based on IEA (2016) ETP 6DS/4DS Projection of Air Travel + Telepresence Adjustment</v>
      </c>
      <c r="AG185" s="128" t="str">
        <f t="shared" ref="AG185" si="105">D185</f>
        <v>Based on ICCT (2012) Base Scenario + Telepresence Adjustment</v>
      </c>
      <c r="AH185" s="129" t="str">
        <f t="shared" ref="AH185" si="106">E185</f>
        <v>[Source 3 - Base]</v>
      </c>
      <c r="AI185" s="127" t="str">
        <f t="shared" ref="AI185" si="107">F185</f>
        <v>[Source 1 - Conservative]</v>
      </c>
      <c r="AJ185" s="128" t="str">
        <f t="shared" ref="AJ185" si="108">G185</f>
        <v>[Source 2 - Conservative]</v>
      </c>
      <c r="AK185" s="129" t="str">
        <f t="shared" ref="AK185" si="109">H185</f>
        <v>[Source 3 - Conservative]</v>
      </c>
      <c r="AL185" s="127" t="str">
        <f t="shared" ref="AL185" si="110">I185</f>
        <v>Based on IEA (2016) ETP 2DS Projection of Air Travel + Telepresence Adjustment</v>
      </c>
      <c r="AM185" s="128" t="str">
        <f t="shared" ref="AM185" si="111">J185</f>
        <v>[Source 2 - Ambitious]</v>
      </c>
      <c r="AN185" s="129" t="str">
        <f t="shared" ref="AN185" si="112">K185</f>
        <v>[Source 3 - Ambitious]</v>
      </c>
      <c r="AO185" s="127" t="str">
        <f t="shared" ref="AO185" si="113">L185</f>
        <v>[Source 1 - Maximum]</v>
      </c>
      <c r="AP185" s="129" t="str">
        <f t="shared" ref="AP185" si="114">M185</f>
        <v>[Source 2 - Maximum]</v>
      </c>
      <c r="AQ185" s="130" t="s">
        <v>43</v>
      </c>
    </row>
    <row r="186" spans="1:44" s="219" customFormat="1" ht="30" customHeight="1" x14ac:dyDescent="0.3">
      <c r="A186" s="240" t="s">
        <v>254</v>
      </c>
      <c r="B186" s="37">
        <v>2012</v>
      </c>
      <c r="C186" s="779">
        <f>'Interp-NONURBAN'!I537</f>
        <v>5574.0756825421877</v>
      </c>
      <c r="D186" s="780">
        <f>'Interp-NONURBAN'!I667</f>
        <v>5200.8684731496423</v>
      </c>
      <c r="E186" s="40"/>
      <c r="F186" s="274"/>
      <c r="G186" s="275"/>
      <c r="H186" s="40"/>
      <c r="I186" s="779">
        <f>'Interp-NONURBAN'!I602</f>
        <v>5571.0744736149618</v>
      </c>
      <c r="J186" s="274"/>
      <c r="K186" s="41"/>
      <c r="L186" s="42"/>
      <c r="M186" s="41"/>
      <c r="N186" s="126" t="s">
        <v>140</v>
      </c>
      <c r="AE186" s="37">
        <v>2012</v>
      </c>
      <c r="AF186" s="779">
        <f t="shared" ref="AF186:AF234" si="115">IF(C186&lt;&gt;"",C186*10^9,"")</f>
        <v>5574075682542.1875</v>
      </c>
      <c r="AG186" s="780">
        <f t="shared" ref="AG186:AG234" si="116">IF(D186&lt;&gt;"",D186*10^9,"")</f>
        <v>5200868473149.6426</v>
      </c>
      <c r="AH186" s="40" t="str">
        <f t="shared" ref="AH186:AH234" si="117">IF(E186&lt;&gt;"",E186*10^9,"")</f>
        <v/>
      </c>
      <c r="AI186" s="38" t="str">
        <f t="shared" ref="AI186:AI234" si="118">IF(F186&lt;&gt;"",F186*10^9,"")</f>
        <v/>
      </c>
      <c r="AJ186" s="39" t="str">
        <f t="shared" ref="AJ186:AJ234" si="119">IF(G186&lt;&gt;"",G186*10^9,"")</f>
        <v/>
      </c>
      <c r="AK186" s="40" t="str">
        <f t="shared" ref="AK186:AK234" si="120">IF(H186&lt;&gt;"",H186*10^9,"")</f>
        <v/>
      </c>
      <c r="AL186" s="779">
        <f t="shared" ref="AL186:AL234" si="121">IF(I186&lt;&gt;"",I186*10^9,"")</f>
        <v>5571074473614.9619</v>
      </c>
      <c r="AM186" s="39" t="str">
        <f t="shared" ref="AM186:AM234" si="122">IF(J186&lt;&gt;"",J186*10^9,"")</f>
        <v/>
      </c>
      <c r="AN186" s="41" t="str">
        <f t="shared" ref="AN186:AN234" si="123">IF(K186&lt;&gt;"",K186*10^9,"")</f>
        <v/>
      </c>
      <c r="AO186" s="42" t="str">
        <f t="shared" ref="AO186:AO234" si="124">IF(L186&lt;&gt;"",L186*10^9,"")</f>
        <v/>
      </c>
      <c r="AP186" s="41" t="str">
        <f t="shared" ref="AP186:AP234" si="125">IF(M186&lt;&gt;"",M186*10^9,"")</f>
        <v/>
      </c>
      <c r="AQ186" s="5" t="s">
        <v>44</v>
      </c>
    </row>
    <row r="187" spans="1:44" s="219" customFormat="1" ht="30" customHeight="1" x14ac:dyDescent="0.3">
      <c r="A187" s="243" t="s">
        <v>304</v>
      </c>
      <c r="B187" s="37">
        <v>2013</v>
      </c>
      <c r="C187" s="779">
        <f>'Interp-NONURBAN'!I538</f>
        <v>5805.2903570072394</v>
      </c>
      <c r="D187" s="780">
        <f>'Interp-NONURBAN'!I668</f>
        <v>5421.7970477877479</v>
      </c>
      <c r="E187" s="40"/>
      <c r="F187" s="274"/>
      <c r="G187" s="275"/>
      <c r="H187" s="40"/>
      <c r="I187" s="779">
        <f>'Interp-NONURBAN'!I603</f>
        <v>5807.6377411495587</v>
      </c>
      <c r="J187" s="274"/>
      <c r="K187" s="41"/>
      <c r="L187" s="42"/>
      <c r="M187" s="41"/>
      <c r="N187" s="126" t="s">
        <v>140</v>
      </c>
      <c r="AE187" s="37">
        <v>2013</v>
      </c>
      <c r="AF187" s="779">
        <f t="shared" si="115"/>
        <v>5805290357007.2393</v>
      </c>
      <c r="AG187" s="780">
        <f t="shared" si="116"/>
        <v>5421797047787.748</v>
      </c>
      <c r="AH187" s="40" t="str">
        <f t="shared" si="117"/>
        <v/>
      </c>
      <c r="AI187" s="38" t="str">
        <f t="shared" si="118"/>
        <v/>
      </c>
      <c r="AJ187" s="39" t="str">
        <f t="shared" si="119"/>
        <v/>
      </c>
      <c r="AK187" s="40" t="str">
        <f t="shared" si="120"/>
        <v/>
      </c>
      <c r="AL187" s="779">
        <f t="shared" si="121"/>
        <v>5807637741149.5586</v>
      </c>
      <c r="AM187" s="39" t="str">
        <f t="shared" si="122"/>
        <v/>
      </c>
      <c r="AN187" s="41" t="str">
        <f t="shared" si="123"/>
        <v/>
      </c>
      <c r="AO187" s="42" t="str">
        <f t="shared" si="124"/>
        <v/>
      </c>
      <c r="AP187" s="41" t="str">
        <f t="shared" si="125"/>
        <v/>
      </c>
      <c r="AQ187" s="5" t="s">
        <v>44</v>
      </c>
    </row>
    <row r="188" spans="1:44" s="219" customFormat="1" ht="37.200000000000003" customHeight="1" thickBot="1" x14ac:dyDescent="0.35">
      <c r="A188" s="134" t="s">
        <v>38</v>
      </c>
      <c r="B188" s="37">
        <v>2014</v>
      </c>
      <c r="C188" s="779">
        <f>'Interp-NONURBAN'!I539</f>
        <v>6087.1251611184216</v>
      </c>
      <c r="D188" s="780">
        <f>'Interp-NONURBAN'!I669</f>
        <v>5703.3713348705569</v>
      </c>
      <c r="E188" s="40"/>
      <c r="F188" s="274"/>
      <c r="G188" s="275"/>
      <c r="H188" s="40"/>
      <c r="I188" s="779">
        <f>'Interp-NONURBAN'!I604</f>
        <v>6078.7494508509508</v>
      </c>
      <c r="J188" s="274"/>
      <c r="K188" s="49"/>
      <c r="L188" s="50"/>
      <c r="M188" s="49"/>
      <c r="N188" s="126" t="s">
        <v>140</v>
      </c>
      <c r="AE188" s="37">
        <v>2014</v>
      </c>
      <c r="AF188" s="783">
        <f t="shared" si="115"/>
        <v>6087125161118.4219</v>
      </c>
      <c r="AG188" s="782">
        <f t="shared" si="116"/>
        <v>5703371334870.5566</v>
      </c>
      <c r="AH188" s="47" t="str">
        <f t="shared" si="117"/>
        <v/>
      </c>
      <c r="AI188" s="48" t="str">
        <f t="shared" si="118"/>
        <v/>
      </c>
      <c r="AJ188" s="46" t="str">
        <f t="shared" si="119"/>
        <v/>
      </c>
      <c r="AK188" s="47" t="str">
        <f t="shared" si="120"/>
        <v/>
      </c>
      <c r="AL188" s="781">
        <f t="shared" si="121"/>
        <v>6078749450850.9512</v>
      </c>
      <c r="AM188" s="46" t="str">
        <f t="shared" si="122"/>
        <v/>
      </c>
      <c r="AN188" s="49" t="str">
        <f t="shared" si="123"/>
        <v/>
      </c>
      <c r="AO188" s="50" t="str">
        <f t="shared" si="124"/>
        <v/>
      </c>
      <c r="AP188" s="49" t="str">
        <f t="shared" si="125"/>
        <v/>
      </c>
      <c r="AQ188" s="5" t="s">
        <v>44</v>
      </c>
    </row>
    <row r="189" spans="1:44" s="219" customFormat="1" ht="30" customHeight="1" x14ac:dyDescent="0.3">
      <c r="A189" s="240" t="s">
        <v>173</v>
      </c>
      <c r="B189" s="37">
        <v>2015</v>
      </c>
      <c r="C189" s="779">
        <f>'Interp-NONURBAN'!I540</f>
        <v>6348.0317535173235</v>
      </c>
      <c r="D189" s="780">
        <f>'Interp-NONURBAN'!I670</f>
        <v>5948.8129725075933</v>
      </c>
      <c r="E189" s="40"/>
      <c r="F189" s="274"/>
      <c r="G189" s="275"/>
      <c r="H189" s="40"/>
      <c r="I189" s="779">
        <f>'Interp-NONURBAN'!I605</f>
        <v>6313.1119848644103</v>
      </c>
      <c r="J189" s="274"/>
      <c r="K189" s="41"/>
      <c r="L189" s="42"/>
      <c r="M189" s="41"/>
      <c r="N189" s="126" t="s">
        <v>140</v>
      </c>
      <c r="AE189" s="37">
        <v>2015</v>
      </c>
      <c r="AF189" s="779">
        <f t="shared" si="115"/>
        <v>6348031753517.3232</v>
      </c>
      <c r="AG189" s="780">
        <f t="shared" si="116"/>
        <v>5948812972507.5928</v>
      </c>
      <c r="AH189" s="40" t="str">
        <f t="shared" si="117"/>
        <v/>
      </c>
      <c r="AI189" s="38" t="str">
        <f t="shared" si="118"/>
        <v/>
      </c>
      <c r="AJ189" s="39" t="str">
        <f t="shared" si="119"/>
        <v/>
      </c>
      <c r="AK189" s="40" t="str">
        <f t="shared" si="120"/>
        <v/>
      </c>
      <c r="AL189" s="779">
        <f t="shared" si="121"/>
        <v>6313111984864.4102</v>
      </c>
      <c r="AM189" s="39" t="str">
        <f t="shared" si="122"/>
        <v/>
      </c>
      <c r="AN189" s="41" t="str">
        <f t="shared" si="123"/>
        <v/>
      </c>
      <c r="AO189" s="42" t="str">
        <f t="shared" si="124"/>
        <v/>
      </c>
      <c r="AP189" s="41" t="str">
        <f t="shared" si="125"/>
        <v/>
      </c>
      <c r="AQ189" s="5" t="s">
        <v>44</v>
      </c>
    </row>
    <row r="190" spans="1:44" s="219" customFormat="1" ht="43.5" customHeight="1" x14ac:dyDescent="0.3">
      <c r="A190" s="243" t="s">
        <v>60</v>
      </c>
      <c r="B190" s="37">
        <v>2016</v>
      </c>
      <c r="C190" s="779">
        <f>'Interp-NONURBAN'!I541</f>
        <v>6622.608583007689</v>
      </c>
      <c r="D190" s="780">
        <f>'Interp-NONURBAN'!I671</f>
        <v>6205.5702268019295</v>
      </c>
      <c r="E190" s="40"/>
      <c r="F190" s="274"/>
      <c r="G190" s="275"/>
      <c r="H190" s="40"/>
      <c r="I190" s="779">
        <f>'Interp-NONURBAN'!I606</f>
        <v>6545.6493390894284</v>
      </c>
      <c r="J190" s="274"/>
      <c r="K190" s="41"/>
      <c r="L190" s="42"/>
      <c r="M190" s="41"/>
      <c r="N190" s="126" t="s">
        <v>140</v>
      </c>
      <c r="AE190" s="37">
        <v>2016</v>
      </c>
      <c r="AF190" s="779">
        <f t="shared" si="115"/>
        <v>6622608583007.6895</v>
      </c>
      <c r="AG190" s="780">
        <f t="shared" si="116"/>
        <v>6205570226801.9297</v>
      </c>
      <c r="AH190" s="40" t="str">
        <f t="shared" si="117"/>
        <v/>
      </c>
      <c r="AI190" s="38" t="str">
        <f t="shared" si="118"/>
        <v/>
      </c>
      <c r="AJ190" s="39" t="str">
        <f t="shared" si="119"/>
        <v/>
      </c>
      <c r="AK190" s="40" t="str">
        <f t="shared" si="120"/>
        <v/>
      </c>
      <c r="AL190" s="779">
        <f t="shared" si="121"/>
        <v>6545649339089.4287</v>
      </c>
      <c r="AM190" s="39" t="str">
        <f t="shared" si="122"/>
        <v/>
      </c>
      <c r="AN190" s="41" t="str">
        <f t="shared" si="123"/>
        <v/>
      </c>
      <c r="AO190" s="42" t="str">
        <f t="shared" si="124"/>
        <v/>
      </c>
      <c r="AP190" s="41" t="str">
        <f t="shared" si="125"/>
        <v/>
      </c>
      <c r="AQ190" s="5" t="s">
        <v>44</v>
      </c>
    </row>
    <row r="191" spans="1:44" s="219" customFormat="1" ht="15.75" customHeight="1" thickBot="1" x14ac:dyDescent="0.35">
      <c r="A191" s="242" t="s">
        <v>39</v>
      </c>
      <c r="B191" s="37">
        <v>2017</v>
      </c>
      <c r="C191" s="779">
        <f>'Interp-NONURBAN'!I542</f>
        <v>6910.606449860159</v>
      </c>
      <c r="D191" s="780">
        <f>'Interp-NONURBAN'!I672</f>
        <v>6474.1156032614954</v>
      </c>
      <c r="E191" s="40"/>
      <c r="F191" s="274"/>
      <c r="G191" s="275"/>
      <c r="H191" s="40"/>
      <c r="I191" s="779">
        <f>'Interp-NONURBAN'!I607</f>
        <v>6776.42133006928</v>
      </c>
      <c r="J191" s="274"/>
      <c r="K191" s="49"/>
      <c r="L191" s="50"/>
      <c r="M191" s="49"/>
      <c r="N191" s="126" t="s">
        <v>140</v>
      </c>
      <c r="AE191" s="37">
        <v>2017</v>
      </c>
      <c r="AF191" s="783">
        <f t="shared" si="115"/>
        <v>6910606449860.1592</v>
      </c>
      <c r="AG191" s="782">
        <f t="shared" si="116"/>
        <v>6474115603261.4951</v>
      </c>
      <c r="AH191" s="47" t="str">
        <f t="shared" si="117"/>
        <v/>
      </c>
      <c r="AI191" s="48" t="str">
        <f t="shared" si="118"/>
        <v/>
      </c>
      <c r="AJ191" s="46" t="str">
        <f t="shared" si="119"/>
        <v/>
      </c>
      <c r="AK191" s="47" t="str">
        <f t="shared" si="120"/>
        <v/>
      </c>
      <c r="AL191" s="781">
        <f t="shared" si="121"/>
        <v>6776421330069.2803</v>
      </c>
      <c r="AM191" s="46" t="str">
        <f t="shared" si="122"/>
        <v/>
      </c>
      <c r="AN191" s="49" t="str">
        <f t="shared" si="123"/>
        <v/>
      </c>
      <c r="AO191" s="50" t="str">
        <f t="shared" si="124"/>
        <v/>
      </c>
      <c r="AP191" s="49" t="str">
        <f t="shared" si="125"/>
        <v/>
      </c>
      <c r="AQ191" s="5" t="s">
        <v>44</v>
      </c>
    </row>
    <row r="192" spans="1:44" s="219" customFormat="1" ht="30" customHeight="1" x14ac:dyDescent="0.3">
      <c r="A192" s="240" t="s">
        <v>255</v>
      </c>
      <c r="B192" s="37">
        <v>2018</v>
      </c>
      <c r="C192" s="779">
        <f>'Interp-NONURBAN'!I543</f>
        <v>7211.7242524563744</v>
      </c>
      <c r="D192" s="780">
        <f>'Interp-NONURBAN'!I673</f>
        <v>6754.8675172661715</v>
      </c>
      <c r="E192" s="40"/>
      <c r="F192" s="274"/>
      <c r="G192" s="275"/>
      <c r="H192" s="40"/>
      <c r="I192" s="779">
        <f>'Interp-NONURBAN'!I608</f>
        <v>7005.4356449339975</v>
      </c>
      <c r="J192" s="274"/>
      <c r="K192" s="41"/>
      <c r="L192" s="42"/>
      <c r="M192" s="41"/>
      <c r="N192" s="126" t="s">
        <v>140</v>
      </c>
      <c r="AE192" s="37">
        <v>2018</v>
      </c>
      <c r="AF192" s="779">
        <f t="shared" si="115"/>
        <v>7211724252456.374</v>
      </c>
      <c r="AG192" s="780">
        <f t="shared" si="116"/>
        <v>6754867517266.1719</v>
      </c>
      <c r="AH192" s="40" t="str">
        <f t="shared" si="117"/>
        <v/>
      </c>
      <c r="AI192" s="38" t="str">
        <f t="shared" si="118"/>
        <v/>
      </c>
      <c r="AJ192" s="39" t="str">
        <f t="shared" si="119"/>
        <v/>
      </c>
      <c r="AK192" s="40" t="str">
        <f t="shared" si="120"/>
        <v/>
      </c>
      <c r="AL192" s="779">
        <f t="shared" si="121"/>
        <v>7005435644933.9971</v>
      </c>
      <c r="AM192" s="39" t="str">
        <f t="shared" si="122"/>
        <v/>
      </c>
      <c r="AN192" s="41" t="str">
        <f t="shared" si="123"/>
        <v/>
      </c>
      <c r="AO192" s="42" t="str">
        <f t="shared" si="124"/>
        <v/>
      </c>
      <c r="AP192" s="41" t="str">
        <f t="shared" si="125"/>
        <v/>
      </c>
      <c r="AQ192" s="5" t="s">
        <v>44</v>
      </c>
    </row>
    <row r="193" spans="1:43" s="219" customFormat="1" ht="30" customHeight="1" x14ac:dyDescent="0.3">
      <c r="A193" s="243" t="s">
        <v>62</v>
      </c>
      <c r="B193" s="37">
        <v>2019</v>
      </c>
      <c r="C193" s="779">
        <f>'Interp-NONURBAN'!I544</f>
        <v>7525.6269836320835</v>
      </c>
      <c r="D193" s="780">
        <f>'Interp-NONURBAN'!I674</f>
        <v>7048.1942773930477</v>
      </c>
      <c r="E193" s="40"/>
      <c r="F193" s="274"/>
      <c r="G193" s="275"/>
      <c r="H193" s="40"/>
      <c r="I193" s="779">
        <f>'Interp-NONURBAN'!I609</f>
        <v>7232.6680628662243</v>
      </c>
      <c r="J193" s="274"/>
      <c r="K193" s="41"/>
      <c r="L193" s="42"/>
      <c r="M193" s="41"/>
      <c r="N193" s="126" t="s">
        <v>140</v>
      </c>
      <c r="AE193" s="37">
        <v>2019</v>
      </c>
      <c r="AF193" s="779">
        <f t="shared" si="115"/>
        <v>7525626983632.083</v>
      </c>
      <c r="AG193" s="780">
        <f t="shared" si="116"/>
        <v>7048194277393.0479</v>
      </c>
      <c r="AH193" s="40" t="str">
        <f t="shared" si="117"/>
        <v/>
      </c>
      <c r="AI193" s="38" t="str">
        <f t="shared" si="118"/>
        <v/>
      </c>
      <c r="AJ193" s="39" t="str">
        <f t="shared" si="119"/>
        <v/>
      </c>
      <c r="AK193" s="40" t="str">
        <f t="shared" si="120"/>
        <v/>
      </c>
      <c r="AL193" s="779">
        <f t="shared" si="121"/>
        <v>7232668062866.2246</v>
      </c>
      <c r="AM193" s="39" t="str">
        <f t="shared" si="122"/>
        <v/>
      </c>
      <c r="AN193" s="41" t="str">
        <f t="shared" si="123"/>
        <v/>
      </c>
      <c r="AO193" s="42" t="str">
        <f t="shared" si="124"/>
        <v/>
      </c>
      <c r="AP193" s="41" t="str">
        <f t="shared" si="125"/>
        <v/>
      </c>
      <c r="AQ193" s="5" t="s">
        <v>44</v>
      </c>
    </row>
    <row r="194" spans="1:43" s="219" customFormat="1" ht="15.75" customHeight="1" thickBot="1" x14ac:dyDescent="0.35">
      <c r="A194" s="242" t="s">
        <v>40</v>
      </c>
      <c r="B194" s="37">
        <v>2020</v>
      </c>
      <c r="C194" s="779">
        <f>'Interp-NONURBAN'!I545</f>
        <v>7852.6012546313032</v>
      </c>
      <c r="D194" s="780">
        <f>'Interp-NONURBAN'!I675</f>
        <v>7355.086080495601</v>
      </c>
      <c r="E194" s="40"/>
      <c r="F194" s="274"/>
      <c r="G194" s="275"/>
      <c r="H194" s="40"/>
      <c r="I194" s="779">
        <f>'Interp-NONURBAN'!I610</f>
        <v>7458.6868670455742</v>
      </c>
      <c r="J194" s="274"/>
      <c r="K194" s="49"/>
      <c r="L194" s="50"/>
      <c r="M194" s="49"/>
      <c r="N194" s="126" t="s">
        <v>140</v>
      </c>
      <c r="AE194" s="37">
        <v>2020</v>
      </c>
      <c r="AF194" s="783">
        <f t="shared" si="115"/>
        <v>7852601254631.3027</v>
      </c>
      <c r="AG194" s="782">
        <f t="shared" si="116"/>
        <v>7355086080495.6006</v>
      </c>
      <c r="AH194" s="47" t="str">
        <f t="shared" si="117"/>
        <v/>
      </c>
      <c r="AI194" s="48" t="str">
        <f t="shared" si="118"/>
        <v/>
      </c>
      <c r="AJ194" s="46" t="str">
        <f t="shared" si="119"/>
        <v/>
      </c>
      <c r="AK194" s="47" t="str">
        <f t="shared" si="120"/>
        <v/>
      </c>
      <c r="AL194" s="781">
        <f t="shared" si="121"/>
        <v>7458686867045.5742</v>
      </c>
      <c r="AM194" s="46" t="str">
        <f t="shared" si="122"/>
        <v/>
      </c>
      <c r="AN194" s="49" t="str">
        <f t="shared" si="123"/>
        <v/>
      </c>
      <c r="AO194" s="50" t="str">
        <f t="shared" si="124"/>
        <v/>
      </c>
      <c r="AP194" s="49" t="str">
        <f t="shared" si="125"/>
        <v/>
      </c>
      <c r="AQ194" s="5" t="s">
        <v>44</v>
      </c>
    </row>
    <row r="195" spans="1:43" s="219" customFormat="1" ht="28.8" x14ac:dyDescent="0.3">
      <c r="A195" s="240" t="s">
        <v>41</v>
      </c>
      <c r="B195" s="37">
        <v>2021</v>
      </c>
      <c r="C195" s="779">
        <f>'Interp-NONURBAN'!I546</f>
        <v>8186.0528264292798</v>
      </c>
      <c r="D195" s="780">
        <f>'Interp-NONURBAN'!I676</f>
        <v>7670.1722019917815</v>
      </c>
      <c r="E195" s="40"/>
      <c r="F195" s="274"/>
      <c r="G195" s="275"/>
      <c r="H195" s="40"/>
      <c r="I195" s="779">
        <f>'Interp-NONURBAN'!I611</f>
        <v>7677.5907657639927</v>
      </c>
      <c r="J195" s="274"/>
      <c r="K195" s="41"/>
      <c r="L195" s="42"/>
      <c r="M195" s="41"/>
      <c r="N195" s="126" t="s">
        <v>140</v>
      </c>
      <c r="AE195" s="37">
        <v>2021</v>
      </c>
      <c r="AF195" s="779">
        <f t="shared" si="115"/>
        <v>8186052826429.2793</v>
      </c>
      <c r="AG195" s="780">
        <f t="shared" si="116"/>
        <v>7670172201991.7813</v>
      </c>
      <c r="AH195" s="40" t="str">
        <f t="shared" si="117"/>
        <v/>
      </c>
      <c r="AI195" s="38" t="str">
        <f t="shared" si="118"/>
        <v/>
      </c>
      <c r="AJ195" s="39" t="str">
        <f t="shared" si="119"/>
        <v/>
      </c>
      <c r="AK195" s="40" t="str">
        <f t="shared" si="120"/>
        <v/>
      </c>
      <c r="AL195" s="779">
        <f t="shared" si="121"/>
        <v>7677590765763.9932</v>
      </c>
      <c r="AM195" s="39" t="str">
        <f t="shared" si="122"/>
        <v/>
      </c>
      <c r="AN195" s="41" t="str">
        <f t="shared" si="123"/>
        <v/>
      </c>
      <c r="AO195" s="42" t="str">
        <f t="shared" si="124"/>
        <v/>
      </c>
      <c r="AP195" s="41" t="str">
        <f t="shared" si="125"/>
        <v/>
      </c>
      <c r="AQ195" s="5" t="s">
        <v>44</v>
      </c>
    </row>
    <row r="196" spans="1:43" s="219" customFormat="1" ht="15.75" customHeight="1" thickBot="1" x14ac:dyDescent="0.35">
      <c r="A196" s="244" t="s">
        <v>42</v>
      </c>
      <c r="B196" s="37">
        <v>2022</v>
      </c>
      <c r="C196" s="779">
        <f>'Interp-NONURBAN'!I547</f>
        <v>8530.5806494508051</v>
      </c>
      <c r="D196" s="780">
        <f>'Interp-NONURBAN'!I677</f>
        <v>7998.6143186930549</v>
      </c>
      <c r="E196" s="40"/>
      <c r="F196" s="274"/>
      <c r="G196" s="275"/>
      <c r="H196" s="40"/>
      <c r="I196" s="779">
        <f>'Interp-NONURBAN'!I612</f>
        <v>7894.1373249440585</v>
      </c>
      <c r="J196" s="274"/>
      <c r="K196" s="57"/>
      <c r="L196" s="58"/>
      <c r="M196" s="57"/>
      <c r="N196" s="126" t="s">
        <v>140</v>
      </c>
      <c r="AE196" s="37">
        <v>2022</v>
      </c>
      <c r="AF196" s="779">
        <f t="shared" si="115"/>
        <v>8530580649450.8047</v>
      </c>
      <c r="AG196" s="784">
        <f t="shared" si="116"/>
        <v>7998614318693.0547</v>
      </c>
      <c r="AH196" s="56" t="str">
        <f t="shared" si="117"/>
        <v/>
      </c>
      <c r="AI196" s="45" t="str">
        <f t="shared" si="118"/>
        <v/>
      </c>
      <c r="AJ196" s="55" t="str">
        <f t="shared" si="119"/>
        <v/>
      </c>
      <c r="AK196" s="56" t="str">
        <f t="shared" si="120"/>
        <v/>
      </c>
      <c r="AL196" s="783">
        <f t="shared" si="121"/>
        <v>7894137324944.0586</v>
      </c>
      <c r="AM196" s="55" t="str">
        <f t="shared" si="122"/>
        <v/>
      </c>
      <c r="AN196" s="57" t="str">
        <f t="shared" si="123"/>
        <v/>
      </c>
      <c r="AO196" s="58" t="str">
        <f t="shared" si="124"/>
        <v/>
      </c>
      <c r="AP196" s="57" t="str">
        <f t="shared" si="125"/>
        <v/>
      </c>
      <c r="AQ196" s="5" t="s">
        <v>44</v>
      </c>
    </row>
    <row r="197" spans="1:43" s="219" customFormat="1" ht="28.8" x14ac:dyDescent="0.3">
      <c r="A197" s="5"/>
      <c r="B197" s="37">
        <v>2023</v>
      </c>
      <c r="C197" s="779">
        <f>'Interp-NONURBAN'!I548</f>
        <v>8885.8277363665857</v>
      </c>
      <c r="D197" s="780">
        <f>'Interp-NONURBAN'!I678</f>
        <v>8340.9649782500128</v>
      </c>
      <c r="E197" s="40"/>
      <c r="F197" s="274"/>
      <c r="G197" s="275"/>
      <c r="H197" s="40"/>
      <c r="I197" s="779">
        <f>'Interp-NONURBAN'!I613</f>
        <v>8108.3304986105468</v>
      </c>
      <c r="J197" s="274"/>
      <c r="K197" s="57"/>
      <c r="L197" s="58"/>
      <c r="M197" s="57"/>
      <c r="N197" s="126" t="s">
        <v>140</v>
      </c>
      <c r="AE197" s="37">
        <v>2023</v>
      </c>
      <c r="AF197" s="779">
        <f t="shared" si="115"/>
        <v>8885827736366.5859</v>
      </c>
      <c r="AG197" s="784">
        <f t="shared" si="116"/>
        <v>8340964978250.0127</v>
      </c>
      <c r="AH197" s="40" t="str">
        <f t="shared" si="117"/>
        <v/>
      </c>
      <c r="AI197" s="45" t="str">
        <f t="shared" si="118"/>
        <v/>
      </c>
      <c r="AJ197" s="55" t="str">
        <f t="shared" si="119"/>
        <v/>
      </c>
      <c r="AK197" s="56" t="str">
        <f t="shared" si="120"/>
        <v/>
      </c>
      <c r="AL197" s="783">
        <f t="shared" si="121"/>
        <v>8108330498610.5469</v>
      </c>
      <c r="AM197" s="55" t="str">
        <f t="shared" si="122"/>
        <v/>
      </c>
      <c r="AN197" s="57" t="str">
        <f t="shared" si="123"/>
        <v/>
      </c>
      <c r="AO197" s="58" t="str">
        <f t="shared" si="124"/>
        <v/>
      </c>
      <c r="AP197" s="57" t="str">
        <f t="shared" si="125"/>
        <v/>
      </c>
      <c r="AQ197" s="5" t="s">
        <v>44</v>
      </c>
    </row>
    <row r="198" spans="1:43" s="219" customFormat="1" ht="28.8" x14ac:dyDescent="0.3">
      <c r="A198" s="5"/>
      <c r="B198" s="37">
        <v>2024</v>
      </c>
      <c r="C198" s="779">
        <f>'Interp-NONURBAN'!I549</f>
        <v>9251.2734759180785</v>
      </c>
      <c r="D198" s="780">
        <f>'Interp-NONURBAN'!I679</f>
        <v>8697.6693558207226</v>
      </c>
      <c r="E198" s="40"/>
      <c r="F198" s="274"/>
      <c r="G198" s="275"/>
      <c r="H198" s="40"/>
      <c r="I198" s="779">
        <f>'Interp-NONURBAN'!I614</f>
        <v>8320.031315962533</v>
      </c>
      <c r="J198" s="274"/>
      <c r="K198" s="41"/>
      <c r="L198" s="42"/>
      <c r="M198" s="41"/>
      <c r="N198" s="126" t="s">
        <v>140</v>
      </c>
      <c r="AE198" s="37">
        <v>2024</v>
      </c>
      <c r="AF198" s="779">
        <f t="shared" si="115"/>
        <v>9251273475918.0781</v>
      </c>
      <c r="AG198" s="784">
        <f t="shared" si="116"/>
        <v>8697669355820.7227</v>
      </c>
      <c r="AH198" s="40" t="str">
        <f t="shared" si="117"/>
        <v/>
      </c>
      <c r="AI198" s="38" t="str">
        <f t="shared" si="118"/>
        <v/>
      </c>
      <c r="AJ198" s="39" t="str">
        <f t="shared" si="119"/>
        <v/>
      </c>
      <c r="AK198" s="40" t="str">
        <f t="shared" si="120"/>
        <v/>
      </c>
      <c r="AL198" s="779">
        <f t="shared" si="121"/>
        <v>8320031315962.5332</v>
      </c>
      <c r="AM198" s="39" t="str">
        <f t="shared" si="122"/>
        <v/>
      </c>
      <c r="AN198" s="41" t="str">
        <f t="shared" si="123"/>
        <v/>
      </c>
      <c r="AO198" s="42" t="str">
        <f t="shared" si="124"/>
        <v/>
      </c>
      <c r="AP198" s="41" t="str">
        <f t="shared" si="125"/>
        <v/>
      </c>
      <c r="AQ198" s="5" t="s">
        <v>44</v>
      </c>
    </row>
    <row r="199" spans="1:43" s="219" customFormat="1" ht="28.8" x14ac:dyDescent="0.3">
      <c r="A199" s="5"/>
      <c r="B199" s="37">
        <v>2025</v>
      </c>
      <c r="C199" s="779">
        <f>'Interp-NONURBAN'!I550</f>
        <v>9626.4266744612905</v>
      </c>
      <c r="D199" s="780">
        <f>'Interp-NONURBAN'!I680</f>
        <v>9069.2203725154213</v>
      </c>
      <c r="E199" s="40"/>
      <c r="F199" s="274"/>
      <c r="G199" s="275"/>
      <c r="H199" s="40"/>
      <c r="I199" s="779">
        <f>'Interp-NONURBAN'!I615</f>
        <v>8529.1391739427036</v>
      </c>
      <c r="J199" s="274"/>
      <c r="K199" s="41"/>
      <c r="L199" s="42"/>
      <c r="M199" s="41"/>
      <c r="N199" s="126" t="s">
        <v>140</v>
      </c>
      <c r="AE199" s="37">
        <v>2025</v>
      </c>
      <c r="AF199" s="779">
        <f t="shared" si="115"/>
        <v>9626426674461.291</v>
      </c>
      <c r="AG199" s="784">
        <f t="shared" si="116"/>
        <v>9069220372515.4219</v>
      </c>
      <c r="AH199" s="40" t="str">
        <f t="shared" si="117"/>
        <v/>
      </c>
      <c r="AI199" s="38" t="str">
        <f t="shared" si="118"/>
        <v/>
      </c>
      <c r="AJ199" s="39" t="str">
        <f t="shared" si="119"/>
        <v/>
      </c>
      <c r="AK199" s="40" t="str">
        <f t="shared" si="120"/>
        <v/>
      </c>
      <c r="AL199" s="779">
        <f t="shared" si="121"/>
        <v>8529139173942.7031</v>
      </c>
      <c r="AM199" s="39" t="str">
        <f t="shared" si="122"/>
        <v/>
      </c>
      <c r="AN199" s="41" t="str">
        <f t="shared" si="123"/>
        <v/>
      </c>
      <c r="AO199" s="42" t="str">
        <f t="shared" si="124"/>
        <v/>
      </c>
      <c r="AP199" s="41" t="str">
        <f t="shared" si="125"/>
        <v/>
      </c>
      <c r="AQ199" s="5" t="s">
        <v>44</v>
      </c>
    </row>
    <row r="200" spans="1:43" s="219" customFormat="1" ht="28.8" x14ac:dyDescent="0.3">
      <c r="A200" s="5"/>
      <c r="B200" s="37">
        <v>2026</v>
      </c>
      <c r="C200" s="779">
        <f>'Interp-NONURBAN'!I551</f>
        <v>10010.957993331269</v>
      </c>
      <c r="D200" s="780">
        <f>'Interp-NONURBAN'!I681</f>
        <v>9456.2620648187985</v>
      </c>
      <c r="E200" s="40"/>
      <c r="F200" s="274"/>
      <c r="G200" s="275"/>
      <c r="H200" s="40"/>
      <c r="I200" s="779">
        <f>'Interp-NONURBAN'!I616</f>
        <v>8735.704803236913</v>
      </c>
      <c r="J200" s="274"/>
      <c r="K200" s="41"/>
      <c r="L200" s="42"/>
      <c r="M200" s="41"/>
      <c r="N200" s="126" t="s">
        <v>140</v>
      </c>
      <c r="AE200" s="37">
        <v>2026</v>
      </c>
      <c r="AF200" s="779">
        <f t="shared" si="115"/>
        <v>10010957993331.27</v>
      </c>
      <c r="AG200" s="784">
        <f t="shared" si="116"/>
        <v>9456262064818.7988</v>
      </c>
      <c r="AH200" s="40" t="str">
        <f t="shared" si="117"/>
        <v/>
      </c>
      <c r="AI200" s="38" t="str">
        <f t="shared" si="118"/>
        <v/>
      </c>
      <c r="AJ200" s="39" t="str">
        <f t="shared" si="119"/>
        <v/>
      </c>
      <c r="AK200" s="40" t="str">
        <f t="shared" si="120"/>
        <v/>
      </c>
      <c r="AL200" s="779">
        <f t="shared" si="121"/>
        <v>8735704803236.9131</v>
      </c>
      <c r="AM200" s="39" t="str">
        <f t="shared" si="122"/>
        <v/>
      </c>
      <c r="AN200" s="41" t="str">
        <f t="shared" si="123"/>
        <v/>
      </c>
      <c r="AO200" s="42" t="str">
        <f t="shared" si="124"/>
        <v/>
      </c>
      <c r="AP200" s="41" t="str">
        <f t="shared" si="125"/>
        <v/>
      </c>
      <c r="AQ200" s="5" t="s">
        <v>44</v>
      </c>
    </row>
    <row r="201" spans="1:43" s="219" customFormat="1" ht="28.8" x14ac:dyDescent="0.3">
      <c r="A201" s="5"/>
      <c r="B201" s="37">
        <v>2027</v>
      </c>
      <c r="C201" s="779">
        <f>'Interp-NONURBAN'!I552</f>
        <v>10404.630726366753</v>
      </c>
      <c r="D201" s="780">
        <f>'Interp-NONURBAN'!I682</f>
        <v>9859.542442467904</v>
      </c>
      <c r="E201" s="40"/>
      <c r="F201" s="274"/>
      <c r="G201" s="275"/>
      <c r="H201" s="40"/>
      <c r="I201" s="779">
        <f>'Interp-NONURBAN'!I617</f>
        <v>8939.8595029536682</v>
      </c>
      <c r="J201" s="274"/>
      <c r="K201" s="41"/>
      <c r="L201" s="42"/>
      <c r="M201" s="41"/>
      <c r="N201" s="126" t="s">
        <v>140</v>
      </c>
      <c r="AE201" s="37">
        <v>2027</v>
      </c>
      <c r="AF201" s="779">
        <f t="shared" si="115"/>
        <v>10404630726366.754</v>
      </c>
      <c r="AG201" s="784">
        <f t="shared" si="116"/>
        <v>9859542442467.9043</v>
      </c>
      <c r="AH201" s="40" t="str">
        <f t="shared" si="117"/>
        <v/>
      </c>
      <c r="AI201" s="38" t="str">
        <f t="shared" si="118"/>
        <v/>
      </c>
      <c r="AJ201" s="39" t="str">
        <f t="shared" si="119"/>
        <v/>
      </c>
      <c r="AK201" s="40" t="str">
        <f t="shared" si="120"/>
        <v/>
      </c>
      <c r="AL201" s="779">
        <f t="shared" si="121"/>
        <v>8939859502953.668</v>
      </c>
      <c r="AM201" s="39" t="str">
        <f t="shared" si="122"/>
        <v/>
      </c>
      <c r="AN201" s="41" t="str">
        <f t="shared" si="123"/>
        <v/>
      </c>
      <c r="AO201" s="42" t="str">
        <f t="shared" si="124"/>
        <v/>
      </c>
      <c r="AP201" s="41" t="str">
        <f t="shared" si="125"/>
        <v/>
      </c>
      <c r="AQ201" s="5" t="s">
        <v>44</v>
      </c>
    </row>
    <row r="202" spans="1:43" s="219" customFormat="1" ht="28.8" x14ac:dyDescent="0.3">
      <c r="A202" s="59" t="s">
        <v>34</v>
      </c>
      <c r="B202" s="37">
        <v>2028</v>
      </c>
      <c r="C202" s="779">
        <f>'Interp-NONURBAN'!I553</f>
        <v>10807.109383506311</v>
      </c>
      <c r="D202" s="780">
        <f>'Interp-NONURBAN'!I683</f>
        <v>10279.765011964791</v>
      </c>
      <c r="E202" s="40"/>
      <c r="F202" s="274"/>
      <c r="G202" s="275"/>
      <c r="H202" s="40"/>
      <c r="I202" s="779">
        <f>'Interp-NONURBAN'!I618</f>
        <v>9141.6470343323053</v>
      </c>
      <c r="J202" s="274"/>
      <c r="K202" s="41"/>
      <c r="L202" s="42"/>
      <c r="M202" s="41"/>
      <c r="N202" s="126" t="s">
        <v>140</v>
      </c>
      <c r="AE202" s="37">
        <v>2028</v>
      </c>
      <c r="AF202" s="779">
        <f t="shared" si="115"/>
        <v>10807109383506.311</v>
      </c>
      <c r="AG202" s="784">
        <f t="shared" si="116"/>
        <v>10279765011964.791</v>
      </c>
      <c r="AH202" s="40" t="str">
        <f t="shared" si="117"/>
        <v/>
      </c>
      <c r="AI202" s="38" t="str">
        <f t="shared" si="118"/>
        <v/>
      </c>
      <c r="AJ202" s="39" t="str">
        <f t="shared" si="119"/>
        <v/>
      </c>
      <c r="AK202" s="40" t="str">
        <f t="shared" si="120"/>
        <v/>
      </c>
      <c r="AL202" s="779">
        <f t="shared" si="121"/>
        <v>9141647034332.3047</v>
      </c>
      <c r="AM202" s="39" t="str">
        <f t="shared" si="122"/>
        <v/>
      </c>
      <c r="AN202" s="41" t="str">
        <f t="shared" si="123"/>
        <v/>
      </c>
      <c r="AO202" s="42" t="str">
        <f t="shared" si="124"/>
        <v/>
      </c>
      <c r="AP202" s="41" t="str">
        <f t="shared" si="125"/>
        <v/>
      </c>
      <c r="AQ202" s="5" t="s">
        <v>44</v>
      </c>
    </row>
    <row r="203" spans="1:43" s="219" customFormat="1" ht="28.8" x14ac:dyDescent="0.3">
      <c r="A203" s="60" t="s">
        <v>29</v>
      </c>
      <c r="B203" s="37">
        <v>2029</v>
      </c>
      <c r="C203" s="779">
        <f>'Interp-NONURBAN'!I554</f>
        <v>11218.061577052158</v>
      </c>
      <c r="D203" s="780">
        <f>'Interp-NONURBAN'!I684</f>
        <v>10717.669005662345</v>
      </c>
      <c r="E203" s="40"/>
      <c r="F203" s="274"/>
      <c r="G203" s="275"/>
      <c r="H203" s="40"/>
      <c r="I203" s="779">
        <f>'Interp-NONURBAN'!I619</f>
        <v>9341.114459865601</v>
      </c>
      <c r="J203" s="274"/>
      <c r="K203" s="41"/>
      <c r="L203" s="42"/>
      <c r="M203" s="41"/>
      <c r="N203" s="126" t="s">
        <v>140</v>
      </c>
      <c r="AE203" s="37">
        <v>2029</v>
      </c>
      <c r="AF203" s="779">
        <f t="shared" si="115"/>
        <v>11218061577052.158</v>
      </c>
      <c r="AG203" s="784">
        <f t="shared" si="116"/>
        <v>10717669005662.344</v>
      </c>
      <c r="AH203" s="40" t="str">
        <f t="shared" si="117"/>
        <v/>
      </c>
      <c r="AI203" s="38" t="str">
        <f t="shared" si="118"/>
        <v/>
      </c>
      <c r="AJ203" s="39" t="str">
        <f t="shared" si="119"/>
        <v/>
      </c>
      <c r="AK203" s="40" t="str">
        <f t="shared" si="120"/>
        <v/>
      </c>
      <c r="AL203" s="779">
        <f t="shared" si="121"/>
        <v>9341114459865.6016</v>
      </c>
      <c r="AM203" s="39" t="str">
        <f t="shared" si="122"/>
        <v/>
      </c>
      <c r="AN203" s="41" t="str">
        <f t="shared" si="123"/>
        <v/>
      </c>
      <c r="AO203" s="42" t="str">
        <f t="shared" si="124"/>
        <v/>
      </c>
      <c r="AP203" s="41" t="str">
        <f t="shared" si="125"/>
        <v/>
      </c>
      <c r="AQ203" s="5" t="s">
        <v>44</v>
      </c>
    </row>
    <row r="204" spans="1:43" s="219" customFormat="1" ht="28.8" x14ac:dyDescent="0.3">
      <c r="A204" s="61" t="s">
        <v>35</v>
      </c>
      <c r="B204" s="37">
        <v>2030</v>
      </c>
      <c r="C204" s="779">
        <f>'Interp-NONURBAN'!I555</f>
        <v>11637.149823064505</v>
      </c>
      <c r="D204" s="780">
        <f>'Interp-NONURBAN'!I685</f>
        <v>11174.019335029796</v>
      </c>
      <c r="E204" s="40"/>
      <c r="F204" s="274"/>
      <c r="G204" s="275"/>
      <c r="H204" s="40"/>
      <c r="I204" s="779">
        <f>'Interp-NONURBAN'!I620</f>
        <v>9538.3049468289519</v>
      </c>
      <c r="J204" s="274"/>
      <c r="K204" s="41"/>
      <c r="L204" s="42"/>
      <c r="M204" s="41"/>
      <c r="N204" s="126" t="s">
        <v>140</v>
      </c>
      <c r="AE204" s="37">
        <v>2030</v>
      </c>
      <c r="AF204" s="779">
        <f t="shared" si="115"/>
        <v>11637149823064.504</v>
      </c>
      <c r="AG204" s="784">
        <f t="shared" si="116"/>
        <v>11174019335029.797</v>
      </c>
      <c r="AH204" s="40" t="str">
        <f t="shared" si="117"/>
        <v/>
      </c>
      <c r="AI204" s="38" t="str">
        <f t="shared" si="118"/>
        <v/>
      </c>
      <c r="AJ204" s="39" t="str">
        <f t="shared" si="119"/>
        <v/>
      </c>
      <c r="AK204" s="40" t="str">
        <f t="shared" si="120"/>
        <v/>
      </c>
      <c r="AL204" s="779">
        <f t="shared" si="121"/>
        <v>9538304946828.9512</v>
      </c>
      <c r="AM204" s="39" t="str">
        <f t="shared" si="122"/>
        <v/>
      </c>
      <c r="AN204" s="41" t="str">
        <f t="shared" si="123"/>
        <v/>
      </c>
      <c r="AO204" s="42" t="str">
        <f t="shared" si="124"/>
        <v/>
      </c>
      <c r="AP204" s="41" t="str">
        <f t="shared" si="125"/>
        <v/>
      </c>
      <c r="AQ204" s="5" t="s">
        <v>44</v>
      </c>
    </row>
    <row r="205" spans="1:43" s="219" customFormat="1" ht="28.8" x14ac:dyDescent="0.3">
      <c r="A205" s="62" t="s">
        <v>36</v>
      </c>
      <c r="B205" s="37">
        <v>2031</v>
      </c>
      <c r="C205" s="779">
        <f>'Interp-NONURBAN'!I556</f>
        <v>12064.038661171742</v>
      </c>
      <c r="D205" s="780">
        <f>'Interp-NONURBAN'!I686</f>
        <v>11649.607959277588</v>
      </c>
      <c r="E205" s="40"/>
      <c r="F205" s="274"/>
      <c r="G205" s="275"/>
      <c r="H205" s="40"/>
      <c r="I205" s="779">
        <f>'Interp-NONURBAN'!I621</f>
        <v>9733.2635772942922</v>
      </c>
      <c r="J205" s="274"/>
      <c r="K205" s="41"/>
      <c r="L205" s="42"/>
      <c r="M205" s="41"/>
      <c r="N205" s="126" t="s">
        <v>140</v>
      </c>
      <c r="AE205" s="37">
        <v>2031</v>
      </c>
      <c r="AF205" s="779">
        <f t="shared" si="115"/>
        <v>12064038661171.742</v>
      </c>
      <c r="AG205" s="784">
        <f t="shared" si="116"/>
        <v>11649607959277.588</v>
      </c>
      <c r="AH205" s="40" t="str">
        <f t="shared" si="117"/>
        <v/>
      </c>
      <c r="AI205" s="38" t="str">
        <f t="shared" si="118"/>
        <v/>
      </c>
      <c r="AJ205" s="39" t="str">
        <f t="shared" si="119"/>
        <v/>
      </c>
      <c r="AK205" s="40" t="str">
        <f t="shared" si="120"/>
        <v/>
      </c>
      <c r="AL205" s="779">
        <f t="shared" si="121"/>
        <v>9733263577294.293</v>
      </c>
      <c r="AM205" s="39" t="str">
        <f t="shared" si="122"/>
        <v/>
      </c>
      <c r="AN205" s="41" t="str">
        <f t="shared" si="123"/>
        <v/>
      </c>
      <c r="AO205" s="42" t="str">
        <f t="shared" si="124"/>
        <v/>
      </c>
      <c r="AP205" s="41" t="str">
        <f t="shared" si="125"/>
        <v/>
      </c>
      <c r="AQ205" s="5" t="s">
        <v>44</v>
      </c>
    </row>
    <row r="206" spans="1:43" s="219" customFormat="1" ht="28.8" x14ac:dyDescent="0.3">
      <c r="A206" s="5"/>
      <c r="B206" s="37">
        <v>2032</v>
      </c>
      <c r="C206" s="779">
        <f>'Interp-NONURBAN'!I557</f>
        <v>12498.430878190333</v>
      </c>
      <c r="D206" s="780">
        <f>'Interp-NONURBAN'!I687</f>
        <v>12145.298924265808</v>
      </c>
      <c r="E206" s="40"/>
      <c r="F206" s="274"/>
      <c r="G206" s="275"/>
      <c r="H206" s="40"/>
      <c r="I206" s="779">
        <f>'Interp-NONURBAN'!I622</f>
        <v>9926.0656585638371</v>
      </c>
      <c r="J206" s="274"/>
      <c r="K206" s="41"/>
      <c r="L206" s="42"/>
      <c r="M206" s="41"/>
      <c r="N206" s="126" t="s">
        <v>140</v>
      </c>
      <c r="AE206" s="37">
        <v>2032</v>
      </c>
      <c r="AF206" s="779">
        <f t="shared" si="115"/>
        <v>12498430878190.332</v>
      </c>
      <c r="AG206" s="784">
        <f t="shared" si="116"/>
        <v>12145298924265.809</v>
      </c>
      <c r="AH206" s="40" t="str">
        <f t="shared" si="117"/>
        <v/>
      </c>
      <c r="AI206" s="38" t="str">
        <f t="shared" si="118"/>
        <v/>
      </c>
      <c r="AJ206" s="39" t="str">
        <f t="shared" si="119"/>
        <v/>
      </c>
      <c r="AK206" s="40" t="str">
        <f t="shared" si="120"/>
        <v/>
      </c>
      <c r="AL206" s="779">
        <f t="shared" si="121"/>
        <v>9926065658563.8379</v>
      </c>
      <c r="AM206" s="39" t="str">
        <f t="shared" si="122"/>
        <v/>
      </c>
      <c r="AN206" s="41" t="str">
        <f t="shared" si="123"/>
        <v/>
      </c>
      <c r="AO206" s="42" t="str">
        <f t="shared" si="124"/>
        <v/>
      </c>
      <c r="AP206" s="41" t="str">
        <f t="shared" si="125"/>
        <v/>
      </c>
      <c r="AQ206" s="5" t="s">
        <v>44</v>
      </c>
    </row>
    <row r="207" spans="1:43" s="219" customFormat="1" ht="28.8" x14ac:dyDescent="0.3">
      <c r="A207" s="5"/>
      <c r="B207" s="37">
        <v>2033</v>
      </c>
      <c r="C207" s="779">
        <f>'Interp-NONURBAN'!I558</f>
        <v>12940.114864272757</v>
      </c>
      <c r="D207" s="780">
        <f>'Interp-NONURBAN'!I688</f>
        <v>12662.085997683715</v>
      </c>
      <c r="E207" s="40"/>
      <c r="F207" s="274"/>
      <c r="G207" s="275"/>
      <c r="H207" s="40"/>
      <c r="I207" s="779">
        <f>'Interp-NONURBAN'!I623</f>
        <v>10116.851038042938</v>
      </c>
      <c r="J207" s="274"/>
      <c r="K207" s="41"/>
      <c r="L207" s="42"/>
      <c r="M207" s="41"/>
      <c r="N207" s="126" t="s">
        <v>140</v>
      </c>
      <c r="AE207" s="37">
        <v>2033</v>
      </c>
      <c r="AF207" s="779">
        <f t="shared" si="115"/>
        <v>12940114864272.756</v>
      </c>
      <c r="AG207" s="784">
        <f t="shared" si="116"/>
        <v>12662085997683.715</v>
      </c>
      <c r="AH207" s="40" t="str">
        <f t="shared" si="117"/>
        <v/>
      </c>
      <c r="AI207" s="38" t="str">
        <f t="shared" si="118"/>
        <v/>
      </c>
      <c r="AJ207" s="39" t="str">
        <f t="shared" si="119"/>
        <v/>
      </c>
      <c r="AK207" s="40" t="str">
        <f t="shared" si="120"/>
        <v/>
      </c>
      <c r="AL207" s="779">
        <f t="shared" si="121"/>
        <v>10116851038042.938</v>
      </c>
      <c r="AM207" s="39" t="str">
        <f t="shared" si="122"/>
        <v/>
      </c>
      <c r="AN207" s="41" t="str">
        <f t="shared" si="123"/>
        <v/>
      </c>
      <c r="AO207" s="42" t="str">
        <f t="shared" si="124"/>
        <v/>
      </c>
      <c r="AP207" s="41" t="str">
        <f t="shared" si="125"/>
        <v/>
      </c>
      <c r="AQ207" s="5" t="s">
        <v>44</v>
      </c>
    </row>
    <row r="208" spans="1:43" s="219" customFormat="1" ht="28.8" x14ac:dyDescent="0.3">
      <c r="A208" s="5"/>
      <c r="B208" s="37">
        <v>2034</v>
      </c>
      <c r="C208" s="779">
        <f>'Interp-NONURBAN'!I559</f>
        <v>13388.930271959449</v>
      </c>
      <c r="D208" s="780">
        <f>'Interp-NONURBAN'!I689</f>
        <v>13201.058142552216</v>
      </c>
      <c r="E208" s="40"/>
      <c r="F208" s="274"/>
      <c r="G208" s="275"/>
      <c r="H208" s="40"/>
      <c r="I208" s="779">
        <f>'Interp-NONURBAN'!I624</f>
        <v>10305.792551315371</v>
      </c>
      <c r="J208" s="274"/>
      <c r="K208" s="41"/>
      <c r="L208" s="42"/>
      <c r="M208" s="41"/>
      <c r="N208" s="126" t="s">
        <v>140</v>
      </c>
      <c r="AE208" s="37">
        <v>2034</v>
      </c>
      <c r="AF208" s="779">
        <f t="shared" si="115"/>
        <v>13388930271959.449</v>
      </c>
      <c r="AG208" s="784">
        <f t="shared" si="116"/>
        <v>13201058142552.217</v>
      </c>
      <c r="AH208" s="40" t="str">
        <f t="shared" si="117"/>
        <v/>
      </c>
      <c r="AI208" s="38" t="str">
        <f t="shared" si="118"/>
        <v/>
      </c>
      <c r="AJ208" s="39" t="str">
        <f t="shared" si="119"/>
        <v/>
      </c>
      <c r="AK208" s="40" t="str">
        <f t="shared" si="120"/>
        <v/>
      </c>
      <c r="AL208" s="779">
        <f t="shared" si="121"/>
        <v>10305792551315.371</v>
      </c>
      <c r="AM208" s="39" t="str">
        <f t="shared" si="122"/>
        <v/>
      </c>
      <c r="AN208" s="41" t="str">
        <f t="shared" si="123"/>
        <v/>
      </c>
      <c r="AO208" s="42" t="str">
        <f t="shared" si="124"/>
        <v/>
      </c>
      <c r="AP208" s="41" t="str">
        <f t="shared" si="125"/>
        <v/>
      </c>
      <c r="AQ208" s="5" t="s">
        <v>44</v>
      </c>
    </row>
    <row r="209" spans="1:43" s="219" customFormat="1" ht="28.8" x14ac:dyDescent="0.3">
      <c r="A209" s="5"/>
      <c r="B209" s="37">
        <v>2035</v>
      </c>
      <c r="C209" s="779">
        <f>'Interp-NONURBAN'!I560</f>
        <v>13844.689483322272</v>
      </c>
      <c r="D209" s="780">
        <f>'Interp-NONURBAN'!I690</f>
        <v>13763.317852424962</v>
      </c>
      <c r="E209" s="40"/>
      <c r="F209" s="274"/>
      <c r="G209" s="275"/>
      <c r="H209" s="40"/>
      <c r="I209" s="779">
        <f>'Interp-NONURBAN'!I625</f>
        <v>10493.033987088742</v>
      </c>
      <c r="J209" s="274"/>
      <c r="K209" s="41"/>
      <c r="L209" s="42"/>
      <c r="M209" s="41"/>
      <c r="N209" s="126" t="s">
        <v>140</v>
      </c>
      <c r="AE209" s="37">
        <v>2035</v>
      </c>
      <c r="AF209" s="779">
        <f t="shared" si="115"/>
        <v>13844689483322.271</v>
      </c>
      <c r="AG209" s="784">
        <f t="shared" si="116"/>
        <v>13763317852424.961</v>
      </c>
      <c r="AH209" s="40" t="str">
        <f t="shared" si="117"/>
        <v/>
      </c>
      <c r="AI209" s="38" t="str">
        <f t="shared" si="118"/>
        <v/>
      </c>
      <c r="AJ209" s="39" t="str">
        <f t="shared" si="119"/>
        <v/>
      </c>
      <c r="AK209" s="40" t="str">
        <f t="shared" si="120"/>
        <v/>
      </c>
      <c r="AL209" s="779">
        <f t="shared" si="121"/>
        <v>10493033987088.742</v>
      </c>
      <c r="AM209" s="39" t="str">
        <f t="shared" si="122"/>
        <v/>
      </c>
      <c r="AN209" s="41" t="str">
        <f t="shared" si="123"/>
        <v/>
      </c>
      <c r="AO209" s="42" t="str">
        <f t="shared" si="124"/>
        <v/>
      </c>
      <c r="AP209" s="41" t="str">
        <f t="shared" si="125"/>
        <v/>
      </c>
      <c r="AQ209" s="5" t="s">
        <v>44</v>
      </c>
    </row>
    <row r="210" spans="1:43" s="219" customFormat="1" ht="28.8" x14ac:dyDescent="0.3">
      <c r="A210" s="5"/>
      <c r="B210" s="37">
        <v>2036</v>
      </c>
      <c r="C210" s="779">
        <f>'Interp-NONURBAN'!I561</f>
        <v>14307.152546453719</v>
      </c>
      <c r="D210" s="780">
        <f>'Interp-NONURBAN'!I691</f>
        <v>14349.945628182828</v>
      </c>
      <c r="E210" s="40"/>
      <c r="F210" s="274"/>
      <c r="G210" s="275"/>
      <c r="H210" s="40"/>
      <c r="I210" s="779">
        <f>'Interp-NONURBAN'!I626</f>
        <v>10678.67349332557</v>
      </c>
      <c r="J210" s="274"/>
      <c r="K210" s="41"/>
      <c r="L210" s="42"/>
      <c r="M210" s="41"/>
      <c r="N210" s="126" t="s">
        <v>140</v>
      </c>
      <c r="AE210" s="37">
        <v>2036</v>
      </c>
      <c r="AF210" s="779">
        <f t="shared" si="115"/>
        <v>14307152546453.719</v>
      </c>
      <c r="AG210" s="784">
        <f t="shared" si="116"/>
        <v>14349945628182.828</v>
      </c>
      <c r="AH210" s="40" t="str">
        <f t="shared" si="117"/>
        <v/>
      </c>
      <c r="AI210" s="38" t="str">
        <f t="shared" si="118"/>
        <v/>
      </c>
      <c r="AJ210" s="39" t="str">
        <f t="shared" si="119"/>
        <v/>
      </c>
      <c r="AK210" s="40" t="str">
        <f t="shared" si="120"/>
        <v/>
      </c>
      <c r="AL210" s="779">
        <f t="shared" si="121"/>
        <v>10678673493325.57</v>
      </c>
      <c r="AM210" s="39" t="str">
        <f t="shared" si="122"/>
        <v/>
      </c>
      <c r="AN210" s="41" t="str">
        <f t="shared" si="123"/>
        <v/>
      </c>
      <c r="AO210" s="42" t="str">
        <f t="shared" si="124"/>
        <v/>
      </c>
      <c r="AP210" s="41" t="str">
        <f t="shared" si="125"/>
        <v/>
      </c>
      <c r="AQ210" s="5" t="s">
        <v>44</v>
      </c>
    </row>
    <row r="211" spans="1:43" s="219" customFormat="1" ht="28.8" x14ac:dyDescent="0.3">
      <c r="A211" s="5"/>
      <c r="B211" s="37">
        <v>2037</v>
      </c>
      <c r="C211" s="779">
        <f>'Interp-NONURBAN'!I562</f>
        <v>14776.002777690248</v>
      </c>
      <c r="D211" s="780">
        <f>'Interp-NONURBAN'!I692</f>
        <v>14961.98816000694</v>
      </c>
      <c r="E211" s="40"/>
      <c r="F211" s="274"/>
      <c r="G211" s="275"/>
      <c r="H211" s="40"/>
      <c r="I211" s="779">
        <f>'Interp-NONURBAN'!I627</f>
        <v>10862.749068947554</v>
      </c>
      <c r="J211" s="274"/>
      <c r="K211" s="41"/>
      <c r="L211" s="42"/>
      <c r="M211" s="41"/>
      <c r="N211" s="126" t="s">
        <v>140</v>
      </c>
      <c r="AE211" s="37">
        <v>2037</v>
      </c>
      <c r="AF211" s="779">
        <f t="shared" si="115"/>
        <v>14776002777690.248</v>
      </c>
      <c r="AG211" s="784">
        <f t="shared" si="116"/>
        <v>14961988160006.939</v>
      </c>
      <c r="AH211" s="40" t="str">
        <f t="shared" si="117"/>
        <v/>
      </c>
      <c r="AI211" s="38" t="str">
        <f t="shared" si="118"/>
        <v/>
      </c>
      <c r="AJ211" s="39" t="str">
        <f t="shared" si="119"/>
        <v/>
      </c>
      <c r="AK211" s="40" t="str">
        <f t="shared" si="120"/>
        <v/>
      </c>
      <c r="AL211" s="779">
        <f t="shared" si="121"/>
        <v>10862749068947.555</v>
      </c>
      <c r="AM211" s="39" t="str">
        <f t="shared" si="122"/>
        <v/>
      </c>
      <c r="AN211" s="41" t="str">
        <f t="shared" si="123"/>
        <v/>
      </c>
      <c r="AO211" s="42" t="str">
        <f t="shared" si="124"/>
        <v/>
      </c>
      <c r="AP211" s="41" t="str">
        <f t="shared" si="125"/>
        <v/>
      </c>
      <c r="AQ211" s="5" t="s">
        <v>44</v>
      </c>
    </row>
    <row r="212" spans="1:43" s="219" customFormat="1" ht="28.8" x14ac:dyDescent="0.3">
      <c r="A212" s="5"/>
      <c r="B212" s="37">
        <v>2038</v>
      </c>
      <c r="C212" s="779">
        <f>'Interp-NONURBAN'!I563</f>
        <v>15250.882971189436</v>
      </c>
      <c r="D212" s="780">
        <f>'Interp-NONURBAN'!I693</f>
        <v>15600.509141608656</v>
      </c>
      <c r="E212" s="40"/>
      <c r="F212" s="274"/>
      <c r="G212" s="275"/>
      <c r="H212" s="40"/>
      <c r="I212" s="779">
        <f>'Interp-NONURBAN'!I628</f>
        <v>11045.269101081858</v>
      </c>
      <c r="J212" s="274"/>
      <c r="K212" s="41"/>
      <c r="L212" s="42"/>
      <c r="M212" s="41"/>
      <c r="N212" s="126" t="s">
        <v>140</v>
      </c>
      <c r="AE212" s="37">
        <v>2038</v>
      </c>
      <c r="AF212" s="779">
        <f t="shared" si="115"/>
        <v>15250882971189.436</v>
      </c>
      <c r="AG212" s="784">
        <f t="shared" si="116"/>
        <v>15600509141608.656</v>
      </c>
      <c r="AH212" s="40" t="str">
        <f t="shared" si="117"/>
        <v/>
      </c>
      <c r="AI212" s="38" t="str">
        <f t="shared" si="118"/>
        <v/>
      </c>
      <c r="AJ212" s="39" t="str">
        <f t="shared" si="119"/>
        <v/>
      </c>
      <c r="AK212" s="40" t="str">
        <f t="shared" si="120"/>
        <v/>
      </c>
      <c r="AL212" s="779">
        <f t="shared" si="121"/>
        <v>11045269101081.857</v>
      </c>
      <c r="AM212" s="39" t="str">
        <f t="shared" si="122"/>
        <v/>
      </c>
      <c r="AN212" s="41" t="str">
        <f t="shared" si="123"/>
        <v/>
      </c>
      <c r="AO212" s="42" t="str">
        <f t="shared" si="124"/>
        <v/>
      </c>
      <c r="AP212" s="41" t="str">
        <f t="shared" si="125"/>
        <v/>
      </c>
      <c r="AQ212" s="5" t="s">
        <v>44</v>
      </c>
    </row>
    <row r="213" spans="1:43" s="219" customFormat="1" ht="28.8" x14ac:dyDescent="0.3">
      <c r="A213" s="5"/>
      <c r="B213" s="37">
        <v>2039</v>
      </c>
      <c r="C213" s="779">
        <f>'Interp-NONURBAN'!I564</f>
        <v>15731.38693371328</v>
      </c>
      <c r="D213" s="780">
        <f>'Interp-NONURBAN'!I694</f>
        <v>16266.569632994235</v>
      </c>
      <c r="E213" s="40"/>
      <c r="F213" s="274"/>
      <c r="G213" s="275"/>
      <c r="H213" s="40"/>
      <c r="I213" s="779">
        <f>'Interp-NONURBAN'!I629</f>
        <v>11226.208514511742</v>
      </c>
      <c r="J213" s="274"/>
      <c r="K213" s="41"/>
      <c r="L213" s="42"/>
      <c r="M213" s="41"/>
      <c r="N213" s="126" t="s">
        <v>140</v>
      </c>
      <c r="AE213" s="37">
        <v>2039</v>
      </c>
      <c r="AF213" s="779">
        <f t="shared" si="115"/>
        <v>15731386933713.279</v>
      </c>
      <c r="AG213" s="784">
        <f t="shared" si="116"/>
        <v>16266569632994.234</v>
      </c>
      <c r="AH213" s="40" t="str">
        <f t="shared" si="117"/>
        <v/>
      </c>
      <c r="AI213" s="38" t="str">
        <f t="shared" si="118"/>
        <v/>
      </c>
      <c r="AJ213" s="39" t="str">
        <f t="shared" si="119"/>
        <v/>
      </c>
      <c r="AK213" s="40" t="str">
        <f t="shared" si="120"/>
        <v/>
      </c>
      <c r="AL213" s="779">
        <f t="shared" si="121"/>
        <v>11226208514511.742</v>
      </c>
      <c r="AM213" s="39" t="str">
        <f t="shared" si="122"/>
        <v/>
      </c>
      <c r="AN213" s="41" t="str">
        <f t="shared" si="123"/>
        <v/>
      </c>
      <c r="AO213" s="42" t="str">
        <f t="shared" si="124"/>
        <v/>
      </c>
      <c r="AP213" s="41" t="str">
        <f t="shared" si="125"/>
        <v/>
      </c>
      <c r="AQ213" s="5" t="s">
        <v>44</v>
      </c>
    </row>
    <row r="214" spans="1:43" s="219" customFormat="1" ht="28.8" x14ac:dyDescent="0.3">
      <c r="A214" s="5"/>
      <c r="B214" s="37">
        <v>2040</v>
      </c>
      <c r="C214" s="779">
        <f>'Interp-NONURBAN'!I565</f>
        <v>16217.125201735194</v>
      </c>
      <c r="D214" s="780">
        <f>'Interp-NONURBAN'!I695</f>
        <v>16961.283669209079</v>
      </c>
      <c r="E214" s="40"/>
      <c r="F214" s="274"/>
      <c r="G214" s="275"/>
      <c r="H214" s="40"/>
      <c r="I214" s="779">
        <f>'Interp-NONURBAN'!I630</f>
        <v>11405.557152905725</v>
      </c>
      <c r="J214" s="274"/>
      <c r="K214" s="41"/>
      <c r="L214" s="42"/>
      <c r="M214" s="41"/>
      <c r="N214" s="126" t="s">
        <v>140</v>
      </c>
      <c r="AE214" s="37">
        <v>2040</v>
      </c>
      <c r="AF214" s="779">
        <f t="shared" si="115"/>
        <v>16217125201735.195</v>
      </c>
      <c r="AG214" s="784">
        <f t="shared" si="116"/>
        <v>16961283669209.078</v>
      </c>
      <c r="AH214" s="40" t="str">
        <f t="shared" si="117"/>
        <v/>
      </c>
      <c r="AI214" s="38" t="str">
        <f t="shared" si="118"/>
        <v/>
      </c>
      <c r="AJ214" s="39" t="str">
        <f t="shared" si="119"/>
        <v/>
      </c>
      <c r="AK214" s="40" t="str">
        <f t="shared" si="120"/>
        <v/>
      </c>
      <c r="AL214" s="779">
        <f t="shared" si="121"/>
        <v>11405557152905.725</v>
      </c>
      <c r="AM214" s="39" t="str">
        <f t="shared" si="122"/>
        <v/>
      </c>
      <c r="AN214" s="41" t="str">
        <f t="shared" si="123"/>
        <v/>
      </c>
      <c r="AO214" s="42" t="str">
        <f t="shared" si="124"/>
        <v/>
      </c>
      <c r="AP214" s="41" t="str">
        <f t="shared" si="125"/>
        <v/>
      </c>
      <c r="AQ214" s="5" t="s">
        <v>44</v>
      </c>
    </row>
    <row r="215" spans="1:43" s="219" customFormat="1" ht="28.8" x14ac:dyDescent="0.3">
      <c r="A215" s="5"/>
      <c r="B215" s="37">
        <v>2041</v>
      </c>
      <c r="C215" s="779">
        <f>'Interp-NONURBAN'!I566</f>
        <v>16707.772603972284</v>
      </c>
      <c r="D215" s="780">
        <f>'Interp-NONURBAN'!I696</f>
        <v>17685.870550200103</v>
      </c>
      <c r="E215" s="40"/>
      <c r="F215" s="274"/>
      <c r="G215" s="275"/>
      <c r="H215" s="40"/>
      <c r="I215" s="779">
        <f>'Interp-NONURBAN'!I631</f>
        <v>11583.351459466816</v>
      </c>
      <c r="J215" s="274"/>
      <c r="K215" s="41"/>
      <c r="L215" s="42"/>
      <c r="M215" s="41"/>
      <c r="N215" s="126" t="s">
        <v>140</v>
      </c>
      <c r="AE215" s="37">
        <v>2041</v>
      </c>
      <c r="AF215" s="779">
        <f t="shared" si="115"/>
        <v>16707772603972.283</v>
      </c>
      <c r="AG215" s="784">
        <f t="shared" si="116"/>
        <v>17685870550200.102</v>
      </c>
      <c r="AH215" s="40" t="str">
        <f t="shared" si="117"/>
        <v/>
      </c>
      <c r="AI215" s="38" t="str">
        <f t="shared" si="118"/>
        <v/>
      </c>
      <c r="AJ215" s="39" t="str">
        <f t="shared" si="119"/>
        <v/>
      </c>
      <c r="AK215" s="40" t="str">
        <f t="shared" si="120"/>
        <v/>
      </c>
      <c r="AL215" s="779">
        <f t="shared" si="121"/>
        <v>11583351459466.816</v>
      </c>
      <c r="AM215" s="39" t="str">
        <f t="shared" si="122"/>
        <v/>
      </c>
      <c r="AN215" s="41" t="str">
        <f t="shared" si="123"/>
        <v/>
      </c>
      <c r="AO215" s="42" t="str">
        <f t="shared" si="124"/>
        <v/>
      </c>
      <c r="AP215" s="41" t="str">
        <f t="shared" si="125"/>
        <v/>
      </c>
      <c r="AQ215" s="5" t="s">
        <v>44</v>
      </c>
    </row>
    <row r="216" spans="1:43" s="219" customFormat="1" ht="28.8" x14ac:dyDescent="0.3">
      <c r="A216" s="5"/>
      <c r="B216" s="37">
        <v>2042</v>
      </c>
      <c r="C216" s="779">
        <f>'Interp-NONURBAN'!I567</f>
        <v>17203.042669626822</v>
      </c>
      <c r="D216" s="780">
        <f>'Interp-NONURBAN'!I697</f>
        <v>18441.62136703344</v>
      </c>
      <c r="E216" s="40"/>
      <c r="F216" s="274"/>
      <c r="G216" s="275"/>
      <c r="H216" s="40"/>
      <c r="I216" s="779">
        <f>'Interp-NONURBAN'!I632</f>
        <v>11759.653727721154</v>
      </c>
      <c r="J216" s="274"/>
      <c r="K216" s="41"/>
      <c r="L216" s="42"/>
      <c r="M216" s="41"/>
      <c r="N216" s="126" t="s">
        <v>140</v>
      </c>
      <c r="AE216" s="37">
        <v>2042</v>
      </c>
      <c r="AF216" s="779">
        <f t="shared" si="115"/>
        <v>17203042669626.822</v>
      </c>
      <c r="AG216" s="784">
        <f t="shared" si="116"/>
        <v>18441621367033.441</v>
      </c>
      <c r="AH216" s="40" t="str">
        <f t="shared" si="117"/>
        <v/>
      </c>
      <c r="AI216" s="38" t="str">
        <f t="shared" si="118"/>
        <v/>
      </c>
      <c r="AJ216" s="39" t="str">
        <f t="shared" si="119"/>
        <v/>
      </c>
      <c r="AK216" s="40" t="str">
        <f t="shared" si="120"/>
        <v/>
      </c>
      <c r="AL216" s="779">
        <f t="shared" si="121"/>
        <v>11759653727721.154</v>
      </c>
      <c r="AM216" s="39" t="str">
        <f t="shared" si="122"/>
        <v/>
      </c>
      <c r="AN216" s="41" t="str">
        <f t="shared" si="123"/>
        <v/>
      </c>
      <c r="AO216" s="42" t="str">
        <f t="shared" si="124"/>
        <v/>
      </c>
      <c r="AP216" s="41" t="str">
        <f t="shared" si="125"/>
        <v/>
      </c>
      <c r="AQ216" s="5" t="s">
        <v>44</v>
      </c>
    </row>
    <row r="217" spans="1:43" s="219" customFormat="1" ht="28.8" x14ac:dyDescent="0.3">
      <c r="A217" s="5"/>
      <c r="B217" s="37">
        <v>2043</v>
      </c>
      <c r="C217" s="779">
        <f>'Interp-NONURBAN'!I568</f>
        <v>17702.617647451403</v>
      </c>
      <c r="D217" s="780">
        <f>'Interp-NONURBAN'!I698</f>
        <v>19229.826607902953</v>
      </c>
      <c r="E217" s="40"/>
      <c r="F217" s="274"/>
      <c r="G217" s="275"/>
      <c r="H217" s="40"/>
      <c r="I217" s="779">
        <f>'Interp-NONURBAN'!I633</f>
        <v>11934.503332513008</v>
      </c>
      <c r="J217" s="274"/>
      <c r="K217" s="41"/>
      <c r="L217" s="42"/>
      <c r="M217" s="41"/>
      <c r="N217" s="126" t="s">
        <v>140</v>
      </c>
      <c r="AE217" s="37">
        <v>2043</v>
      </c>
      <c r="AF217" s="779">
        <f t="shared" si="115"/>
        <v>17702617647451.402</v>
      </c>
      <c r="AG217" s="784">
        <f t="shared" si="116"/>
        <v>19229826607902.953</v>
      </c>
      <c r="AH217" s="40" t="str">
        <f t="shared" si="117"/>
        <v/>
      </c>
      <c r="AI217" s="38" t="str">
        <f t="shared" si="118"/>
        <v/>
      </c>
      <c r="AJ217" s="39" t="str">
        <f t="shared" si="119"/>
        <v/>
      </c>
      <c r="AK217" s="40" t="str">
        <f t="shared" si="120"/>
        <v/>
      </c>
      <c r="AL217" s="779">
        <f t="shared" si="121"/>
        <v>11934503332513.008</v>
      </c>
      <c r="AM217" s="39" t="str">
        <f t="shared" si="122"/>
        <v/>
      </c>
      <c r="AN217" s="41" t="str">
        <f t="shared" si="123"/>
        <v/>
      </c>
      <c r="AO217" s="42" t="str">
        <f t="shared" si="124"/>
        <v/>
      </c>
      <c r="AP217" s="41" t="str">
        <f t="shared" si="125"/>
        <v/>
      </c>
      <c r="AQ217" s="5" t="s">
        <v>44</v>
      </c>
    </row>
    <row r="218" spans="1:43" s="219" customFormat="1" ht="28.8" x14ac:dyDescent="0.3">
      <c r="A218" s="5"/>
      <c r="B218" s="37">
        <v>2044</v>
      </c>
      <c r="C218" s="779">
        <f>'Interp-NONURBAN'!I569</f>
        <v>18206.186584380201</v>
      </c>
      <c r="D218" s="780">
        <f>'Interp-NONURBAN'!I699</f>
        <v>20051.819616887253</v>
      </c>
      <c r="E218" s="40"/>
      <c r="F218" s="274"/>
      <c r="G218" s="275"/>
      <c r="H218" s="40"/>
      <c r="I218" s="779">
        <f>'Interp-NONURBAN'!I634</f>
        <v>12107.943428270399</v>
      </c>
      <c r="J218" s="274"/>
      <c r="K218" s="41"/>
      <c r="L218" s="42"/>
      <c r="M218" s="41"/>
      <c r="N218" s="126" t="s">
        <v>140</v>
      </c>
      <c r="AE218" s="37">
        <v>2044</v>
      </c>
      <c r="AF218" s="779">
        <f t="shared" si="115"/>
        <v>18206186584380.199</v>
      </c>
      <c r="AG218" s="784">
        <f t="shared" si="116"/>
        <v>20051819616887.254</v>
      </c>
      <c r="AH218" s="40" t="str">
        <f t="shared" si="117"/>
        <v/>
      </c>
      <c r="AI218" s="38" t="str">
        <f t="shared" si="118"/>
        <v/>
      </c>
      <c r="AJ218" s="39" t="str">
        <f t="shared" si="119"/>
        <v/>
      </c>
      <c r="AK218" s="40" t="str">
        <f t="shared" si="120"/>
        <v/>
      </c>
      <c r="AL218" s="779">
        <f t="shared" si="121"/>
        <v>12107943428270.398</v>
      </c>
      <c r="AM218" s="39" t="str">
        <f t="shared" si="122"/>
        <v/>
      </c>
      <c r="AN218" s="41" t="str">
        <f t="shared" si="123"/>
        <v/>
      </c>
      <c r="AO218" s="42" t="str">
        <f t="shared" si="124"/>
        <v/>
      </c>
      <c r="AP218" s="41" t="str">
        <f t="shared" si="125"/>
        <v/>
      </c>
      <c r="AQ218" s="5" t="s">
        <v>44</v>
      </c>
    </row>
    <row r="219" spans="1:43" s="219" customFormat="1" ht="28.8" x14ac:dyDescent="0.3">
      <c r="A219" s="5"/>
      <c r="B219" s="37">
        <v>2045</v>
      </c>
      <c r="C219" s="779">
        <f>'Interp-NONURBAN'!I570</f>
        <v>18713.434817474768</v>
      </c>
      <c r="D219" s="780">
        <f>'Interp-NONURBAN'!I700</f>
        <v>20908.984166706276</v>
      </c>
      <c r="E219" s="40"/>
      <c r="F219" s="274"/>
      <c r="G219" s="275"/>
      <c r="H219" s="40"/>
      <c r="I219" s="779">
        <f>'Interp-NONURBAN'!I635</f>
        <v>12280.013786062887</v>
      </c>
      <c r="J219" s="274"/>
      <c r="K219" s="41"/>
      <c r="L219" s="42"/>
      <c r="M219" s="41"/>
      <c r="N219" s="126" t="s">
        <v>140</v>
      </c>
      <c r="AE219" s="37">
        <v>2045</v>
      </c>
      <c r="AF219" s="779">
        <f t="shared" si="115"/>
        <v>18713434817474.77</v>
      </c>
      <c r="AG219" s="784">
        <f t="shared" si="116"/>
        <v>20908984166706.277</v>
      </c>
      <c r="AH219" s="40" t="str">
        <f t="shared" si="117"/>
        <v/>
      </c>
      <c r="AI219" s="38" t="str">
        <f t="shared" si="118"/>
        <v/>
      </c>
      <c r="AJ219" s="39" t="str">
        <f t="shared" si="119"/>
        <v/>
      </c>
      <c r="AK219" s="40" t="str">
        <f t="shared" si="120"/>
        <v/>
      </c>
      <c r="AL219" s="779">
        <f t="shared" si="121"/>
        <v>12280013786062.887</v>
      </c>
      <c r="AM219" s="39" t="str">
        <f t="shared" si="122"/>
        <v/>
      </c>
      <c r="AN219" s="41" t="str">
        <f t="shared" si="123"/>
        <v/>
      </c>
      <c r="AO219" s="42" t="str">
        <f t="shared" si="124"/>
        <v/>
      </c>
      <c r="AP219" s="41" t="str">
        <f t="shared" si="125"/>
        <v/>
      </c>
      <c r="AQ219" s="5" t="s">
        <v>44</v>
      </c>
    </row>
    <row r="220" spans="1:43" s="219" customFormat="1" ht="28.8" x14ac:dyDescent="0.3">
      <c r="A220" s="5"/>
      <c r="B220" s="37">
        <v>2046</v>
      </c>
      <c r="C220" s="779">
        <f>'Interp-NONURBAN'!I571</f>
        <v>19224.04693009716</v>
      </c>
      <c r="D220" s="780">
        <f>'Interp-NONURBAN'!I701</f>
        <v>21802.773469391159</v>
      </c>
      <c r="E220" s="40"/>
      <c r="F220" s="274"/>
      <c r="G220" s="275"/>
      <c r="H220" s="40"/>
      <c r="I220" s="779">
        <f>'Interp-NONURBAN'!I636</f>
        <v>12450.752868270196</v>
      </c>
      <c r="J220" s="274"/>
      <c r="K220" s="41"/>
      <c r="L220" s="42"/>
      <c r="M220" s="41"/>
      <c r="N220" s="126" t="s">
        <v>140</v>
      </c>
      <c r="AE220" s="37">
        <v>2046</v>
      </c>
      <c r="AF220" s="779">
        <f t="shared" si="115"/>
        <v>19224046930097.16</v>
      </c>
      <c r="AG220" s="784">
        <f t="shared" si="116"/>
        <v>21802773469391.16</v>
      </c>
      <c r="AH220" s="40" t="str">
        <f t="shared" si="117"/>
        <v/>
      </c>
      <c r="AI220" s="38" t="str">
        <f t="shared" si="118"/>
        <v/>
      </c>
      <c r="AJ220" s="39" t="str">
        <f t="shared" si="119"/>
        <v/>
      </c>
      <c r="AK220" s="40" t="str">
        <f t="shared" si="120"/>
        <v/>
      </c>
      <c r="AL220" s="779">
        <f t="shared" si="121"/>
        <v>12450752868270.195</v>
      </c>
      <c r="AM220" s="39" t="str">
        <f t="shared" si="122"/>
        <v/>
      </c>
      <c r="AN220" s="41" t="str">
        <f t="shared" si="123"/>
        <v/>
      </c>
      <c r="AO220" s="42" t="str">
        <f t="shared" si="124"/>
        <v/>
      </c>
      <c r="AP220" s="41" t="str">
        <f t="shared" si="125"/>
        <v/>
      </c>
      <c r="AQ220" s="5" t="s">
        <v>44</v>
      </c>
    </row>
    <row r="221" spans="1:43" s="219" customFormat="1" ht="28.8" x14ac:dyDescent="0.3">
      <c r="A221" s="5"/>
      <c r="B221" s="37">
        <v>2047</v>
      </c>
      <c r="C221" s="779">
        <f>'Interp-NONURBAN'!I572</f>
        <v>19737.69879581912</v>
      </c>
      <c r="D221" s="780">
        <f>'Interp-NONURBAN'!I702</f>
        <v>22734.694057829416</v>
      </c>
      <c r="E221" s="40"/>
      <c r="F221" s="274"/>
      <c r="G221" s="275"/>
      <c r="H221" s="40"/>
      <c r="I221" s="779">
        <f>'Interp-NONURBAN'!I637</f>
        <v>12620.192802139009</v>
      </c>
      <c r="J221" s="274"/>
      <c r="K221" s="41"/>
      <c r="L221" s="42"/>
      <c r="M221" s="41"/>
      <c r="N221" s="126" t="s">
        <v>140</v>
      </c>
      <c r="AE221" s="37">
        <v>2047</v>
      </c>
      <c r="AF221" s="779">
        <f t="shared" si="115"/>
        <v>19737698795819.121</v>
      </c>
      <c r="AG221" s="784">
        <f t="shared" si="116"/>
        <v>22734694057829.418</v>
      </c>
      <c r="AH221" s="40" t="str">
        <f t="shared" si="117"/>
        <v/>
      </c>
      <c r="AI221" s="38" t="str">
        <f t="shared" si="118"/>
        <v/>
      </c>
      <c r="AJ221" s="39" t="str">
        <f t="shared" si="119"/>
        <v/>
      </c>
      <c r="AK221" s="40" t="str">
        <f t="shared" si="120"/>
        <v/>
      </c>
      <c r="AL221" s="779">
        <f t="shared" si="121"/>
        <v>12620192802139.008</v>
      </c>
      <c r="AM221" s="39" t="str">
        <f t="shared" si="122"/>
        <v/>
      </c>
      <c r="AN221" s="41" t="str">
        <f t="shared" si="123"/>
        <v/>
      </c>
      <c r="AO221" s="42" t="str">
        <f t="shared" si="124"/>
        <v/>
      </c>
      <c r="AP221" s="41" t="str">
        <f t="shared" si="125"/>
        <v/>
      </c>
      <c r="AQ221" s="5" t="s">
        <v>44</v>
      </c>
    </row>
    <row r="222" spans="1:43" s="219" customFormat="1" ht="28.8" x14ac:dyDescent="0.3">
      <c r="A222" s="5"/>
      <c r="B222" s="37">
        <v>2048</v>
      </c>
      <c r="C222" s="779">
        <f>'Interp-NONURBAN'!I573</f>
        <v>20254.05709738415</v>
      </c>
      <c r="D222" s="780">
        <f>'Interp-NONURBAN'!I703</f>
        <v>23706.286010448624</v>
      </c>
      <c r="E222" s="40"/>
      <c r="F222" s="274"/>
      <c r="G222" s="275"/>
      <c r="H222" s="40"/>
      <c r="I222" s="779">
        <f>'Interp-NONURBAN'!I638</f>
        <v>12788.359422305675</v>
      </c>
      <c r="J222" s="274"/>
      <c r="K222" s="41"/>
      <c r="L222" s="42"/>
      <c r="M222" s="41"/>
      <c r="N222" s="126" t="s">
        <v>140</v>
      </c>
      <c r="AE222" s="37">
        <v>2048</v>
      </c>
      <c r="AF222" s="779">
        <f t="shared" si="115"/>
        <v>20254057097384.148</v>
      </c>
      <c r="AG222" s="784">
        <f t="shared" si="116"/>
        <v>23706286010448.625</v>
      </c>
      <c r="AH222" s="40" t="str">
        <f t="shared" si="117"/>
        <v/>
      </c>
      <c r="AI222" s="38" t="str">
        <f t="shared" si="118"/>
        <v/>
      </c>
      <c r="AJ222" s="39" t="str">
        <f t="shared" si="119"/>
        <v/>
      </c>
      <c r="AK222" s="40" t="str">
        <f t="shared" si="120"/>
        <v/>
      </c>
      <c r="AL222" s="779">
        <f t="shared" si="121"/>
        <v>12788359422305.676</v>
      </c>
      <c r="AM222" s="39" t="str">
        <f t="shared" si="122"/>
        <v/>
      </c>
      <c r="AN222" s="41" t="str">
        <f t="shared" si="123"/>
        <v/>
      </c>
      <c r="AO222" s="42" t="str">
        <f t="shared" si="124"/>
        <v/>
      </c>
      <c r="AP222" s="41" t="str">
        <f t="shared" si="125"/>
        <v/>
      </c>
      <c r="AQ222" s="5" t="s">
        <v>44</v>
      </c>
    </row>
    <row r="223" spans="1:43" s="219" customFormat="1" ht="28.8" x14ac:dyDescent="0.3">
      <c r="A223" s="5"/>
      <c r="B223" s="37">
        <v>2049</v>
      </c>
      <c r="C223" s="779">
        <f>'Interp-NONURBAN'!I574</f>
        <v>20772.783417782437</v>
      </c>
      <c r="D223" s="780">
        <f>'Interp-NONURBAN'!I704</f>
        <v>24719.138844952515</v>
      </c>
      <c r="E223" s="40"/>
      <c r="F223" s="274"/>
      <c r="G223" s="275"/>
      <c r="H223" s="40"/>
      <c r="I223" s="779">
        <f>'Interp-NONURBAN'!I639</f>
        <v>12955.275133913503</v>
      </c>
      <c r="J223" s="274"/>
      <c r="K223" s="41"/>
      <c r="L223" s="42"/>
      <c r="M223" s="41"/>
      <c r="N223" s="126" t="s">
        <v>140</v>
      </c>
      <c r="AE223" s="37">
        <v>2049</v>
      </c>
      <c r="AF223" s="779">
        <f t="shared" si="115"/>
        <v>20772783417782.438</v>
      </c>
      <c r="AG223" s="784">
        <f t="shared" si="116"/>
        <v>24719138844952.516</v>
      </c>
      <c r="AH223" s="40" t="str">
        <f t="shared" si="117"/>
        <v/>
      </c>
      <c r="AI223" s="38" t="str">
        <f t="shared" si="118"/>
        <v/>
      </c>
      <c r="AJ223" s="39" t="str">
        <f t="shared" si="119"/>
        <v/>
      </c>
      <c r="AK223" s="40" t="str">
        <f t="shared" si="120"/>
        <v/>
      </c>
      <c r="AL223" s="779">
        <f t="shared" si="121"/>
        <v>12955275133913.504</v>
      </c>
      <c r="AM223" s="39" t="str">
        <f t="shared" si="122"/>
        <v/>
      </c>
      <c r="AN223" s="41" t="str">
        <f t="shared" si="123"/>
        <v/>
      </c>
      <c r="AO223" s="42" t="str">
        <f t="shared" si="124"/>
        <v/>
      </c>
      <c r="AP223" s="41" t="str">
        <f t="shared" si="125"/>
        <v/>
      </c>
      <c r="AQ223" s="5" t="s">
        <v>44</v>
      </c>
    </row>
    <row r="224" spans="1:43" s="219" customFormat="1" ht="28.8" x14ac:dyDescent="0.3">
      <c r="A224" s="5"/>
      <c r="B224" s="37">
        <v>2050</v>
      </c>
      <c r="C224" s="779">
        <f>'Interp-NONURBAN'!I575</f>
        <v>21293.544729001278</v>
      </c>
      <c r="D224" s="780">
        <f>'Interp-NONURBAN'!I705</f>
        <v>25774.904623254952</v>
      </c>
      <c r="E224" s="40"/>
      <c r="F224" s="274"/>
      <c r="G224" s="275"/>
      <c r="H224" s="40"/>
      <c r="I224" s="779">
        <f>'Interp-NONURBAN'!I640</f>
        <v>13120.965475352072</v>
      </c>
      <c r="J224" s="274"/>
      <c r="K224" s="41"/>
      <c r="L224" s="42"/>
      <c r="M224" s="41"/>
      <c r="N224" s="126" t="s">
        <v>140</v>
      </c>
      <c r="AE224" s="37">
        <v>2050</v>
      </c>
      <c r="AF224" s="779">
        <f t="shared" si="115"/>
        <v>21293544729001.277</v>
      </c>
      <c r="AG224" s="784">
        <f t="shared" si="116"/>
        <v>25774904623254.953</v>
      </c>
      <c r="AH224" s="40" t="str">
        <f t="shared" si="117"/>
        <v/>
      </c>
      <c r="AI224" s="38" t="str">
        <f t="shared" si="118"/>
        <v/>
      </c>
      <c r="AJ224" s="39" t="str">
        <f t="shared" si="119"/>
        <v/>
      </c>
      <c r="AK224" s="40" t="str">
        <f t="shared" si="120"/>
        <v/>
      </c>
      <c r="AL224" s="779">
        <f t="shared" si="121"/>
        <v>13120965475352.072</v>
      </c>
      <c r="AM224" s="39" t="str">
        <f t="shared" si="122"/>
        <v/>
      </c>
      <c r="AN224" s="41" t="str">
        <f t="shared" si="123"/>
        <v/>
      </c>
      <c r="AO224" s="42" t="str">
        <f t="shared" si="124"/>
        <v/>
      </c>
      <c r="AP224" s="41" t="str">
        <f t="shared" si="125"/>
        <v/>
      </c>
      <c r="AQ224" s="5" t="s">
        <v>44</v>
      </c>
    </row>
    <row r="225" spans="1:44" s="219" customFormat="1" ht="28.8" x14ac:dyDescent="0.3">
      <c r="A225" s="5"/>
      <c r="B225" s="37">
        <v>2051</v>
      </c>
      <c r="C225" s="779">
        <f>'Interp-NONURBAN'!I576</f>
        <v>21816.016087367345</v>
      </c>
      <c r="D225" s="780">
        <f>'Interp-NONURBAN'!I706</f>
        <v>26875.334770880661</v>
      </c>
      <c r="E225" s="40"/>
      <c r="F225" s="274"/>
      <c r="G225" s="275"/>
      <c r="H225" s="40"/>
      <c r="I225" s="779">
        <f>'Interp-NONURBAN'!I641</f>
        <v>13285.460491245458</v>
      </c>
      <c r="J225" s="274"/>
      <c r="K225" s="41"/>
      <c r="L225" s="42"/>
      <c r="M225" s="41"/>
      <c r="N225" s="126" t="s">
        <v>140</v>
      </c>
      <c r="AE225" s="37">
        <v>2051</v>
      </c>
      <c r="AF225" s="779">
        <f t="shared" si="115"/>
        <v>21816016087367.344</v>
      </c>
      <c r="AG225" s="784">
        <f t="shared" si="116"/>
        <v>26875334770880.66</v>
      </c>
      <c r="AH225" s="40" t="str">
        <f t="shared" si="117"/>
        <v/>
      </c>
      <c r="AI225" s="38" t="str">
        <f t="shared" si="118"/>
        <v/>
      </c>
      <c r="AJ225" s="39" t="str">
        <f t="shared" si="119"/>
        <v/>
      </c>
      <c r="AK225" s="40" t="str">
        <f t="shared" si="120"/>
        <v/>
      </c>
      <c r="AL225" s="779">
        <f t="shared" si="121"/>
        <v>13285460491245.457</v>
      </c>
      <c r="AM225" s="39" t="str">
        <f t="shared" si="122"/>
        <v/>
      </c>
      <c r="AN225" s="41" t="str">
        <f t="shared" si="123"/>
        <v/>
      </c>
      <c r="AO225" s="42" t="str">
        <f t="shared" si="124"/>
        <v/>
      </c>
      <c r="AP225" s="41" t="str">
        <f t="shared" si="125"/>
        <v/>
      </c>
      <c r="AQ225" s="5" t="s">
        <v>44</v>
      </c>
    </row>
    <row r="226" spans="1:44" s="219" customFormat="1" ht="28.8" x14ac:dyDescent="0.3">
      <c r="A226" s="5"/>
      <c r="B226" s="37">
        <v>2052</v>
      </c>
      <c r="C226" s="779">
        <f>'Interp-NONURBAN'!I577</f>
        <v>22339.889954384631</v>
      </c>
      <c r="D226" s="780">
        <f>'Interp-NONURBAN'!I707</f>
        <v>28022.241270587128</v>
      </c>
      <c r="E226" s="40"/>
      <c r="F226" s="274"/>
      <c r="G226" s="275"/>
      <c r="H226" s="40"/>
      <c r="I226" s="779">
        <f>'Interp-NONURBAN'!I642</f>
        <v>13448.799979545134</v>
      </c>
      <c r="J226" s="274"/>
      <c r="K226" s="41"/>
      <c r="L226" s="42"/>
      <c r="M226" s="41"/>
      <c r="N226" s="126" t="s">
        <v>140</v>
      </c>
      <c r="AE226" s="37">
        <v>2052</v>
      </c>
      <c r="AF226" s="779">
        <f t="shared" si="115"/>
        <v>22339889954384.633</v>
      </c>
      <c r="AG226" s="784">
        <f t="shared" si="116"/>
        <v>28022241270587.129</v>
      </c>
      <c r="AH226" s="40" t="str">
        <f t="shared" si="117"/>
        <v/>
      </c>
      <c r="AI226" s="38" t="str">
        <f t="shared" si="118"/>
        <v/>
      </c>
      <c r="AJ226" s="39" t="str">
        <f t="shared" si="119"/>
        <v/>
      </c>
      <c r="AK226" s="40" t="str">
        <f t="shared" si="120"/>
        <v/>
      </c>
      <c r="AL226" s="779">
        <f t="shared" si="121"/>
        <v>13448799979545.135</v>
      </c>
      <c r="AM226" s="39" t="str">
        <f t="shared" si="122"/>
        <v/>
      </c>
      <c r="AN226" s="41" t="str">
        <f t="shared" si="123"/>
        <v/>
      </c>
      <c r="AO226" s="42" t="str">
        <f t="shared" si="124"/>
        <v/>
      </c>
      <c r="AP226" s="41" t="str">
        <f t="shared" si="125"/>
        <v/>
      </c>
      <c r="AQ226" s="5" t="s">
        <v>44</v>
      </c>
    </row>
    <row r="227" spans="1:44" s="219" customFormat="1" ht="28.8" x14ac:dyDescent="0.3">
      <c r="A227" s="5"/>
      <c r="B227" s="37">
        <v>2053</v>
      </c>
      <c r="C227" s="779">
        <f>'Interp-NONURBAN'!I578</f>
        <v>22864.873825371924</v>
      </c>
      <c r="D227" s="780">
        <f>'Interp-NONURBAN'!I708</f>
        <v>29217.457391380423</v>
      </c>
      <c r="E227" s="40"/>
      <c r="F227" s="274"/>
      <c r="G227" s="275"/>
      <c r="H227" s="40"/>
      <c r="I227" s="779">
        <f>'Interp-NONURBAN'!I643</f>
        <v>13611.03147507681</v>
      </c>
      <c r="J227" s="274"/>
      <c r="K227" s="41"/>
      <c r="L227" s="42"/>
      <c r="M227" s="41"/>
      <c r="N227" s="126" t="s">
        <v>140</v>
      </c>
      <c r="AE227" s="37">
        <v>2053</v>
      </c>
      <c r="AF227" s="779">
        <f t="shared" si="115"/>
        <v>22864873825371.926</v>
      </c>
      <c r="AG227" s="784">
        <f t="shared" si="116"/>
        <v>29217457391380.422</v>
      </c>
      <c r="AH227" s="40" t="str">
        <f t="shared" si="117"/>
        <v/>
      </c>
      <c r="AI227" s="38" t="str">
        <f t="shared" si="118"/>
        <v/>
      </c>
      <c r="AJ227" s="39" t="str">
        <f t="shared" si="119"/>
        <v/>
      </c>
      <c r="AK227" s="40" t="str">
        <f t="shared" si="120"/>
        <v/>
      </c>
      <c r="AL227" s="779">
        <f t="shared" si="121"/>
        <v>13611031475076.811</v>
      </c>
      <c r="AM227" s="39" t="str">
        <f t="shared" si="122"/>
        <v/>
      </c>
      <c r="AN227" s="41" t="str">
        <f t="shared" si="123"/>
        <v/>
      </c>
      <c r="AO227" s="42" t="str">
        <f t="shared" si="124"/>
        <v/>
      </c>
      <c r="AP227" s="41" t="str">
        <f t="shared" si="125"/>
        <v/>
      </c>
      <c r="AQ227" s="5" t="s">
        <v>44</v>
      </c>
    </row>
    <row r="228" spans="1:44" s="219" customFormat="1" ht="28.8" x14ac:dyDescent="0.3">
      <c r="A228" s="5"/>
      <c r="B228" s="37">
        <v>2054</v>
      </c>
      <c r="C228" s="779">
        <f>'Interp-NONURBAN'!I579</f>
        <v>23390.688104098801</v>
      </c>
      <c r="D228" s="780">
        <f>'Interp-NONURBAN'!I709</f>
        <v>30462.868323475985</v>
      </c>
      <c r="E228" s="40"/>
      <c r="F228" s="274"/>
      <c r="G228" s="275"/>
      <c r="H228" s="40"/>
      <c r="I228" s="779">
        <f>'Interp-NONURBAN'!I644</f>
        <v>13772.208530401624</v>
      </c>
      <c r="J228" s="274"/>
      <c r="K228" s="41"/>
      <c r="L228" s="42"/>
      <c r="M228" s="41"/>
      <c r="N228" s="126" t="s">
        <v>140</v>
      </c>
      <c r="AE228" s="37">
        <v>2054</v>
      </c>
      <c r="AF228" s="779">
        <f t="shared" si="115"/>
        <v>23390688104098.801</v>
      </c>
      <c r="AG228" s="784">
        <f t="shared" si="116"/>
        <v>30462868323475.984</v>
      </c>
      <c r="AH228" s="40" t="str">
        <f t="shared" si="117"/>
        <v/>
      </c>
      <c r="AI228" s="38" t="str">
        <f t="shared" si="118"/>
        <v/>
      </c>
      <c r="AJ228" s="39" t="str">
        <f t="shared" si="119"/>
        <v/>
      </c>
      <c r="AK228" s="40" t="str">
        <f t="shared" si="120"/>
        <v/>
      </c>
      <c r="AL228" s="779">
        <f t="shared" si="121"/>
        <v>13772208530401.623</v>
      </c>
      <c r="AM228" s="39" t="str">
        <f t="shared" si="122"/>
        <v/>
      </c>
      <c r="AN228" s="41" t="str">
        <f t="shared" si="123"/>
        <v/>
      </c>
      <c r="AO228" s="42" t="str">
        <f t="shared" si="124"/>
        <v/>
      </c>
      <c r="AP228" s="41" t="str">
        <f t="shared" si="125"/>
        <v/>
      </c>
      <c r="AQ228" s="5" t="s">
        <v>44</v>
      </c>
    </row>
    <row r="229" spans="1:44" s="219" customFormat="1" ht="28.8" x14ac:dyDescent="0.3">
      <c r="A229" s="5"/>
      <c r="B229" s="37">
        <v>2055</v>
      </c>
      <c r="C229" s="779">
        <f>'Interp-NONURBAN'!I580</f>
        <v>23917.048778717097</v>
      </c>
      <c r="D229" s="780">
        <f>'Interp-NONURBAN'!I710</f>
        <v>31760.454631568224</v>
      </c>
      <c r="E229" s="40"/>
      <c r="F229" s="274"/>
      <c r="G229" s="275"/>
      <c r="H229" s="40"/>
      <c r="I229" s="779">
        <f>'Interp-NONURBAN'!I645</f>
        <v>13932.380324937083</v>
      </c>
      <c r="J229" s="274"/>
      <c r="K229" s="41"/>
      <c r="L229" s="42"/>
      <c r="M229" s="41"/>
      <c r="N229" s="126" t="s">
        <v>140</v>
      </c>
      <c r="AE229" s="37">
        <v>2055</v>
      </c>
      <c r="AF229" s="779">
        <f t="shared" si="115"/>
        <v>23917048778717.098</v>
      </c>
      <c r="AG229" s="784">
        <f t="shared" si="116"/>
        <v>31760454631568.223</v>
      </c>
      <c r="AH229" s="40" t="str">
        <f t="shared" si="117"/>
        <v/>
      </c>
      <c r="AI229" s="38" t="str">
        <f t="shared" si="118"/>
        <v/>
      </c>
      <c r="AJ229" s="39" t="str">
        <f t="shared" si="119"/>
        <v/>
      </c>
      <c r="AK229" s="40" t="str">
        <f t="shared" si="120"/>
        <v/>
      </c>
      <c r="AL229" s="779">
        <f t="shared" si="121"/>
        <v>13932380324937.084</v>
      </c>
      <c r="AM229" s="39" t="str">
        <f t="shared" si="122"/>
        <v/>
      </c>
      <c r="AN229" s="41" t="str">
        <f t="shared" si="123"/>
        <v/>
      </c>
      <c r="AO229" s="42" t="str">
        <f t="shared" si="124"/>
        <v/>
      </c>
      <c r="AP229" s="41" t="str">
        <f t="shared" si="125"/>
        <v/>
      </c>
      <c r="AQ229" s="5" t="s">
        <v>44</v>
      </c>
    </row>
    <row r="230" spans="1:44" s="219" customFormat="1" ht="28.8" x14ac:dyDescent="0.3">
      <c r="A230" s="5"/>
      <c r="B230" s="37">
        <v>2056</v>
      </c>
      <c r="C230" s="779">
        <f>'Interp-NONURBAN'!I581</f>
        <v>24443.65013221946</v>
      </c>
      <c r="D230" s="780">
        <f>'Interp-NONURBAN'!I711</f>
        <v>33112.307326516922</v>
      </c>
      <c r="E230" s="40"/>
      <c r="F230" s="274"/>
      <c r="G230" s="275"/>
      <c r="H230" s="40"/>
      <c r="I230" s="779">
        <f>'Interp-NONURBAN'!I646</f>
        <v>14091.581957620027</v>
      </c>
      <c r="J230" s="274"/>
      <c r="K230" s="41"/>
      <c r="L230" s="42"/>
      <c r="M230" s="41"/>
      <c r="N230" s="126" t="s">
        <v>140</v>
      </c>
      <c r="AE230" s="37">
        <v>2056</v>
      </c>
      <c r="AF230" s="779">
        <f t="shared" si="115"/>
        <v>24443650132219.461</v>
      </c>
      <c r="AG230" s="784">
        <f t="shared" si="116"/>
        <v>33112307326516.922</v>
      </c>
      <c r="AH230" s="40" t="str">
        <f t="shared" si="117"/>
        <v/>
      </c>
      <c r="AI230" s="38" t="str">
        <f t="shared" si="118"/>
        <v/>
      </c>
      <c r="AJ230" s="39" t="str">
        <f t="shared" si="119"/>
        <v/>
      </c>
      <c r="AK230" s="40" t="str">
        <f t="shared" si="120"/>
        <v/>
      </c>
      <c r="AL230" s="779">
        <f t="shared" si="121"/>
        <v>14091581957620.027</v>
      </c>
      <c r="AM230" s="39" t="str">
        <f t="shared" si="122"/>
        <v/>
      </c>
      <c r="AN230" s="41" t="str">
        <f t="shared" si="123"/>
        <v/>
      </c>
      <c r="AO230" s="42" t="str">
        <f t="shared" si="124"/>
        <v/>
      </c>
      <c r="AP230" s="41" t="str">
        <f t="shared" si="125"/>
        <v/>
      </c>
      <c r="AQ230" s="5" t="s">
        <v>44</v>
      </c>
    </row>
    <row r="231" spans="1:44" s="219" customFormat="1" ht="28.8" x14ac:dyDescent="0.3">
      <c r="A231" s="5"/>
      <c r="B231" s="37">
        <v>2057</v>
      </c>
      <c r="C231" s="779">
        <f>'Interp-NONURBAN'!I582</f>
        <v>24970.17958236234</v>
      </c>
      <c r="D231" s="780">
        <f>'Interp-NONURBAN'!I712</f>
        <v>34520.647955767061</v>
      </c>
      <c r="E231" s="40"/>
      <c r="F231" s="274"/>
      <c r="G231" s="275"/>
      <c r="H231" s="40"/>
      <c r="I231" s="779">
        <f>'Interp-NONURBAN'!I647</f>
        <v>14249.843544763711</v>
      </c>
      <c r="J231" s="274"/>
      <c r="K231" s="41"/>
      <c r="L231" s="42"/>
      <c r="M231" s="41"/>
      <c r="N231" s="126" t="s">
        <v>140</v>
      </c>
      <c r="AE231" s="37">
        <v>2057</v>
      </c>
      <c r="AF231" s="779">
        <f t="shared" si="115"/>
        <v>24970179582362.34</v>
      </c>
      <c r="AG231" s="784">
        <f t="shared" si="116"/>
        <v>34520647955767.063</v>
      </c>
      <c r="AH231" s="40" t="str">
        <f t="shared" si="117"/>
        <v/>
      </c>
      <c r="AI231" s="38" t="str">
        <f t="shared" si="118"/>
        <v/>
      </c>
      <c r="AJ231" s="39" t="str">
        <f t="shared" si="119"/>
        <v/>
      </c>
      <c r="AK231" s="40" t="str">
        <f t="shared" si="120"/>
        <v/>
      </c>
      <c r="AL231" s="779">
        <f t="shared" si="121"/>
        <v>14249843544763.711</v>
      </c>
      <c r="AM231" s="39" t="str">
        <f t="shared" si="122"/>
        <v/>
      </c>
      <c r="AN231" s="41" t="str">
        <f t="shared" si="123"/>
        <v/>
      </c>
      <c r="AO231" s="42" t="str">
        <f t="shared" si="124"/>
        <v/>
      </c>
      <c r="AP231" s="41" t="str">
        <f t="shared" si="125"/>
        <v/>
      </c>
      <c r="AQ231" s="5" t="s">
        <v>44</v>
      </c>
    </row>
    <row r="232" spans="1:44" s="219" customFormat="1" ht="28.8" x14ac:dyDescent="0.3">
      <c r="A232" s="5"/>
      <c r="B232" s="37">
        <v>2058</v>
      </c>
      <c r="C232" s="779">
        <f>'Interp-NONURBAN'!I583</f>
        <v>25496.341081979939</v>
      </c>
      <c r="D232" s="780">
        <f>'Interp-NONURBAN'!I713</f>
        <v>35987.819142567438</v>
      </c>
      <c r="E232" s="40"/>
      <c r="F232" s="274"/>
      <c r="G232" s="275"/>
      <c r="H232" s="40"/>
      <c r="I232" s="779">
        <f>'Interp-NONURBAN'!I648</f>
        <v>14407.20355448631</v>
      </c>
      <c r="J232" s="274"/>
      <c r="K232" s="41"/>
      <c r="L232" s="42"/>
      <c r="M232" s="41"/>
      <c r="N232" s="126" t="s">
        <v>140</v>
      </c>
      <c r="AE232" s="37">
        <v>2058</v>
      </c>
      <c r="AF232" s="779">
        <f t="shared" si="115"/>
        <v>25496341081979.938</v>
      </c>
      <c r="AG232" s="784">
        <f t="shared" si="116"/>
        <v>35987819142567.438</v>
      </c>
      <c r="AH232" s="40" t="str">
        <f t="shared" si="117"/>
        <v/>
      </c>
      <c r="AI232" s="38" t="str">
        <f t="shared" si="118"/>
        <v/>
      </c>
      <c r="AJ232" s="39" t="str">
        <f t="shared" si="119"/>
        <v/>
      </c>
      <c r="AK232" s="40" t="str">
        <f t="shared" si="120"/>
        <v/>
      </c>
      <c r="AL232" s="779">
        <f t="shared" si="121"/>
        <v>14407203554486.311</v>
      </c>
      <c r="AM232" s="39" t="str">
        <f t="shared" si="122"/>
        <v/>
      </c>
      <c r="AN232" s="41" t="str">
        <f t="shared" si="123"/>
        <v/>
      </c>
      <c r="AO232" s="42" t="str">
        <f t="shared" si="124"/>
        <v/>
      </c>
      <c r="AP232" s="41" t="str">
        <f t="shared" si="125"/>
        <v/>
      </c>
      <c r="AQ232" s="5" t="s">
        <v>44</v>
      </c>
    </row>
    <row r="233" spans="1:44" s="219" customFormat="1" ht="28.8" x14ac:dyDescent="0.3">
      <c r="A233" s="5"/>
      <c r="B233" s="37">
        <v>2059</v>
      </c>
      <c r="C233" s="779">
        <f>'Interp-NONURBAN'!I584</f>
        <v>26021.84150764162</v>
      </c>
      <c r="D233" s="780">
        <f>'Interp-NONURBAN'!I714</f>
        <v>37516.294679631792</v>
      </c>
      <c r="E233" s="40"/>
      <c r="F233" s="274"/>
      <c r="G233" s="275"/>
      <c r="H233" s="40"/>
      <c r="I233" s="779">
        <f>'Interp-NONURBAN'!I649</f>
        <v>14563.700773999373</v>
      </c>
      <c r="J233" s="274"/>
      <c r="K233" s="41"/>
      <c r="L233" s="42"/>
      <c r="M233" s="41"/>
      <c r="N233" s="126" t="s">
        <v>140</v>
      </c>
      <c r="AE233" s="37">
        <v>2059</v>
      </c>
      <c r="AF233" s="779">
        <f t="shared" si="115"/>
        <v>26021841507641.621</v>
      </c>
      <c r="AG233" s="784">
        <f t="shared" si="116"/>
        <v>37516294679631.789</v>
      </c>
      <c r="AH233" s="40" t="str">
        <f t="shared" si="117"/>
        <v/>
      </c>
      <c r="AI233" s="38" t="str">
        <f t="shared" si="118"/>
        <v/>
      </c>
      <c r="AJ233" s="39" t="str">
        <f t="shared" si="119"/>
        <v/>
      </c>
      <c r="AK233" s="40" t="str">
        <f t="shared" si="120"/>
        <v/>
      </c>
      <c r="AL233" s="779">
        <f t="shared" si="121"/>
        <v>14563700773999.373</v>
      </c>
      <c r="AM233" s="39" t="str">
        <f t="shared" si="122"/>
        <v/>
      </c>
      <c r="AN233" s="41" t="str">
        <f t="shared" si="123"/>
        <v/>
      </c>
      <c r="AO233" s="42" t="str">
        <f t="shared" si="124"/>
        <v/>
      </c>
      <c r="AP233" s="41" t="str">
        <f t="shared" si="125"/>
        <v/>
      </c>
      <c r="AQ233" s="5" t="s">
        <v>44</v>
      </c>
    </row>
    <row r="234" spans="1:44" s="219" customFormat="1" ht="25.05" customHeight="1" thickBot="1" x14ac:dyDescent="0.35">
      <c r="A234" s="238" t="s">
        <v>246</v>
      </c>
      <c r="B234" s="37">
        <v>2060</v>
      </c>
      <c r="C234" s="779">
        <f>'Interp-NONURBAN'!I585</f>
        <v>26546.384912214529</v>
      </c>
      <c r="D234" s="780">
        <f>'Interp-NONURBAN'!I715</f>
        <v>39108.648870315577</v>
      </c>
      <c r="E234" s="40"/>
      <c r="F234" s="274"/>
      <c r="G234" s="275"/>
      <c r="H234" s="40"/>
      <c r="I234" s="779">
        <f>'Interp-NONURBAN'!I650</f>
        <v>14719.37108114146</v>
      </c>
      <c r="J234" s="274"/>
      <c r="K234" s="41"/>
      <c r="L234" s="42"/>
      <c r="M234" s="63"/>
      <c r="N234" s="126" t="s">
        <v>140</v>
      </c>
      <c r="AE234" s="37">
        <v>2060</v>
      </c>
      <c r="AF234" s="779">
        <f t="shared" si="115"/>
        <v>26546384912214.531</v>
      </c>
      <c r="AG234" s="784">
        <f t="shared" si="116"/>
        <v>39108648870315.578</v>
      </c>
      <c r="AH234" s="40" t="str">
        <f t="shared" si="117"/>
        <v/>
      </c>
      <c r="AI234" s="38" t="str">
        <f t="shared" si="118"/>
        <v/>
      </c>
      <c r="AJ234" s="39" t="str">
        <f t="shared" si="119"/>
        <v/>
      </c>
      <c r="AK234" s="40" t="str">
        <f t="shared" si="120"/>
        <v/>
      </c>
      <c r="AL234" s="779">
        <f t="shared" si="121"/>
        <v>14719371081141.461</v>
      </c>
      <c r="AM234" s="39" t="str">
        <f t="shared" si="122"/>
        <v/>
      </c>
      <c r="AN234" s="41" t="str">
        <f t="shared" si="123"/>
        <v/>
      </c>
      <c r="AO234" s="42" t="str">
        <f t="shared" si="124"/>
        <v/>
      </c>
      <c r="AP234" s="63" t="str">
        <f t="shared" si="125"/>
        <v/>
      </c>
      <c r="AQ234" s="5" t="s">
        <v>44</v>
      </c>
      <c r="AR234" s="238" t="s">
        <v>246</v>
      </c>
    </row>
    <row r="235" spans="1:44" s="219" customFormat="1" ht="14.4" x14ac:dyDescent="0.3">
      <c r="A235" s="5"/>
      <c r="B235" s="5"/>
      <c r="C235" s="5"/>
      <c r="D235" s="5"/>
      <c r="E235" s="5"/>
      <c r="F235" s="5"/>
      <c r="G235" s="5"/>
      <c r="H235" s="5"/>
      <c r="I235" s="5"/>
      <c r="J235" s="5"/>
      <c r="K235" s="5"/>
      <c r="L235" s="5"/>
      <c r="M235" s="5"/>
      <c r="N235" s="5"/>
      <c r="AF235" s="5"/>
      <c r="AG235" s="5"/>
      <c r="AH235" s="5"/>
      <c r="AI235" s="5"/>
      <c r="AJ235" s="5"/>
      <c r="AK235" s="5"/>
      <c r="AL235" s="5"/>
      <c r="AM235" s="5"/>
      <c r="AN235" s="5"/>
      <c r="AQ235" s="5"/>
    </row>
    <row r="238" spans="1:44" s="249" customFormat="1" ht="18.75" customHeight="1" x14ac:dyDescent="0.3">
      <c r="A238" s="27" t="s">
        <v>285</v>
      </c>
      <c r="B238" s="5"/>
      <c r="C238" s="5"/>
      <c r="D238" s="5"/>
      <c r="E238" s="5"/>
      <c r="F238" s="5"/>
      <c r="G238" s="5"/>
      <c r="H238" s="5"/>
      <c r="I238" s="5"/>
      <c r="J238" s="5"/>
      <c r="K238" s="5"/>
      <c r="L238" s="5"/>
      <c r="M238" s="5"/>
      <c r="N238" s="5"/>
      <c r="AF238" s="5"/>
      <c r="AG238" s="5"/>
      <c r="AH238" s="5"/>
      <c r="AI238" s="5"/>
      <c r="AJ238" s="5"/>
      <c r="AK238" s="5"/>
      <c r="AL238" s="5"/>
      <c r="AM238" s="5"/>
      <c r="AN238" s="5"/>
      <c r="AQ238" s="5"/>
    </row>
    <row r="239" spans="1:44" s="249" customFormat="1" ht="18" x14ac:dyDescent="0.35">
      <c r="A239" s="5"/>
      <c r="B239" s="5"/>
      <c r="C239" s="5"/>
      <c r="D239" s="5"/>
      <c r="E239" s="5"/>
      <c r="F239" s="28"/>
      <c r="G239" s="5"/>
      <c r="H239" s="5"/>
      <c r="I239" s="5"/>
      <c r="J239" s="5"/>
      <c r="K239" s="5"/>
      <c r="L239" s="5"/>
      <c r="M239" s="5"/>
      <c r="N239" s="5"/>
      <c r="AF239" s="131" t="s">
        <v>31</v>
      </c>
      <c r="AG239" s="5"/>
      <c r="AH239" s="5"/>
      <c r="AI239" s="5"/>
      <c r="AJ239" s="5"/>
      <c r="AK239" s="5"/>
      <c r="AL239" s="5"/>
      <c r="AM239" s="5"/>
      <c r="AN239" s="5"/>
      <c r="AQ239" s="5"/>
    </row>
    <row r="240" spans="1:44" s="249" customFormat="1" ht="19.5" customHeight="1" thickBot="1" x14ac:dyDescent="0.35">
      <c r="A240" s="27" t="s">
        <v>32</v>
      </c>
      <c r="B240" s="5"/>
      <c r="C240" s="5"/>
      <c r="D240" s="5"/>
      <c r="E240" s="5"/>
      <c r="F240" s="5"/>
      <c r="G240" s="5"/>
      <c r="H240" s="5"/>
      <c r="I240" s="5"/>
      <c r="J240" s="5"/>
      <c r="K240" s="5"/>
      <c r="L240" s="5"/>
      <c r="M240" s="5"/>
      <c r="N240" s="5"/>
      <c r="AF240" s="5"/>
      <c r="AG240" s="5"/>
      <c r="AH240" s="5"/>
      <c r="AI240" s="5"/>
      <c r="AJ240" s="5"/>
      <c r="AK240" s="5"/>
      <c r="AL240" s="5"/>
      <c r="AM240" s="5"/>
      <c r="AN240" s="5"/>
      <c r="AQ240" s="5"/>
    </row>
    <row r="241" spans="1:43" s="249" customFormat="1" ht="16.5" customHeight="1" thickBot="1" x14ac:dyDescent="0.35">
      <c r="A241" s="29" t="s">
        <v>33</v>
      </c>
      <c r="B241" s="5"/>
      <c r="C241" s="856" t="s">
        <v>34</v>
      </c>
      <c r="D241" s="857"/>
      <c r="E241" s="858"/>
      <c r="F241" s="859" t="s">
        <v>29</v>
      </c>
      <c r="G241" s="857"/>
      <c r="H241" s="858"/>
      <c r="I241" s="860" t="s">
        <v>35</v>
      </c>
      <c r="J241" s="857"/>
      <c r="K241" s="858"/>
      <c r="L241" s="861" t="s">
        <v>36</v>
      </c>
      <c r="M241" s="858"/>
      <c r="N241" s="5"/>
      <c r="AF241" s="856" t="s">
        <v>34</v>
      </c>
      <c r="AG241" s="857"/>
      <c r="AH241" s="858"/>
      <c r="AI241" s="859" t="s">
        <v>29</v>
      </c>
      <c r="AJ241" s="857"/>
      <c r="AK241" s="858"/>
      <c r="AL241" s="860" t="s">
        <v>35</v>
      </c>
      <c r="AM241" s="857"/>
      <c r="AN241" s="858"/>
      <c r="AO241" s="861" t="s">
        <v>36</v>
      </c>
      <c r="AP241" s="858"/>
      <c r="AQ241" s="5"/>
    </row>
    <row r="242" spans="1:43" s="249" customFormat="1" ht="129" customHeight="1" thickBot="1" x14ac:dyDescent="0.35">
      <c r="A242" s="29" t="s">
        <v>37</v>
      </c>
      <c r="B242" s="5"/>
      <c r="C242" s="127" t="str">
        <f t="array" ref="C242:M242">TRANSPOSE(A243:A253)</f>
        <v>Based on IEA (2016) ETP 6DS/4DS Projection of BUSINESS Air Travel + Telepresence Adjustment</v>
      </c>
      <c r="D242" s="128" t="str">
        <v>Based on Airbus (2015) Global Market Forecast BUSINESS  Air Travel 2016-2035 with projections extended + Telepresence Adjustment</v>
      </c>
      <c r="E242" s="129" t="str">
        <v>Based on Boeing (2017) Current Market Outlook BUSINESS  Air Travel 2017-2036 + Telepresence Adjustment</v>
      </c>
      <c r="F242" s="127" t="str">
        <v>[Source 1 - Conservative]</v>
      </c>
      <c r="G242" s="128" t="str">
        <v>[Source 2 - Conservative]</v>
      </c>
      <c r="H242" s="129" t="str">
        <v>[Source 3 - Conservative]</v>
      </c>
      <c r="I242" s="127" t="str">
        <v>Based on IEA (2016) ETP 2DS Projection of BUSINESS Air Travel + Telepresence Adjustment</v>
      </c>
      <c r="J242" s="128" t="str">
        <v>[Source 2 - Ambitious]</v>
      </c>
      <c r="K242" s="129" t="str">
        <v>[Source 3 - Ambitious]</v>
      </c>
      <c r="L242" s="127" t="str">
        <v>[Source 1 - Maximum]</v>
      </c>
      <c r="M242" s="129" t="str">
        <v>[Source 2 - Maximum]</v>
      </c>
      <c r="N242" s="130" t="s">
        <v>43</v>
      </c>
      <c r="AF242" s="127" t="str">
        <f t="shared" ref="AF242" si="126">C242</f>
        <v>Based on IEA (2016) ETP 6DS/4DS Projection of BUSINESS Air Travel + Telepresence Adjustment</v>
      </c>
      <c r="AG242" s="128" t="str">
        <f t="shared" ref="AG242" si="127">D242</f>
        <v>Based on Airbus (2015) Global Market Forecast BUSINESS  Air Travel 2016-2035 with projections extended + Telepresence Adjustment</v>
      </c>
      <c r="AH242" s="129" t="str">
        <f t="shared" ref="AH242" si="128">E242</f>
        <v>Based on Boeing (2017) Current Market Outlook BUSINESS  Air Travel 2017-2036 + Telepresence Adjustment</v>
      </c>
      <c r="AI242" s="127" t="str">
        <f t="shared" ref="AI242" si="129">F242</f>
        <v>[Source 1 - Conservative]</v>
      </c>
      <c r="AJ242" s="128" t="str">
        <f t="shared" ref="AJ242" si="130">G242</f>
        <v>[Source 2 - Conservative]</v>
      </c>
      <c r="AK242" s="129" t="str">
        <f t="shared" ref="AK242" si="131">H242</f>
        <v>[Source 3 - Conservative]</v>
      </c>
      <c r="AL242" s="127" t="str">
        <f t="shared" ref="AL242" si="132">I242</f>
        <v>Based on IEA (2016) ETP 2DS Projection of BUSINESS Air Travel + Telepresence Adjustment</v>
      </c>
      <c r="AM242" s="128" t="str">
        <f t="shared" ref="AM242" si="133">J242</f>
        <v>[Source 2 - Ambitious]</v>
      </c>
      <c r="AN242" s="129" t="str">
        <f t="shared" ref="AN242" si="134">K242</f>
        <v>[Source 3 - Ambitious]</v>
      </c>
      <c r="AO242" s="127" t="str">
        <f t="shared" ref="AO242" si="135">L242</f>
        <v>[Source 1 - Maximum]</v>
      </c>
      <c r="AP242" s="129" t="str">
        <f t="shared" ref="AP242" si="136">M242</f>
        <v>[Source 2 - Maximum]</v>
      </c>
      <c r="AQ242" s="130" t="s">
        <v>43</v>
      </c>
    </row>
    <row r="243" spans="1:43" s="249" customFormat="1" ht="30" customHeight="1" x14ac:dyDescent="0.3">
      <c r="A243" s="240" t="s">
        <v>288</v>
      </c>
      <c r="B243" s="37">
        <v>2012</v>
      </c>
      <c r="C243" s="779">
        <f>'Interp-NONURBAN'!I277/10^9</f>
        <v>2102.2620335381825</v>
      </c>
      <c r="D243" s="780">
        <f>'Interp-NONURBAN'!I342/10^9</f>
        <v>1956.006587641944</v>
      </c>
      <c r="E243" s="785">
        <f>'Interp-NONURBAN'!I472/10^9</f>
        <v>2021.937974290669</v>
      </c>
      <c r="F243" s="38"/>
      <c r="G243" s="39"/>
      <c r="H243" s="40"/>
      <c r="I243" s="779">
        <f>'Interp-NONURBAN'!I407/10^9</f>
        <v>2118.9290662598996</v>
      </c>
      <c r="J243" s="39"/>
      <c r="K243" s="41"/>
      <c r="L243" s="42"/>
      <c r="M243" s="41"/>
      <c r="N243" s="126" t="s">
        <v>140</v>
      </c>
      <c r="AE243" s="37">
        <v>2012</v>
      </c>
      <c r="AF243" s="779">
        <f t="shared" ref="AF243:AF291" si="137">IF(C243&lt;&gt;"",C243*10^9,"")</f>
        <v>2102262033538.1826</v>
      </c>
      <c r="AG243" s="780">
        <f t="shared" ref="AG243:AG291" si="138">IF(D243&lt;&gt;"",D243*10^9,"")</f>
        <v>1956006587641.9438</v>
      </c>
      <c r="AH243" s="785">
        <f t="shared" ref="AH243:AH291" si="139">IF(E243&lt;&gt;"",E243*10^9,"")</f>
        <v>2021937974290.6689</v>
      </c>
      <c r="AI243" s="38" t="str">
        <f t="shared" ref="AI243:AI291" si="140">IF(F243&lt;&gt;"",F243*10^9,"")</f>
        <v/>
      </c>
      <c r="AJ243" s="39" t="str">
        <f t="shared" ref="AJ243:AJ291" si="141">IF(G243&lt;&gt;"",G243*10^9,"")</f>
        <v/>
      </c>
      <c r="AK243" s="40" t="str">
        <f t="shared" ref="AK243:AK291" si="142">IF(H243&lt;&gt;"",H243*10^9,"")</f>
        <v/>
      </c>
      <c r="AL243" s="779">
        <f t="shared" ref="AL243:AL291" si="143">IF(I243&lt;&gt;"",I243*10^9,"")</f>
        <v>2118929066259.8997</v>
      </c>
      <c r="AM243" s="39" t="str">
        <f t="shared" ref="AM243:AM291" si="144">IF(J243&lt;&gt;"",J243*10^9,"")</f>
        <v/>
      </c>
      <c r="AN243" s="41" t="str">
        <f t="shared" ref="AN243:AN291" si="145">IF(K243&lt;&gt;"",K243*10^9,"")</f>
        <v/>
      </c>
      <c r="AO243" s="42" t="str">
        <f t="shared" ref="AO243:AO291" si="146">IF(L243&lt;&gt;"",L243*10^9,"")</f>
        <v/>
      </c>
      <c r="AP243" s="41" t="str">
        <f t="shared" ref="AP243:AP291" si="147">IF(M243&lt;&gt;"",M243*10^9,"")</f>
        <v/>
      </c>
      <c r="AQ243" s="5" t="s">
        <v>44</v>
      </c>
    </row>
    <row r="244" spans="1:43" s="249" customFormat="1" ht="30" customHeight="1" x14ac:dyDescent="0.3">
      <c r="A244" s="243" t="s">
        <v>289</v>
      </c>
      <c r="B244" s="37">
        <v>2013</v>
      </c>
      <c r="C244" s="779">
        <f>'Interp-NONURBAN'!I278/10^9</f>
        <v>2195.5158085460766</v>
      </c>
      <c r="D244" s="780">
        <f>'Interp-NONURBAN'!I343/10^9</f>
        <v>2030.5014126681729</v>
      </c>
      <c r="E244" s="785">
        <f>'Interp-NONURBAN'!I473/10^9</f>
        <v>2122.3840701165332</v>
      </c>
      <c r="F244" s="38"/>
      <c r="G244" s="39"/>
      <c r="H244" s="40"/>
      <c r="I244" s="779">
        <f>'Interp-NONURBAN'!I408/10^9</f>
        <v>2211.5906387812802</v>
      </c>
      <c r="J244" s="39"/>
      <c r="K244" s="41"/>
      <c r="L244" s="42"/>
      <c r="M244" s="41"/>
      <c r="N244" s="126" t="s">
        <v>140</v>
      </c>
      <c r="AE244" s="37">
        <v>2013</v>
      </c>
      <c r="AF244" s="779">
        <f t="shared" si="137"/>
        <v>2195515808546.0767</v>
      </c>
      <c r="AG244" s="780">
        <f t="shared" si="138"/>
        <v>2030501412668.1729</v>
      </c>
      <c r="AH244" s="785">
        <f t="shared" si="139"/>
        <v>2122384070116.5332</v>
      </c>
      <c r="AI244" s="38" t="str">
        <f t="shared" si="140"/>
        <v/>
      </c>
      <c r="AJ244" s="39" t="str">
        <f t="shared" si="141"/>
        <v/>
      </c>
      <c r="AK244" s="40" t="str">
        <f t="shared" si="142"/>
        <v/>
      </c>
      <c r="AL244" s="779">
        <f t="shared" si="143"/>
        <v>2211590638781.2803</v>
      </c>
      <c r="AM244" s="39" t="str">
        <f t="shared" si="144"/>
        <v/>
      </c>
      <c r="AN244" s="41" t="str">
        <f t="shared" si="145"/>
        <v/>
      </c>
      <c r="AO244" s="42" t="str">
        <f t="shared" si="146"/>
        <v/>
      </c>
      <c r="AP244" s="41" t="str">
        <f t="shared" si="147"/>
        <v/>
      </c>
      <c r="AQ244" s="5" t="s">
        <v>44</v>
      </c>
    </row>
    <row r="245" spans="1:43" s="249" customFormat="1" ht="37.200000000000003" customHeight="1" thickBot="1" x14ac:dyDescent="0.35">
      <c r="A245" s="242" t="s">
        <v>290</v>
      </c>
      <c r="B245" s="37">
        <v>2014</v>
      </c>
      <c r="C245" s="779">
        <f>'Interp-NONURBAN'!I279/10^9</f>
        <v>2305.8188222494018</v>
      </c>
      <c r="D245" s="780">
        <f>'Interp-NONURBAN'!I344/10^9</f>
        <v>2124.5129472750746</v>
      </c>
      <c r="E245" s="785">
        <f>'Interp-NONURBAN'!I474/10^9</f>
        <v>2239.205931819763</v>
      </c>
      <c r="F245" s="38"/>
      <c r="G245" s="39"/>
      <c r="H245" s="40"/>
      <c r="I245" s="779">
        <f>'Interp-NONURBAN'!I409/10^9</f>
        <v>2315.7957620872407</v>
      </c>
      <c r="J245" s="46"/>
      <c r="K245" s="49"/>
      <c r="L245" s="50"/>
      <c r="M245" s="49"/>
      <c r="N245" s="126" t="s">
        <v>140</v>
      </c>
      <c r="AE245" s="37">
        <v>2014</v>
      </c>
      <c r="AF245" s="783">
        <f t="shared" si="137"/>
        <v>2305818822249.4019</v>
      </c>
      <c r="AG245" s="782">
        <f t="shared" si="138"/>
        <v>2124512947275.0745</v>
      </c>
      <c r="AH245" s="786">
        <f t="shared" si="139"/>
        <v>2239205931819.7632</v>
      </c>
      <c r="AI245" s="48" t="str">
        <f t="shared" si="140"/>
        <v/>
      </c>
      <c r="AJ245" s="46" t="str">
        <f t="shared" si="141"/>
        <v/>
      </c>
      <c r="AK245" s="47" t="str">
        <f t="shared" si="142"/>
        <v/>
      </c>
      <c r="AL245" s="781">
        <f t="shared" si="143"/>
        <v>2315795762087.2407</v>
      </c>
      <c r="AM245" s="46" t="str">
        <f t="shared" si="144"/>
        <v/>
      </c>
      <c r="AN245" s="49" t="str">
        <f t="shared" si="145"/>
        <v/>
      </c>
      <c r="AO245" s="50" t="str">
        <f t="shared" si="146"/>
        <v/>
      </c>
      <c r="AP245" s="49" t="str">
        <f t="shared" si="147"/>
        <v/>
      </c>
      <c r="AQ245" s="5" t="s">
        <v>44</v>
      </c>
    </row>
    <row r="246" spans="1:43" s="249" customFormat="1" ht="30" customHeight="1" x14ac:dyDescent="0.3">
      <c r="A246" s="240" t="s">
        <v>173</v>
      </c>
      <c r="B246" s="37">
        <v>2015</v>
      </c>
      <c r="C246" s="779">
        <f>'Interp-NONURBAN'!I280/10^9</f>
        <v>2407.6741826193529</v>
      </c>
      <c r="D246" s="780">
        <f>'Interp-NONURBAN'!I345/10^9</f>
        <v>2214.7578449765524</v>
      </c>
      <c r="E246" s="785">
        <f>'Interp-NONURBAN'!I475/10^9</f>
        <v>2333.4013352625316</v>
      </c>
      <c r="F246" s="38"/>
      <c r="G246" s="39"/>
      <c r="H246" s="40"/>
      <c r="I246" s="779">
        <f>'Interp-NONURBAN'!I410/10^9</f>
        <v>2405.9545398093042</v>
      </c>
      <c r="J246" s="39"/>
      <c r="K246" s="41"/>
      <c r="L246" s="42"/>
      <c r="M246" s="41"/>
      <c r="N246" s="126" t="s">
        <v>140</v>
      </c>
      <c r="AE246" s="37">
        <v>2015</v>
      </c>
      <c r="AF246" s="779">
        <f t="shared" si="137"/>
        <v>2407674182619.353</v>
      </c>
      <c r="AG246" s="780">
        <f t="shared" si="138"/>
        <v>2214757844976.5522</v>
      </c>
      <c r="AH246" s="785">
        <f t="shared" si="139"/>
        <v>2333401335262.5317</v>
      </c>
      <c r="AI246" s="38" t="str">
        <f t="shared" si="140"/>
        <v/>
      </c>
      <c r="AJ246" s="39" t="str">
        <f t="shared" si="141"/>
        <v/>
      </c>
      <c r="AK246" s="40" t="str">
        <f t="shared" si="142"/>
        <v/>
      </c>
      <c r="AL246" s="779">
        <f t="shared" si="143"/>
        <v>2405954539809.3042</v>
      </c>
      <c r="AM246" s="39" t="str">
        <f t="shared" si="144"/>
        <v/>
      </c>
      <c r="AN246" s="41" t="str">
        <f t="shared" si="145"/>
        <v/>
      </c>
      <c r="AO246" s="42" t="str">
        <f t="shared" si="146"/>
        <v/>
      </c>
      <c r="AP246" s="41" t="str">
        <f t="shared" si="147"/>
        <v/>
      </c>
      <c r="AQ246" s="5" t="s">
        <v>44</v>
      </c>
    </row>
    <row r="247" spans="1:43" s="249" customFormat="1" ht="43.5" customHeight="1" x14ac:dyDescent="0.3">
      <c r="A247" s="243" t="s">
        <v>60</v>
      </c>
      <c r="B247" s="37">
        <v>2016</v>
      </c>
      <c r="C247" s="779">
        <f>'Interp-NONURBAN'!I281/10^9</f>
        <v>2513.459368008369</v>
      </c>
      <c r="D247" s="780">
        <f>'Interp-NONURBAN'!I346/10^9</f>
        <v>2312.6297569744584</v>
      </c>
      <c r="E247" s="785">
        <f>'Interp-NONURBAN'!I476/10^9</f>
        <v>2445.6015829424191</v>
      </c>
      <c r="F247" s="38"/>
      <c r="G247" s="39"/>
      <c r="H247" s="40"/>
      <c r="I247" s="779">
        <f>'Interp-NONURBAN'!I411/10^9</f>
        <v>2494.6472786114859</v>
      </c>
      <c r="J247" s="39"/>
      <c r="K247" s="41"/>
      <c r="L247" s="42"/>
      <c r="M247" s="41"/>
      <c r="N247" s="126" t="s">
        <v>140</v>
      </c>
      <c r="AE247" s="37">
        <v>2016</v>
      </c>
      <c r="AF247" s="779">
        <f t="shared" si="137"/>
        <v>2513459368008.3691</v>
      </c>
      <c r="AG247" s="780">
        <f t="shared" si="138"/>
        <v>2312629756974.4585</v>
      </c>
      <c r="AH247" s="785">
        <f t="shared" si="139"/>
        <v>2445601582942.4189</v>
      </c>
      <c r="AI247" s="38" t="str">
        <f t="shared" si="140"/>
        <v/>
      </c>
      <c r="AJ247" s="39" t="str">
        <f t="shared" si="141"/>
        <v/>
      </c>
      <c r="AK247" s="40" t="str">
        <f t="shared" si="142"/>
        <v/>
      </c>
      <c r="AL247" s="779">
        <f t="shared" si="143"/>
        <v>2494647278611.4858</v>
      </c>
      <c r="AM247" s="39" t="str">
        <f t="shared" si="144"/>
        <v/>
      </c>
      <c r="AN247" s="41" t="str">
        <f t="shared" si="145"/>
        <v/>
      </c>
      <c r="AO247" s="42" t="str">
        <f t="shared" si="146"/>
        <v/>
      </c>
      <c r="AP247" s="41" t="str">
        <f t="shared" si="147"/>
        <v/>
      </c>
      <c r="AQ247" s="5" t="s">
        <v>44</v>
      </c>
    </row>
    <row r="248" spans="1:43" s="249" customFormat="1" ht="15.75" customHeight="1" thickBot="1" x14ac:dyDescent="0.35">
      <c r="A248" s="242" t="s">
        <v>39</v>
      </c>
      <c r="B248" s="37">
        <v>2017</v>
      </c>
      <c r="C248" s="779">
        <f>'Interp-NONURBAN'!I282/10^9</f>
        <v>2623.1397807111293</v>
      </c>
      <c r="D248" s="780">
        <f>'Interp-NONURBAN'!I347/10^9</f>
        <v>2418.136445982424</v>
      </c>
      <c r="E248" s="785">
        <f>'Interp-NONURBAN'!I477/10^9</f>
        <v>2562.2882672630712</v>
      </c>
      <c r="F248" s="38"/>
      <c r="G248" s="39"/>
      <c r="H248" s="40"/>
      <c r="I248" s="779">
        <f>'Interp-NONURBAN'!I412/10^9</f>
        <v>2581.9416242352577</v>
      </c>
      <c r="J248" s="46"/>
      <c r="K248" s="49"/>
      <c r="L248" s="50"/>
      <c r="M248" s="49"/>
      <c r="N248" s="126" t="s">
        <v>140</v>
      </c>
      <c r="AE248" s="37">
        <v>2017</v>
      </c>
      <c r="AF248" s="783">
        <f t="shared" si="137"/>
        <v>2623139780711.1294</v>
      </c>
      <c r="AG248" s="782">
        <f t="shared" si="138"/>
        <v>2418136445982.4238</v>
      </c>
      <c r="AH248" s="786">
        <f t="shared" si="139"/>
        <v>2562288267263.0713</v>
      </c>
      <c r="AI248" s="48" t="str">
        <f t="shared" si="140"/>
        <v/>
      </c>
      <c r="AJ248" s="46" t="str">
        <f t="shared" si="141"/>
        <v/>
      </c>
      <c r="AK248" s="47" t="str">
        <f t="shared" si="142"/>
        <v/>
      </c>
      <c r="AL248" s="781">
        <f t="shared" si="143"/>
        <v>2581941624235.2578</v>
      </c>
      <c r="AM248" s="46" t="str">
        <f t="shared" si="144"/>
        <v/>
      </c>
      <c r="AN248" s="49" t="str">
        <f t="shared" si="145"/>
        <v/>
      </c>
      <c r="AO248" s="50" t="str">
        <f t="shared" si="146"/>
        <v/>
      </c>
      <c r="AP248" s="49" t="str">
        <f t="shared" si="147"/>
        <v/>
      </c>
      <c r="AQ248" s="5" t="s">
        <v>44</v>
      </c>
    </row>
    <row r="249" spans="1:43" s="249" customFormat="1" ht="30" customHeight="1" x14ac:dyDescent="0.3">
      <c r="A249" s="240" t="s">
        <v>291</v>
      </c>
      <c r="B249" s="37">
        <v>2018</v>
      </c>
      <c r="C249" s="779">
        <f>'Interp-NONURBAN'!I283/10^9</f>
        <v>2736.6619216175495</v>
      </c>
      <c r="D249" s="780">
        <f>'Interp-NONURBAN'!I348/10^9</f>
        <v>2531.2688576841538</v>
      </c>
      <c r="E249" s="785">
        <f>'Interp-NONURBAN'!I478/10^9</f>
        <v>2683.6733530769643</v>
      </c>
      <c r="F249" s="38"/>
      <c r="G249" s="39"/>
      <c r="H249" s="40"/>
      <c r="I249" s="779">
        <f>'Interp-NONURBAN'!I413/10^9</f>
        <v>2667.8862211401615</v>
      </c>
      <c r="J249" s="39"/>
      <c r="K249" s="41"/>
      <c r="L249" s="42"/>
      <c r="M249" s="41"/>
      <c r="N249" s="126" t="s">
        <v>140</v>
      </c>
      <c r="AE249" s="37">
        <v>2018</v>
      </c>
      <c r="AF249" s="779">
        <f t="shared" si="137"/>
        <v>2736661921617.5493</v>
      </c>
      <c r="AG249" s="780">
        <f t="shared" si="138"/>
        <v>2531268857684.1538</v>
      </c>
      <c r="AH249" s="785">
        <f t="shared" si="139"/>
        <v>2683673353076.9644</v>
      </c>
      <c r="AI249" s="38" t="str">
        <f t="shared" si="140"/>
        <v/>
      </c>
      <c r="AJ249" s="39" t="str">
        <f t="shared" si="141"/>
        <v/>
      </c>
      <c r="AK249" s="40" t="str">
        <f t="shared" si="142"/>
        <v/>
      </c>
      <c r="AL249" s="779">
        <f t="shared" si="143"/>
        <v>2667886221140.1616</v>
      </c>
      <c r="AM249" s="39" t="str">
        <f t="shared" si="144"/>
        <v/>
      </c>
      <c r="AN249" s="41" t="str">
        <f t="shared" si="145"/>
        <v/>
      </c>
      <c r="AO249" s="42" t="str">
        <f t="shared" si="146"/>
        <v/>
      </c>
      <c r="AP249" s="41" t="str">
        <f t="shared" si="147"/>
        <v/>
      </c>
      <c r="AQ249" s="5" t="s">
        <v>44</v>
      </c>
    </row>
    <row r="250" spans="1:43" s="249" customFormat="1" ht="30" customHeight="1" x14ac:dyDescent="0.3">
      <c r="A250" s="243" t="s">
        <v>62</v>
      </c>
      <c r="B250" s="37">
        <v>2019</v>
      </c>
      <c r="C250" s="779">
        <f>'Interp-NONURBAN'!I284/10^9</f>
        <v>2853.9597963981546</v>
      </c>
      <c r="D250" s="780">
        <f>'Interp-NONURBAN'!I349/10^9</f>
        <v>2652.0065593663689</v>
      </c>
      <c r="E250" s="785">
        <f>'Interp-NONURBAN'!I479/10^9</f>
        <v>2809.9430831325026</v>
      </c>
      <c r="F250" s="38"/>
      <c r="G250" s="39"/>
      <c r="H250" s="40"/>
      <c r="I250" s="779">
        <f>'Interp-NONURBAN'!I414/10^9</f>
        <v>2752.5179885725297</v>
      </c>
      <c r="J250" s="39"/>
      <c r="K250" s="41"/>
      <c r="L250" s="42"/>
      <c r="M250" s="41"/>
      <c r="N250" s="126" t="s">
        <v>140</v>
      </c>
      <c r="AE250" s="37">
        <v>2019</v>
      </c>
      <c r="AF250" s="779">
        <f t="shared" si="137"/>
        <v>2853959796398.1548</v>
      </c>
      <c r="AG250" s="780">
        <f t="shared" si="138"/>
        <v>2652006559366.3691</v>
      </c>
      <c r="AH250" s="785">
        <f t="shared" si="139"/>
        <v>2809943083132.5024</v>
      </c>
      <c r="AI250" s="38" t="str">
        <f t="shared" si="140"/>
        <v/>
      </c>
      <c r="AJ250" s="39" t="str">
        <f t="shared" si="141"/>
        <v/>
      </c>
      <c r="AK250" s="40" t="str">
        <f t="shared" si="142"/>
        <v/>
      </c>
      <c r="AL250" s="779">
        <f t="shared" si="143"/>
        <v>2752517988572.5298</v>
      </c>
      <c r="AM250" s="39" t="str">
        <f t="shared" si="144"/>
        <v/>
      </c>
      <c r="AN250" s="41" t="str">
        <f t="shared" si="145"/>
        <v/>
      </c>
      <c r="AO250" s="42" t="str">
        <f t="shared" si="146"/>
        <v/>
      </c>
      <c r="AP250" s="41" t="str">
        <f t="shared" si="147"/>
        <v/>
      </c>
      <c r="AQ250" s="5" t="s">
        <v>44</v>
      </c>
    </row>
    <row r="251" spans="1:43" s="249" customFormat="1" ht="15.75" customHeight="1" thickBot="1" x14ac:dyDescent="0.35">
      <c r="A251" s="242" t="s">
        <v>40</v>
      </c>
      <c r="B251" s="37">
        <v>2020</v>
      </c>
      <c r="C251" s="779">
        <f>'Interp-NONURBAN'!I285/10^9</f>
        <v>2975.1927534562428</v>
      </c>
      <c r="D251" s="780">
        <f>'Interp-NONURBAN'!I350/10^9</f>
        <v>2780.5383054137519</v>
      </c>
      <c r="E251" s="785">
        <f>'Interp-NONURBAN'!I480/10^9</f>
        <v>2941.5116582474129</v>
      </c>
      <c r="F251" s="38"/>
      <c r="G251" s="39"/>
      <c r="H251" s="40"/>
      <c r="I251" s="779">
        <f>'Interp-NONURBAN'!I415/10^9</f>
        <v>2836.089001185348</v>
      </c>
      <c r="J251" s="46"/>
      <c r="K251" s="49"/>
      <c r="L251" s="50"/>
      <c r="M251" s="49"/>
      <c r="N251" s="126" t="s">
        <v>140</v>
      </c>
      <c r="AE251" s="37">
        <v>2020</v>
      </c>
      <c r="AF251" s="783">
        <f t="shared" si="137"/>
        <v>2975192753456.2427</v>
      </c>
      <c r="AG251" s="782">
        <f t="shared" si="138"/>
        <v>2780538305413.752</v>
      </c>
      <c r="AH251" s="786">
        <f t="shared" si="139"/>
        <v>2941511658247.4131</v>
      </c>
      <c r="AI251" s="48" t="str">
        <f t="shared" si="140"/>
        <v/>
      </c>
      <c r="AJ251" s="46" t="str">
        <f t="shared" si="141"/>
        <v/>
      </c>
      <c r="AK251" s="47" t="str">
        <f t="shared" si="142"/>
        <v/>
      </c>
      <c r="AL251" s="781">
        <f t="shared" si="143"/>
        <v>2836089001185.3481</v>
      </c>
      <c r="AM251" s="46" t="str">
        <f t="shared" si="144"/>
        <v/>
      </c>
      <c r="AN251" s="49" t="str">
        <f t="shared" si="145"/>
        <v/>
      </c>
      <c r="AO251" s="50" t="str">
        <f t="shared" si="146"/>
        <v/>
      </c>
      <c r="AP251" s="49" t="str">
        <f t="shared" si="147"/>
        <v/>
      </c>
      <c r="AQ251" s="5" t="s">
        <v>44</v>
      </c>
    </row>
    <row r="252" spans="1:43" s="249" customFormat="1" ht="28.8" x14ac:dyDescent="0.3">
      <c r="A252" s="240" t="s">
        <v>41</v>
      </c>
      <c r="B252" s="37">
        <v>2021</v>
      </c>
      <c r="C252" s="779">
        <f>'Interp-NONURBAN'!I286/10^9</f>
        <v>3098.0228890249978</v>
      </c>
      <c r="D252" s="780">
        <f>'Interp-NONURBAN'!I351/10^9</f>
        <v>2914.7190264673022</v>
      </c>
      <c r="E252" s="785">
        <f>'Interp-NONURBAN'!I481/10^9</f>
        <v>3076.3327692537118</v>
      </c>
      <c r="F252" s="38"/>
      <c r="G252" s="39"/>
      <c r="H252" s="40"/>
      <c r="I252" s="779">
        <f>'Interp-NONURBAN'!I416/10^9</f>
        <v>2916.5004690424389</v>
      </c>
      <c r="J252" s="39"/>
      <c r="K252" s="41"/>
      <c r="L252" s="42"/>
      <c r="M252" s="41"/>
      <c r="N252" s="126" t="s">
        <v>140</v>
      </c>
      <c r="AE252" s="37">
        <v>2021</v>
      </c>
      <c r="AF252" s="779">
        <f t="shared" si="137"/>
        <v>3098022889024.9976</v>
      </c>
      <c r="AG252" s="780">
        <f t="shared" si="138"/>
        <v>2914719026467.3022</v>
      </c>
      <c r="AH252" s="785">
        <f t="shared" si="139"/>
        <v>3076332769253.7119</v>
      </c>
      <c r="AI252" s="38" t="str">
        <f t="shared" si="140"/>
        <v/>
      </c>
      <c r="AJ252" s="39" t="str">
        <f t="shared" si="141"/>
        <v/>
      </c>
      <c r="AK252" s="40" t="str">
        <f t="shared" si="142"/>
        <v/>
      </c>
      <c r="AL252" s="779">
        <f t="shared" si="143"/>
        <v>2916500469042.439</v>
      </c>
      <c r="AM252" s="39" t="str">
        <f t="shared" si="144"/>
        <v/>
      </c>
      <c r="AN252" s="41" t="str">
        <f t="shared" si="145"/>
        <v/>
      </c>
      <c r="AO252" s="42" t="str">
        <f t="shared" si="146"/>
        <v/>
      </c>
      <c r="AP252" s="41" t="str">
        <f t="shared" si="147"/>
        <v/>
      </c>
      <c r="AQ252" s="5" t="s">
        <v>44</v>
      </c>
    </row>
    <row r="253" spans="1:43" s="249" customFormat="1" ht="15.75" customHeight="1" thickBot="1" x14ac:dyDescent="0.35">
      <c r="A253" s="244" t="s">
        <v>42</v>
      </c>
      <c r="B253" s="37">
        <v>2022</v>
      </c>
      <c r="C253" s="779">
        <f>'Interp-NONURBAN'!I287/10^9</f>
        <v>3224.1733197835424</v>
      </c>
      <c r="D253" s="780">
        <f>'Interp-NONURBAN'!I352/10^9</f>
        <v>3056.1694991022123</v>
      </c>
      <c r="E253" s="785">
        <f>'Interp-NONURBAN'!I482/10^9</f>
        <v>3216.3839431967108</v>
      </c>
      <c r="F253" s="38"/>
      <c r="G253" s="39"/>
      <c r="H253" s="40"/>
      <c r="I253" s="779">
        <f>'Interp-NONURBAN'!I417/10^9</f>
        <v>2995.5263855482403</v>
      </c>
      <c r="J253" s="55"/>
      <c r="K253" s="57"/>
      <c r="L253" s="58"/>
      <c r="M253" s="57"/>
      <c r="N253" s="126" t="s">
        <v>140</v>
      </c>
      <c r="AE253" s="37">
        <v>2022</v>
      </c>
      <c r="AF253" s="779">
        <f t="shared" si="137"/>
        <v>3224173319783.5425</v>
      </c>
      <c r="AG253" s="784">
        <f t="shared" si="138"/>
        <v>3056169499102.2124</v>
      </c>
      <c r="AH253" s="787">
        <f t="shared" si="139"/>
        <v>3216383943196.7109</v>
      </c>
      <c r="AI253" s="45" t="str">
        <f t="shared" si="140"/>
        <v/>
      </c>
      <c r="AJ253" s="55" t="str">
        <f t="shared" si="141"/>
        <v/>
      </c>
      <c r="AK253" s="56" t="str">
        <f t="shared" si="142"/>
        <v/>
      </c>
      <c r="AL253" s="783">
        <f t="shared" si="143"/>
        <v>2995526385548.2402</v>
      </c>
      <c r="AM253" s="55" t="str">
        <f t="shared" si="144"/>
        <v/>
      </c>
      <c r="AN253" s="57" t="str">
        <f t="shared" si="145"/>
        <v/>
      </c>
      <c r="AO253" s="58" t="str">
        <f t="shared" si="146"/>
        <v/>
      </c>
      <c r="AP253" s="57" t="str">
        <f t="shared" si="147"/>
        <v/>
      </c>
      <c r="AQ253" s="5" t="s">
        <v>44</v>
      </c>
    </row>
    <row r="254" spans="1:43" s="249" customFormat="1" ht="28.8" x14ac:dyDescent="0.3">
      <c r="A254" s="5"/>
      <c r="B254" s="37">
        <v>2023</v>
      </c>
      <c r="C254" s="779">
        <f>'Interp-NONURBAN'!I288/10^9</f>
        <v>3353.5711507329124</v>
      </c>
      <c r="D254" s="780">
        <f>'Interp-NONURBAN'!I353/10^9</f>
        <v>3204.8495069008436</v>
      </c>
      <c r="E254" s="785">
        <f>'Interp-NONURBAN'!I483/10^9</f>
        <v>3361.8818504829133</v>
      </c>
      <c r="F254" s="38"/>
      <c r="G254" s="39"/>
      <c r="H254" s="40"/>
      <c r="I254" s="779">
        <f>'Interp-NONURBAN'!I418/10^9</f>
        <v>3073.2148357762057</v>
      </c>
      <c r="J254" s="55"/>
      <c r="K254" s="57"/>
      <c r="L254" s="58"/>
      <c r="M254" s="57"/>
      <c r="N254" s="126" t="s">
        <v>140</v>
      </c>
      <c r="AE254" s="37">
        <v>2023</v>
      </c>
      <c r="AF254" s="779">
        <f t="shared" si="137"/>
        <v>3353571150732.9126</v>
      </c>
      <c r="AG254" s="784">
        <f t="shared" si="138"/>
        <v>3204849506900.8438</v>
      </c>
      <c r="AH254" s="785">
        <f t="shared" si="139"/>
        <v>3361881850482.9131</v>
      </c>
      <c r="AI254" s="45" t="str">
        <f t="shared" si="140"/>
        <v/>
      </c>
      <c r="AJ254" s="55" t="str">
        <f t="shared" si="141"/>
        <v/>
      </c>
      <c r="AK254" s="56" t="str">
        <f t="shared" si="142"/>
        <v/>
      </c>
      <c r="AL254" s="783">
        <f t="shared" si="143"/>
        <v>3073214835776.2056</v>
      </c>
      <c r="AM254" s="55" t="str">
        <f t="shared" si="144"/>
        <v/>
      </c>
      <c r="AN254" s="57" t="str">
        <f t="shared" si="145"/>
        <v/>
      </c>
      <c r="AO254" s="58" t="str">
        <f t="shared" si="146"/>
        <v/>
      </c>
      <c r="AP254" s="57" t="str">
        <f t="shared" si="147"/>
        <v/>
      </c>
      <c r="AQ254" s="5" t="s">
        <v>44</v>
      </c>
    </row>
    <row r="255" spans="1:43" s="249" customFormat="1" ht="28.8" x14ac:dyDescent="0.3">
      <c r="A255" s="5"/>
      <c r="B255" s="37">
        <v>2024</v>
      </c>
      <c r="C255" s="779">
        <f>'Interp-NONURBAN'!I289/10^9</f>
        <v>3486.0841408311462</v>
      </c>
      <c r="D255" s="780">
        <f>'Interp-NONURBAN'!I354/10^9</f>
        <v>3360.6601658577715</v>
      </c>
      <c r="E255" s="785">
        <f>'Interp-NONURBAN'!I484/10^9</f>
        <v>3512.9938726134465</v>
      </c>
      <c r="F255" s="38"/>
      <c r="G255" s="39"/>
      <c r="H255" s="40"/>
      <c r="I255" s="779">
        <f>'Interp-NONURBAN'!I419/10^9</f>
        <v>3149.5620202498017</v>
      </c>
      <c r="J255" s="39"/>
      <c r="K255" s="41"/>
      <c r="L255" s="42"/>
      <c r="M255" s="41"/>
      <c r="N255" s="126" t="s">
        <v>140</v>
      </c>
      <c r="AE255" s="37">
        <v>2024</v>
      </c>
      <c r="AF255" s="779">
        <f t="shared" si="137"/>
        <v>3486084140831.146</v>
      </c>
      <c r="AG255" s="784">
        <f t="shared" si="138"/>
        <v>3360660165857.7715</v>
      </c>
      <c r="AH255" s="785">
        <f t="shared" si="139"/>
        <v>3512993872613.4463</v>
      </c>
      <c r="AI255" s="38" t="str">
        <f t="shared" si="140"/>
        <v/>
      </c>
      <c r="AJ255" s="39" t="str">
        <f t="shared" si="141"/>
        <v/>
      </c>
      <c r="AK255" s="40" t="str">
        <f t="shared" si="142"/>
        <v/>
      </c>
      <c r="AL255" s="779">
        <f t="shared" si="143"/>
        <v>3149562020249.8018</v>
      </c>
      <c r="AM255" s="39" t="str">
        <f t="shared" si="144"/>
        <v/>
      </c>
      <c r="AN255" s="41" t="str">
        <f t="shared" si="145"/>
        <v/>
      </c>
      <c r="AO255" s="42" t="str">
        <f t="shared" si="146"/>
        <v/>
      </c>
      <c r="AP255" s="41" t="str">
        <f t="shared" si="147"/>
        <v/>
      </c>
      <c r="AQ255" s="5" t="s">
        <v>44</v>
      </c>
    </row>
    <row r="256" spans="1:43" s="249" customFormat="1" ht="28.8" x14ac:dyDescent="0.3">
      <c r="A256" s="5"/>
      <c r="B256" s="37">
        <v>2025</v>
      </c>
      <c r="C256" s="779">
        <f>'Interp-NONURBAN'!I290/10^9</f>
        <v>3621.5908320475187</v>
      </c>
      <c r="D256" s="780">
        <f>'Interp-NONURBAN'!I355/10^9</f>
        <v>3523.5092299492826</v>
      </c>
      <c r="E256" s="785">
        <f>'Interp-NONURBAN'!I485/10^9</f>
        <v>3669.8935992905799</v>
      </c>
      <c r="F256" s="38"/>
      <c r="G256" s="39"/>
      <c r="H256" s="40"/>
      <c r="I256" s="779">
        <f>'Interp-NONURBAN'!I420/10^9</f>
        <v>3224.5781724321414</v>
      </c>
      <c r="J256" s="39"/>
      <c r="K256" s="41"/>
      <c r="L256" s="42"/>
      <c r="M256" s="41"/>
      <c r="N256" s="126" t="s">
        <v>140</v>
      </c>
      <c r="AE256" s="37">
        <v>2025</v>
      </c>
      <c r="AF256" s="779">
        <f t="shared" si="137"/>
        <v>3621590832047.5186</v>
      </c>
      <c r="AG256" s="784">
        <f t="shared" si="138"/>
        <v>3523509229949.2827</v>
      </c>
      <c r="AH256" s="785">
        <f t="shared" si="139"/>
        <v>3669893599290.5801</v>
      </c>
      <c r="AI256" s="38" t="str">
        <f t="shared" si="140"/>
        <v/>
      </c>
      <c r="AJ256" s="39" t="str">
        <f t="shared" si="141"/>
        <v/>
      </c>
      <c r="AK256" s="40" t="str">
        <f t="shared" si="142"/>
        <v/>
      </c>
      <c r="AL256" s="779">
        <f t="shared" si="143"/>
        <v>3224578172432.1416</v>
      </c>
      <c r="AM256" s="39" t="str">
        <f t="shared" si="144"/>
        <v/>
      </c>
      <c r="AN256" s="41" t="str">
        <f t="shared" si="145"/>
        <v/>
      </c>
      <c r="AO256" s="42" t="str">
        <f t="shared" si="146"/>
        <v/>
      </c>
      <c r="AP256" s="41" t="str">
        <f t="shared" si="147"/>
        <v/>
      </c>
      <c r="AQ256" s="5" t="s">
        <v>44</v>
      </c>
    </row>
    <row r="257" spans="1:43" s="249" customFormat="1" ht="28.8" x14ac:dyDescent="0.3">
      <c r="A257" s="5"/>
      <c r="B257" s="37">
        <v>2026</v>
      </c>
      <c r="C257" s="779">
        <f>'Interp-NONURBAN'!I291/10^9</f>
        <v>3760.0286413080048</v>
      </c>
      <c r="D257" s="780">
        <f>'Interp-NONURBAN'!I356/10^9</f>
        <v>3693.3585766631686</v>
      </c>
      <c r="E257" s="785">
        <f>'Interp-NONURBAN'!I486/10^9</f>
        <v>3832.7969036489985</v>
      </c>
      <c r="F257" s="38"/>
      <c r="G257" s="39"/>
      <c r="H257" s="40"/>
      <c r="I257" s="779">
        <f>'Interp-NONURBAN'!I421/10^9</f>
        <v>3298.3285755932088</v>
      </c>
      <c r="J257" s="39"/>
      <c r="K257" s="41"/>
      <c r="L257" s="42"/>
      <c r="M257" s="41"/>
      <c r="N257" s="126" t="s">
        <v>140</v>
      </c>
      <c r="AE257" s="37">
        <v>2026</v>
      </c>
      <c r="AF257" s="779">
        <f t="shared" si="137"/>
        <v>3760028641308.0049</v>
      </c>
      <c r="AG257" s="784">
        <f t="shared" si="138"/>
        <v>3693358576663.1685</v>
      </c>
      <c r="AH257" s="785">
        <f t="shared" si="139"/>
        <v>3832796903648.9985</v>
      </c>
      <c r="AI257" s="38" t="str">
        <f t="shared" si="140"/>
        <v/>
      </c>
      <c r="AJ257" s="39" t="str">
        <f t="shared" si="141"/>
        <v/>
      </c>
      <c r="AK257" s="40" t="str">
        <f t="shared" si="142"/>
        <v/>
      </c>
      <c r="AL257" s="779">
        <f t="shared" si="143"/>
        <v>3298328575593.209</v>
      </c>
      <c r="AM257" s="39" t="str">
        <f t="shared" si="144"/>
        <v/>
      </c>
      <c r="AN257" s="41" t="str">
        <f t="shared" si="145"/>
        <v/>
      </c>
      <c r="AO257" s="42" t="str">
        <f t="shared" si="146"/>
        <v/>
      </c>
      <c r="AP257" s="41" t="str">
        <f t="shared" si="147"/>
        <v/>
      </c>
      <c r="AQ257" s="5" t="s">
        <v>44</v>
      </c>
    </row>
    <row r="258" spans="1:43" s="249" customFormat="1" ht="28.8" x14ac:dyDescent="0.3">
      <c r="A258" s="5"/>
      <c r="B258" s="37">
        <v>2027</v>
      </c>
      <c r="C258" s="779">
        <f>'Interp-NONURBAN'!I292/10^9</f>
        <v>3901.3686162419417</v>
      </c>
      <c r="D258" s="780">
        <f>'Interp-NONURBAN'!I357/10^9</f>
        <v>3870.2020933071922</v>
      </c>
      <c r="E258" s="785">
        <f>'Interp-NONURBAN'!I487/10^9</f>
        <v>4001.9481031542946</v>
      </c>
      <c r="F258" s="38"/>
      <c r="G258" s="39"/>
      <c r="H258" s="40"/>
      <c r="I258" s="779">
        <f>'Interp-NONURBAN'!I422/10^9</f>
        <v>3370.907741127206</v>
      </c>
      <c r="J258" s="39"/>
      <c r="K258" s="41"/>
      <c r="L258" s="42"/>
      <c r="M258" s="41"/>
      <c r="N258" s="126" t="s">
        <v>140</v>
      </c>
      <c r="AE258" s="37">
        <v>2027</v>
      </c>
      <c r="AF258" s="779">
        <f t="shared" si="137"/>
        <v>3901368616241.9419</v>
      </c>
      <c r="AG258" s="784">
        <f t="shared" si="138"/>
        <v>3870202093307.1924</v>
      </c>
      <c r="AH258" s="785">
        <f t="shared" si="139"/>
        <v>4001948103154.2944</v>
      </c>
      <c r="AI258" s="38" t="str">
        <f t="shared" si="140"/>
        <v/>
      </c>
      <c r="AJ258" s="39" t="str">
        <f t="shared" si="141"/>
        <v/>
      </c>
      <c r="AK258" s="40" t="str">
        <f t="shared" si="142"/>
        <v/>
      </c>
      <c r="AL258" s="779">
        <f t="shared" si="143"/>
        <v>3370907741127.2061</v>
      </c>
      <c r="AM258" s="39" t="str">
        <f t="shared" si="144"/>
        <v/>
      </c>
      <c r="AN258" s="41" t="str">
        <f t="shared" si="145"/>
        <v/>
      </c>
      <c r="AO258" s="42" t="str">
        <f t="shared" si="146"/>
        <v/>
      </c>
      <c r="AP258" s="41" t="str">
        <f t="shared" si="147"/>
        <v/>
      </c>
      <c r="AQ258" s="5" t="s">
        <v>44</v>
      </c>
    </row>
    <row r="259" spans="1:43" s="249" customFormat="1" ht="28.8" x14ac:dyDescent="0.3">
      <c r="A259" s="59" t="s">
        <v>34</v>
      </c>
      <c r="B259" s="37">
        <v>2028</v>
      </c>
      <c r="C259" s="779">
        <f>'Interp-NONURBAN'!I293/10^9</f>
        <v>4045.545874357515</v>
      </c>
      <c r="D259" s="780">
        <f>'Interp-NONURBAN'!I358/10^9</f>
        <v>4053.9978707460018</v>
      </c>
      <c r="E259" s="785">
        <f>'Interp-NONURBAN'!I488/10^9</f>
        <v>4177.5676424849835</v>
      </c>
      <c r="F259" s="38"/>
      <c r="G259" s="39"/>
      <c r="H259" s="40"/>
      <c r="I259" s="779">
        <f>'Interp-NONURBAN'!I423/10^9</f>
        <v>3442.3783035027982</v>
      </c>
      <c r="J259" s="39"/>
      <c r="K259" s="41"/>
      <c r="L259" s="42"/>
      <c r="M259" s="41"/>
      <c r="N259" s="126" t="s">
        <v>140</v>
      </c>
      <c r="AE259" s="37">
        <v>2028</v>
      </c>
      <c r="AF259" s="779">
        <f t="shared" si="137"/>
        <v>4045545874357.5151</v>
      </c>
      <c r="AG259" s="784">
        <f t="shared" si="138"/>
        <v>4053997870746.002</v>
      </c>
      <c r="AH259" s="785">
        <f t="shared" si="139"/>
        <v>4177567642484.9834</v>
      </c>
      <c r="AI259" s="38" t="str">
        <f t="shared" si="140"/>
        <v/>
      </c>
      <c r="AJ259" s="39" t="str">
        <f t="shared" si="141"/>
        <v/>
      </c>
      <c r="AK259" s="40" t="str">
        <f t="shared" si="142"/>
        <v/>
      </c>
      <c r="AL259" s="779">
        <f t="shared" si="143"/>
        <v>3442378303502.7983</v>
      </c>
      <c r="AM259" s="39" t="str">
        <f t="shared" si="144"/>
        <v/>
      </c>
      <c r="AN259" s="41" t="str">
        <f t="shared" si="145"/>
        <v/>
      </c>
      <c r="AO259" s="42" t="str">
        <f t="shared" si="146"/>
        <v/>
      </c>
      <c r="AP259" s="41" t="str">
        <f t="shared" si="147"/>
        <v/>
      </c>
      <c r="AQ259" s="5" t="s">
        <v>44</v>
      </c>
    </row>
    <row r="260" spans="1:43" s="249" customFormat="1" ht="28.8" x14ac:dyDescent="0.3">
      <c r="A260" s="60" t="s">
        <v>29</v>
      </c>
      <c r="B260" s="37">
        <v>2029</v>
      </c>
      <c r="C260" s="779">
        <f>'Interp-NONURBAN'!I294/10^9</f>
        <v>4192.4965541909551</v>
      </c>
      <c r="D260" s="780">
        <f>'Interp-NONURBAN'!I359/10^9</f>
        <v>4244.7038750628262</v>
      </c>
      <c r="E260" s="785">
        <f>'Interp-NONURBAN'!I489/10^9</f>
        <v>4359.8790644381625</v>
      </c>
      <c r="F260" s="38"/>
      <c r="G260" s="39"/>
      <c r="H260" s="40"/>
      <c r="I260" s="779">
        <f>'Interp-NONURBAN'!I424/10^9</f>
        <v>3512.8039888053868</v>
      </c>
      <c r="J260" s="39"/>
      <c r="K260" s="41"/>
      <c r="L260" s="42"/>
      <c r="M260" s="41"/>
      <c r="N260" s="126" t="s">
        <v>140</v>
      </c>
      <c r="AE260" s="37">
        <v>2029</v>
      </c>
      <c r="AF260" s="779">
        <f t="shared" si="137"/>
        <v>4192496554190.9551</v>
      </c>
      <c r="AG260" s="784">
        <f t="shared" si="138"/>
        <v>4244703875062.8262</v>
      </c>
      <c r="AH260" s="785">
        <f t="shared" si="139"/>
        <v>4359879064438.1626</v>
      </c>
      <c r="AI260" s="38" t="str">
        <f t="shared" si="140"/>
        <v/>
      </c>
      <c r="AJ260" s="39" t="str">
        <f t="shared" si="141"/>
        <v/>
      </c>
      <c r="AK260" s="40" t="str">
        <f t="shared" si="142"/>
        <v/>
      </c>
      <c r="AL260" s="779">
        <f t="shared" si="143"/>
        <v>3512803988805.3867</v>
      </c>
      <c r="AM260" s="39" t="str">
        <f t="shared" si="144"/>
        <v/>
      </c>
      <c r="AN260" s="41" t="str">
        <f t="shared" si="145"/>
        <v/>
      </c>
      <c r="AO260" s="42" t="str">
        <f t="shared" si="146"/>
        <v/>
      </c>
      <c r="AP260" s="41" t="str">
        <f t="shared" si="147"/>
        <v/>
      </c>
      <c r="AQ260" s="5" t="s">
        <v>44</v>
      </c>
    </row>
    <row r="261" spans="1:43" s="249" customFormat="1" ht="28.8" x14ac:dyDescent="0.3">
      <c r="A261" s="61" t="s">
        <v>35</v>
      </c>
      <c r="B261" s="37">
        <v>2030</v>
      </c>
      <c r="C261" s="779">
        <f>'Interp-NONURBAN'!I295/10^9</f>
        <v>4342.154800443036</v>
      </c>
      <c r="D261" s="780">
        <f>'Interp-NONURBAN'!I360/10^9</f>
        <v>4442.2749834640599</v>
      </c>
      <c r="E261" s="785">
        <f>'Interp-NONURBAN'!I490/10^9</f>
        <v>4549.100918856986</v>
      </c>
      <c r="F261" s="38"/>
      <c r="G261" s="39"/>
      <c r="H261" s="40"/>
      <c r="I261" s="779">
        <f>'Interp-NONURBAN'!I425/10^9</f>
        <v>3582.2469718863949</v>
      </c>
      <c r="J261" s="39"/>
      <c r="K261" s="41"/>
      <c r="L261" s="42"/>
      <c r="M261" s="41"/>
      <c r="N261" s="126" t="s">
        <v>140</v>
      </c>
      <c r="AE261" s="37">
        <v>2030</v>
      </c>
      <c r="AF261" s="779">
        <f t="shared" si="137"/>
        <v>4342154800443.0361</v>
      </c>
      <c r="AG261" s="784">
        <f t="shared" si="138"/>
        <v>4442274983464.0596</v>
      </c>
      <c r="AH261" s="785">
        <f t="shared" si="139"/>
        <v>4549100918856.9863</v>
      </c>
      <c r="AI261" s="38" t="str">
        <f t="shared" si="140"/>
        <v/>
      </c>
      <c r="AJ261" s="39" t="str">
        <f t="shared" si="141"/>
        <v/>
      </c>
      <c r="AK261" s="40" t="str">
        <f t="shared" si="142"/>
        <v/>
      </c>
      <c r="AL261" s="779">
        <f t="shared" si="143"/>
        <v>3582246971886.395</v>
      </c>
      <c r="AM261" s="39" t="str">
        <f t="shared" si="144"/>
        <v/>
      </c>
      <c r="AN261" s="41" t="str">
        <f t="shared" si="145"/>
        <v/>
      </c>
      <c r="AO261" s="42" t="str">
        <f t="shared" si="146"/>
        <v/>
      </c>
      <c r="AP261" s="41" t="str">
        <f t="shared" si="147"/>
        <v/>
      </c>
      <c r="AQ261" s="5" t="s">
        <v>44</v>
      </c>
    </row>
    <row r="262" spans="1:43" s="249" customFormat="1" ht="28.8" x14ac:dyDescent="0.3">
      <c r="A262" s="62" t="s">
        <v>36</v>
      </c>
      <c r="B262" s="37">
        <v>2031</v>
      </c>
      <c r="C262" s="779">
        <f>'Interp-NONURBAN'!I296/10^9</f>
        <v>4494.4553096369482</v>
      </c>
      <c r="D262" s="780">
        <f>'Interp-NONURBAN'!I361/10^9</f>
        <v>4646.6655668266376</v>
      </c>
      <c r="E262" s="785">
        <f>'Interp-NONURBAN'!I491/10^9</f>
        <v>4745.4442038752932</v>
      </c>
      <c r="F262" s="38"/>
      <c r="G262" s="39"/>
      <c r="H262" s="40"/>
      <c r="I262" s="779">
        <f>'Interp-NONURBAN'!I426/10^9</f>
        <v>3650.7699556413904</v>
      </c>
      <c r="J262" s="39"/>
      <c r="K262" s="41"/>
      <c r="L262" s="42"/>
      <c r="M262" s="41"/>
      <c r="N262" s="126" t="s">
        <v>140</v>
      </c>
      <c r="AE262" s="37">
        <v>2031</v>
      </c>
      <c r="AF262" s="779">
        <f t="shared" si="137"/>
        <v>4494455309636.9482</v>
      </c>
      <c r="AG262" s="784">
        <f t="shared" si="138"/>
        <v>4646665566826.6377</v>
      </c>
      <c r="AH262" s="785">
        <f t="shared" si="139"/>
        <v>4745444203875.293</v>
      </c>
      <c r="AI262" s="38" t="str">
        <f t="shared" si="140"/>
        <v/>
      </c>
      <c r="AJ262" s="39" t="str">
        <f t="shared" si="141"/>
        <v/>
      </c>
      <c r="AK262" s="40" t="str">
        <f t="shared" si="142"/>
        <v/>
      </c>
      <c r="AL262" s="779">
        <f t="shared" si="143"/>
        <v>3650769955641.3906</v>
      </c>
      <c r="AM262" s="39" t="str">
        <f t="shared" si="144"/>
        <v/>
      </c>
      <c r="AN262" s="41" t="str">
        <f t="shared" si="145"/>
        <v/>
      </c>
      <c r="AO262" s="42" t="str">
        <f t="shared" si="146"/>
        <v/>
      </c>
      <c r="AP262" s="41" t="str">
        <f t="shared" si="147"/>
        <v/>
      </c>
      <c r="AQ262" s="5" t="s">
        <v>44</v>
      </c>
    </row>
    <row r="263" spans="1:43" s="249" customFormat="1" ht="28.8" x14ac:dyDescent="0.3">
      <c r="A263" s="5"/>
      <c r="B263" s="37">
        <v>2032</v>
      </c>
      <c r="C263" s="779">
        <f>'Interp-NONURBAN'!I297/10^9</f>
        <v>4649.3464031850208</v>
      </c>
      <c r="D263" s="780">
        <f>'Interp-NONURBAN'!I362/10^9</f>
        <v>4857.8432534349704</v>
      </c>
      <c r="E263" s="785">
        <f>'Interp-NONURBAN'!I492/10^9</f>
        <v>4949.1303638284053</v>
      </c>
      <c r="F263" s="38"/>
      <c r="G263" s="39"/>
      <c r="H263" s="40"/>
      <c r="I263" s="779">
        <f>'Interp-NONURBAN'!I427/10^9</f>
        <v>3718.4463875353767</v>
      </c>
      <c r="J263" s="39"/>
      <c r="K263" s="41"/>
      <c r="L263" s="42"/>
      <c r="M263" s="41"/>
      <c r="N263" s="126" t="s">
        <v>140</v>
      </c>
      <c r="AE263" s="37">
        <v>2032</v>
      </c>
      <c r="AF263" s="779">
        <f t="shared" si="137"/>
        <v>4649346403185.0205</v>
      </c>
      <c r="AG263" s="784">
        <f t="shared" si="138"/>
        <v>4857843253434.9707</v>
      </c>
      <c r="AH263" s="785">
        <f t="shared" si="139"/>
        <v>4949130363828.4053</v>
      </c>
      <c r="AI263" s="38" t="str">
        <f t="shared" si="140"/>
        <v/>
      </c>
      <c r="AJ263" s="39" t="str">
        <f t="shared" si="141"/>
        <v/>
      </c>
      <c r="AK263" s="40" t="str">
        <f t="shared" si="142"/>
        <v/>
      </c>
      <c r="AL263" s="779">
        <f t="shared" si="143"/>
        <v>3718446387535.377</v>
      </c>
      <c r="AM263" s="39" t="str">
        <f t="shared" si="144"/>
        <v/>
      </c>
      <c r="AN263" s="41" t="str">
        <f t="shared" si="145"/>
        <v/>
      </c>
      <c r="AO263" s="42" t="str">
        <f t="shared" si="146"/>
        <v/>
      </c>
      <c r="AP263" s="41" t="str">
        <f t="shared" si="147"/>
        <v/>
      </c>
      <c r="AQ263" s="5" t="s">
        <v>44</v>
      </c>
    </row>
    <row r="264" spans="1:43" s="249" customFormat="1" ht="28.8" x14ac:dyDescent="0.3">
      <c r="A264" s="5"/>
      <c r="B264" s="37">
        <v>2033</v>
      </c>
      <c r="C264" s="779">
        <f>'Interp-NONURBAN'!I298/10^9</f>
        <v>4806.8070900038865</v>
      </c>
      <c r="D264" s="780">
        <f>'Interp-NONURBAN'!I363/10^9</f>
        <v>5075.8078133357949</v>
      </c>
      <c r="E264" s="785">
        <f>'Interp-NONURBAN'!I493/10^9</f>
        <v>5160.4169840308759</v>
      </c>
      <c r="F264" s="38"/>
      <c r="G264" s="39"/>
      <c r="H264" s="40"/>
      <c r="I264" s="779">
        <f>'Interp-NONURBAN'!I428/10^9</f>
        <v>3785.3728139577629</v>
      </c>
      <c r="J264" s="39"/>
      <c r="K264" s="41"/>
      <c r="L264" s="42"/>
      <c r="M264" s="41"/>
      <c r="N264" s="126" t="s">
        <v>140</v>
      </c>
      <c r="AE264" s="37">
        <v>2033</v>
      </c>
      <c r="AF264" s="779">
        <f t="shared" si="137"/>
        <v>4806807090003.8867</v>
      </c>
      <c r="AG264" s="784">
        <f t="shared" si="138"/>
        <v>5075807813335.7949</v>
      </c>
      <c r="AH264" s="785">
        <f t="shared" si="139"/>
        <v>5160416984030.876</v>
      </c>
      <c r="AI264" s="38" t="str">
        <f t="shared" si="140"/>
        <v/>
      </c>
      <c r="AJ264" s="39" t="str">
        <f t="shared" si="141"/>
        <v/>
      </c>
      <c r="AK264" s="40" t="str">
        <f t="shared" si="142"/>
        <v/>
      </c>
      <c r="AL264" s="779">
        <f t="shared" si="143"/>
        <v>3785372813957.7627</v>
      </c>
      <c r="AM264" s="39" t="str">
        <f t="shared" si="144"/>
        <v/>
      </c>
      <c r="AN264" s="41" t="str">
        <f t="shared" si="145"/>
        <v/>
      </c>
      <c r="AO264" s="42" t="str">
        <f t="shared" si="146"/>
        <v/>
      </c>
      <c r="AP264" s="41" t="str">
        <f t="shared" si="147"/>
        <v/>
      </c>
      <c r="AQ264" s="5" t="s">
        <v>44</v>
      </c>
    </row>
    <row r="265" spans="1:43" s="249" customFormat="1" ht="28.8" x14ac:dyDescent="0.3">
      <c r="A265" s="5"/>
      <c r="B265" s="37">
        <v>2034</v>
      </c>
      <c r="C265" s="779">
        <f>'Interp-NONURBAN'!I299/10^9</f>
        <v>4966.8345558410101</v>
      </c>
      <c r="D265" s="780">
        <f>'Interp-NONURBAN'!I364/10^9</f>
        <v>5300.5796008776979</v>
      </c>
      <c r="E265" s="785">
        <f>'Interp-NONURBAN'!I494/10^9</f>
        <v>5379.5810765202059</v>
      </c>
      <c r="F265" s="38"/>
      <c r="G265" s="39"/>
      <c r="H265" s="40"/>
      <c r="I265" s="779">
        <f>'Interp-NONURBAN'!I429/10^9</f>
        <v>3851.6573930815962</v>
      </c>
      <c r="J265" s="39"/>
      <c r="K265" s="41"/>
      <c r="L265" s="42"/>
      <c r="M265" s="41"/>
      <c r="N265" s="126" t="s">
        <v>140</v>
      </c>
      <c r="AE265" s="37">
        <v>2034</v>
      </c>
      <c r="AF265" s="779">
        <f t="shared" si="137"/>
        <v>4966834555841.0098</v>
      </c>
      <c r="AG265" s="784">
        <f t="shared" si="138"/>
        <v>5300579600877.6982</v>
      </c>
      <c r="AH265" s="785">
        <f t="shared" si="139"/>
        <v>5379581076520.2061</v>
      </c>
      <c r="AI265" s="38" t="str">
        <f t="shared" si="140"/>
        <v/>
      </c>
      <c r="AJ265" s="39" t="str">
        <f t="shared" si="141"/>
        <v/>
      </c>
      <c r="AK265" s="40" t="str">
        <f t="shared" si="142"/>
        <v/>
      </c>
      <c r="AL265" s="779">
        <f t="shared" si="143"/>
        <v>3851657393081.5962</v>
      </c>
      <c r="AM265" s="39" t="str">
        <f t="shared" si="144"/>
        <v/>
      </c>
      <c r="AN265" s="41" t="str">
        <f t="shared" si="145"/>
        <v/>
      </c>
      <c r="AO265" s="42" t="str">
        <f t="shared" si="146"/>
        <v/>
      </c>
      <c r="AP265" s="41" t="str">
        <f t="shared" si="147"/>
        <v/>
      </c>
      <c r="AQ265" s="5" t="s">
        <v>44</v>
      </c>
    </row>
    <row r="266" spans="1:43" s="249" customFormat="1" ht="28.8" x14ac:dyDescent="0.3">
      <c r="A266" s="5"/>
      <c r="B266" s="37">
        <v>2035</v>
      </c>
      <c r="C266" s="779">
        <f>'Interp-NONURBAN'!I300/10^9</f>
        <v>5129.4157409601858</v>
      </c>
      <c r="D266" s="780">
        <f>'Interp-NONURBAN'!I365/10^9</f>
        <v>5532.1699284236638</v>
      </c>
      <c r="E266" s="785">
        <f>'Interp-NONURBAN'!I495/10^9</f>
        <v>5606.8866769013994</v>
      </c>
      <c r="F266" s="38"/>
      <c r="G266" s="39"/>
      <c r="H266" s="40"/>
      <c r="I266" s="779">
        <f>'Interp-NONURBAN'!I430/10^9</f>
        <v>3917.3974491161357</v>
      </c>
      <c r="J266" s="39"/>
      <c r="K266" s="41"/>
      <c r="L266" s="42"/>
      <c r="M266" s="41"/>
      <c r="N266" s="126" t="s">
        <v>140</v>
      </c>
      <c r="AE266" s="37">
        <v>2035</v>
      </c>
      <c r="AF266" s="779">
        <f t="shared" si="137"/>
        <v>5129415740960.1855</v>
      </c>
      <c r="AG266" s="784">
        <f t="shared" si="138"/>
        <v>5532169928423.6641</v>
      </c>
      <c r="AH266" s="785">
        <f t="shared" si="139"/>
        <v>5606886676901.3994</v>
      </c>
      <c r="AI266" s="38" t="str">
        <f t="shared" si="140"/>
        <v/>
      </c>
      <c r="AJ266" s="39" t="str">
        <f t="shared" si="141"/>
        <v/>
      </c>
      <c r="AK266" s="40" t="str">
        <f t="shared" si="142"/>
        <v/>
      </c>
      <c r="AL266" s="779">
        <f t="shared" si="143"/>
        <v>3917397449116.1357</v>
      </c>
      <c r="AM266" s="39" t="str">
        <f t="shared" si="144"/>
        <v/>
      </c>
      <c r="AN266" s="41" t="str">
        <f t="shared" si="145"/>
        <v/>
      </c>
      <c r="AO266" s="42" t="str">
        <f t="shared" si="146"/>
        <v/>
      </c>
      <c r="AP266" s="41" t="str">
        <f t="shared" si="147"/>
        <v/>
      </c>
      <c r="AQ266" s="5" t="s">
        <v>44</v>
      </c>
    </row>
    <row r="267" spans="1:43" s="249" customFormat="1" ht="28.8" x14ac:dyDescent="0.3">
      <c r="A267" s="5"/>
      <c r="B267" s="37">
        <v>2036</v>
      </c>
      <c r="C267" s="779">
        <f>'Interp-NONURBAN'!I301/10^9</f>
        <v>5294.5183194954579</v>
      </c>
      <c r="D267" s="780">
        <f>'Interp-NONURBAN'!I366/10^9</f>
        <v>5770.5706449639247</v>
      </c>
      <c r="E267" s="785">
        <f>'Interp-NONURBAN'!I496/10^9</f>
        <v>5842.5783638083558</v>
      </c>
      <c r="F267" s="38"/>
      <c r="G267" s="39"/>
      <c r="H267" s="40"/>
      <c r="I267" s="779">
        <f>'Interp-NONURBAN'!I431/10^9</f>
        <v>3982.6735145617799</v>
      </c>
      <c r="J267" s="39"/>
      <c r="K267" s="41"/>
      <c r="L267" s="42"/>
      <c r="M267" s="41"/>
      <c r="N267" s="126" t="s">
        <v>140</v>
      </c>
      <c r="AE267" s="37">
        <v>2036</v>
      </c>
      <c r="AF267" s="779">
        <f t="shared" si="137"/>
        <v>5294518319495.458</v>
      </c>
      <c r="AG267" s="784">
        <f t="shared" si="138"/>
        <v>5770570644963.9248</v>
      </c>
      <c r="AH267" s="785">
        <f t="shared" si="139"/>
        <v>5842578363808.3555</v>
      </c>
      <c r="AI267" s="38" t="str">
        <f t="shared" si="140"/>
        <v/>
      </c>
      <c r="AJ267" s="39" t="str">
        <f t="shared" si="141"/>
        <v/>
      </c>
      <c r="AK267" s="40" t="str">
        <f t="shared" si="142"/>
        <v/>
      </c>
      <c r="AL267" s="779">
        <f t="shared" si="143"/>
        <v>3982673514561.7798</v>
      </c>
      <c r="AM267" s="39" t="str">
        <f t="shared" si="144"/>
        <v/>
      </c>
      <c r="AN267" s="41" t="str">
        <f t="shared" si="145"/>
        <v/>
      </c>
      <c r="AO267" s="42" t="str">
        <f t="shared" si="146"/>
        <v/>
      </c>
      <c r="AP267" s="41" t="str">
        <f t="shared" si="147"/>
        <v/>
      </c>
      <c r="AQ267" s="5" t="s">
        <v>44</v>
      </c>
    </row>
    <row r="268" spans="1:43" s="249" customFormat="1" ht="28.8" x14ac:dyDescent="0.3">
      <c r="A268" s="5"/>
      <c r="B268" s="37">
        <v>2037</v>
      </c>
      <c r="C268" s="779">
        <f>'Interp-NONURBAN'!I302/10^9</f>
        <v>5462.0819380861485</v>
      </c>
      <c r="D268" s="780">
        <f>'Interp-NONURBAN'!I367/10^9</f>
        <v>6015.7433365673114</v>
      </c>
      <c r="E268" s="785">
        <f>'Interp-NONURBAN'!I497/10^9</f>
        <v>6086.8606333604412</v>
      </c>
      <c r="F268" s="38"/>
      <c r="G268" s="39"/>
      <c r="H268" s="40"/>
      <c r="I268" s="779">
        <f>'Interp-NONURBAN'!I432/10^9</f>
        <v>4047.5441401256867</v>
      </c>
      <c r="J268" s="39"/>
      <c r="K268" s="41"/>
      <c r="L268" s="42"/>
      <c r="M268" s="41"/>
      <c r="N268" s="126" t="s">
        <v>140</v>
      </c>
      <c r="AE268" s="37">
        <v>2037</v>
      </c>
      <c r="AF268" s="779">
        <f t="shared" si="137"/>
        <v>5462081938086.1484</v>
      </c>
      <c r="AG268" s="784">
        <f t="shared" si="138"/>
        <v>6015743336567.3115</v>
      </c>
      <c r="AH268" s="785">
        <f t="shared" si="139"/>
        <v>6086860633360.4414</v>
      </c>
      <c r="AI268" s="38" t="str">
        <f t="shared" si="140"/>
        <v/>
      </c>
      <c r="AJ268" s="39" t="str">
        <f t="shared" si="141"/>
        <v/>
      </c>
      <c r="AK268" s="40" t="str">
        <f t="shared" si="142"/>
        <v/>
      </c>
      <c r="AL268" s="779">
        <f t="shared" si="143"/>
        <v>4047544140125.6865</v>
      </c>
      <c r="AM268" s="39" t="str">
        <f t="shared" si="144"/>
        <v/>
      </c>
      <c r="AN268" s="41" t="str">
        <f t="shared" si="145"/>
        <v/>
      </c>
      <c r="AO268" s="42" t="str">
        <f t="shared" si="146"/>
        <v/>
      </c>
      <c r="AP268" s="41" t="str">
        <f t="shared" si="147"/>
        <v/>
      </c>
      <c r="AQ268" s="5" t="s">
        <v>44</v>
      </c>
    </row>
    <row r="269" spans="1:43" s="249" customFormat="1" ht="28.8" x14ac:dyDescent="0.3">
      <c r="A269" s="5"/>
      <c r="B269" s="37">
        <v>2038</v>
      </c>
      <c r="C269" s="779">
        <f>'Interp-NONURBAN'!I303/10^9</f>
        <v>5632.0313352616176</v>
      </c>
      <c r="D269" s="780">
        <f>'Interp-NONURBAN'!I368/10^9</f>
        <v>6267.6323271953006</v>
      </c>
      <c r="E269" s="785">
        <f>'Interp-NONURBAN'!I498/10^9</f>
        <v>6339.9056978475592</v>
      </c>
      <c r="F269" s="38"/>
      <c r="G269" s="39"/>
      <c r="H269" s="40"/>
      <c r="I269" s="779">
        <f>'Interp-NONURBAN'!I433/10^9</f>
        <v>4112.0569581487316</v>
      </c>
      <c r="J269" s="39"/>
      <c r="K269" s="41"/>
      <c r="L269" s="42"/>
      <c r="M269" s="41"/>
      <c r="N269" s="126" t="s">
        <v>140</v>
      </c>
      <c r="AE269" s="37">
        <v>2038</v>
      </c>
      <c r="AF269" s="779">
        <f t="shared" si="137"/>
        <v>5632031335261.6172</v>
      </c>
      <c r="AG269" s="784">
        <f t="shared" si="138"/>
        <v>6267632327195.3008</v>
      </c>
      <c r="AH269" s="785">
        <f t="shared" si="139"/>
        <v>6339905697847.5596</v>
      </c>
      <c r="AI269" s="38" t="str">
        <f t="shared" si="140"/>
        <v/>
      </c>
      <c r="AJ269" s="39" t="str">
        <f t="shared" si="141"/>
        <v/>
      </c>
      <c r="AK269" s="40" t="str">
        <f t="shared" si="142"/>
        <v/>
      </c>
      <c r="AL269" s="779">
        <f t="shared" si="143"/>
        <v>4112056958148.7314</v>
      </c>
      <c r="AM269" s="39" t="str">
        <f t="shared" si="144"/>
        <v/>
      </c>
      <c r="AN269" s="41" t="str">
        <f t="shared" si="145"/>
        <v/>
      </c>
      <c r="AO269" s="42" t="str">
        <f t="shared" si="146"/>
        <v/>
      </c>
      <c r="AP269" s="41" t="str">
        <f t="shared" si="147"/>
        <v/>
      </c>
      <c r="AQ269" s="5" t="s">
        <v>44</v>
      </c>
    </row>
    <row r="270" spans="1:43" s="249" customFormat="1" ht="28.8" x14ac:dyDescent="0.3">
      <c r="A270" s="5"/>
      <c r="B270" s="37">
        <v>2039</v>
      </c>
      <c r="C270" s="779">
        <f>'Interp-NONURBAN'!I304/10^9</f>
        <v>5804.2732963249373</v>
      </c>
      <c r="D270" s="780">
        <f>'Interp-NONURBAN'!I369/10^9</f>
        <v>6526.1603524107304</v>
      </c>
      <c r="E270" s="785">
        <f>'Interp-NONURBAN'!I499/10^9</f>
        <v>6601.8530747934883</v>
      </c>
      <c r="F270" s="38"/>
      <c r="G270" s="39"/>
      <c r="H270" s="40"/>
      <c r="I270" s="779">
        <f>'Interp-NONURBAN'!I434/10^9</f>
        <v>4176.2473030482797</v>
      </c>
      <c r="J270" s="39"/>
      <c r="K270" s="41"/>
      <c r="L270" s="42"/>
      <c r="M270" s="41"/>
      <c r="N270" s="126" t="s">
        <v>140</v>
      </c>
      <c r="AE270" s="37">
        <v>2039</v>
      </c>
      <c r="AF270" s="779">
        <f t="shared" si="137"/>
        <v>5804273296324.9375</v>
      </c>
      <c r="AG270" s="784">
        <f t="shared" si="138"/>
        <v>6526160352410.7305</v>
      </c>
      <c r="AH270" s="785">
        <f t="shared" si="139"/>
        <v>6601853074793.4883</v>
      </c>
      <c r="AI270" s="38" t="str">
        <f t="shared" si="140"/>
        <v/>
      </c>
      <c r="AJ270" s="39" t="str">
        <f t="shared" si="141"/>
        <v/>
      </c>
      <c r="AK270" s="40" t="str">
        <f t="shared" si="142"/>
        <v/>
      </c>
      <c r="AL270" s="779">
        <f t="shared" si="143"/>
        <v>4176247303048.2798</v>
      </c>
      <c r="AM270" s="39" t="str">
        <f t="shared" si="144"/>
        <v/>
      </c>
      <c r="AN270" s="41" t="str">
        <f t="shared" si="145"/>
        <v/>
      </c>
      <c r="AO270" s="42" t="str">
        <f t="shared" si="146"/>
        <v/>
      </c>
      <c r="AP270" s="41" t="str">
        <f t="shared" si="147"/>
        <v/>
      </c>
      <c r="AQ270" s="5" t="s">
        <v>44</v>
      </c>
    </row>
    <row r="271" spans="1:43" s="249" customFormat="1" ht="28.8" x14ac:dyDescent="0.3">
      <c r="A271" s="5"/>
      <c r="B271" s="37">
        <v>2040</v>
      </c>
      <c r="C271" s="779">
        <f>'Interp-NONURBAN'!I305/10^9</f>
        <v>5978.7203635565993</v>
      </c>
      <c r="D271" s="780">
        <f>'Interp-NONURBAN'!I370/10^9</f>
        <v>6791.2545352618654</v>
      </c>
      <c r="E271" s="785">
        <f>'Interp-NONURBAN'!I500/10^9</f>
        <v>6872.8475594248994</v>
      </c>
      <c r="F271" s="38"/>
      <c r="G271" s="39"/>
      <c r="H271" s="40"/>
      <c r="I271" s="779">
        <f>'Interp-NONURBAN'!I435/10^9</f>
        <v>4240.1556565548753</v>
      </c>
      <c r="J271" s="39"/>
      <c r="K271" s="41"/>
      <c r="L271" s="42"/>
      <c r="M271" s="41"/>
      <c r="N271" s="126" t="s">
        <v>140</v>
      </c>
      <c r="AE271" s="37">
        <v>2040</v>
      </c>
      <c r="AF271" s="779">
        <f t="shared" si="137"/>
        <v>5978720363556.5996</v>
      </c>
      <c r="AG271" s="784">
        <f t="shared" si="138"/>
        <v>6791254535261.8652</v>
      </c>
      <c r="AH271" s="785">
        <f t="shared" si="139"/>
        <v>6872847559424.8994</v>
      </c>
      <c r="AI271" s="38" t="str">
        <f t="shared" si="140"/>
        <v/>
      </c>
      <c r="AJ271" s="39" t="str">
        <f t="shared" si="141"/>
        <v/>
      </c>
      <c r="AK271" s="40" t="str">
        <f t="shared" si="142"/>
        <v/>
      </c>
      <c r="AL271" s="779">
        <f t="shared" si="143"/>
        <v>4240155656554.8755</v>
      </c>
      <c r="AM271" s="39" t="str">
        <f t="shared" si="144"/>
        <v/>
      </c>
      <c r="AN271" s="41" t="str">
        <f t="shared" si="145"/>
        <v/>
      </c>
      <c r="AO271" s="42" t="str">
        <f t="shared" si="146"/>
        <v/>
      </c>
      <c r="AP271" s="41" t="str">
        <f t="shared" si="147"/>
        <v/>
      </c>
      <c r="AQ271" s="5" t="s">
        <v>44</v>
      </c>
    </row>
    <row r="272" spans="1:43" s="249" customFormat="1" ht="28.8" x14ac:dyDescent="0.3">
      <c r="A272" s="5"/>
      <c r="B272" s="37">
        <v>2041</v>
      </c>
      <c r="C272" s="779">
        <f>'Interp-NONURBAN'!I306/10^9</f>
        <v>6155.3079646638616</v>
      </c>
      <c r="D272" s="780">
        <f>'Interp-NONURBAN'!I371/10^9</f>
        <v>7062.8664602426279</v>
      </c>
      <c r="E272" s="785">
        <f>'Interp-NONURBAN'!I501/10^9</f>
        <v>7153.0695439988476</v>
      </c>
      <c r="F272" s="38"/>
      <c r="G272" s="39"/>
      <c r="H272" s="40"/>
      <c r="I272" s="779">
        <f>'Interp-NONURBAN'!I436/10^9</f>
        <v>4303.8390419879888</v>
      </c>
      <c r="J272" s="39"/>
      <c r="K272" s="41"/>
      <c r="L272" s="42"/>
      <c r="M272" s="41"/>
      <c r="N272" s="126" t="s">
        <v>140</v>
      </c>
      <c r="AE272" s="37">
        <v>2041</v>
      </c>
      <c r="AF272" s="779">
        <f t="shared" si="137"/>
        <v>6155307964663.8613</v>
      </c>
      <c r="AG272" s="784">
        <f t="shared" si="138"/>
        <v>7062866460242.6279</v>
      </c>
      <c r="AH272" s="785">
        <f t="shared" si="139"/>
        <v>7153069543998.8477</v>
      </c>
      <c r="AI272" s="38" t="str">
        <f t="shared" si="140"/>
        <v/>
      </c>
      <c r="AJ272" s="39" t="str">
        <f t="shared" si="141"/>
        <v/>
      </c>
      <c r="AK272" s="40" t="str">
        <f t="shared" si="142"/>
        <v/>
      </c>
      <c r="AL272" s="779">
        <f t="shared" si="143"/>
        <v>4303839041987.9888</v>
      </c>
      <c r="AM272" s="39" t="str">
        <f t="shared" si="144"/>
        <v/>
      </c>
      <c r="AN272" s="41" t="str">
        <f t="shared" si="145"/>
        <v/>
      </c>
      <c r="AO272" s="42" t="str">
        <f t="shared" si="146"/>
        <v/>
      </c>
      <c r="AP272" s="41" t="str">
        <f t="shared" si="147"/>
        <v/>
      </c>
      <c r="AQ272" s="5" t="s">
        <v>44</v>
      </c>
    </row>
    <row r="273" spans="1:43" s="249" customFormat="1" ht="28.8" x14ac:dyDescent="0.3">
      <c r="A273" s="5"/>
      <c r="B273" s="37">
        <v>2042</v>
      </c>
      <c r="C273" s="779">
        <f>'Interp-NONURBAN'!I307/10^9</f>
        <v>6333.9851501987323</v>
      </c>
      <c r="D273" s="780">
        <f>'Interp-NONURBAN'!I372/10^9</f>
        <v>7340.9627373970361</v>
      </c>
      <c r="E273" s="785">
        <f>'Interp-NONURBAN'!I502/10^9</f>
        <v>7442.7186396330526</v>
      </c>
      <c r="F273" s="38"/>
      <c r="G273" s="39"/>
      <c r="H273" s="40"/>
      <c r="I273" s="779">
        <f>'Interp-NONURBAN'!I437/10^9</f>
        <v>4367.3635164184234</v>
      </c>
      <c r="J273" s="39"/>
      <c r="K273" s="41"/>
      <c r="L273" s="42"/>
      <c r="M273" s="41"/>
      <c r="N273" s="126" t="s">
        <v>140</v>
      </c>
      <c r="AE273" s="37">
        <v>2042</v>
      </c>
      <c r="AF273" s="779">
        <f t="shared" si="137"/>
        <v>6333985150198.7324</v>
      </c>
      <c r="AG273" s="784">
        <f t="shared" si="138"/>
        <v>7340962737397.0361</v>
      </c>
      <c r="AH273" s="785">
        <f t="shared" si="139"/>
        <v>7442718639633.0527</v>
      </c>
      <c r="AI273" s="38" t="str">
        <f t="shared" si="140"/>
        <v/>
      </c>
      <c r="AJ273" s="39" t="str">
        <f t="shared" si="141"/>
        <v/>
      </c>
      <c r="AK273" s="40" t="str">
        <f t="shared" si="142"/>
        <v/>
      </c>
      <c r="AL273" s="779">
        <f t="shared" si="143"/>
        <v>4367363516418.4233</v>
      </c>
      <c r="AM273" s="39" t="str">
        <f t="shared" si="144"/>
        <v/>
      </c>
      <c r="AN273" s="41" t="str">
        <f t="shared" si="145"/>
        <v/>
      </c>
      <c r="AO273" s="42" t="str">
        <f t="shared" si="146"/>
        <v/>
      </c>
      <c r="AP273" s="41" t="str">
        <f t="shared" si="147"/>
        <v/>
      </c>
      <c r="AQ273" s="5" t="s">
        <v>44</v>
      </c>
    </row>
    <row r="274" spans="1:43" s="249" customFormat="1" ht="28.8" x14ac:dyDescent="0.3">
      <c r="A274" s="5"/>
      <c r="B274" s="37">
        <v>2043</v>
      </c>
      <c r="C274" s="779">
        <f>'Interp-NONURBAN'!I308/10^9</f>
        <v>6514.6893344391492</v>
      </c>
      <c r="D274" s="780">
        <f>'Interp-NONURBAN'!I373/10^9</f>
        <v>7625.4960984253312</v>
      </c>
      <c r="E274" s="785">
        <f>'Interp-NONURBAN'!I503/10^9</f>
        <v>7741.9701787577005</v>
      </c>
      <c r="F274" s="38"/>
      <c r="G274" s="39"/>
      <c r="H274" s="40"/>
      <c r="I274" s="779">
        <f>'Interp-NONURBAN'!I438/10^9</f>
        <v>4430.7865773959184</v>
      </c>
      <c r="J274" s="39"/>
      <c r="K274" s="41"/>
      <c r="L274" s="42"/>
      <c r="M274" s="41"/>
      <c r="N274" s="126" t="s">
        <v>140</v>
      </c>
      <c r="AE274" s="37">
        <v>2043</v>
      </c>
      <c r="AF274" s="779">
        <f t="shared" si="137"/>
        <v>6514689334439.1494</v>
      </c>
      <c r="AG274" s="784">
        <f t="shared" si="138"/>
        <v>7625496098425.3311</v>
      </c>
      <c r="AH274" s="785">
        <f t="shared" si="139"/>
        <v>7741970178757.7002</v>
      </c>
      <c r="AI274" s="38" t="str">
        <f t="shared" si="140"/>
        <v/>
      </c>
      <c r="AJ274" s="39" t="str">
        <f t="shared" si="141"/>
        <v/>
      </c>
      <c r="AK274" s="40" t="str">
        <f t="shared" si="142"/>
        <v/>
      </c>
      <c r="AL274" s="779">
        <f t="shared" si="143"/>
        <v>4430786577395.918</v>
      </c>
      <c r="AM274" s="39" t="str">
        <f t="shared" si="144"/>
        <v/>
      </c>
      <c r="AN274" s="41" t="str">
        <f t="shared" si="145"/>
        <v/>
      </c>
      <c r="AO274" s="42" t="str">
        <f t="shared" si="146"/>
        <v/>
      </c>
      <c r="AP274" s="41" t="str">
        <f t="shared" si="147"/>
        <v/>
      </c>
      <c r="AQ274" s="5" t="s">
        <v>44</v>
      </c>
    </row>
    <row r="275" spans="1:43" s="249" customFormat="1" ht="28.8" x14ac:dyDescent="0.3">
      <c r="A275" s="5"/>
      <c r="B275" s="37">
        <v>2044</v>
      </c>
      <c r="C275" s="779">
        <f>'Interp-NONURBAN'!I309/10^9</f>
        <v>6697.3600276221041</v>
      </c>
      <c r="D275" s="780">
        <f>'Interp-NONURBAN'!I374/10^9</f>
        <v>7916.4210163564003</v>
      </c>
      <c r="E275" s="785">
        <f>'Interp-NONURBAN'!I504/10^9</f>
        <v>8050.9992719117718</v>
      </c>
      <c r="F275" s="38"/>
      <c r="G275" s="39"/>
      <c r="H275" s="40"/>
      <c r="I275" s="779">
        <f>'Interp-NONURBAN'!I439/10^9</f>
        <v>4494.1667845973952</v>
      </c>
      <c r="J275" s="39"/>
      <c r="K275" s="41"/>
      <c r="L275" s="42"/>
      <c r="M275" s="41"/>
      <c r="N275" s="126" t="s">
        <v>140</v>
      </c>
      <c r="AE275" s="37">
        <v>2044</v>
      </c>
      <c r="AF275" s="779">
        <f t="shared" si="137"/>
        <v>6697360027622.1045</v>
      </c>
      <c r="AG275" s="784">
        <f t="shared" si="138"/>
        <v>7916421016356.4004</v>
      </c>
      <c r="AH275" s="785">
        <f t="shared" si="139"/>
        <v>8050999271911.7715</v>
      </c>
      <c r="AI275" s="38" t="str">
        <f t="shared" si="140"/>
        <v/>
      </c>
      <c r="AJ275" s="39" t="str">
        <f t="shared" si="141"/>
        <v/>
      </c>
      <c r="AK275" s="40" t="str">
        <f t="shared" si="142"/>
        <v/>
      </c>
      <c r="AL275" s="779">
        <f t="shared" si="143"/>
        <v>4494166784597.3955</v>
      </c>
      <c r="AM275" s="39" t="str">
        <f t="shared" si="144"/>
        <v/>
      </c>
      <c r="AN275" s="41" t="str">
        <f t="shared" si="145"/>
        <v/>
      </c>
      <c r="AO275" s="42" t="str">
        <f t="shared" si="146"/>
        <v/>
      </c>
      <c r="AP275" s="41" t="str">
        <f t="shared" si="147"/>
        <v/>
      </c>
      <c r="AQ275" s="5" t="s">
        <v>44</v>
      </c>
    </row>
    <row r="276" spans="1:43" s="249" customFormat="1" ht="28.8" x14ac:dyDescent="0.3">
      <c r="A276" s="5"/>
      <c r="B276" s="37">
        <v>2045</v>
      </c>
      <c r="C276" s="779">
        <f>'Interp-NONURBAN'!I310/10^9</f>
        <v>6881.9350350587092</v>
      </c>
      <c r="D276" s="780">
        <f>'Interp-NONURBAN'!I375/10^9</f>
        <v>8213.6892649074507</v>
      </c>
      <c r="E276" s="785">
        <f>'Interp-NONURBAN'!I505/10^9</f>
        <v>8369.9773158535736</v>
      </c>
      <c r="F276" s="38"/>
      <c r="G276" s="39"/>
      <c r="H276" s="40"/>
      <c r="I276" s="779">
        <f>'Interp-NONURBAN'!I440/10^9</f>
        <v>4557.5611691149907</v>
      </c>
      <c r="J276" s="39"/>
      <c r="K276" s="41"/>
      <c r="L276" s="42"/>
      <c r="M276" s="41"/>
      <c r="N276" s="126" t="s">
        <v>140</v>
      </c>
      <c r="AE276" s="37">
        <v>2045</v>
      </c>
      <c r="AF276" s="779">
        <f t="shared" si="137"/>
        <v>6881935035058.709</v>
      </c>
      <c r="AG276" s="784">
        <f t="shared" si="138"/>
        <v>8213689264907.4512</v>
      </c>
      <c r="AH276" s="785">
        <f t="shared" si="139"/>
        <v>8369977315853.5732</v>
      </c>
      <c r="AI276" s="38" t="str">
        <f t="shared" si="140"/>
        <v/>
      </c>
      <c r="AJ276" s="39" t="str">
        <f t="shared" si="141"/>
        <v/>
      </c>
      <c r="AK276" s="40" t="str">
        <f t="shared" si="142"/>
        <v/>
      </c>
      <c r="AL276" s="779">
        <f t="shared" si="143"/>
        <v>4557561169114.9902</v>
      </c>
      <c r="AM276" s="39" t="str">
        <f t="shared" si="144"/>
        <v/>
      </c>
      <c r="AN276" s="41" t="str">
        <f t="shared" si="145"/>
        <v/>
      </c>
      <c r="AO276" s="42" t="str">
        <f t="shared" si="146"/>
        <v/>
      </c>
      <c r="AP276" s="41" t="str">
        <f t="shared" si="147"/>
        <v/>
      </c>
      <c r="AQ276" s="5" t="s">
        <v>44</v>
      </c>
    </row>
    <row r="277" spans="1:43" s="249" customFormat="1" ht="28.8" x14ac:dyDescent="0.3">
      <c r="A277" s="5"/>
      <c r="B277" s="37">
        <v>2046</v>
      </c>
      <c r="C277" s="779">
        <f>'Interp-NONURBAN'!I311/10^9</f>
        <v>7068.3515135903917</v>
      </c>
      <c r="D277" s="780">
        <f>'Interp-NONURBAN'!I376/10^9</f>
        <v>8517.2510923205773</v>
      </c>
      <c r="E277" s="785">
        <f>'Interp-NONURBAN'!I506/10^9</f>
        <v>8699.0701746515515</v>
      </c>
      <c r="F277" s="38"/>
      <c r="G277" s="39"/>
      <c r="H277" s="40"/>
      <c r="I277" s="779">
        <f>'Interp-NONURBAN'!I441/10^9</f>
        <v>4621.0259730979287</v>
      </c>
      <c r="J277" s="39"/>
      <c r="K277" s="41"/>
      <c r="L277" s="42"/>
      <c r="M277" s="41"/>
      <c r="N277" s="126" t="s">
        <v>140</v>
      </c>
      <c r="AE277" s="37">
        <v>2046</v>
      </c>
      <c r="AF277" s="779">
        <f t="shared" si="137"/>
        <v>7068351513590.3916</v>
      </c>
      <c r="AG277" s="784">
        <f t="shared" si="138"/>
        <v>8517251092320.5771</v>
      </c>
      <c r="AH277" s="785">
        <f t="shared" si="139"/>
        <v>8699070174651.5518</v>
      </c>
      <c r="AI277" s="38" t="str">
        <f t="shared" si="140"/>
        <v/>
      </c>
      <c r="AJ277" s="39" t="str">
        <f t="shared" si="141"/>
        <v/>
      </c>
      <c r="AK277" s="40" t="str">
        <f t="shared" si="142"/>
        <v/>
      </c>
      <c r="AL277" s="779">
        <f t="shared" si="143"/>
        <v>4621025973097.9287</v>
      </c>
      <c r="AM277" s="39" t="str">
        <f t="shared" si="144"/>
        <v/>
      </c>
      <c r="AN277" s="41" t="str">
        <f t="shared" si="145"/>
        <v/>
      </c>
      <c r="AO277" s="42" t="str">
        <f t="shared" si="146"/>
        <v/>
      </c>
      <c r="AP277" s="41" t="str">
        <f t="shared" si="147"/>
        <v/>
      </c>
      <c r="AQ277" s="5" t="s">
        <v>44</v>
      </c>
    </row>
    <row r="278" spans="1:43" s="249" customFormat="1" ht="28.8" x14ac:dyDescent="0.3">
      <c r="A278" s="5"/>
      <c r="B278" s="37">
        <v>2047</v>
      </c>
      <c r="C278" s="779">
        <f>'Interp-NONURBAN'!I312/10^9</f>
        <v>7256.5430867690238</v>
      </c>
      <c r="D278" s="780">
        <f>'Interp-NONURBAN'!I377/10^9</f>
        <v>8827.0516507880457</v>
      </c>
      <c r="E278" s="785">
        <f>'Interp-NONURBAN'!I507/10^9</f>
        <v>9038.4413616389811</v>
      </c>
      <c r="F278" s="38"/>
      <c r="G278" s="39"/>
      <c r="H278" s="40"/>
      <c r="I278" s="779">
        <f>'Interp-NONURBAN'!I442/10^9</f>
        <v>4684.6148253266128</v>
      </c>
      <c r="J278" s="39"/>
      <c r="K278" s="41"/>
      <c r="L278" s="42"/>
      <c r="M278" s="41"/>
      <c r="N278" s="126" t="s">
        <v>140</v>
      </c>
      <c r="AE278" s="37">
        <v>2047</v>
      </c>
      <c r="AF278" s="779">
        <f t="shared" si="137"/>
        <v>7256543086769.0234</v>
      </c>
      <c r="AG278" s="784">
        <f t="shared" si="138"/>
        <v>8827051650788.0449</v>
      </c>
      <c r="AH278" s="785">
        <f t="shared" si="139"/>
        <v>9038441361638.9805</v>
      </c>
      <c r="AI278" s="38" t="str">
        <f t="shared" si="140"/>
        <v/>
      </c>
      <c r="AJ278" s="39" t="str">
        <f t="shared" si="141"/>
        <v/>
      </c>
      <c r="AK278" s="40" t="str">
        <f t="shared" si="142"/>
        <v/>
      </c>
      <c r="AL278" s="779">
        <f t="shared" si="143"/>
        <v>4684614825326.6133</v>
      </c>
      <c r="AM278" s="39" t="str">
        <f t="shared" si="144"/>
        <v/>
      </c>
      <c r="AN278" s="41" t="str">
        <f t="shared" si="145"/>
        <v/>
      </c>
      <c r="AO278" s="42" t="str">
        <f t="shared" si="146"/>
        <v/>
      </c>
      <c r="AP278" s="41" t="str">
        <f t="shared" si="147"/>
        <v/>
      </c>
      <c r="AQ278" s="5" t="s">
        <v>44</v>
      </c>
    </row>
    <row r="279" spans="1:43" s="249" customFormat="1" ht="28.8" x14ac:dyDescent="0.3">
      <c r="A279" s="5"/>
      <c r="B279" s="37">
        <v>2048</v>
      </c>
      <c r="C279" s="779">
        <f>'Interp-NONURBAN'!I313/10^9</f>
        <v>7446.4396526765795</v>
      </c>
      <c r="D279" s="780">
        <f>'Interp-NONURBAN'!I378/10^9</f>
        <v>9143.0305484235141</v>
      </c>
      <c r="E279" s="785">
        <f>'Interp-NONURBAN'!I508/10^9</f>
        <v>9388.2556192090215</v>
      </c>
      <c r="F279" s="38"/>
      <c r="G279" s="39"/>
      <c r="H279" s="40"/>
      <c r="I279" s="779">
        <f>'Interp-NONURBAN'!I443/10^9</f>
        <v>4748.3787407070749</v>
      </c>
      <c r="J279" s="39"/>
      <c r="K279" s="41"/>
      <c r="L279" s="42"/>
      <c r="M279" s="41"/>
      <c r="N279" s="126" t="s">
        <v>140</v>
      </c>
      <c r="AE279" s="37">
        <v>2048</v>
      </c>
      <c r="AF279" s="779">
        <f t="shared" si="137"/>
        <v>7446439652676.5791</v>
      </c>
      <c r="AG279" s="784">
        <f t="shared" si="138"/>
        <v>9143030548423.5137</v>
      </c>
      <c r="AH279" s="785">
        <f t="shared" si="139"/>
        <v>9388255619209.0215</v>
      </c>
      <c r="AI279" s="38" t="str">
        <f t="shared" si="140"/>
        <v/>
      </c>
      <c r="AJ279" s="39" t="str">
        <f t="shared" si="141"/>
        <v/>
      </c>
      <c r="AK279" s="40" t="str">
        <f t="shared" si="142"/>
        <v/>
      </c>
      <c r="AL279" s="779">
        <f t="shared" si="143"/>
        <v>4748378740707.0752</v>
      </c>
      <c r="AM279" s="39" t="str">
        <f t="shared" si="144"/>
        <v/>
      </c>
      <c r="AN279" s="41" t="str">
        <f t="shared" si="145"/>
        <v/>
      </c>
      <c r="AO279" s="42" t="str">
        <f t="shared" si="146"/>
        <v/>
      </c>
      <c r="AP279" s="41" t="str">
        <f t="shared" si="147"/>
        <v/>
      </c>
      <c r="AQ279" s="5" t="s">
        <v>44</v>
      </c>
    </row>
    <row r="280" spans="1:43" s="249" customFormat="1" ht="28.8" x14ac:dyDescent="0.3">
      <c r="A280" s="5"/>
      <c r="B280" s="37">
        <v>2049</v>
      </c>
      <c r="C280" s="779">
        <f>'Interp-NONURBAN'!I314/10^9</f>
        <v>7637.9688401105313</v>
      </c>
      <c r="D280" s="780">
        <f>'Interp-NONURBAN'!I379/10^9</f>
        <v>9465.1234428224161</v>
      </c>
      <c r="E280" s="785">
        <f>'Interp-NONURBAN'!I509/10^9</f>
        <v>9748.6771409968424</v>
      </c>
      <c r="F280" s="38"/>
      <c r="G280" s="39"/>
      <c r="H280" s="40"/>
      <c r="I280" s="779">
        <f>'Interp-NONURBAN'!I444/10^9</f>
        <v>4812.3671357100748</v>
      </c>
      <c r="J280" s="39"/>
      <c r="K280" s="41"/>
      <c r="L280" s="42"/>
      <c r="M280" s="41"/>
      <c r="N280" s="126" t="s">
        <v>140</v>
      </c>
      <c r="AE280" s="37">
        <v>2049</v>
      </c>
      <c r="AF280" s="779">
        <f t="shared" si="137"/>
        <v>7637968840110.5313</v>
      </c>
      <c r="AG280" s="784">
        <f t="shared" si="138"/>
        <v>9465123442822.416</v>
      </c>
      <c r="AH280" s="785">
        <f t="shared" si="139"/>
        <v>9748677140996.8418</v>
      </c>
      <c r="AI280" s="38" t="str">
        <f t="shared" si="140"/>
        <v/>
      </c>
      <c r="AJ280" s="39" t="str">
        <f t="shared" si="141"/>
        <v/>
      </c>
      <c r="AK280" s="40" t="str">
        <f t="shared" si="142"/>
        <v/>
      </c>
      <c r="AL280" s="779">
        <f t="shared" si="143"/>
        <v>4812367135710.0752</v>
      </c>
      <c r="AM280" s="39" t="str">
        <f t="shared" si="144"/>
        <v/>
      </c>
      <c r="AN280" s="41" t="str">
        <f t="shared" si="145"/>
        <v/>
      </c>
      <c r="AO280" s="42" t="str">
        <f t="shared" si="146"/>
        <v/>
      </c>
      <c r="AP280" s="41" t="str">
        <f t="shared" si="147"/>
        <v/>
      </c>
      <c r="AQ280" s="5" t="s">
        <v>44</v>
      </c>
    </row>
    <row r="281" spans="1:43" s="249" customFormat="1" ht="28.8" x14ac:dyDescent="0.3">
      <c r="A281" s="5"/>
      <c r="B281" s="37">
        <v>2050</v>
      </c>
      <c r="C281" s="779">
        <f>'Interp-NONURBAN'!I315/10^9</f>
        <v>7831.0597805511597</v>
      </c>
      <c r="D281" s="780">
        <f>'Interp-NONURBAN'!I380/10^9</f>
        <v>9793.2666479715172</v>
      </c>
      <c r="E281" s="785">
        <f>'Interp-NONURBAN'!I510/10^9</f>
        <v>10119.865678705066</v>
      </c>
      <c r="F281" s="38"/>
      <c r="G281" s="39"/>
      <c r="H281" s="40"/>
      <c r="I281" s="779">
        <f>'Interp-NONURBAN'!I445/10^9</f>
        <v>4876.6301843450292</v>
      </c>
      <c r="J281" s="39"/>
      <c r="K281" s="41"/>
      <c r="L281" s="42"/>
      <c r="M281" s="41"/>
      <c r="N281" s="126" t="s">
        <v>140</v>
      </c>
      <c r="AE281" s="37">
        <v>2050</v>
      </c>
      <c r="AF281" s="779">
        <f t="shared" si="137"/>
        <v>7831059780551.1602</v>
      </c>
      <c r="AG281" s="784">
        <f t="shared" si="138"/>
        <v>9793266647971.5176</v>
      </c>
      <c r="AH281" s="785">
        <f t="shared" si="139"/>
        <v>10119865678705.066</v>
      </c>
      <c r="AI281" s="38" t="str">
        <f t="shared" si="140"/>
        <v/>
      </c>
      <c r="AJ281" s="39" t="str">
        <f t="shared" si="141"/>
        <v/>
      </c>
      <c r="AK281" s="40" t="str">
        <f t="shared" si="142"/>
        <v/>
      </c>
      <c r="AL281" s="779">
        <f t="shared" si="143"/>
        <v>4876630184345.0293</v>
      </c>
      <c r="AM281" s="39" t="str">
        <f t="shared" si="144"/>
        <v/>
      </c>
      <c r="AN281" s="41" t="str">
        <f t="shared" si="145"/>
        <v/>
      </c>
      <c r="AO281" s="42" t="str">
        <f t="shared" si="146"/>
        <v/>
      </c>
      <c r="AP281" s="41" t="str">
        <f t="shared" si="147"/>
        <v/>
      </c>
      <c r="AQ281" s="5" t="s">
        <v>44</v>
      </c>
    </row>
    <row r="282" spans="1:43" s="249" customFormat="1" ht="28.8" x14ac:dyDescent="0.3">
      <c r="A282" s="5"/>
      <c r="B282" s="37">
        <v>2051</v>
      </c>
      <c r="C282" s="779">
        <f>'Interp-NONURBAN'!I316/10^9</f>
        <v>8025.6440716611705</v>
      </c>
      <c r="D282" s="780">
        <f>'Interp-NONURBAN'!I381/10^9</f>
        <v>10127.398438388653</v>
      </c>
      <c r="E282" s="785">
        <f>'Interp-NONURBAN'!I511/10^9</f>
        <v>10501.976922597314</v>
      </c>
      <c r="F282" s="38"/>
      <c r="G282" s="39"/>
      <c r="H282" s="40"/>
      <c r="I282" s="779">
        <f>'Interp-NONURBAN'!I446/10^9</f>
        <v>4941.2193058454159</v>
      </c>
      <c r="J282" s="39"/>
      <c r="K282" s="41"/>
      <c r="L282" s="42"/>
      <c r="M282" s="41"/>
      <c r="N282" s="126" t="s">
        <v>140</v>
      </c>
      <c r="AE282" s="37">
        <v>2051</v>
      </c>
      <c r="AF282" s="779">
        <f t="shared" si="137"/>
        <v>8025644071661.1709</v>
      </c>
      <c r="AG282" s="784">
        <f t="shared" si="138"/>
        <v>10127398438388.652</v>
      </c>
      <c r="AH282" s="785">
        <f t="shared" si="139"/>
        <v>10501976922597.314</v>
      </c>
      <c r="AI282" s="38" t="str">
        <f t="shared" si="140"/>
        <v/>
      </c>
      <c r="AJ282" s="39" t="str">
        <f t="shared" si="141"/>
        <v/>
      </c>
      <c r="AK282" s="40" t="str">
        <f t="shared" si="142"/>
        <v/>
      </c>
      <c r="AL282" s="779">
        <f t="shared" si="143"/>
        <v>4941219305845.416</v>
      </c>
      <c r="AM282" s="39" t="str">
        <f t="shared" si="144"/>
        <v/>
      </c>
      <c r="AN282" s="41" t="str">
        <f t="shared" si="145"/>
        <v/>
      </c>
      <c r="AO282" s="42" t="str">
        <f t="shared" si="146"/>
        <v/>
      </c>
      <c r="AP282" s="41" t="str">
        <f t="shared" si="147"/>
        <v/>
      </c>
      <c r="AQ282" s="5" t="s">
        <v>44</v>
      </c>
    </row>
    <row r="283" spans="1:43" s="249" customFormat="1" ht="28.8" x14ac:dyDescent="0.3">
      <c r="A283" s="5"/>
      <c r="B283" s="37">
        <v>2052</v>
      </c>
      <c r="C283" s="779">
        <f>'Interp-NONURBAN'!I317/10^9</f>
        <v>8221.6591480337411</v>
      </c>
      <c r="D283" s="780">
        <f>'Interp-NONURBAN'!I382/10^9</f>
        <v>10467.46349865487</v>
      </c>
      <c r="E283" s="785">
        <f>'Interp-NONURBAN'!I512/10^9</f>
        <v>10895.161324643763</v>
      </c>
      <c r="F283" s="38"/>
      <c r="G283" s="39"/>
      <c r="H283" s="40"/>
      <c r="I283" s="779">
        <f>'Interp-NONURBAN'!I447/10^9</f>
        <v>5006.1890638223176</v>
      </c>
      <c r="J283" s="39"/>
      <c r="K283" s="41"/>
      <c r="L283" s="42"/>
      <c r="M283" s="41"/>
      <c r="N283" s="126" t="s">
        <v>140</v>
      </c>
      <c r="AE283" s="37">
        <v>2052</v>
      </c>
      <c r="AF283" s="779">
        <f t="shared" si="137"/>
        <v>8221659148033.7412</v>
      </c>
      <c r="AG283" s="784">
        <f t="shared" si="138"/>
        <v>10467463498654.869</v>
      </c>
      <c r="AH283" s="785">
        <f t="shared" si="139"/>
        <v>10895161324643.764</v>
      </c>
      <c r="AI283" s="38" t="str">
        <f t="shared" si="140"/>
        <v/>
      </c>
      <c r="AJ283" s="39" t="str">
        <f t="shared" si="141"/>
        <v/>
      </c>
      <c r="AK283" s="40" t="str">
        <f t="shared" si="142"/>
        <v/>
      </c>
      <c r="AL283" s="779">
        <f t="shared" si="143"/>
        <v>5006189063822.3174</v>
      </c>
      <c r="AM283" s="39" t="str">
        <f t="shared" si="144"/>
        <v/>
      </c>
      <c r="AN283" s="41" t="str">
        <f t="shared" si="145"/>
        <v/>
      </c>
      <c r="AO283" s="42" t="str">
        <f t="shared" si="146"/>
        <v/>
      </c>
      <c r="AP283" s="41" t="str">
        <f t="shared" si="147"/>
        <v/>
      </c>
      <c r="AQ283" s="5" t="s">
        <v>44</v>
      </c>
    </row>
    <row r="284" spans="1:43" s="249" customFormat="1" ht="28.8" x14ac:dyDescent="0.3">
      <c r="A284" s="5"/>
      <c r="B284" s="37">
        <v>2053</v>
      </c>
      <c r="C284" s="779">
        <f>'Interp-NONURBAN'!I318/10^9</f>
        <v>8419.0474321117817</v>
      </c>
      <c r="D284" s="780">
        <f>'Interp-NONURBAN'!I383/10^9</f>
        <v>10813.412151332041</v>
      </c>
      <c r="E284" s="785">
        <f>'Interp-NONURBAN'!I513/10^9</f>
        <v>11299.564627478961</v>
      </c>
      <c r="F284" s="38"/>
      <c r="G284" s="39"/>
      <c r="H284" s="40"/>
      <c r="I284" s="779">
        <f>'Interp-NONURBAN'!I448/10^9</f>
        <v>5071.5964452330181</v>
      </c>
      <c r="J284" s="39"/>
      <c r="K284" s="41"/>
      <c r="L284" s="42"/>
      <c r="M284" s="41"/>
      <c r="N284" s="126" t="s">
        <v>140</v>
      </c>
      <c r="AE284" s="37">
        <v>2053</v>
      </c>
      <c r="AF284" s="779">
        <f t="shared" si="137"/>
        <v>8419047432111.7822</v>
      </c>
      <c r="AG284" s="784">
        <f t="shared" si="138"/>
        <v>10813412151332.041</v>
      </c>
      <c r="AH284" s="785">
        <f t="shared" si="139"/>
        <v>11299564627478.961</v>
      </c>
      <c r="AI284" s="38" t="str">
        <f t="shared" si="140"/>
        <v/>
      </c>
      <c r="AJ284" s="39" t="str">
        <f t="shared" si="141"/>
        <v/>
      </c>
      <c r="AK284" s="40" t="str">
        <f t="shared" si="142"/>
        <v/>
      </c>
      <c r="AL284" s="779">
        <f t="shared" si="143"/>
        <v>5071596445233.0186</v>
      </c>
      <c r="AM284" s="39" t="str">
        <f t="shared" si="144"/>
        <v/>
      </c>
      <c r="AN284" s="41" t="str">
        <f t="shared" si="145"/>
        <v/>
      </c>
      <c r="AO284" s="42" t="str">
        <f t="shared" si="146"/>
        <v/>
      </c>
      <c r="AP284" s="41" t="str">
        <f t="shared" si="147"/>
        <v/>
      </c>
      <c r="AQ284" s="5" t="s">
        <v>44</v>
      </c>
    </row>
    <row r="285" spans="1:43" s="249" customFormat="1" ht="28.8" x14ac:dyDescent="0.3">
      <c r="A285" s="5"/>
      <c r="B285" s="37">
        <v>2054</v>
      </c>
      <c r="C285" s="779">
        <f>'Interp-NONURBAN'!I319/10^9</f>
        <v>8617.7555766135411</v>
      </c>
      <c r="D285" s="780">
        <f>'Interp-NONURBAN'!I384/10^9</f>
        <v>11165.199642029847</v>
      </c>
      <c r="E285" s="785">
        <f>'Interp-NONURBAN'!I514/10^9</f>
        <v>11715.328355581569</v>
      </c>
      <c r="F285" s="38"/>
      <c r="G285" s="39"/>
      <c r="H285" s="40"/>
      <c r="I285" s="779">
        <f>'Interp-NONURBAN'!I449/10^9</f>
        <v>5137.5002488727851</v>
      </c>
      <c r="J285" s="39"/>
      <c r="K285" s="41"/>
      <c r="L285" s="42"/>
      <c r="M285" s="41"/>
      <c r="N285" s="126" t="s">
        <v>140</v>
      </c>
      <c r="AE285" s="37">
        <v>2054</v>
      </c>
      <c r="AF285" s="779">
        <f t="shared" si="137"/>
        <v>8617755576613.541</v>
      </c>
      <c r="AG285" s="784">
        <f t="shared" si="138"/>
        <v>11165199642029.848</v>
      </c>
      <c r="AH285" s="785">
        <f t="shared" si="139"/>
        <v>11715328355581.568</v>
      </c>
      <c r="AI285" s="38" t="str">
        <f t="shared" si="140"/>
        <v/>
      </c>
      <c r="AJ285" s="39" t="str">
        <f t="shared" si="141"/>
        <v/>
      </c>
      <c r="AK285" s="40" t="str">
        <f t="shared" si="142"/>
        <v/>
      </c>
      <c r="AL285" s="779">
        <f t="shared" si="143"/>
        <v>5137500248872.7852</v>
      </c>
      <c r="AM285" s="39" t="str">
        <f t="shared" si="144"/>
        <v/>
      </c>
      <c r="AN285" s="41" t="str">
        <f t="shared" si="145"/>
        <v/>
      </c>
      <c r="AO285" s="42" t="str">
        <f t="shared" si="146"/>
        <v/>
      </c>
      <c r="AP285" s="41" t="str">
        <f t="shared" si="147"/>
        <v/>
      </c>
      <c r="AQ285" s="5" t="s">
        <v>44</v>
      </c>
    </row>
    <row r="286" spans="1:43" s="249" customFormat="1" ht="28.8" x14ac:dyDescent="0.3">
      <c r="A286" s="5"/>
      <c r="B286" s="37">
        <v>2055</v>
      </c>
      <c r="C286" s="779">
        <f>'Interp-NONURBAN'!I320/10^9</f>
        <v>8817.7281850646741</v>
      </c>
      <c r="D286" s="780">
        <f>'Interp-NONURBAN'!I385/10^9</f>
        <v>11522.778114605591</v>
      </c>
      <c r="E286" s="785">
        <f>'Interp-NONURBAN'!I515/10^9</f>
        <v>12142.592395139645</v>
      </c>
      <c r="F286" s="38"/>
      <c r="G286" s="39"/>
      <c r="H286" s="40"/>
      <c r="I286" s="779">
        <f>'Interp-NONURBAN'!I450/10^9</f>
        <v>5203.9573138717469</v>
      </c>
      <c r="J286" s="39"/>
      <c r="K286" s="41"/>
      <c r="L286" s="42"/>
      <c r="M286" s="41"/>
      <c r="N286" s="126" t="s">
        <v>140</v>
      </c>
      <c r="AE286" s="37">
        <v>2055</v>
      </c>
      <c r="AF286" s="779">
        <f t="shared" si="137"/>
        <v>8817728185064.6738</v>
      </c>
      <c r="AG286" s="784">
        <f t="shared" si="138"/>
        <v>11522778114605.592</v>
      </c>
      <c r="AH286" s="785">
        <f t="shared" si="139"/>
        <v>12142592395139.645</v>
      </c>
      <c r="AI286" s="38" t="str">
        <f t="shared" si="140"/>
        <v/>
      </c>
      <c r="AJ286" s="39" t="str">
        <f t="shared" si="141"/>
        <v/>
      </c>
      <c r="AK286" s="40" t="str">
        <f t="shared" si="142"/>
        <v/>
      </c>
      <c r="AL286" s="779">
        <f t="shared" si="143"/>
        <v>5203957313871.7471</v>
      </c>
      <c r="AM286" s="39" t="str">
        <f t="shared" si="144"/>
        <v/>
      </c>
      <c r="AN286" s="41" t="str">
        <f t="shared" si="145"/>
        <v/>
      </c>
      <c r="AO286" s="42" t="str">
        <f t="shared" si="146"/>
        <v/>
      </c>
      <c r="AP286" s="41" t="str">
        <f t="shared" si="147"/>
        <v/>
      </c>
      <c r="AQ286" s="5" t="s">
        <v>44</v>
      </c>
    </row>
    <row r="287" spans="1:43" s="249" customFormat="1" ht="28.8" x14ac:dyDescent="0.3">
      <c r="A287" s="5"/>
      <c r="B287" s="37">
        <v>2056</v>
      </c>
      <c r="C287" s="779">
        <f>'Interp-NONURBAN'!I321/10^9</f>
        <v>9018.9015078931261</v>
      </c>
      <c r="D287" s="780">
        <f>'Interp-NONURBAN'!I386/10^9</f>
        <v>11886.088127967569</v>
      </c>
      <c r="E287" s="785">
        <f>'Interp-NONURBAN'!I516/10^9</f>
        <v>12581.496316125107</v>
      </c>
      <c r="F287" s="38"/>
      <c r="G287" s="39"/>
      <c r="H287" s="40"/>
      <c r="I287" s="779">
        <f>'Interp-NONURBAN'!I451/10^9</f>
        <v>5271.0189627119735</v>
      </c>
      <c r="J287" s="39"/>
      <c r="K287" s="41"/>
      <c r="L287" s="42"/>
      <c r="M287" s="41"/>
      <c r="N287" s="126" t="s">
        <v>140</v>
      </c>
      <c r="AE287" s="37">
        <v>2056</v>
      </c>
      <c r="AF287" s="779">
        <f t="shared" si="137"/>
        <v>9018901507893.127</v>
      </c>
      <c r="AG287" s="784">
        <f t="shared" si="138"/>
        <v>11886088127967.568</v>
      </c>
      <c r="AH287" s="785">
        <f t="shared" si="139"/>
        <v>12581496316125.107</v>
      </c>
      <c r="AI287" s="38" t="str">
        <f t="shared" si="140"/>
        <v/>
      </c>
      <c r="AJ287" s="39" t="str">
        <f t="shared" si="141"/>
        <v/>
      </c>
      <c r="AK287" s="40" t="str">
        <f t="shared" si="142"/>
        <v/>
      </c>
      <c r="AL287" s="779">
        <f t="shared" si="143"/>
        <v>5271018962711.9736</v>
      </c>
      <c r="AM287" s="39" t="str">
        <f t="shared" si="144"/>
        <v/>
      </c>
      <c r="AN287" s="41" t="str">
        <f t="shared" si="145"/>
        <v/>
      </c>
      <c r="AO287" s="42" t="str">
        <f t="shared" si="146"/>
        <v/>
      </c>
      <c r="AP287" s="41" t="str">
        <f t="shared" si="147"/>
        <v/>
      </c>
      <c r="AQ287" s="5" t="s">
        <v>44</v>
      </c>
    </row>
    <row r="288" spans="1:43" s="249" customFormat="1" ht="28.8" x14ac:dyDescent="0.3">
      <c r="A288" s="5"/>
      <c r="B288" s="37">
        <v>2057</v>
      </c>
      <c r="C288" s="779">
        <f>'Interp-NONURBAN'!I322/10^9</f>
        <v>9221.2087934623632</v>
      </c>
      <c r="D288" s="780">
        <f>'Interp-NONURBAN'!I387/10^9</f>
        <v>12255.065324629826</v>
      </c>
      <c r="E288" s="785">
        <f>'Interp-NONURBAN'!I517/10^9</f>
        <v>13032.179635559114</v>
      </c>
      <c r="F288" s="38"/>
      <c r="G288" s="39"/>
      <c r="H288" s="40"/>
      <c r="I288" s="779">
        <f>'Interp-NONURBAN'!I452/10^9</f>
        <v>5338.7342792941517</v>
      </c>
      <c r="J288" s="39"/>
      <c r="K288" s="41"/>
      <c r="L288" s="42"/>
      <c r="M288" s="41"/>
      <c r="N288" s="126" t="s">
        <v>140</v>
      </c>
      <c r="AE288" s="37">
        <v>2057</v>
      </c>
      <c r="AF288" s="779">
        <f t="shared" si="137"/>
        <v>9221208793462.3633</v>
      </c>
      <c r="AG288" s="784">
        <f t="shared" si="138"/>
        <v>12255065324629.826</v>
      </c>
      <c r="AH288" s="785">
        <f t="shared" si="139"/>
        <v>13032179635559.113</v>
      </c>
      <c r="AI288" s="38" t="str">
        <f t="shared" si="140"/>
        <v/>
      </c>
      <c r="AJ288" s="39" t="str">
        <f t="shared" si="141"/>
        <v/>
      </c>
      <c r="AK288" s="40" t="str">
        <f t="shared" si="142"/>
        <v/>
      </c>
      <c r="AL288" s="779">
        <f t="shared" si="143"/>
        <v>5338734279294.1514</v>
      </c>
      <c r="AM288" s="39" t="str">
        <f t="shared" si="144"/>
        <v/>
      </c>
      <c r="AN288" s="41" t="str">
        <f t="shared" si="145"/>
        <v/>
      </c>
      <c r="AO288" s="42" t="str">
        <f t="shared" si="146"/>
        <v/>
      </c>
      <c r="AP288" s="41" t="str">
        <f t="shared" si="147"/>
        <v/>
      </c>
      <c r="AQ288" s="5" t="s">
        <v>44</v>
      </c>
    </row>
    <row r="289" spans="1:44" s="249" customFormat="1" ht="28.8" x14ac:dyDescent="0.3">
      <c r="A289" s="5"/>
      <c r="B289" s="37">
        <v>2058</v>
      </c>
      <c r="C289" s="779">
        <f>'Interp-NONURBAN'!I323/10^9</f>
        <v>9424.5887919593988</v>
      </c>
      <c r="D289" s="780">
        <f>'Interp-NONURBAN'!I388/10^9</f>
        <v>12629.651709772163</v>
      </c>
      <c r="E289" s="785">
        <f>'Interp-NONURBAN'!I518/10^9</f>
        <v>13494.782288048747</v>
      </c>
      <c r="F289" s="38"/>
      <c r="G289" s="39"/>
      <c r="H289" s="40"/>
      <c r="I289" s="779">
        <f>'Interp-NONURBAN'!I453/10^9</f>
        <v>5407.1549702283482</v>
      </c>
      <c r="J289" s="39"/>
      <c r="K289" s="41"/>
      <c r="L289" s="42"/>
      <c r="M289" s="41"/>
      <c r="N289" s="126" t="s">
        <v>140</v>
      </c>
      <c r="AE289" s="37">
        <v>2058</v>
      </c>
      <c r="AF289" s="779">
        <f t="shared" si="137"/>
        <v>9424588791959.3984</v>
      </c>
      <c r="AG289" s="784">
        <f t="shared" si="138"/>
        <v>12629651709772.162</v>
      </c>
      <c r="AH289" s="785">
        <f t="shared" si="139"/>
        <v>13494782288048.748</v>
      </c>
      <c r="AI289" s="38" t="str">
        <f t="shared" si="140"/>
        <v/>
      </c>
      <c r="AJ289" s="39" t="str">
        <f t="shared" si="141"/>
        <v/>
      </c>
      <c r="AK289" s="40" t="str">
        <f t="shared" si="142"/>
        <v/>
      </c>
      <c r="AL289" s="779">
        <f t="shared" si="143"/>
        <v>5407154970228.3486</v>
      </c>
      <c r="AM289" s="39" t="str">
        <f t="shared" si="144"/>
        <v/>
      </c>
      <c r="AN289" s="41" t="str">
        <f t="shared" si="145"/>
        <v/>
      </c>
      <c r="AO289" s="42" t="str">
        <f t="shared" si="146"/>
        <v/>
      </c>
      <c r="AP289" s="41" t="str">
        <f t="shared" si="147"/>
        <v/>
      </c>
      <c r="AQ289" s="5" t="s">
        <v>44</v>
      </c>
    </row>
    <row r="290" spans="1:44" s="249" customFormat="1" ht="28.8" x14ac:dyDescent="0.3">
      <c r="A290" s="5"/>
      <c r="B290" s="37">
        <v>2059</v>
      </c>
      <c r="C290" s="779">
        <f>'Interp-NONURBAN'!I324/10^9</f>
        <v>9628.9808083637581</v>
      </c>
      <c r="D290" s="780">
        <f>'Interp-NONURBAN'!I389/10^9</f>
        <v>13009.789225139386</v>
      </c>
      <c r="E290" s="785">
        <f>'Interp-NONURBAN'!I519/10^9</f>
        <v>13969.444834683496</v>
      </c>
      <c r="F290" s="38"/>
      <c r="G290" s="39"/>
      <c r="H290" s="40"/>
      <c r="I290" s="779">
        <f>'Interp-NONURBAN'!I454/10^9</f>
        <v>5476.3324374828217</v>
      </c>
      <c r="J290" s="39"/>
      <c r="K290" s="41"/>
      <c r="L290" s="42"/>
      <c r="M290" s="41"/>
      <c r="N290" s="126" t="s">
        <v>140</v>
      </c>
      <c r="AE290" s="37">
        <v>2059</v>
      </c>
      <c r="AF290" s="779">
        <f t="shared" si="137"/>
        <v>9628980808363.7578</v>
      </c>
      <c r="AG290" s="784">
        <f t="shared" si="138"/>
        <v>13009789225139.387</v>
      </c>
      <c r="AH290" s="785">
        <f t="shared" si="139"/>
        <v>13969444834683.496</v>
      </c>
      <c r="AI290" s="38" t="str">
        <f t="shared" si="140"/>
        <v/>
      </c>
      <c r="AJ290" s="39" t="str">
        <f t="shared" si="141"/>
        <v/>
      </c>
      <c r="AK290" s="40" t="str">
        <f t="shared" si="142"/>
        <v/>
      </c>
      <c r="AL290" s="779">
        <f t="shared" si="143"/>
        <v>5476332437482.8213</v>
      </c>
      <c r="AM290" s="39" t="str">
        <f t="shared" si="144"/>
        <v/>
      </c>
      <c r="AN290" s="41" t="str">
        <f t="shared" si="145"/>
        <v/>
      </c>
      <c r="AO290" s="42" t="str">
        <f t="shared" si="146"/>
        <v/>
      </c>
      <c r="AP290" s="41" t="str">
        <f t="shared" si="147"/>
        <v/>
      </c>
      <c r="AQ290" s="5" t="s">
        <v>44</v>
      </c>
    </row>
    <row r="291" spans="1:44" s="249" customFormat="1" ht="25.05" customHeight="1" thickBot="1" x14ac:dyDescent="0.35">
      <c r="A291" s="238" t="s">
        <v>246</v>
      </c>
      <c r="B291" s="37">
        <v>2060</v>
      </c>
      <c r="C291" s="779">
        <f>'Interp-NONURBAN'!I325/10^9</f>
        <v>9834.3225951746699</v>
      </c>
      <c r="D291" s="780">
        <f>'Interp-NONURBAN'!I390/10^9</f>
        <v>13395.416879988974</v>
      </c>
      <c r="E291" s="785">
        <f>'Interp-NONURBAN'!I520/10^9</f>
        <v>14456.305934932825</v>
      </c>
      <c r="F291" s="38"/>
      <c r="G291" s="39"/>
      <c r="H291" s="40"/>
      <c r="I291" s="779">
        <f>'Interp-NONURBAN'!I455/10^9</f>
        <v>5546.3165855131383</v>
      </c>
      <c r="J291" s="39"/>
      <c r="K291" s="41"/>
      <c r="L291" s="42"/>
      <c r="M291" s="63"/>
      <c r="N291" s="126" t="s">
        <v>140</v>
      </c>
      <c r="AE291" s="37">
        <v>2060</v>
      </c>
      <c r="AF291" s="779">
        <f t="shared" si="137"/>
        <v>9834322595174.6699</v>
      </c>
      <c r="AG291" s="784">
        <f t="shared" si="138"/>
        <v>13395416879988.975</v>
      </c>
      <c r="AH291" s="785">
        <f t="shared" si="139"/>
        <v>14456305934932.824</v>
      </c>
      <c r="AI291" s="38" t="str">
        <f t="shared" si="140"/>
        <v/>
      </c>
      <c r="AJ291" s="39" t="str">
        <f t="shared" si="141"/>
        <v/>
      </c>
      <c r="AK291" s="40" t="str">
        <f t="shared" si="142"/>
        <v/>
      </c>
      <c r="AL291" s="779">
        <f t="shared" si="143"/>
        <v>5546316585513.1387</v>
      </c>
      <c r="AM291" s="39" t="str">
        <f t="shared" si="144"/>
        <v/>
      </c>
      <c r="AN291" s="41" t="str">
        <f t="shared" si="145"/>
        <v/>
      </c>
      <c r="AO291" s="42" t="str">
        <f t="shared" si="146"/>
        <v/>
      </c>
      <c r="AP291" s="63" t="str">
        <f t="shared" si="147"/>
        <v/>
      </c>
      <c r="AQ291" s="5" t="s">
        <v>44</v>
      </c>
      <c r="AR291" s="238" t="s">
        <v>246</v>
      </c>
    </row>
    <row r="292" spans="1:44" s="249" customFormat="1" ht="14.4" x14ac:dyDescent="0.3">
      <c r="A292" s="5"/>
      <c r="B292" s="5"/>
      <c r="C292" s="5"/>
      <c r="D292" s="5"/>
      <c r="E292" s="5"/>
      <c r="F292" s="5"/>
      <c r="G292" s="5"/>
      <c r="H292" s="5"/>
      <c r="I292" s="5"/>
      <c r="J292" s="5"/>
      <c r="K292" s="5"/>
      <c r="L292" s="5"/>
      <c r="M292" s="5"/>
      <c r="N292" s="5"/>
      <c r="AF292" s="5"/>
      <c r="AG292" s="5"/>
      <c r="AH292" s="5"/>
      <c r="AI292" s="5"/>
      <c r="AJ292" s="5"/>
      <c r="AK292" s="5"/>
      <c r="AL292" s="5"/>
      <c r="AM292" s="5"/>
      <c r="AN292" s="5"/>
      <c r="AQ292" s="5"/>
    </row>
    <row r="293" spans="1:44" s="249" customFormat="1" ht="15" customHeight="1" x14ac:dyDescent="0.3"/>
    <row r="294" spans="1:44" s="249" customFormat="1" ht="15" customHeight="1" x14ac:dyDescent="0.3"/>
  </sheetData>
  <mergeCells count="38">
    <mergeCell ref="C69:E69"/>
    <mergeCell ref="AI241:AK241"/>
    <mergeCell ref="AL241:AN241"/>
    <mergeCell ref="AO241:AP241"/>
    <mergeCell ref="C241:E241"/>
    <mergeCell ref="F241:H241"/>
    <mergeCell ref="I241:K241"/>
    <mergeCell ref="L241:M241"/>
    <mergeCell ref="AF241:AH241"/>
    <mergeCell ref="A2:H5"/>
    <mergeCell ref="C184:E184"/>
    <mergeCell ref="F184:H184"/>
    <mergeCell ref="I184:K184"/>
    <mergeCell ref="L184:M184"/>
    <mergeCell ref="I127:K127"/>
    <mergeCell ref="C127:E127"/>
    <mergeCell ref="F127:H127"/>
    <mergeCell ref="L127:M127"/>
    <mergeCell ref="L9:M9"/>
    <mergeCell ref="L69:M69"/>
    <mergeCell ref="I9:K9"/>
    <mergeCell ref="C9:E9"/>
    <mergeCell ref="F9:H9"/>
    <mergeCell ref="F69:H69"/>
    <mergeCell ref="I69:K69"/>
    <mergeCell ref="O2:Q3"/>
    <mergeCell ref="AF184:AH184"/>
    <mergeCell ref="AI184:AK184"/>
    <mergeCell ref="AL184:AN184"/>
    <mergeCell ref="AO184:AP184"/>
    <mergeCell ref="AL127:AN127"/>
    <mergeCell ref="AO127:AP127"/>
    <mergeCell ref="AI127:AK127"/>
    <mergeCell ref="AF9:AH9"/>
    <mergeCell ref="AI9:AK9"/>
    <mergeCell ref="AL9:AN9"/>
    <mergeCell ref="AO9:AP9"/>
    <mergeCell ref="AF127:AH127"/>
  </mergeCells>
  <hyperlinks>
    <hyperlink ref="A59" location="'Passenger TAM Data'!A1" display="Back to Top Left" xr:uid="{3838FC09-8774-49B1-82F3-2A2600CA6C4D}"/>
    <hyperlink ref="J2" location="'Passenger TAM Data'!C9:N59" display="Urban-Bpkms" xr:uid="{8820F6B1-819A-426A-84A1-89CB3CE7E81A}"/>
    <hyperlink ref="L2" location="'Passenger TAM Data'!AF9:AQ59" display="Urban-pkms" xr:uid="{01793087-2A9A-4B63-B5A1-1667095A3820}"/>
    <hyperlink ref="J3" location="'Passenger TAM Data'!C69:N119" display="NonUrban-Bpkms" xr:uid="{C32916BD-6647-4EA7-A6DC-E8941A888A44}"/>
    <hyperlink ref="L3" location="'Passenger TAM Data'!AF69:AQ119" display="NonUrban-pkms" xr:uid="{AC0E3B57-4DC6-4EB7-8B48-E7E367EE31A4}"/>
    <hyperlink ref="J4" location="'Passenger TAM Data'!C127:N177" display="Combined-Bpkm" xr:uid="{9C20A1E8-DD89-4BF8-B134-51A5F2E93EF3}"/>
    <hyperlink ref="L4" location="'Passenger TAM Data'!AF127:AQ177" display="Combined-pkm" xr:uid="{97A32208-EFAE-4AB1-9DDD-BB9BAE12CDB1}"/>
    <hyperlink ref="A119" location="'Passenger TAM Data'!A1" display="Back to Top Left" xr:uid="{4F997696-3C18-47C2-B044-E298E662E5A7}"/>
    <hyperlink ref="A177" location="'Passenger TAM Data'!A1" display="Back to Top Left" xr:uid="{1697002E-B8BF-4A87-B314-73B03CDBEF6B}"/>
    <hyperlink ref="AR177" location="'Passenger TAM Data'!A1" display="Back to Top Left" xr:uid="{A5D4CA4F-3B98-425F-9F97-B6DF414292DA}"/>
    <hyperlink ref="AR59" location="'Passenger TAM Data'!A1" display="Back to Top Left" xr:uid="{5DE97FF2-F0A0-4703-B055-CA135BC8031F}"/>
    <hyperlink ref="A234" location="'Passenger TAM Data'!A1" display="Back to Top Left" xr:uid="{D4701A00-39E4-41EA-9F16-E1D90AAC7FC7}"/>
    <hyperlink ref="AR234" location="'Passenger TAM Data'!A1" display="Back to Top Left" xr:uid="{0E50C836-AA75-4BD9-852A-288216E91AAA}"/>
    <hyperlink ref="J5" location="'Passenger TAM Data'!C184:N234" display="Air-Bpkms" xr:uid="{11536803-2A0D-4CBB-8C30-01B4A3DC4EF4}"/>
    <hyperlink ref="L5" location="'Passenger TAM Data'!AF184:AQ234" display="Air-pkms" xr:uid="{DC54F42E-FACD-4784-825B-1F63CB7BE2AB}"/>
    <hyperlink ref="A291" location="'Passenger TAM Data'!A1" display="Back to Top Left" xr:uid="{6752C1F3-C6CA-4488-854C-8272E1D251B0}"/>
    <hyperlink ref="AR291" location="'Passenger TAM Data'!A1" display="Back to Top Left" xr:uid="{1DE3AE90-CBFE-4208-A82E-A7953A801E92}"/>
    <hyperlink ref="J6" location="'Passenger TAM Data'!C184:N234" display="Air-Bpkms" xr:uid="{6C9E2BA7-C80B-4BCE-9888-526EC3E1CE89}"/>
    <hyperlink ref="L6" location="'Passenger TAM Data'!AF184:AQ234" display="Air-pkms" xr:uid="{5028A9AF-FC86-4CD3-A3D5-B6E1DBCC068E}"/>
    <hyperlink ref="J6:K6" location="'Passenger TAM Data'!C241:N291" display="Business Air-Bpkms" xr:uid="{AADDD439-9970-4DF7-B788-E547ECB9E4BE}"/>
    <hyperlink ref="L6:M6" location="'Passenger TAM Data'!AF241:AQ291" display="Business Air-pkms" xr:uid="{87950099-1348-42DB-90A2-8A5582140DA3}"/>
    <hyperlink ref="O2:Q3" location="'Table of Contents'!A1" display="Back to Table of Contents" xr:uid="{4DCFEE9B-FB2B-4172-8F8A-82CA28279129}"/>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4" tint="0.39997558519241921"/>
  </sheetPr>
  <dimension ref="A1:S520"/>
  <sheetViews>
    <sheetView zoomScale="70" zoomScaleNormal="70" workbookViewId="0"/>
  </sheetViews>
  <sheetFormatPr defaultColWidth="15.21875" defaultRowHeight="15" customHeight="1" x14ac:dyDescent="0.3"/>
  <cols>
    <col min="1" max="1" width="30.44140625" customWidth="1"/>
    <col min="2" max="2" width="0.5546875" customWidth="1"/>
    <col min="3" max="3" width="15.44140625" customWidth="1"/>
    <col min="4" max="4" width="17" hidden="1" customWidth="1"/>
    <col min="5" max="7" width="23.21875" customWidth="1"/>
    <col min="8" max="9" width="15" customWidth="1"/>
    <col min="10" max="10" width="18.77734375" customWidth="1"/>
    <col min="11" max="11" width="12.21875" customWidth="1"/>
    <col min="12" max="13" width="7.5546875" customWidth="1"/>
    <col min="14" max="14" width="8.21875" customWidth="1"/>
    <col min="15" max="26" width="7.5546875" customWidth="1"/>
  </cols>
  <sheetData>
    <row r="1" spans="1:19" s="184" customFormat="1" ht="22.95" customHeight="1" thickBot="1" x14ac:dyDescent="0.45">
      <c r="A1" s="115" t="s">
        <v>211</v>
      </c>
      <c r="B1" s="115"/>
      <c r="C1" s="115"/>
      <c r="D1" s="115"/>
      <c r="E1" s="115"/>
      <c r="F1" s="115"/>
      <c r="G1" s="115"/>
    </row>
    <row r="2" spans="1:19" s="184" customFormat="1" ht="15" customHeight="1" x14ac:dyDescent="0.3">
      <c r="A2" s="864" t="s">
        <v>699</v>
      </c>
      <c r="B2" s="864"/>
      <c r="C2" s="864"/>
      <c r="D2" s="864"/>
      <c r="E2" s="864"/>
      <c r="F2" s="864"/>
      <c r="G2" s="864"/>
      <c r="H2" s="864"/>
      <c r="I2" s="864"/>
      <c r="J2" s="864"/>
      <c r="K2" s="864"/>
      <c r="L2" s="864"/>
      <c r="M2" s="864"/>
      <c r="N2" s="864"/>
      <c r="O2" s="864"/>
      <c r="Q2" s="815" t="s">
        <v>467</v>
      </c>
      <c r="R2" s="816"/>
      <c r="S2" s="817"/>
    </row>
    <row r="3" spans="1:19" s="184" customFormat="1" ht="15" customHeight="1" thickBot="1" x14ac:dyDescent="0.35">
      <c r="A3" s="864"/>
      <c r="B3" s="864"/>
      <c r="C3" s="864"/>
      <c r="D3" s="864"/>
      <c r="E3" s="864"/>
      <c r="F3" s="864"/>
      <c r="G3" s="864"/>
      <c r="H3" s="864"/>
      <c r="I3" s="864"/>
      <c r="J3" s="864"/>
      <c r="K3" s="864"/>
      <c r="L3" s="864"/>
      <c r="M3" s="864"/>
      <c r="N3" s="864"/>
      <c r="O3" s="864"/>
      <c r="Q3" s="818"/>
      <c r="R3" s="819"/>
      <c r="S3" s="820"/>
    </row>
    <row r="4" spans="1:19" ht="14.4" x14ac:dyDescent="0.3">
      <c r="A4" s="864"/>
      <c r="B4" s="864"/>
      <c r="C4" s="864"/>
      <c r="D4" s="864"/>
      <c r="E4" s="864"/>
      <c r="F4" s="864"/>
      <c r="G4" s="864"/>
      <c r="H4" s="864"/>
      <c r="I4" s="864"/>
      <c r="J4" s="864"/>
      <c r="K4" s="864"/>
      <c r="L4" s="864"/>
      <c r="M4" s="864"/>
      <c r="N4" s="864"/>
      <c r="O4" s="864"/>
    </row>
    <row r="5" spans="1:19" ht="15.75" customHeight="1" x14ac:dyDescent="0.3">
      <c r="A5" s="71">
        <v>1</v>
      </c>
      <c r="B5" s="72" t="s">
        <v>73</v>
      </c>
      <c r="C5" s="73"/>
      <c r="D5" s="73"/>
      <c r="E5" s="73"/>
      <c r="F5" s="73"/>
      <c r="G5" s="73"/>
      <c r="H5" s="73"/>
      <c r="I5" s="73"/>
      <c r="J5" s="73"/>
      <c r="K5" s="73"/>
    </row>
    <row r="6" spans="1:19" ht="15.75" customHeight="1" x14ac:dyDescent="0.3">
      <c r="A6" s="74" t="s">
        <v>74</v>
      </c>
      <c r="B6" s="75"/>
      <c r="C6" s="75"/>
      <c r="D6" s="76"/>
      <c r="E6" s="77"/>
      <c r="F6" s="862"/>
      <c r="G6" s="77"/>
      <c r="H6" s="78"/>
      <c r="I6" s="79"/>
      <c r="J6" s="79"/>
      <c r="K6" s="79"/>
    </row>
    <row r="7" spans="1:19" ht="16.5" customHeight="1" thickBot="1" x14ac:dyDescent="0.35">
      <c r="A7" s="110" t="s">
        <v>75</v>
      </c>
      <c r="B7" s="80"/>
      <c r="C7" s="80"/>
      <c r="D7" s="81"/>
      <c r="E7" s="109" t="s">
        <v>78</v>
      </c>
      <c r="F7" s="863"/>
      <c r="G7" s="746" t="s">
        <v>95</v>
      </c>
      <c r="H7" s="711"/>
      <c r="I7" s="79"/>
      <c r="J7" s="79"/>
      <c r="K7" s="79"/>
    </row>
    <row r="8" spans="1:19" ht="51.75" customHeight="1" thickBot="1" x14ac:dyDescent="0.35">
      <c r="A8" s="82"/>
      <c r="B8" s="82"/>
      <c r="C8" s="82"/>
      <c r="D8" s="83"/>
      <c r="E8" s="101" t="s">
        <v>80</v>
      </c>
      <c r="F8" s="101" t="s">
        <v>80</v>
      </c>
      <c r="G8" s="746" t="s">
        <v>81</v>
      </c>
      <c r="H8" s="747" t="s">
        <v>82</v>
      </c>
      <c r="I8" s="101" t="s">
        <v>83</v>
      </c>
      <c r="J8" s="865" t="s">
        <v>84</v>
      </c>
      <c r="K8" s="875"/>
    </row>
    <row r="9" spans="1:19" ht="15.75" customHeight="1" x14ac:dyDescent="0.3">
      <c r="A9" s="74" t="s">
        <v>85</v>
      </c>
      <c r="B9" s="82"/>
      <c r="C9" s="102">
        <v>2005</v>
      </c>
      <c r="D9" s="103">
        <v>-9</v>
      </c>
      <c r="E9" s="104"/>
      <c r="F9" s="105"/>
      <c r="G9" s="722">
        <v>21834.936454052047</v>
      </c>
      <c r="H9" s="723">
        <v>21834.936454052047</v>
      </c>
      <c r="I9" s="871" t="s">
        <v>86</v>
      </c>
      <c r="J9" s="876"/>
      <c r="K9" s="877"/>
    </row>
    <row r="10" spans="1:19" ht="15.75" customHeight="1" x14ac:dyDescent="0.3">
      <c r="A10" s="110" t="s">
        <v>87</v>
      </c>
      <c r="B10" s="82"/>
      <c r="C10" s="106">
        <v>2006</v>
      </c>
      <c r="D10" s="107">
        <v>-8</v>
      </c>
      <c r="E10" s="108"/>
      <c r="F10" s="105"/>
      <c r="G10" s="727">
        <v>22256.735289398286</v>
      </c>
      <c r="H10" s="728">
        <v>22256.735289398286</v>
      </c>
      <c r="I10" s="882"/>
      <c r="J10" s="876"/>
      <c r="K10" s="877"/>
    </row>
    <row r="11" spans="1:19" ht="14.4" x14ac:dyDescent="0.3">
      <c r="A11" s="82"/>
      <c r="B11" s="82"/>
      <c r="C11" s="106">
        <v>2007</v>
      </c>
      <c r="D11" s="107">
        <v>-7</v>
      </c>
      <c r="E11" s="108"/>
      <c r="F11" s="105"/>
      <c r="G11" s="727">
        <v>22692.18869968436</v>
      </c>
      <c r="H11" s="728">
        <v>22692.18869968436</v>
      </c>
      <c r="I11" s="882"/>
      <c r="J11" s="876"/>
      <c r="K11" s="877"/>
    </row>
    <row r="12" spans="1:19" ht="15.75" customHeight="1" x14ac:dyDescent="0.3">
      <c r="A12" s="29" t="s">
        <v>88</v>
      </c>
      <c r="B12" s="82"/>
      <c r="C12" s="106">
        <v>2008</v>
      </c>
      <c r="D12" s="107">
        <v>-6</v>
      </c>
      <c r="E12" s="108"/>
      <c r="F12" s="105"/>
      <c r="G12" s="727">
        <v>23140.949308942127</v>
      </c>
      <c r="H12" s="728">
        <v>23140.949308942127</v>
      </c>
      <c r="I12" s="882"/>
      <c r="J12" s="878"/>
      <c r="K12" s="879"/>
    </row>
    <row r="13" spans="1:19" ht="14.55" customHeight="1" x14ac:dyDescent="0.3">
      <c r="A13" s="872" t="s">
        <v>89</v>
      </c>
      <c r="B13" s="82"/>
      <c r="C13" s="106">
        <v>2009</v>
      </c>
      <c r="D13" s="107">
        <v>-5</v>
      </c>
      <c r="E13" s="108"/>
      <c r="F13" s="105"/>
      <c r="G13" s="727">
        <v>23602.669741203441</v>
      </c>
      <c r="H13" s="728">
        <v>23602.669741203441</v>
      </c>
      <c r="I13" s="882"/>
      <c r="J13" s="79"/>
      <c r="K13" s="79"/>
    </row>
    <row r="14" spans="1:19" ht="14.4" x14ac:dyDescent="0.3">
      <c r="A14" s="880"/>
      <c r="B14" s="82"/>
      <c r="C14" s="106">
        <v>2010</v>
      </c>
      <c r="D14" s="107">
        <v>-4</v>
      </c>
      <c r="E14" s="108">
        <v>24173.513677132833</v>
      </c>
      <c r="F14" s="105">
        <v>24173.513677132833</v>
      </c>
      <c r="G14" s="727">
        <v>24173.513677132833</v>
      </c>
      <c r="H14" s="728">
        <v>24173.513677132833</v>
      </c>
      <c r="I14" s="882"/>
      <c r="J14" s="79"/>
      <c r="K14" s="79"/>
    </row>
    <row r="15" spans="1:19" ht="14.4" x14ac:dyDescent="0.3">
      <c r="A15" s="880"/>
      <c r="B15" s="82"/>
      <c r="C15" s="106">
        <v>2011</v>
      </c>
      <c r="D15" s="107">
        <v>-3</v>
      </c>
      <c r="E15" s="108"/>
      <c r="F15" s="105"/>
      <c r="G15" s="727">
        <v>24563.600570864157</v>
      </c>
      <c r="H15" s="728">
        <v>24563.600570864157</v>
      </c>
      <c r="I15" s="883"/>
      <c r="J15" s="79"/>
      <c r="K15" s="79"/>
    </row>
    <row r="16" spans="1:19" ht="14.4" x14ac:dyDescent="0.3">
      <c r="A16" s="881"/>
      <c r="B16" s="82"/>
      <c r="C16" s="106">
        <v>2012</v>
      </c>
      <c r="D16" s="107">
        <v>-2</v>
      </c>
      <c r="E16" s="108"/>
      <c r="F16" s="105"/>
      <c r="G16" s="730">
        <v>25062.116216327271</v>
      </c>
      <c r="H16" s="731">
        <v>25062.116216327271</v>
      </c>
      <c r="I16" s="87" t="s">
        <v>90</v>
      </c>
      <c r="J16" s="79"/>
      <c r="K16" s="79"/>
    </row>
    <row r="17" spans="1:11" ht="14.4" x14ac:dyDescent="0.3">
      <c r="A17" s="82"/>
      <c r="B17" s="82"/>
      <c r="C17" s="106">
        <v>2013</v>
      </c>
      <c r="D17" s="107">
        <v>-1</v>
      </c>
      <c r="E17" s="108"/>
      <c r="F17" s="105"/>
      <c r="G17" s="730">
        <v>25572.202180921369</v>
      </c>
      <c r="H17" s="731">
        <v>25572.202180921369</v>
      </c>
      <c r="I17" s="82"/>
      <c r="J17" s="79"/>
      <c r="K17" s="79"/>
    </row>
    <row r="18" spans="1:11" ht="15.75" customHeight="1" x14ac:dyDescent="0.3">
      <c r="A18" s="77" t="s">
        <v>91</v>
      </c>
      <c r="B18" s="82"/>
      <c r="C18" s="106">
        <v>2014</v>
      </c>
      <c r="D18" s="107">
        <v>0</v>
      </c>
      <c r="E18" s="108"/>
      <c r="F18" s="105"/>
      <c r="G18" s="730">
        <v>26093.511088678308</v>
      </c>
      <c r="H18" s="731">
        <v>26257.110974610277</v>
      </c>
      <c r="I18" s="79"/>
      <c r="J18" s="79"/>
      <c r="K18" s="79"/>
    </row>
    <row r="19" spans="1:11" ht="15.75" customHeight="1" x14ac:dyDescent="0.3">
      <c r="A19" s="110">
        <v>2015</v>
      </c>
      <c r="B19" s="80"/>
      <c r="C19" s="106">
        <v>2015</v>
      </c>
      <c r="D19" s="107">
        <v>1</v>
      </c>
      <c r="E19" s="108">
        <v>26503.573708474381</v>
      </c>
      <c r="F19" s="105">
        <v>26503.573708474381</v>
      </c>
      <c r="G19" s="730">
        <v>26503.573708474381</v>
      </c>
      <c r="H19" s="731">
        <v>26671.808826913842</v>
      </c>
      <c r="I19" s="79"/>
      <c r="J19" s="79"/>
      <c r="K19" s="79"/>
    </row>
    <row r="20" spans="1:11" ht="14.4" x14ac:dyDescent="0.3">
      <c r="A20" s="79"/>
      <c r="B20" s="80"/>
      <c r="C20" s="106">
        <v>2016</v>
      </c>
      <c r="D20" s="107">
        <v>2</v>
      </c>
      <c r="E20" s="108"/>
      <c r="F20" s="105"/>
      <c r="G20" s="730">
        <v>27168.408229808138</v>
      </c>
      <c r="H20" s="731">
        <v>27343.605707521223</v>
      </c>
      <c r="I20" s="79"/>
      <c r="J20" s="79"/>
      <c r="K20" s="79"/>
    </row>
    <row r="21" spans="1:11" ht="15.75" customHeight="1" x14ac:dyDescent="0.3">
      <c r="A21" s="77" t="s">
        <v>92</v>
      </c>
      <c r="B21" s="80"/>
      <c r="C21" s="106">
        <v>2017</v>
      </c>
      <c r="D21" s="107">
        <v>3</v>
      </c>
      <c r="E21" s="108"/>
      <c r="F21" s="105"/>
      <c r="G21" s="730">
        <v>27721.301711244749</v>
      </c>
      <c r="H21" s="731">
        <v>27903.486168533793</v>
      </c>
      <c r="I21" s="79"/>
      <c r="J21" s="79"/>
      <c r="K21" s="79"/>
    </row>
    <row r="22" spans="1:11" ht="15.75" customHeight="1" x14ac:dyDescent="0.3">
      <c r="A22" s="110" t="s">
        <v>80</v>
      </c>
      <c r="B22" s="80"/>
      <c r="C22" s="106">
        <v>2018</v>
      </c>
      <c r="D22" s="107">
        <v>4</v>
      </c>
      <c r="E22" s="108"/>
      <c r="F22" s="105"/>
      <c r="G22" s="730">
        <v>28284.028631971632</v>
      </c>
      <c r="H22" s="731">
        <v>28473.808006326581</v>
      </c>
      <c r="I22" s="79"/>
      <c r="J22" s="79"/>
      <c r="K22" s="79"/>
    </row>
    <row r="23" spans="1:11" ht="14.4" x14ac:dyDescent="0.3">
      <c r="A23" s="79"/>
      <c r="B23" s="80"/>
      <c r="C23" s="106">
        <v>2019</v>
      </c>
      <c r="D23" s="107">
        <v>5</v>
      </c>
      <c r="E23" s="108"/>
      <c r="F23" s="105"/>
      <c r="G23" s="730">
        <v>28856.241616020645</v>
      </c>
      <c r="H23" s="731">
        <v>29053.913888787734</v>
      </c>
      <c r="I23" s="79"/>
      <c r="J23" s="79"/>
      <c r="K23" s="79"/>
    </row>
    <row r="24" spans="1:11" ht="15.75" customHeight="1" x14ac:dyDescent="0.3">
      <c r="A24" s="77" t="s">
        <v>93</v>
      </c>
      <c r="B24" s="80"/>
      <c r="C24" s="106">
        <v>2020</v>
      </c>
      <c r="D24" s="107">
        <v>6</v>
      </c>
      <c r="E24" s="108">
        <v>29312.013399597159</v>
      </c>
      <c r="F24" s="105">
        <v>29312.013399597159</v>
      </c>
      <c r="G24" s="730">
        <v>29312.013399597159</v>
      </c>
      <c r="H24" s="731">
        <v>29519.115166791067</v>
      </c>
      <c r="I24" s="79"/>
      <c r="J24" s="79"/>
      <c r="K24" s="79"/>
    </row>
    <row r="25" spans="1:11" ht="15.75" customHeight="1" x14ac:dyDescent="0.3">
      <c r="A25" s="77"/>
      <c r="B25" s="80"/>
      <c r="C25" s="106">
        <v>2021</v>
      </c>
      <c r="D25" s="107">
        <v>7</v>
      </c>
      <c r="E25" s="108"/>
      <c r="F25" s="105"/>
      <c r="G25" s="730">
        <v>30027.736270212503</v>
      </c>
      <c r="H25" s="731">
        <v>30224.359585247839</v>
      </c>
      <c r="I25" s="79"/>
      <c r="J25" s="79"/>
      <c r="K25" s="79"/>
    </row>
    <row r="26" spans="1:11" ht="15.75" customHeight="1" x14ac:dyDescent="0.3">
      <c r="A26" s="88"/>
      <c r="B26" s="80"/>
      <c r="C26" s="106">
        <v>2022</v>
      </c>
      <c r="D26" s="107">
        <v>8</v>
      </c>
      <c r="E26" s="108"/>
      <c r="F26" s="105"/>
      <c r="G26" s="730">
        <v>30626.323188419061</v>
      </c>
      <c r="H26" s="731">
        <v>30809.375494178155</v>
      </c>
      <c r="I26" s="79"/>
      <c r="J26" s="79"/>
      <c r="K26" s="79"/>
    </row>
    <row r="27" spans="1:11" ht="15.75" customHeight="1" x14ac:dyDescent="0.3">
      <c r="A27" s="110"/>
      <c r="B27" s="80"/>
      <c r="C27" s="106">
        <v>2023</v>
      </c>
      <c r="D27" s="107">
        <v>9</v>
      </c>
      <c r="E27" s="108"/>
      <c r="F27" s="105"/>
      <c r="G27" s="730">
        <v>31233.00666607518</v>
      </c>
      <c r="H27" s="731">
        <v>31400.123632429288</v>
      </c>
      <c r="I27" s="79"/>
      <c r="J27" s="79"/>
      <c r="K27" s="79"/>
    </row>
    <row r="28" spans="1:11" ht="14.4" x14ac:dyDescent="0.3">
      <c r="A28" s="79"/>
      <c r="B28" s="80"/>
      <c r="C28" s="106">
        <v>2024</v>
      </c>
      <c r="D28" s="107">
        <v>10</v>
      </c>
      <c r="E28" s="108"/>
      <c r="F28" s="105"/>
      <c r="G28" s="730">
        <v>31847.439327212724</v>
      </c>
      <c r="H28" s="731">
        <v>31995.532478888104</v>
      </c>
      <c r="I28" s="79"/>
      <c r="J28" s="79"/>
      <c r="K28" s="79"/>
    </row>
    <row r="29" spans="1:11" ht="15" customHeight="1" x14ac:dyDescent="0.3">
      <c r="A29" s="5"/>
      <c r="B29" s="80"/>
      <c r="C29" s="106">
        <v>2025</v>
      </c>
      <c r="D29" s="107">
        <v>11</v>
      </c>
      <c r="E29" s="108">
        <v>32525.756850412752</v>
      </c>
      <c r="F29" s="105">
        <v>32525.756850412752</v>
      </c>
      <c r="G29" s="730">
        <v>32525.756850412752</v>
      </c>
      <c r="H29" s="731">
        <v>32651.395221016919</v>
      </c>
      <c r="I29" s="79"/>
      <c r="J29" s="79"/>
      <c r="K29" s="79"/>
    </row>
    <row r="30" spans="1:11" ht="15" customHeight="1" x14ac:dyDescent="0.3">
      <c r="A30" s="5"/>
      <c r="B30" s="80"/>
      <c r="C30" s="106">
        <v>2026</v>
      </c>
      <c r="D30" s="107">
        <v>12</v>
      </c>
      <c r="E30" s="108"/>
      <c r="F30" s="105"/>
      <c r="G30" s="730">
        <v>33098.162696059509</v>
      </c>
      <c r="H30" s="731">
        <v>33197.294146201399</v>
      </c>
      <c r="I30" s="79"/>
      <c r="J30" s="79"/>
      <c r="K30" s="79"/>
    </row>
    <row r="31" spans="1:11" ht="14.4" x14ac:dyDescent="0.3">
      <c r="A31" s="5"/>
      <c r="B31" s="80"/>
      <c r="C31" s="106">
        <v>2027</v>
      </c>
      <c r="D31" s="107">
        <v>13</v>
      </c>
      <c r="E31" s="108"/>
      <c r="F31" s="105"/>
      <c r="G31" s="730">
        <v>33733.758651832468</v>
      </c>
      <c r="H31" s="731">
        <v>33803.320824678856</v>
      </c>
      <c r="I31" s="79"/>
      <c r="J31" s="79"/>
      <c r="K31" s="79"/>
    </row>
    <row r="32" spans="1:11" ht="14.4" x14ac:dyDescent="0.3">
      <c r="A32" s="5"/>
      <c r="B32" s="80"/>
      <c r="C32" s="106">
        <v>2028</v>
      </c>
      <c r="D32" s="107">
        <v>14</v>
      </c>
      <c r="E32" s="108"/>
      <c r="F32" s="105"/>
      <c r="G32" s="730">
        <v>34375.714287214287</v>
      </c>
      <c r="H32" s="731">
        <v>34412.411010847252</v>
      </c>
      <c r="I32" s="79"/>
      <c r="J32" s="79"/>
      <c r="K32" s="79"/>
    </row>
    <row r="33" spans="1:11" ht="14.4" x14ac:dyDescent="0.3">
      <c r="A33" s="5"/>
      <c r="B33" s="80"/>
      <c r="C33" s="106">
        <v>2029</v>
      </c>
      <c r="D33" s="107">
        <v>15</v>
      </c>
      <c r="E33" s="108"/>
      <c r="F33" s="105"/>
      <c r="G33" s="730">
        <v>35023.682226236808</v>
      </c>
      <c r="H33" s="731">
        <v>35024.209495921707</v>
      </c>
      <c r="I33" s="79"/>
      <c r="J33" s="79"/>
      <c r="K33" s="79"/>
    </row>
    <row r="34" spans="1:11" ht="14.4" x14ac:dyDescent="0.3">
      <c r="A34" s="5"/>
      <c r="B34" s="80"/>
      <c r="C34" s="106">
        <v>2030</v>
      </c>
      <c r="D34" s="107">
        <v>16</v>
      </c>
      <c r="E34" s="108">
        <v>35867.442512760819</v>
      </c>
      <c r="F34" s="105">
        <v>35867.442512760819</v>
      </c>
      <c r="G34" s="730">
        <v>35867.442512760819</v>
      </c>
      <c r="H34" s="731">
        <v>35828.26190347509</v>
      </c>
      <c r="I34" s="79"/>
      <c r="J34" s="79"/>
      <c r="K34" s="79"/>
    </row>
    <row r="35" spans="1:11" ht="14.4" x14ac:dyDescent="0.3">
      <c r="A35" s="5"/>
      <c r="B35" s="80"/>
      <c r="C35" s="106">
        <v>2031</v>
      </c>
      <c r="D35" s="107">
        <v>17</v>
      </c>
      <c r="E35" s="108"/>
      <c r="F35" s="105"/>
      <c r="G35" s="730">
        <v>36336.265511331432</v>
      </c>
      <c r="H35" s="731">
        <v>36254.439322782368</v>
      </c>
      <c r="I35" s="79"/>
      <c r="J35" s="79"/>
      <c r="K35" s="79"/>
    </row>
    <row r="36" spans="1:11" ht="14.4" x14ac:dyDescent="0.3">
      <c r="A36" s="5"/>
      <c r="B36" s="80"/>
      <c r="C36" s="106">
        <v>2032</v>
      </c>
      <c r="D36" s="107">
        <v>18</v>
      </c>
      <c r="E36" s="108"/>
      <c r="F36" s="105"/>
      <c r="G36" s="730">
        <v>37000.186105467248</v>
      </c>
      <c r="H36" s="731">
        <v>36872.243550253857</v>
      </c>
      <c r="I36" s="79"/>
      <c r="J36" s="79"/>
      <c r="K36" s="79"/>
    </row>
    <row r="37" spans="1:11" ht="14.4" x14ac:dyDescent="0.3">
      <c r="A37" s="5"/>
      <c r="B37" s="80"/>
      <c r="C37" s="106">
        <v>2033</v>
      </c>
      <c r="D37" s="107">
        <v>19</v>
      </c>
      <c r="E37" s="108"/>
      <c r="F37" s="105"/>
      <c r="G37" s="730">
        <v>37668.729499371213</v>
      </c>
      <c r="H37" s="731">
        <v>37491.738604496815</v>
      </c>
      <c r="I37" s="79"/>
      <c r="J37" s="79"/>
      <c r="K37" s="79"/>
    </row>
    <row r="38" spans="1:11" ht="14.4" x14ac:dyDescent="0.3">
      <c r="A38" s="5"/>
      <c r="B38" s="80"/>
      <c r="C38" s="106">
        <v>2034</v>
      </c>
      <c r="D38" s="107">
        <v>20</v>
      </c>
      <c r="E38" s="108"/>
      <c r="F38" s="105"/>
      <c r="G38" s="730">
        <v>38341.548317075169</v>
      </c>
      <c r="H38" s="731">
        <v>38113.028412749969</v>
      </c>
      <c r="I38" s="79"/>
      <c r="J38" s="79"/>
      <c r="K38" s="79"/>
    </row>
    <row r="39" spans="1:11" ht="14.4" x14ac:dyDescent="0.3">
      <c r="A39" s="5"/>
      <c r="B39" s="80"/>
      <c r="C39" s="106">
        <v>2035</v>
      </c>
      <c r="D39" s="107">
        <v>21</v>
      </c>
      <c r="E39" s="108">
        <v>39074.198473348981</v>
      </c>
      <c r="F39" s="105">
        <v>39074.198473348981</v>
      </c>
      <c r="G39" s="730">
        <v>39074.198473348981</v>
      </c>
      <c r="H39" s="731">
        <v>38791.602875502802</v>
      </c>
      <c r="I39" s="79"/>
      <c r="J39" s="79"/>
      <c r="K39" s="79"/>
    </row>
    <row r="40" spans="1:11" ht="14.4" x14ac:dyDescent="0.3">
      <c r="A40" s="5"/>
      <c r="B40" s="80"/>
      <c r="C40" s="106">
        <v>2036</v>
      </c>
      <c r="D40" s="107">
        <v>22</v>
      </c>
      <c r="E40" s="108"/>
      <c r="F40" s="105"/>
      <c r="G40" s="730">
        <v>39698.622720010542</v>
      </c>
      <c r="H40" s="731">
        <v>39360.783281581025</v>
      </c>
      <c r="I40" s="79"/>
      <c r="J40" s="79"/>
      <c r="K40" s="79"/>
    </row>
    <row r="41" spans="1:11" ht="14.4" x14ac:dyDescent="0.3">
      <c r="A41" s="5"/>
      <c r="B41" s="80"/>
      <c r="C41" s="106">
        <v>2037</v>
      </c>
      <c r="D41" s="107">
        <v>23</v>
      </c>
      <c r="E41" s="108"/>
      <c r="F41" s="105"/>
      <c r="G41" s="730">
        <v>40382.183553305666</v>
      </c>
      <c r="H41" s="731">
        <v>39986.660188615184</v>
      </c>
      <c r="I41" s="79"/>
      <c r="J41" s="79"/>
      <c r="K41" s="79"/>
    </row>
    <row r="42" spans="1:11" ht="14.4" x14ac:dyDescent="0.3">
      <c r="A42" s="80"/>
      <c r="B42" s="80"/>
      <c r="C42" s="106">
        <v>2038</v>
      </c>
      <c r="D42" s="107">
        <v>24</v>
      </c>
      <c r="E42" s="108"/>
      <c r="F42" s="105"/>
      <c r="G42" s="730">
        <v>41068.630306528226</v>
      </c>
      <c r="H42" s="731">
        <v>40613.220022088652</v>
      </c>
      <c r="I42" s="79"/>
      <c r="J42" s="79"/>
      <c r="K42" s="79"/>
    </row>
    <row r="43" spans="1:11" ht="14.4" x14ac:dyDescent="0.3">
      <c r="A43" s="80"/>
      <c r="B43" s="80"/>
      <c r="C43" s="106">
        <v>2039</v>
      </c>
      <c r="D43" s="107">
        <v>25</v>
      </c>
      <c r="E43" s="108"/>
      <c r="F43" s="105"/>
      <c r="G43" s="730">
        <v>41757.615603710074</v>
      </c>
      <c r="H43" s="731">
        <v>41239.82622464648</v>
      </c>
      <c r="I43" s="79"/>
      <c r="J43" s="79"/>
      <c r="K43" s="79"/>
    </row>
    <row r="44" spans="1:11" ht="14.4" x14ac:dyDescent="0.3">
      <c r="A44" s="80"/>
      <c r="B44" s="80"/>
      <c r="C44" s="106">
        <v>2040</v>
      </c>
      <c r="D44" s="107">
        <v>26</v>
      </c>
      <c r="E44" s="108">
        <v>42321.434822153431</v>
      </c>
      <c r="F44" s="105">
        <v>42321.434822153431</v>
      </c>
      <c r="G44" s="730">
        <v>42321.434822153431</v>
      </c>
      <c r="H44" s="731">
        <v>41740.293036367038</v>
      </c>
      <c r="I44" s="79"/>
      <c r="J44" s="79"/>
      <c r="K44" s="79"/>
    </row>
    <row r="45" spans="1:11" ht="14.4" x14ac:dyDescent="0.3">
      <c r="A45" s="80"/>
      <c r="B45" s="80"/>
      <c r="C45" s="106">
        <v>2041</v>
      </c>
      <c r="D45" s="107">
        <v>27</v>
      </c>
      <c r="E45" s="108"/>
      <c r="F45" s="105"/>
      <c r="G45" s="730">
        <v>43141.812326079104</v>
      </c>
      <c r="H45" s="731">
        <v>42491.045270237635</v>
      </c>
      <c r="I45" s="79"/>
      <c r="J45" s="79"/>
      <c r="K45" s="79"/>
    </row>
    <row r="46" spans="1:11" ht="14.4" x14ac:dyDescent="0.3">
      <c r="A46" s="80"/>
      <c r="B46" s="80"/>
      <c r="C46" s="106">
        <v>2042</v>
      </c>
      <c r="D46" s="107">
        <v>28</v>
      </c>
      <c r="E46" s="108"/>
      <c r="F46" s="105"/>
      <c r="G46" s="730">
        <v>43836.328999329984</v>
      </c>
      <c r="H46" s="731">
        <v>43114.955826936115</v>
      </c>
      <c r="I46" s="79"/>
      <c r="J46" s="79"/>
      <c r="K46" s="79"/>
    </row>
    <row r="47" spans="1:11" ht="14.4" x14ac:dyDescent="0.3">
      <c r="A47" s="80"/>
      <c r="B47" s="80"/>
      <c r="C47" s="106">
        <v>2043</v>
      </c>
      <c r="D47" s="107">
        <v>29</v>
      </c>
      <c r="E47" s="108"/>
      <c r="F47" s="105"/>
      <c r="G47" s="730">
        <v>44531.994712667598</v>
      </c>
      <c r="H47" s="731">
        <v>43737.247973643302</v>
      </c>
      <c r="I47" s="79"/>
      <c r="J47" s="79"/>
      <c r="K47" s="79"/>
    </row>
    <row r="48" spans="1:11" ht="14.4" x14ac:dyDescent="0.3">
      <c r="A48" s="80"/>
      <c r="B48" s="80"/>
      <c r="C48" s="106">
        <v>2044</v>
      </c>
      <c r="D48" s="107">
        <v>30</v>
      </c>
      <c r="E48" s="108"/>
      <c r="F48" s="105"/>
      <c r="G48" s="730">
        <v>45228.462090123794</v>
      </c>
      <c r="H48" s="731">
        <v>44357.553099847239</v>
      </c>
      <c r="I48" s="79"/>
      <c r="J48" s="79"/>
      <c r="K48" s="79"/>
    </row>
    <row r="49" spans="1:11" ht="14.4" x14ac:dyDescent="0.3">
      <c r="A49" s="80"/>
      <c r="B49" s="80"/>
      <c r="C49" s="106">
        <v>2045</v>
      </c>
      <c r="D49" s="107">
        <v>31</v>
      </c>
      <c r="E49" s="108">
        <v>45805.707284900767</v>
      </c>
      <c r="F49" s="105">
        <v>45805.707284900767</v>
      </c>
      <c r="G49" s="730">
        <v>45805.707284900767</v>
      </c>
      <c r="H49" s="731">
        <v>44858.29138141367</v>
      </c>
      <c r="I49" s="79"/>
      <c r="J49" s="79"/>
      <c r="K49" s="79"/>
    </row>
    <row r="50" spans="1:11" ht="14.4" x14ac:dyDescent="0.3">
      <c r="A50" s="80"/>
      <c r="B50" s="80"/>
      <c r="C50" s="106">
        <v>2046</v>
      </c>
      <c r="D50" s="107">
        <v>32</v>
      </c>
      <c r="E50" s="108"/>
      <c r="F50" s="105"/>
      <c r="G50" s="730">
        <v>46622.412333519373</v>
      </c>
      <c r="H50" s="731">
        <v>45590.685433403698</v>
      </c>
      <c r="I50" s="79"/>
      <c r="J50" s="79"/>
      <c r="K50" s="79"/>
    </row>
    <row r="51" spans="1:11" ht="14.4" x14ac:dyDescent="0.3">
      <c r="A51" s="89"/>
      <c r="B51" s="80"/>
      <c r="C51" s="106">
        <v>2047</v>
      </c>
      <c r="D51" s="107">
        <v>33</v>
      </c>
      <c r="E51" s="108"/>
      <c r="F51" s="105"/>
      <c r="G51" s="730">
        <v>47319.200447522482</v>
      </c>
      <c r="H51" s="731">
        <v>46202.730127661751</v>
      </c>
      <c r="I51" s="79"/>
      <c r="J51" s="79"/>
      <c r="K51" s="79"/>
    </row>
    <row r="52" spans="1:11" ht="14.4" x14ac:dyDescent="0.3">
      <c r="A52" s="79"/>
      <c r="B52" s="80"/>
      <c r="C52" s="106">
        <v>2048</v>
      </c>
      <c r="D52" s="107">
        <v>34</v>
      </c>
      <c r="E52" s="108"/>
      <c r="F52" s="105"/>
      <c r="G52" s="730">
        <v>48015.400721771599</v>
      </c>
      <c r="H52" s="731">
        <v>46811.204482815941</v>
      </c>
      <c r="I52" s="79"/>
      <c r="J52" s="79"/>
      <c r="K52" s="79"/>
    </row>
    <row r="53" spans="1:11" ht="14.4" x14ac:dyDescent="0.3">
      <c r="A53" s="79"/>
      <c r="B53" s="79"/>
      <c r="C53" s="106">
        <v>2049</v>
      </c>
      <c r="D53" s="107">
        <v>35</v>
      </c>
      <c r="E53" s="108"/>
      <c r="F53" s="105"/>
      <c r="G53" s="730">
        <v>48710.665780298586</v>
      </c>
      <c r="H53" s="731">
        <v>47415.67663929992</v>
      </c>
      <c r="I53" s="79"/>
      <c r="J53" s="79"/>
      <c r="K53" s="79"/>
    </row>
    <row r="54" spans="1:11" ht="14.4" x14ac:dyDescent="0.3">
      <c r="A54" s="79"/>
      <c r="B54" s="79"/>
      <c r="C54" s="106">
        <v>2050</v>
      </c>
      <c r="D54" s="111">
        <v>36</v>
      </c>
      <c r="E54" s="108">
        <v>49500.358885927926</v>
      </c>
      <c r="F54" s="105">
        <v>49500.358885927926</v>
      </c>
      <c r="G54" s="740">
        <v>49500.358885927926</v>
      </c>
      <c r="H54" s="741">
        <v>48108.749431982156</v>
      </c>
      <c r="I54" s="79"/>
      <c r="J54" s="79"/>
      <c r="K54" s="79"/>
    </row>
    <row r="55" spans="1:11" ht="14.4" x14ac:dyDescent="0.3">
      <c r="A55" s="79"/>
      <c r="B55" s="79"/>
      <c r="C55" s="106">
        <v>2051</v>
      </c>
      <c r="D55" s="107">
        <v>37</v>
      </c>
      <c r="E55" s="108"/>
      <c r="F55" s="105"/>
      <c r="G55" s="730">
        <v>50097.000746313643</v>
      </c>
      <c r="H55" s="731">
        <v>48610.966002332723</v>
      </c>
      <c r="I55" s="79"/>
      <c r="J55" s="79"/>
      <c r="K55" s="79"/>
    </row>
    <row r="56" spans="1:11" ht="14.4" x14ac:dyDescent="0.3">
      <c r="A56" s="79"/>
      <c r="B56" s="79"/>
      <c r="C56" s="106">
        <v>2052</v>
      </c>
      <c r="D56" s="107">
        <v>38</v>
      </c>
      <c r="E56" s="108"/>
      <c r="F56" s="105"/>
      <c r="G56" s="730">
        <v>50787.375901865409</v>
      </c>
      <c r="H56" s="731">
        <v>49201.028508996089</v>
      </c>
      <c r="I56" s="79"/>
      <c r="J56" s="79"/>
      <c r="K56" s="79"/>
    </row>
    <row r="57" spans="1:11" ht="14.4" x14ac:dyDescent="0.3">
      <c r="A57" s="79"/>
      <c r="B57" s="79"/>
      <c r="C57" s="106">
        <v>2053</v>
      </c>
      <c r="D57" s="107">
        <v>39</v>
      </c>
      <c r="E57" s="108"/>
      <c r="F57" s="105"/>
      <c r="G57" s="730">
        <v>51475.426337822486</v>
      </c>
      <c r="H57" s="731">
        <v>49785.591552388236</v>
      </c>
      <c r="I57" s="79"/>
      <c r="J57" s="79"/>
      <c r="K57" s="79"/>
    </row>
    <row r="58" spans="1:11" ht="14.4" x14ac:dyDescent="0.3">
      <c r="A58" s="79"/>
      <c r="B58" s="79"/>
      <c r="C58" s="106">
        <v>2054</v>
      </c>
      <c r="D58" s="107">
        <v>40</v>
      </c>
      <c r="E58" s="108"/>
      <c r="F58" s="105"/>
      <c r="G58" s="730">
        <v>52160.804678216737</v>
      </c>
      <c r="H58" s="731">
        <v>50364.355421433174</v>
      </c>
      <c r="I58" s="79"/>
      <c r="J58" s="79"/>
      <c r="K58" s="79"/>
    </row>
    <row r="59" spans="1:11" ht="14.4" x14ac:dyDescent="0.3">
      <c r="A59" s="79"/>
      <c r="B59" s="79"/>
      <c r="C59" s="106">
        <v>2055</v>
      </c>
      <c r="D59" s="111">
        <v>41</v>
      </c>
      <c r="E59" s="108"/>
      <c r="F59" s="105"/>
      <c r="G59" s="740">
        <v>52843.163547079996</v>
      </c>
      <c r="H59" s="741">
        <v>50937.007688756225</v>
      </c>
      <c r="I59" s="79"/>
      <c r="J59" s="79"/>
      <c r="K59" s="79"/>
    </row>
    <row r="60" spans="1:11" ht="14.4" x14ac:dyDescent="0.3">
      <c r="A60" s="79"/>
      <c r="B60" s="79"/>
      <c r="C60" s="106">
        <v>2056</v>
      </c>
      <c r="D60" s="107">
        <v>42</v>
      </c>
      <c r="E60" s="108"/>
      <c r="F60" s="105"/>
      <c r="G60" s="730">
        <v>53522.155568444156</v>
      </c>
      <c r="H60" s="731">
        <v>51503.187339105483</v>
      </c>
      <c r="I60" s="79"/>
      <c r="J60" s="79"/>
      <c r="K60" s="79"/>
    </row>
    <row r="61" spans="1:11" ht="14.4" x14ac:dyDescent="0.3">
      <c r="A61" s="79"/>
      <c r="B61" s="79"/>
      <c r="C61" s="106">
        <v>2057</v>
      </c>
      <c r="D61" s="107">
        <v>43</v>
      </c>
      <c r="E61" s="108"/>
      <c r="F61" s="105"/>
      <c r="G61" s="730">
        <v>54197.433366341051</v>
      </c>
      <c r="H61" s="731">
        <v>52062.518688965465</v>
      </c>
      <c r="I61" s="79"/>
      <c r="J61" s="79"/>
      <c r="K61" s="79"/>
    </row>
    <row r="62" spans="1:11" ht="14.4" x14ac:dyDescent="0.3">
      <c r="A62" s="79"/>
      <c r="B62" s="79"/>
      <c r="C62" s="106">
        <v>2058</v>
      </c>
      <c r="D62" s="107">
        <v>44</v>
      </c>
      <c r="E62" s="108"/>
      <c r="F62" s="105"/>
      <c r="G62" s="730">
        <v>54868.649564802545</v>
      </c>
      <c r="H62" s="731">
        <v>52614.66091490192</v>
      </c>
      <c r="I62" s="79"/>
      <c r="J62" s="79"/>
      <c r="K62" s="79"/>
    </row>
    <row r="63" spans="1:11" ht="14.4" x14ac:dyDescent="0.3">
      <c r="A63" s="79"/>
      <c r="B63" s="79"/>
      <c r="C63" s="106">
        <v>2059</v>
      </c>
      <c r="D63" s="107">
        <v>45</v>
      </c>
      <c r="E63" s="108"/>
      <c r="F63" s="105"/>
      <c r="G63" s="730">
        <v>55535.456787860487</v>
      </c>
      <c r="H63" s="731">
        <v>53159.278335319897</v>
      </c>
      <c r="I63" s="79"/>
      <c r="J63" s="79"/>
      <c r="K63" s="79"/>
    </row>
    <row r="64" spans="1:11" ht="14.4" x14ac:dyDescent="0.3">
      <c r="A64" s="79"/>
      <c r="B64" s="79"/>
      <c r="C64" s="112">
        <v>2060</v>
      </c>
      <c r="D64" s="111">
        <v>46</v>
      </c>
      <c r="E64" s="108"/>
      <c r="F64" s="105"/>
      <c r="G64" s="740">
        <v>56197.507659546754</v>
      </c>
      <c r="H64" s="741">
        <v>53696.028554464436</v>
      </c>
      <c r="I64" s="79"/>
      <c r="J64" s="79"/>
      <c r="K64" s="79"/>
    </row>
    <row r="65" spans="1:11" ht="14.4" x14ac:dyDescent="0.3">
      <c r="A65" s="79"/>
      <c r="B65" s="2"/>
      <c r="C65" s="2"/>
      <c r="D65" s="2"/>
      <c r="E65" s="2"/>
      <c r="F65" s="2"/>
      <c r="G65" s="2"/>
      <c r="H65" s="2"/>
      <c r="I65" s="2"/>
      <c r="J65" s="2"/>
      <c r="K65" s="2"/>
    </row>
    <row r="66" spans="1:11" ht="14.4" x14ac:dyDescent="0.3">
      <c r="A66" s="79"/>
      <c r="B66" s="2"/>
      <c r="C66" s="2"/>
      <c r="D66" s="2"/>
      <c r="E66" s="2"/>
      <c r="F66" s="2"/>
      <c r="G66" s="2"/>
      <c r="H66" s="2"/>
      <c r="I66" s="2"/>
      <c r="J66" s="2"/>
      <c r="K66" s="2"/>
    </row>
    <row r="67" spans="1:11" ht="14.4" x14ac:dyDescent="0.3">
      <c r="A67" s="79"/>
      <c r="B67" s="2"/>
      <c r="C67" s="2"/>
      <c r="D67" s="2"/>
      <c r="E67" s="2"/>
      <c r="F67" s="2"/>
      <c r="G67" s="2"/>
      <c r="H67" s="2"/>
      <c r="I67" s="2"/>
      <c r="J67" s="2"/>
      <c r="K67" s="2"/>
    </row>
    <row r="68" spans="1:11" ht="14.4" x14ac:dyDescent="0.3">
      <c r="A68" s="79"/>
      <c r="B68" s="2"/>
      <c r="C68" s="2"/>
      <c r="D68" s="2"/>
      <c r="E68" s="2"/>
      <c r="F68" s="2"/>
      <c r="G68" s="2"/>
      <c r="H68" s="2"/>
      <c r="I68" s="2"/>
      <c r="J68" s="2"/>
      <c r="K68" s="2"/>
    </row>
    <row r="69" spans="1:11" ht="14.4" x14ac:dyDescent="0.3">
      <c r="A69" s="2"/>
      <c r="B69" s="2"/>
      <c r="C69" s="2"/>
      <c r="D69" s="2"/>
      <c r="E69" s="2"/>
      <c r="F69" s="2"/>
      <c r="G69" s="2"/>
      <c r="H69" s="2"/>
      <c r="I69" s="2"/>
      <c r="J69" s="2"/>
      <c r="K69" s="2"/>
    </row>
    <row r="70" spans="1:11" ht="15.75" customHeight="1" x14ac:dyDescent="0.3">
      <c r="A70" s="71">
        <v>2</v>
      </c>
      <c r="B70" s="72" t="s">
        <v>94</v>
      </c>
      <c r="C70" s="73"/>
      <c r="D70" s="73"/>
      <c r="E70" s="73"/>
      <c r="F70" s="73"/>
      <c r="G70" s="73"/>
      <c r="H70" s="73"/>
      <c r="I70" s="73"/>
      <c r="J70" s="73"/>
      <c r="K70" s="73"/>
    </row>
    <row r="71" spans="1:11" ht="15.75" customHeight="1" x14ac:dyDescent="0.3">
      <c r="A71" s="74" t="s">
        <v>74</v>
      </c>
      <c r="B71" s="75"/>
      <c r="C71" s="75"/>
      <c r="D71" s="76"/>
      <c r="E71" s="77"/>
      <c r="F71" s="862"/>
      <c r="G71" s="77"/>
      <c r="H71" s="78"/>
      <c r="I71" s="79"/>
      <c r="J71" s="79"/>
      <c r="K71" s="79"/>
    </row>
    <row r="72" spans="1:11" ht="16.5" customHeight="1" thickBot="1" x14ac:dyDescent="0.35">
      <c r="A72" s="110" t="s">
        <v>75</v>
      </c>
      <c r="B72" s="80"/>
      <c r="C72" s="80"/>
      <c r="D72" s="81"/>
      <c r="E72" s="109" t="s">
        <v>78</v>
      </c>
      <c r="F72" s="863"/>
      <c r="G72" s="746" t="s">
        <v>95</v>
      </c>
      <c r="H72" s="711"/>
      <c r="I72" s="79"/>
      <c r="J72" s="79"/>
      <c r="K72" s="79"/>
    </row>
    <row r="73" spans="1:11" ht="51.75" customHeight="1" x14ac:dyDescent="0.3">
      <c r="A73" s="82"/>
      <c r="B73" s="82"/>
      <c r="C73" s="82"/>
      <c r="D73" s="83"/>
      <c r="E73" s="101" t="s">
        <v>80</v>
      </c>
      <c r="F73" s="101" t="s">
        <v>80</v>
      </c>
      <c r="G73" s="746" t="s">
        <v>81</v>
      </c>
      <c r="H73" s="747" t="s">
        <v>82</v>
      </c>
      <c r="I73" s="101" t="s">
        <v>83</v>
      </c>
      <c r="J73" s="865" t="s">
        <v>84</v>
      </c>
      <c r="K73" s="866"/>
    </row>
    <row r="74" spans="1:11" ht="15" customHeight="1" x14ac:dyDescent="0.3">
      <c r="A74" s="74" t="s">
        <v>85</v>
      </c>
      <c r="B74" s="82"/>
      <c r="C74" s="102">
        <v>2005</v>
      </c>
      <c r="D74" s="103">
        <v>-9</v>
      </c>
      <c r="E74" s="104"/>
      <c r="F74" s="105"/>
      <c r="G74" s="722">
        <v>20580.375680025263</v>
      </c>
      <c r="H74" s="723">
        <v>20580.375680025263</v>
      </c>
      <c r="I74" s="871" t="s">
        <v>86</v>
      </c>
      <c r="J74" s="867"/>
      <c r="K74" s="868"/>
    </row>
    <row r="75" spans="1:11" ht="15.75" customHeight="1" x14ac:dyDescent="0.3">
      <c r="A75" s="110" t="s">
        <v>87</v>
      </c>
      <c r="B75" s="82"/>
      <c r="C75" s="106">
        <v>2006</v>
      </c>
      <c r="D75" s="107">
        <v>-8</v>
      </c>
      <c r="E75" s="108"/>
      <c r="F75" s="105"/>
      <c r="G75" s="727">
        <v>21089.167448835364</v>
      </c>
      <c r="H75" s="728">
        <v>21089.167448835364</v>
      </c>
      <c r="I75" s="867"/>
      <c r="J75" s="867"/>
      <c r="K75" s="868"/>
    </row>
    <row r="76" spans="1:11" ht="14.4" x14ac:dyDescent="0.3">
      <c r="A76" s="82"/>
      <c r="B76" s="82"/>
      <c r="C76" s="106">
        <v>2007</v>
      </c>
      <c r="D76" s="107">
        <v>-7</v>
      </c>
      <c r="E76" s="108"/>
      <c r="F76" s="105"/>
      <c r="G76" s="727">
        <v>21604.746654161965</v>
      </c>
      <c r="H76" s="728">
        <v>21604.746654161965</v>
      </c>
      <c r="I76" s="867"/>
      <c r="J76" s="867"/>
      <c r="K76" s="868"/>
    </row>
    <row r="77" spans="1:11" ht="15.75" customHeight="1" x14ac:dyDescent="0.3">
      <c r="A77" s="29" t="s">
        <v>88</v>
      </c>
      <c r="B77" s="82"/>
      <c r="C77" s="106">
        <v>2008</v>
      </c>
      <c r="D77" s="107">
        <v>-6</v>
      </c>
      <c r="E77" s="108"/>
      <c r="F77" s="105"/>
      <c r="G77" s="727">
        <v>22126.887122306816</v>
      </c>
      <c r="H77" s="728">
        <v>22126.887122306816</v>
      </c>
      <c r="I77" s="867"/>
      <c r="J77" s="869"/>
      <c r="K77" s="870"/>
    </row>
    <row r="78" spans="1:11" ht="14.55" customHeight="1" x14ac:dyDescent="0.3">
      <c r="A78" s="872" t="s">
        <v>96</v>
      </c>
      <c r="B78" s="82"/>
      <c r="C78" s="106">
        <v>2009</v>
      </c>
      <c r="D78" s="107">
        <v>-5</v>
      </c>
      <c r="E78" s="108"/>
      <c r="F78" s="105"/>
      <c r="G78" s="727">
        <v>22655.362679571674</v>
      </c>
      <c r="H78" s="728">
        <v>22655.362679571674</v>
      </c>
      <c r="I78" s="867"/>
      <c r="J78" s="79"/>
      <c r="K78" s="79"/>
    </row>
    <row r="79" spans="1:11" ht="14.4" x14ac:dyDescent="0.3">
      <c r="A79" s="873"/>
      <c r="B79" s="82"/>
      <c r="C79" s="106">
        <v>2010</v>
      </c>
      <c r="D79" s="107">
        <v>-4</v>
      </c>
      <c r="E79" s="108">
        <v>23300.414171165095</v>
      </c>
      <c r="F79" s="105">
        <v>23300.414171165095</v>
      </c>
      <c r="G79" s="727">
        <v>23300.414171165095</v>
      </c>
      <c r="H79" s="728">
        <v>23300.414171165095</v>
      </c>
      <c r="I79" s="867"/>
      <c r="J79" s="79"/>
      <c r="K79" s="79"/>
    </row>
    <row r="80" spans="1:11" ht="14.4" x14ac:dyDescent="0.3">
      <c r="A80" s="873"/>
      <c r="B80" s="82"/>
      <c r="C80" s="106">
        <v>2011</v>
      </c>
      <c r="D80" s="107">
        <v>-3</v>
      </c>
      <c r="E80" s="108"/>
      <c r="F80" s="105"/>
      <c r="G80" s="727">
        <v>23730.414366668403</v>
      </c>
      <c r="H80" s="728">
        <v>23730.414366668403</v>
      </c>
      <c r="I80" s="869"/>
      <c r="J80" s="79"/>
      <c r="K80" s="79"/>
    </row>
    <row r="81" spans="1:11" ht="14.4" x14ac:dyDescent="0.3">
      <c r="A81" s="874"/>
      <c r="B81" s="82"/>
      <c r="C81" s="106">
        <v>2012</v>
      </c>
      <c r="D81" s="107">
        <v>-2</v>
      </c>
      <c r="E81" s="108"/>
      <c r="F81" s="105"/>
      <c r="G81" s="730">
        <v>24276.538149103777</v>
      </c>
      <c r="H81" s="731">
        <v>24276.538149103777</v>
      </c>
      <c r="I81" s="87" t="s">
        <v>90</v>
      </c>
      <c r="J81" s="79"/>
      <c r="K81" s="79"/>
    </row>
    <row r="82" spans="1:11" ht="14.4" x14ac:dyDescent="0.3">
      <c r="A82" s="82"/>
      <c r="B82" s="82"/>
      <c r="C82" s="106">
        <v>2013</v>
      </c>
      <c r="D82" s="107">
        <v>-1</v>
      </c>
      <c r="E82" s="108"/>
      <c r="F82" s="105"/>
      <c r="G82" s="730">
        <v>24828.092325866157</v>
      </c>
      <c r="H82" s="731">
        <v>24828.092325866157</v>
      </c>
      <c r="I82" s="82"/>
      <c r="J82" s="79"/>
      <c r="K82" s="79"/>
    </row>
    <row r="83" spans="1:11" ht="15.75" customHeight="1" x14ac:dyDescent="0.3">
      <c r="A83" s="77" t="s">
        <v>91</v>
      </c>
      <c r="B83" s="82"/>
      <c r="C83" s="106">
        <v>2014</v>
      </c>
      <c r="D83" s="107">
        <v>0</v>
      </c>
      <c r="E83" s="108"/>
      <c r="F83" s="105"/>
      <c r="G83" s="730">
        <v>25384.850723257299</v>
      </c>
      <c r="H83" s="731">
        <v>25544.007483288988</v>
      </c>
      <c r="I83" s="79"/>
      <c r="J83" s="79"/>
      <c r="K83" s="79"/>
    </row>
    <row r="84" spans="1:11" ht="15.75" customHeight="1" x14ac:dyDescent="0.3">
      <c r="A84" s="110">
        <v>2015</v>
      </c>
      <c r="B84" s="80"/>
      <c r="C84" s="106">
        <v>2015</v>
      </c>
      <c r="D84" s="107">
        <v>1</v>
      </c>
      <c r="E84" s="108">
        <v>25760.697921452524</v>
      </c>
      <c r="F84" s="105">
        <v>25760.697921452524</v>
      </c>
      <c r="G84" s="730">
        <v>25760.697921452524</v>
      </c>
      <c r="H84" s="731">
        <v>25924.21753256493</v>
      </c>
      <c r="I84" s="79"/>
      <c r="J84" s="79"/>
      <c r="K84" s="79"/>
    </row>
    <row r="85" spans="1:11" ht="14.4" x14ac:dyDescent="0.3">
      <c r="A85" s="79"/>
      <c r="B85" s="80"/>
      <c r="C85" s="106">
        <v>2016</v>
      </c>
      <c r="D85" s="107">
        <v>2</v>
      </c>
      <c r="E85" s="108"/>
      <c r="F85" s="105"/>
      <c r="G85" s="730">
        <v>26513.075485132864</v>
      </c>
      <c r="H85" s="731">
        <v>26684.047001466148</v>
      </c>
      <c r="I85" s="79"/>
      <c r="J85" s="79"/>
      <c r="K85" s="79"/>
    </row>
    <row r="86" spans="1:11" ht="15.75" customHeight="1" x14ac:dyDescent="0.3">
      <c r="A86" s="77" t="s">
        <v>92</v>
      </c>
      <c r="B86" s="80"/>
      <c r="C86" s="106">
        <v>2017</v>
      </c>
      <c r="D86" s="107">
        <v>3</v>
      </c>
      <c r="E86" s="108"/>
      <c r="F86" s="105"/>
      <c r="G86" s="730">
        <v>27084.089502220791</v>
      </c>
      <c r="H86" s="731">
        <v>27262.086199436795</v>
      </c>
      <c r="I86" s="79"/>
      <c r="J86" s="79"/>
      <c r="K86" s="79"/>
    </row>
    <row r="87" spans="1:11" ht="15.75" customHeight="1" x14ac:dyDescent="0.3">
      <c r="A87" s="110" t="s">
        <v>80</v>
      </c>
      <c r="B87" s="80"/>
      <c r="C87" s="106">
        <v>2018</v>
      </c>
      <c r="D87" s="107">
        <v>4</v>
      </c>
      <c r="E87" s="108"/>
      <c r="F87" s="105"/>
      <c r="G87" s="730">
        <v>27659.403045144485</v>
      </c>
      <c r="H87" s="731">
        <v>27844.991324425369</v>
      </c>
      <c r="I87" s="79"/>
      <c r="J87" s="79"/>
      <c r="K87" s="79"/>
    </row>
    <row r="88" spans="1:11" ht="14.4" x14ac:dyDescent="0.3">
      <c r="A88" s="79"/>
      <c r="B88" s="80"/>
      <c r="C88" s="106">
        <v>2019</v>
      </c>
      <c r="D88" s="107">
        <v>5</v>
      </c>
      <c r="E88" s="108"/>
      <c r="F88" s="105"/>
      <c r="G88" s="730">
        <v>28238.78994020569</v>
      </c>
      <c r="H88" s="731">
        <v>28432.23251883221</v>
      </c>
      <c r="I88" s="79"/>
      <c r="J88" s="79"/>
      <c r="K88" s="79"/>
    </row>
    <row r="89" spans="1:11" ht="15.75" customHeight="1" x14ac:dyDescent="0.3">
      <c r="A89" s="77" t="s">
        <v>93</v>
      </c>
      <c r="B89" s="80"/>
      <c r="C89" s="106">
        <v>2020</v>
      </c>
      <c r="D89" s="107">
        <v>6</v>
      </c>
      <c r="E89" s="108">
        <v>28771.436313171984</v>
      </c>
      <c r="F89" s="105">
        <v>28771.436313171984</v>
      </c>
      <c r="G89" s="730">
        <v>28771.436313171984</v>
      </c>
      <c r="H89" s="731">
        <v>28974.718674705251</v>
      </c>
      <c r="I89" s="79"/>
      <c r="J89" s="79"/>
      <c r="K89" s="79"/>
    </row>
    <row r="90" spans="1:11" ht="15.75" customHeight="1" x14ac:dyDescent="0.3">
      <c r="A90" s="77"/>
      <c r="B90" s="80"/>
      <c r="C90" s="106">
        <v>2021</v>
      </c>
      <c r="D90" s="107">
        <v>7</v>
      </c>
      <c r="E90" s="108"/>
      <c r="F90" s="105"/>
      <c r="G90" s="730">
        <v>29408.879091947652</v>
      </c>
      <c r="H90" s="731">
        <v>29601.450095186025</v>
      </c>
      <c r="I90" s="79"/>
      <c r="J90" s="79"/>
      <c r="K90" s="79"/>
    </row>
    <row r="91" spans="1:11" ht="15.75" customHeight="1" x14ac:dyDescent="0.3">
      <c r="A91" s="88"/>
      <c r="B91" s="80"/>
      <c r="C91" s="106">
        <v>2022</v>
      </c>
      <c r="D91" s="107">
        <v>8</v>
      </c>
      <c r="E91" s="108"/>
      <c r="F91" s="105"/>
      <c r="G91" s="730">
        <v>29999.129001231911</v>
      </c>
      <c r="H91" s="731">
        <v>30178.43259248104</v>
      </c>
      <c r="I91" s="79"/>
      <c r="J91" s="79"/>
      <c r="K91" s="79"/>
    </row>
    <row r="92" spans="1:11" ht="15.75" customHeight="1" x14ac:dyDescent="0.3">
      <c r="A92" s="110"/>
      <c r="B92" s="80"/>
      <c r="C92" s="106">
        <v>2023</v>
      </c>
      <c r="D92" s="107">
        <v>9</v>
      </c>
      <c r="E92" s="108"/>
      <c r="F92" s="105"/>
      <c r="G92" s="730">
        <v>30592.547567860693</v>
      </c>
      <c r="H92" s="731">
        <v>30756.23766011613</v>
      </c>
      <c r="I92" s="79"/>
      <c r="J92" s="79"/>
      <c r="K92" s="79"/>
    </row>
    <row r="93" spans="1:11" ht="14.4" x14ac:dyDescent="0.3">
      <c r="A93" s="79"/>
      <c r="B93" s="80"/>
      <c r="C93" s="106">
        <v>2024</v>
      </c>
      <c r="D93" s="107">
        <v>10</v>
      </c>
      <c r="E93" s="108"/>
      <c r="F93" s="105"/>
      <c r="G93" s="730">
        <v>31188.908618135742</v>
      </c>
      <c r="H93" s="731">
        <v>31333.939549103823</v>
      </c>
      <c r="I93" s="79"/>
      <c r="J93" s="79"/>
      <c r="K93" s="79"/>
    </row>
    <row r="94" spans="1:11" ht="14.4" x14ac:dyDescent="0.3">
      <c r="A94" s="5"/>
      <c r="B94" s="80"/>
      <c r="C94" s="106">
        <v>2025</v>
      </c>
      <c r="D94" s="107">
        <v>11</v>
      </c>
      <c r="E94" s="108">
        <v>31866.222528603943</v>
      </c>
      <c r="F94" s="105">
        <v>31866.222528603943</v>
      </c>
      <c r="G94" s="730">
        <v>31866.222528603943</v>
      </c>
      <c r="H94" s="731">
        <v>31989.313293077659</v>
      </c>
      <c r="I94" s="79"/>
      <c r="J94" s="79"/>
      <c r="K94" s="79"/>
    </row>
    <row r="95" spans="1:11" ht="14.4" x14ac:dyDescent="0.3">
      <c r="A95" s="5"/>
      <c r="B95" s="80"/>
      <c r="C95" s="106">
        <v>2026</v>
      </c>
      <c r="D95" s="107">
        <v>12</v>
      </c>
      <c r="E95" s="108"/>
      <c r="F95" s="105"/>
      <c r="G95" s="730">
        <v>32389.55347483166</v>
      </c>
      <c r="H95" s="731">
        <v>32486.562587841752</v>
      </c>
      <c r="I95" s="79"/>
      <c r="J95" s="79"/>
      <c r="K95" s="79"/>
    </row>
    <row r="96" spans="1:11" ht="14.4" x14ac:dyDescent="0.3">
      <c r="A96" s="5"/>
      <c r="B96" s="80"/>
      <c r="C96" s="106">
        <v>2027</v>
      </c>
      <c r="D96" s="107">
        <v>13</v>
      </c>
      <c r="E96" s="108"/>
      <c r="F96" s="105"/>
      <c r="G96" s="730">
        <v>32993.384933856032</v>
      </c>
      <c r="H96" s="731">
        <v>33061.420386686652</v>
      </c>
      <c r="I96" s="79"/>
      <c r="J96" s="79"/>
      <c r="K96" s="79"/>
    </row>
    <row r="97" spans="1:11" ht="14.4" x14ac:dyDescent="0.3">
      <c r="A97" s="5"/>
      <c r="B97" s="80"/>
      <c r="C97" s="106">
        <v>2028</v>
      </c>
      <c r="D97" s="107">
        <v>14</v>
      </c>
      <c r="E97" s="108"/>
      <c r="F97" s="105"/>
      <c r="G97" s="730">
        <v>33599.254181733682</v>
      </c>
      <c r="H97" s="731">
        <v>33635.122019553113</v>
      </c>
      <c r="I97" s="79"/>
      <c r="J97" s="79"/>
      <c r="K97" s="79"/>
    </row>
    <row r="98" spans="1:11" ht="14.4" x14ac:dyDescent="0.3">
      <c r="A98" s="5"/>
      <c r="B98" s="80"/>
      <c r="C98" s="106">
        <v>2029</v>
      </c>
      <c r="D98" s="107">
        <v>15</v>
      </c>
      <c r="E98" s="108"/>
      <c r="F98" s="105"/>
      <c r="G98" s="730">
        <v>34206.935044766353</v>
      </c>
      <c r="H98" s="731">
        <v>34207.4500185988</v>
      </c>
      <c r="I98" s="79"/>
      <c r="J98" s="79"/>
      <c r="K98" s="79"/>
    </row>
    <row r="99" spans="1:11" ht="14.4" x14ac:dyDescent="0.3">
      <c r="A99" s="5"/>
      <c r="B99" s="80"/>
      <c r="C99" s="106">
        <v>2030</v>
      </c>
      <c r="D99" s="107">
        <v>16</v>
      </c>
      <c r="E99" s="108">
        <v>34948.059409595931</v>
      </c>
      <c r="F99" s="105">
        <v>34948.059409595931</v>
      </c>
      <c r="G99" s="730">
        <v>34948.059409595931</v>
      </c>
      <c r="H99" s="731">
        <v>34909.883109165959</v>
      </c>
      <c r="I99" s="79"/>
      <c r="J99" s="79"/>
      <c r="K99" s="79"/>
    </row>
    <row r="100" spans="1:11" ht="14.4" x14ac:dyDescent="0.3">
      <c r="A100" s="5"/>
      <c r="B100" s="80"/>
      <c r="C100" s="106">
        <v>2031</v>
      </c>
      <c r="D100" s="107">
        <v>17</v>
      </c>
      <c r="E100" s="108"/>
      <c r="F100" s="105"/>
      <c r="G100" s="730">
        <v>35426.826921503787</v>
      </c>
      <c r="H100" s="731">
        <v>35347.04871153694</v>
      </c>
      <c r="I100" s="79"/>
      <c r="J100" s="79"/>
      <c r="K100" s="79"/>
    </row>
    <row r="101" spans="1:11" ht="14.4" x14ac:dyDescent="0.3">
      <c r="A101" s="5"/>
      <c r="B101" s="80"/>
      <c r="C101" s="106">
        <v>2032</v>
      </c>
      <c r="D101" s="107">
        <v>18</v>
      </c>
      <c r="E101" s="108"/>
      <c r="F101" s="105"/>
      <c r="G101" s="730">
        <v>36038.585587812049</v>
      </c>
      <c r="H101" s="731">
        <v>35913.968140936558</v>
      </c>
      <c r="I101" s="79"/>
      <c r="J101" s="79"/>
      <c r="K101" s="79"/>
    </row>
    <row r="102" spans="1:11" ht="14.4" x14ac:dyDescent="0.3">
      <c r="A102" s="5"/>
      <c r="B102" s="80"/>
      <c r="C102" s="106">
        <v>2033</v>
      </c>
      <c r="D102" s="107">
        <v>19</v>
      </c>
      <c r="E102" s="108"/>
      <c r="F102" s="105"/>
      <c r="G102" s="730">
        <v>36651.251174482342</v>
      </c>
      <c r="H102" s="731">
        <v>36479.041019538134</v>
      </c>
      <c r="I102" s="79"/>
      <c r="J102" s="79"/>
      <c r="K102" s="79"/>
    </row>
    <row r="103" spans="1:11" ht="14.4" x14ac:dyDescent="0.3">
      <c r="A103" s="5"/>
      <c r="B103" s="80"/>
      <c r="C103" s="106">
        <v>2034</v>
      </c>
      <c r="D103" s="107">
        <v>20</v>
      </c>
      <c r="E103" s="108"/>
      <c r="F103" s="105"/>
      <c r="G103" s="730">
        <v>37264.597507816419</v>
      </c>
      <c r="H103" s="731">
        <v>37042.49635043017</v>
      </c>
      <c r="I103" s="79"/>
      <c r="J103" s="79"/>
      <c r="K103" s="79"/>
    </row>
    <row r="104" spans="1:11" ht="14.4" x14ac:dyDescent="0.3">
      <c r="A104" s="5"/>
      <c r="B104" s="80"/>
      <c r="C104" s="106">
        <v>2035</v>
      </c>
      <c r="D104" s="107">
        <v>21</v>
      </c>
      <c r="E104" s="108">
        <v>37900.32523663043</v>
      </c>
      <c r="F104" s="105">
        <v>37900.32523663043</v>
      </c>
      <c r="G104" s="730">
        <v>37900.32523663043</v>
      </c>
      <c r="H104" s="731">
        <v>37626.219420330315</v>
      </c>
      <c r="I104" s="79"/>
      <c r="J104" s="79"/>
      <c r="K104" s="79"/>
    </row>
    <row r="105" spans="1:11" ht="14.4" x14ac:dyDescent="0.3">
      <c r="A105" s="5"/>
      <c r="B105" s="80"/>
      <c r="C105" s="106">
        <v>2036</v>
      </c>
      <c r="D105" s="107">
        <v>22</v>
      </c>
      <c r="E105" s="108"/>
      <c r="F105" s="105"/>
      <c r="G105" s="730">
        <v>38492.427719682935</v>
      </c>
      <c r="H105" s="731">
        <v>38164.85312707493</v>
      </c>
      <c r="I105" s="79"/>
      <c r="J105" s="79"/>
      <c r="K105" s="79"/>
    </row>
    <row r="106" spans="1:11" ht="14.4" x14ac:dyDescent="0.3">
      <c r="A106" s="5"/>
      <c r="B106" s="80"/>
      <c r="C106" s="106">
        <v>2037</v>
      </c>
      <c r="D106" s="107">
        <v>23</v>
      </c>
      <c r="E106" s="108"/>
      <c r="F106" s="105"/>
      <c r="G106" s="730">
        <v>39106.459250818865</v>
      </c>
      <c r="H106" s="731">
        <v>38723.430969953428</v>
      </c>
      <c r="I106" s="79"/>
      <c r="J106" s="79"/>
      <c r="K106" s="79"/>
    </row>
    <row r="107" spans="1:11" ht="14.4" x14ac:dyDescent="0.3">
      <c r="A107" s="80"/>
      <c r="B107" s="80"/>
      <c r="C107" s="106">
        <v>2038</v>
      </c>
      <c r="D107" s="107">
        <v>24</v>
      </c>
      <c r="E107" s="108"/>
      <c r="F107" s="105"/>
      <c r="G107" s="730">
        <v>39720.26683382559</v>
      </c>
      <c r="H107" s="731">
        <v>39279.80855991201</v>
      </c>
      <c r="I107" s="79"/>
      <c r="J107" s="79"/>
      <c r="K107" s="79"/>
    </row>
    <row r="108" spans="1:11" ht="14.4" x14ac:dyDescent="0.3">
      <c r="A108" s="80"/>
      <c r="B108" s="80"/>
      <c r="C108" s="106">
        <v>2039</v>
      </c>
      <c r="D108" s="107">
        <v>25</v>
      </c>
      <c r="E108" s="108"/>
      <c r="F108" s="105"/>
      <c r="G108" s="730">
        <v>40333.624295004847</v>
      </c>
      <c r="H108" s="731">
        <v>39833.492235806538</v>
      </c>
      <c r="I108" s="79"/>
      <c r="J108" s="79"/>
      <c r="K108" s="79"/>
    </row>
    <row r="109" spans="1:11" ht="14.4" x14ac:dyDescent="0.3">
      <c r="A109" s="80"/>
      <c r="B109" s="80"/>
      <c r="C109" s="106">
        <v>2040</v>
      </c>
      <c r="D109" s="107">
        <v>26</v>
      </c>
      <c r="E109" s="108">
        <v>40876.424275899517</v>
      </c>
      <c r="F109" s="105">
        <v>40876.424275899517</v>
      </c>
      <c r="G109" s="730">
        <v>40876.424275899517</v>
      </c>
      <c r="H109" s="731">
        <v>40315.124823267921</v>
      </c>
      <c r="I109" s="79"/>
      <c r="J109" s="79"/>
      <c r="K109" s="79"/>
    </row>
    <row r="110" spans="1:11" ht="14.4" x14ac:dyDescent="0.3">
      <c r="A110" s="80"/>
      <c r="B110" s="80"/>
      <c r="C110" s="106">
        <v>2041</v>
      </c>
      <c r="D110" s="107">
        <v>27</v>
      </c>
      <c r="E110" s="108"/>
      <c r="F110" s="105"/>
      <c r="G110" s="730">
        <v>41558.084157087986</v>
      </c>
      <c r="H110" s="731">
        <v>40931.206642789133</v>
      </c>
      <c r="I110" s="79"/>
      <c r="J110" s="79"/>
      <c r="K110" s="79"/>
    </row>
    <row r="111" spans="1:11" ht="14.4" x14ac:dyDescent="0.3">
      <c r="A111" s="80"/>
      <c r="B111" s="80"/>
      <c r="C111" s="106">
        <v>2042</v>
      </c>
      <c r="D111" s="107">
        <v>28</v>
      </c>
      <c r="E111" s="108"/>
      <c r="F111" s="105"/>
      <c r="G111" s="730">
        <v>42168.734210595372</v>
      </c>
      <c r="H111" s="731">
        <v>41474.803074760617</v>
      </c>
      <c r="I111" s="79"/>
      <c r="J111" s="79"/>
      <c r="K111" s="79"/>
    </row>
    <row r="112" spans="1:11" ht="14.4" x14ac:dyDescent="0.3">
      <c r="A112" s="80"/>
      <c r="B112" s="80"/>
      <c r="C112" s="106">
        <v>2043</v>
      </c>
      <c r="D112" s="107">
        <v>29</v>
      </c>
      <c r="E112" s="108"/>
      <c r="F112" s="105"/>
      <c r="G112" s="730">
        <v>42778.029447482302</v>
      </c>
      <c r="H112" s="731">
        <v>42014.585105394457</v>
      </c>
      <c r="I112" s="79"/>
      <c r="J112" s="79"/>
      <c r="K112" s="79"/>
    </row>
    <row r="113" spans="1:11" ht="14.4" x14ac:dyDescent="0.3">
      <c r="A113" s="80"/>
      <c r="B113" s="80"/>
      <c r="C113" s="106">
        <v>2044</v>
      </c>
      <c r="D113" s="107">
        <v>30</v>
      </c>
      <c r="E113" s="108"/>
      <c r="F113" s="105"/>
      <c r="G113" s="730">
        <v>43385.743694050529</v>
      </c>
      <c r="H113" s="731">
        <v>42550.317670550299</v>
      </c>
      <c r="I113" s="79"/>
      <c r="J113" s="79"/>
      <c r="K113" s="79"/>
    </row>
    <row r="114" spans="1:11" ht="14.4" x14ac:dyDescent="0.3">
      <c r="A114" s="80"/>
      <c r="B114" s="80"/>
      <c r="C114" s="106">
        <v>2045</v>
      </c>
      <c r="D114" s="107">
        <v>31</v>
      </c>
      <c r="E114" s="108">
        <v>43868.032460825547</v>
      </c>
      <c r="F114" s="105">
        <v>43868.032460825547</v>
      </c>
      <c r="G114" s="730">
        <v>43868.032460825547</v>
      </c>
      <c r="H114" s="731">
        <v>42960.694182004241</v>
      </c>
      <c r="I114" s="79"/>
      <c r="J114" s="79"/>
      <c r="K114" s="79"/>
    </row>
    <row r="115" spans="1:11" ht="14.4" x14ac:dyDescent="0.3">
      <c r="A115" s="80"/>
      <c r="B115" s="80"/>
      <c r="C115" s="106">
        <v>2046</v>
      </c>
      <c r="D115" s="107">
        <v>32</v>
      </c>
      <c r="E115" s="108"/>
      <c r="F115" s="105"/>
      <c r="G115" s="730">
        <v>44595.524521437859</v>
      </c>
      <c r="H115" s="731">
        <v>43608.651471103301</v>
      </c>
      <c r="I115" s="79"/>
      <c r="J115" s="79"/>
      <c r="K115" s="79"/>
    </row>
    <row r="116" spans="1:11" ht="14.4" x14ac:dyDescent="0.3">
      <c r="A116" s="89"/>
      <c r="B116" s="80"/>
      <c r="C116" s="106">
        <v>2047</v>
      </c>
      <c r="D116" s="107">
        <v>33</v>
      </c>
      <c r="E116" s="108"/>
      <c r="F116" s="105"/>
      <c r="G116" s="730">
        <v>45197.138754860476</v>
      </c>
      <c r="H116" s="731">
        <v>44130.737305022143</v>
      </c>
      <c r="I116" s="79"/>
      <c r="J116" s="79"/>
      <c r="K116" s="79"/>
    </row>
    <row r="117" spans="1:11" ht="14.4" x14ac:dyDescent="0.3">
      <c r="A117" s="79"/>
      <c r="B117" s="80"/>
      <c r="C117" s="106">
        <v>2048</v>
      </c>
      <c r="D117" s="107">
        <v>34</v>
      </c>
      <c r="E117" s="108"/>
      <c r="F117" s="105"/>
      <c r="G117" s="730">
        <v>45796.267303171393</v>
      </c>
      <c r="H117" s="731">
        <v>44647.725543325549</v>
      </c>
      <c r="I117" s="79"/>
      <c r="J117" s="79"/>
      <c r="K117" s="79"/>
    </row>
    <row r="118" spans="1:11" ht="14.4" x14ac:dyDescent="0.3">
      <c r="A118" s="79"/>
      <c r="B118" s="79"/>
      <c r="C118" s="106">
        <v>2049</v>
      </c>
      <c r="D118" s="107">
        <v>35</v>
      </c>
      <c r="E118" s="108"/>
      <c r="F118" s="105"/>
      <c r="G118" s="730">
        <v>46392.683992672348</v>
      </c>
      <c r="H118" s="731">
        <v>45159.319163226872</v>
      </c>
      <c r="I118" s="79"/>
      <c r="J118" s="79"/>
      <c r="K118" s="79"/>
    </row>
    <row r="119" spans="1:11" ht="14.4" x14ac:dyDescent="0.3">
      <c r="A119" s="79"/>
      <c r="B119" s="79"/>
      <c r="C119" s="106">
        <v>2050</v>
      </c>
      <c r="D119" s="111">
        <v>36</v>
      </c>
      <c r="E119" s="108">
        <v>47073.65064485433</v>
      </c>
      <c r="F119" s="105">
        <v>47073.65064485433</v>
      </c>
      <c r="G119" s="740">
        <v>47073.65064485433</v>
      </c>
      <c r="H119" s="741">
        <v>45750.263527195624</v>
      </c>
      <c r="I119" s="79"/>
      <c r="J119" s="79"/>
      <c r="K119" s="79"/>
    </row>
    <row r="120" spans="1:11" ht="14.4" x14ac:dyDescent="0.3">
      <c r="A120" s="79"/>
      <c r="B120" s="79"/>
      <c r="C120" s="106">
        <v>2051</v>
      </c>
      <c r="D120" s="107">
        <v>37</v>
      </c>
      <c r="E120" s="108"/>
      <c r="F120" s="105"/>
      <c r="G120" s="730">
        <v>47576.47710045144</v>
      </c>
      <c r="H120" s="731">
        <v>46165.209022238472</v>
      </c>
      <c r="I120" s="79"/>
      <c r="J120" s="79"/>
      <c r="K120" s="79"/>
    </row>
    <row r="121" spans="1:11" ht="14.4" x14ac:dyDescent="0.3">
      <c r="A121" s="79"/>
      <c r="B121" s="79"/>
      <c r="C121" s="106">
        <v>2052</v>
      </c>
      <c r="D121" s="107">
        <v>38</v>
      </c>
      <c r="E121" s="108"/>
      <c r="F121" s="105"/>
      <c r="G121" s="730">
        <v>48163.401171333062</v>
      </c>
      <c r="H121" s="731">
        <v>46659.013820675376</v>
      </c>
      <c r="I121" s="79"/>
      <c r="J121" s="79"/>
      <c r="K121" s="79"/>
    </row>
    <row r="122" spans="1:11" ht="14.4" x14ac:dyDescent="0.3">
      <c r="A122" s="79"/>
      <c r="B122" s="79"/>
      <c r="C122" s="106">
        <v>2053</v>
      </c>
      <c r="D122" s="107">
        <v>39</v>
      </c>
      <c r="E122" s="108"/>
      <c r="F122" s="105"/>
      <c r="G122" s="730">
        <v>48746.708688611739</v>
      </c>
      <c r="H122" s="731">
        <v>47146.452219110281</v>
      </c>
      <c r="I122" s="79"/>
      <c r="J122" s="79"/>
      <c r="K122" s="79"/>
    </row>
    <row r="123" spans="1:11" ht="14.4" x14ac:dyDescent="0.3">
      <c r="A123" s="79"/>
      <c r="B123" s="79"/>
      <c r="C123" s="106">
        <v>2054</v>
      </c>
      <c r="D123" s="107">
        <v>40</v>
      </c>
      <c r="E123" s="108"/>
      <c r="F123" s="105"/>
      <c r="G123" s="730">
        <v>49326.173478589233</v>
      </c>
      <c r="H123" s="731">
        <v>47627.350612794857</v>
      </c>
      <c r="I123" s="79"/>
      <c r="J123" s="79"/>
      <c r="K123" s="79"/>
    </row>
    <row r="124" spans="1:11" ht="14.4" x14ac:dyDescent="0.3">
      <c r="A124" s="79"/>
      <c r="B124" s="79"/>
      <c r="C124" s="106">
        <v>2055</v>
      </c>
      <c r="D124" s="111">
        <v>41</v>
      </c>
      <c r="E124" s="108"/>
      <c r="F124" s="105"/>
      <c r="G124" s="740">
        <v>49901.569367567274</v>
      </c>
      <c r="H124" s="741">
        <v>48101.522542119506</v>
      </c>
      <c r="I124" s="79"/>
      <c r="J124" s="79"/>
      <c r="K124" s="79"/>
    </row>
    <row r="125" spans="1:11" ht="14.4" x14ac:dyDescent="0.3">
      <c r="A125" s="79"/>
      <c r="B125" s="79"/>
      <c r="C125" s="106">
        <v>2056</v>
      </c>
      <c r="D125" s="107">
        <v>42</v>
      </c>
      <c r="E125" s="108"/>
      <c r="F125" s="105"/>
      <c r="G125" s="730">
        <v>50472.670181847629</v>
      </c>
      <c r="H125" s="731">
        <v>48568.734952319617</v>
      </c>
      <c r="I125" s="79"/>
      <c r="J125" s="79"/>
      <c r="K125" s="79"/>
    </row>
    <row r="126" spans="1:11" ht="14.4" x14ac:dyDescent="0.3">
      <c r="A126" s="79"/>
      <c r="B126" s="79"/>
      <c r="C126" s="106">
        <v>2057</v>
      </c>
      <c r="D126" s="107">
        <v>43</v>
      </c>
      <c r="E126" s="108"/>
      <c r="F126" s="105"/>
      <c r="G126" s="730">
        <v>51039.249747732036</v>
      </c>
      <c r="H126" s="731">
        <v>49028.740455305968</v>
      </c>
      <c r="I126" s="79"/>
      <c r="J126" s="79"/>
      <c r="K126" s="79"/>
    </row>
    <row r="127" spans="1:11" ht="14.4" x14ac:dyDescent="0.3">
      <c r="A127" s="79"/>
      <c r="B127" s="79"/>
      <c r="C127" s="106">
        <v>2058</v>
      </c>
      <c r="D127" s="107">
        <v>44</v>
      </c>
      <c r="E127" s="108"/>
      <c r="F127" s="105"/>
      <c r="G127" s="730">
        <v>51601.081891522263</v>
      </c>
      <c r="H127" s="731">
        <v>49481.324000110733</v>
      </c>
      <c r="I127" s="79"/>
      <c r="J127" s="79"/>
      <c r="K127" s="79"/>
    </row>
    <row r="128" spans="1:11" ht="14.4" x14ac:dyDescent="0.3">
      <c r="A128" s="79"/>
      <c r="B128" s="79"/>
      <c r="C128" s="106">
        <v>2059</v>
      </c>
      <c r="D128" s="107">
        <v>45</v>
      </c>
      <c r="E128" s="108"/>
      <c r="F128" s="105"/>
      <c r="G128" s="730">
        <v>52157.940439520054</v>
      </c>
      <c r="H128" s="731">
        <v>49926.274736747364</v>
      </c>
      <c r="I128" s="79"/>
      <c r="J128" s="79"/>
      <c r="K128" s="79"/>
    </row>
    <row r="129" spans="1:16" ht="14.4" x14ac:dyDescent="0.3">
      <c r="A129" s="79"/>
      <c r="B129" s="79"/>
      <c r="C129" s="112">
        <v>2060</v>
      </c>
      <c r="D129" s="111">
        <v>46</v>
      </c>
      <c r="E129" s="108"/>
      <c r="F129" s="105"/>
      <c r="G129" s="740">
        <v>52709.599218027142</v>
      </c>
      <c r="H129" s="741">
        <v>50363.374864450154</v>
      </c>
      <c r="I129" s="79"/>
      <c r="J129" s="79"/>
      <c r="K129" s="79"/>
    </row>
    <row r="130" spans="1:16" ht="14.4" x14ac:dyDescent="0.3">
      <c r="A130" s="79"/>
      <c r="B130" s="2"/>
      <c r="C130" s="2"/>
      <c r="D130" s="2"/>
      <c r="E130" s="2"/>
      <c r="F130" s="2"/>
      <c r="G130" s="2"/>
      <c r="H130" s="2"/>
      <c r="I130" s="2"/>
      <c r="J130" s="2"/>
      <c r="K130" s="2"/>
    </row>
    <row r="131" spans="1:16" ht="14.4" x14ac:dyDescent="0.3">
      <c r="A131" s="79"/>
      <c r="B131" s="2"/>
      <c r="C131" s="2"/>
      <c r="D131" s="2"/>
      <c r="E131" s="2"/>
      <c r="F131" s="2"/>
      <c r="G131" s="2"/>
      <c r="H131" s="2"/>
      <c r="I131" s="2"/>
      <c r="J131" s="2"/>
      <c r="K131" s="2"/>
    </row>
    <row r="132" spans="1:16" ht="14.4" x14ac:dyDescent="0.3">
      <c r="A132" s="2"/>
      <c r="B132" s="2"/>
      <c r="C132" s="2"/>
      <c r="D132" s="2"/>
      <c r="E132" s="2"/>
      <c r="F132" s="2"/>
      <c r="G132" s="2"/>
      <c r="H132" s="2"/>
      <c r="I132" s="2"/>
      <c r="J132" s="2"/>
      <c r="K132" s="2"/>
    </row>
    <row r="133" spans="1:16" ht="14.4" x14ac:dyDescent="0.3">
      <c r="A133" s="2"/>
      <c r="B133" s="2"/>
      <c r="C133" s="2"/>
      <c r="D133" s="2"/>
      <c r="E133" s="2"/>
      <c r="F133" s="2"/>
      <c r="G133" s="2"/>
      <c r="H133" s="2"/>
      <c r="I133" s="2"/>
      <c r="J133" s="2"/>
      <c r="K133" s="2"/>
    </row>
    <row r="134" spans="1:16" ht="14.4" x14ac:dyDescent="0.3">
      <c r="A134" s="2"/>
      <c r="B134" s="2"/>
      <c r="C134" s="2"/>
      <c r="D134" s="2"/>
      <c r="E134" s="2"/>
      <c r="F134" s="2"/>
      <c r="G134" s="2"/>
      <c r="H134" s="2"/>
      <c r="I134" s="2"/>
      <c r="J134" s="2"/>
      <c r="K134" s="2"/>
    </row>
    <row r="135" spans="1:16" ht="15.75" customHeight="1" x14ac:dyDescent="0.3">
      <c r="A135" s="71">
        <v>3</v>
      </c>
      <c r="B135" s="72" t="s">
        <v>97</v>
      </c>
      <c r="C135" s="73"/>
      <c r="D135" s="73"/>
      <c r="E135" s="73"/>
      <c r="F135" s="73"/>
      <c r="G135" s="73"/>
      <c r="H135" s="73"/>
      <c r="I135" s="73"/>
      <c r="J135" s="73"/>
      <c r="K135" s="73"/>
    </row>
    <row r="136" spans="1:16" ht="15.75" customHeight="1" x14ac:dyDescent="0.3">
      <c r="A136" s="74" t="s">
        <v>74</v>
      </c>
      <c r="B136" s="75"/>
      <c r="C136" s="75"/>
      <c r="D136" s="76"/>
      <c r="E136" s="77"/>
      <c r="F136" s="862"/>
      <c r="G136" s="77"/>
      <c r="H136" s="78"/>
      <c r="I136" s="79"/>
      <c r="J136" s="79"/>
      <c r="K136" s="79"/>
    </row>
    <row r="137" spans="1:16" ht="16.5" customHeight="1" thickBot="1" x14ac:dyDescent="0.35">
      <c r="A137" s="110" t="s">
        <v>75</v>
      </c>
      <c r="B137" s="80"/>
      <c r="C137" s="80"/>
      <c r="D137" s="81"/>
      <c r="E137" s="109" t="s">
        <v>78</v>
      </c>
      <c r="F137" s="863"/>
      <c r="G137" s="746" t="s">
        <v>79</v>
      </c>
      <c r="H137" s="711"/>
      <c r="I137" s="78"/>
      <c r="J137" s="79"/>
      <c r="K137" s="79"/>
      <c r="L137" s="79"/>
    </row>
    <row r="138" spans="1:16" ht="51.75" customHeight="1" thickBot="1" x14ac:dyDescent="0.35">
      <c r="A138" s="82"/>
      <c r="B138" s="82"/>
      <c r="C138" s="82"/>
      <c r="D138" s="83"/>
      <c r="E138" s="101" t="s">
        <v>80</v>
      </c>
      <c r="F138" s="101" t="s">
        <v>80</v>
      </c>
      <c r="G138" s="746" t="s">
        <v>81</v>
      </c>
      <c r="H138" s="747" t="s">
        <v>98</v>
      </c>
      <c r="I138" s="101" t="s">
        <v>99</v>
      </c>
      <c r="J138" s="101" t="s">
        <v>83</v>
      </c>
      <c r="K138" s="865" t="s">
        <v>84</v>
      </c>
      <c r="L138" s="866"/>
    </row>
    <row r="139" spans="1:16" ht="15.75" customHeight="1" x14ac:dyDescent="0.3">
      <c r="A139" s="74" t="s">
        <v>85</v>
      </c>
      <c r="B139" s="82"/>
      <c r="C139" s="102">
        <v>2005</v>
      </c>
      <c r="D139" s="103">
        <v>-9</v>
      </c>
      <c r="E139" s="104">
        <v>13284.780946103929</v>
      </c>
      <c r="F139" s="105">
        <v>13284.780946103929</v>
      </c>
      <c r="G139" s="722">
        <v>13284.780946103914</v>
      </c>
      <c r="H139" s="723">
        <v>13284.780946103914</v>
      </c>
      <c r="I139" s="84">
        <v>15535.780329123427</v>
      </c>
      <c r="J139" s="871" t="s">
        <v>86</v>
      </c>
      <c r="K139" s="867"/>
      <c r="L139" s="868"/>
      <c r="N139" s="94"/>
      <c r="O139" s="94"/>
      <c r="P139" s="94"/>
    </row>
    <row r="140" spans="1:16" ht="15.75" customHeight="1" x14ac:dyDescent="0.3">
      <c r="A140" s="110" t="s">
        <v>87</v>
      </c>
      <c r="B140" s="82"/>
      <c r="C140" s="106">
        <v>2006</v>
      </c>
      <c r="D140" s="107">
        <v>-8</v>
      </c>
      <c r="E140" s="108">
        <v>14711.10887284136</v>
      </c>
      <c r="F140" s="105">
        <v>14711.10887284136</v>
      </c>
      <c r="G140" s="727">
        <v>14711.108872841345</v>
      </c>
      <c r="H140" s="728">
        <v>14711.108872841345</v>
      </c>
      <c r="I140" s="85">
        <v>17019.018093721279</v>
      </c>
      <c r="J140" s="867"/>
      <c r="K140" s="867"/>
      <c r="L140" s="868"/>
      <c r="N140" s="94"/>
      <c r="O140" s="94"/>
      <c r="P140" s="94"/>
    </row>
    <row r="141" spans="1:16" ht="14.4" x14ac:dyDescent="0.3">
      <c r="A141" s="82"/>
      <c r="B141" s="82"/>
      <c r="C141" s="106">
        <v>2007</v>
      </c>
      <c r="D141" s="107">
        <v>-7</v>
      </c>
      <c r="E141" s="108">
        <v>16097.749201706294</v>
      </c>
      <c r="F141" s="105">
        <v>16097.749201706294</v>
      </c>
      <c r="G141" s="727">
        <v>16097.749201706283</v>
      </c>
      <c r="H141" s="728">
        <v>16097.749201706283</v>
      </c>
      <c r="I141" s="85">
        <v>18462.493140307572</v>
      </c>
      <c r="J141" s="867"/>
      <c r="K141" s="867"/>
      <c r="L141" s="868"/>
      <c r="N141" s="94"/>
      <c r="O141" s="94"/>
      <c r="P141" s="94"/>
    </row>
    <row r="142" spans="1:16" ht="15.75" customHeight="1" x14ac:dyDescent="0.3">
      <c r="A142" s="29" t="s">
        <v>88</v>
      </c>
      <c r="B142" s="82"/>
      <c r="C142" s="106">
        <v>2008</v>
      </c>
      <c r="D142" s="107">
        <v>-6</v>
      </c>
      <c r="E142" s="108">
        <v>17448.017153868743</v>
      </c>
      <c r="F142" s="105">
        <v>17448.017153868743</v>
      </c>
      <c r="G142" s="727">
        <v>17448.017153868732</v>
      </c>
      <c r="H142" s="728">
        <v>17448.017153868732</v>
      </c>
      <c r="I142" s="85">
        <v>19869.461713063476</v>
      </c>
      <c r="J142" s="867"/>
      <c r="K142" s="869"/>
      <c r="L142" s="870"/>
      <c r="N142" s="94"/>
      <c r="O142" s="94"/>
      <c r="P142" s="94"/>
    </row>
    <row r="143" spans="1:16" ht="14.55" customHeight="1" x14ac:dyDescent="0.3">
      <c r="A143" s="872" t="s">
        <v>100</v>
      </c>
      <c r="B143" s="82"/>
      <c r="C143" s="106">
        <v>2009</v>
      </c>
      <c r="D143" s="107">
        <v>-5</v>
      </c>
      <c r="E143" s="108">
        <v>18765.227950498705</v>
      </c>
      <c r="F143" s="105">
        <v>18765.227950498705</v>
      </c>
      <c r="G143" s="727">
        <v>18765.227950498698</v>
      </c>
      <c r="H143" s="728">
        <v>18765.227950498698</v>
      </c>
      <c r="I143" s="85">
        <v>21243.180056170164</v>
      </c>
      <c r="J143" s="867"/>
      <c r="K143" s="79"/>
      <c r="L143" s="79"/>
      <c r="N143" s="94"/>
      <c r="O143" s="94"/>
      <c r="P143" s="94"/>
    </row>
    <row r="144" spans="1:16" ht="14.4" x14ac:dyDescent="0.3">
      <c r="A144" s="873"/>
      <c r="B144" s="82"/>
      <c r="C144" s="106">
        <v>2010</v>
      </c>
      <c r="D144" s="107">
        <v>-4</v>
      </c>
      <c r="E144" s="108">
        <v>20052.696812766193</v>
      </c>
      <c r="F144" s="105">
        <v>20052.696812766193</v>
      </c>
      <c r="G144" s="727">
        <v>20052.696812766186</v>
      </c>
      <c r="H144" s="728">
        <v>20052.696812766186</v>
      </c>
      <c r="I144" s="85">
        <v>22569.249595463254</v>
      </c>
      <c r="J144" s="867"/>
      <c r="K144" s="79"/>
      <c r="L144" s="79"/>
      <c r="N144" s="94"/>
      <c r="O144" s="94"/>
      <c r="P144" s="94"/>
    </row>
    <row r="145" spans="1:16" ht="14.4" x14ac:dyDescent="0.3">
      <c r="A145" s="873"/>
      <c r="B145" s="82"/>
      <c r="C145" s="106">
        <v>2011</v>
      </c>
      <c r="D145" s="107">
        <v>-3</v>
      </c>
      <c r="E145" s="108">
        <v>21313.738961841209</v>
      </c>
      <c r="F145" s="105">
        <v>21313.738961841209</v>
      </c>
      <c r="G145" s="727">
        <v>21313.738961841202</v>
      </c>
      <c r="H145" s="728">
        <v>21313.738961841202</v>
      </c>
      <c r="I145" s="85">
        <v>23903.891030160554</v>
      </c>
      <c r="J145" s="869"/>
      <c r="K145" s="79"/>
      <c r="L145" s="79"/>
      <c r="N145" s="94"/>
      <c r="O145" s="94"/>
      <c r="P145" s="94"/>
    </row>
    <row r="146" spans="1:16" ht="14.4" x14ac:dyDescent="0.3">
      <c r="A146" s="874"/>
      <c r="B146" s="82"/>
      <c r="C146" s="106">
        <v>2012</v>
      </c>
      <c r="D146" s="107">
        <v>-2</v>
      </c>
      <c r="E146" s="108">
        <v>22551.669618893757</v>
      </c>
      <c r="F146" s="105">
        <v>22551.669618893757</v>
      </c>
      <c r="G146" s="730">
        <v>22551.669618893753</v>
      </c>
      <c r="H146" s="731">
        <v>22551.669618893753</v>
      </c>
      <c r="I146" s="86">
        <v>25197.396149406602</v>
      </c>
      <c r="J146" s="87" t="s">
        <v>90</v>
      </c>
      <c r="L146" s="79"/>
      <c r="N146" s="94"/>
      <c r="O146" s="643"/>
      <c r="P146" s="94"/>
    </row>
    <row r="147" spans="1:16" ht="14.4" x14ac:dyDescent="0.3">
      <c r="A147" s="82"/>
      <c r="B147" s="82"/>
      <c r="C147" s="106">
        <v>2013</v>
      </c>
      <c r="D147" s="107">
        <v>-1</v>
      </c>
      <c r="E147" s="108">
        <v>23769.804005093851</v>
      </c>
      <c r="F147" s="105">
        <v>23769.804005093851</v>
      </c>
      <c r="G147" s="730">
        <v>23769.804005093843</v>
      </c>
      <c r="H147" s="731">
        <v>23769.804005093843</v>
      </c>
      <c r="I147" s="86">
        <v>26470.676015728113</v>
      </c>
      <c r="J147" s="82"/>
      <c r="L147" s="79"/>
      <c r="N147" s="94"/>
      <c r="O147" s="643"/>
      <c r="P147" s="94"/>
    </row>
    <row r="148" spans="1:16" ht="15.75" customHeight="1" x14ac:dyDescent="0.3">
      <c r="A148" s="77" t="s">
        <v>91</v>
      </c>
      <c r="B148" s="82"/>
      <c r="C148" s="106">
        <v>2014</v>
      </c>
      <c r="D148" s="107">
        <v>0</v>
      </c>
      <c r="E148" s="108">
        <v>24971.457341611487</v>
      </c>
      <c r="F148" s="105">
        <v>24971.457341611487</v>
      </c>
      <c r="G148" s="730">
        <v>24971.457341611484</v>
      </c>
      <c r="H148" s="731">
        <v>25204.453978523827</v>
      </c>
      <c r="I148" s="86">
        <v>27959.983510218601</v>
      </c>
      <c r="J148" s="79"/>
      <c r="L148" s="79"/>
      <c r="N148" s="94"/>
      <c r="O148" s="643"/>
      <c r="P148" s="94"/>
    </row>
    <row r="149" spans="1:16" ht="15.75" customHeight="1" x14ac:dyDescent="0.3">
      <c r="A149" s="110">
        <v>2012</v>
      </c>
      <c r="B149" s="80"/>
      <c r="C149" s="106">
        <v>2015</v>
      </c>
      <c r="D149" s="107">
        <v>1</v>
      </c>
      <c r="E149" s="108">
        <v>26095.736835872289</v>
      </c>
      <c r="F149" s="105">
        <v>26095.736835872289</v>
      </c>
      <c r="G149" s="730">
        <v>26159.944849616673</v>
      </c>
      <c r="H149" s="731">
        <v>26414.688350361048</v>
      </c>
      <c r="I149" s="86">
        <v>29253.14445237325</v>
      </c>
      <c r="J149" s="79"/>
      <c r="L149" s="79"/>
      <c r="N149" s="94"/>
      <c r="O149" s="643"/>
      <c r="P149" s="94"/>
    </row>
    <row r="150" spans="1:16" ht="14.4" x14ac:dyDescent="0.3">
      <c r="A150" s="79"/>
      <c r="B150" s="80"/>
      <c r="C150" s="106">
        <v>2016</v>
      </c>
      <c r="D150" s="107">
        <v>2</v>
      </c>
      <c r="E150" s="108">
        <v>27338.581750279423</v>
      </c>
      <c r="F150" s="105">
        <v>27338.581750279423</v>
      </c>
      <c r="G150" s="730">
        <v>27338.581750279423</v>
      </c>
      <c r="H150" s="731">
        <v>27617.656633448496</v>
      </c>
      <c r="I150" s="86">
        <v>30480.801422126187</v>
      </c>
      <c r="J150" s="79"/>
      <c r="L150" s="79"/>
      <c r="N150" s="94"/>
      <c r="O150" s="643"/>
      <c r="P150" s="94"/>
    </row>
    <row r="151" spans="1:16" ht="15.75" customHeight="1" x14ac:dyDescent="0.3">
      <c r="A151" s="77" t="s">
        <v>92</v>
      </c>
      <c r="B151" s="80"/>
      <c r="C151" s="106">
        <v>2017</v>
      </c>
      <c r="D151" s="107">
        <v>3</v>
      </c>
      <c r="E151" s="108">
        <v>28510.683264769737</v>
      </c>
      <c r="F151" s="105">
        <v>28510.683264769737</v>
      </c>
      <c r="G151" s="730">
        <v>28510.683264769737</v>
      </c>
      <c r="H151" s="731">
        <v>28816.620429812738</v>
      </c>
      <c r="I151" s="86">
        <v>31732.605000435175</v>
      </c>
      <c r="J151" s="79"/>
      <c r="L151" s="79"/>
      <c r="N151" s="94"/>
      <c r="O151" s="643"/>
      <c r="P151" s="94"/>
    </row>
    <row r="152" spans="1:16" ht="15.75" customHeight="1" x14ac:dyDescent="0.3">
      <c r="A152" s="110" t="s">
        <v>80</v>
      </c>
      <c r="B152" s="80"/>
      <c r="C152" s="106">
        <v>2018</v>
      </c>
      <c r="D152" s="107">
        <v>4</v>
      </c>
      <c r="E152" s="108">
        <v>29679.564614257622</v>
      </c>
      <c r="F152" s="105">
        <v>29679.564614257622</v>
      </c>
      <c r="G152" s="730">
        <v>29679.564614257619</v>
      </c>
      <c r="H152" s="731">
        <v>30014.481981427751</v>
      </c>
      <c r="I152" s="86">
        <v>32982.582466978674</v>
      </c>
      <c r="J152" s="79"/>
      <c r="L152" s="79"/>
      <c r="N152" s="94"/>
      <c r="O152" s="643"/>
      <c r="P152" s="94"/>
    </row>
    <row r="153" spans="1:16" ht="14.4" x14ac:dyDescent="0.3">
      <c r="A153" s="79"/>
      <c r="B153" s="80"/>
      <c r="C153" s="106">
        <v>2019</v>
      </c>
      <c r="D153" s="107">
        <v>5</v>
      </c>
      <c r="E153" s="108">
        <v>30848.541019913078</v>
      </c>
      <c r="F153" s="105">
        <v>30848.541019913078</v>
      </c>
      <c r="G153" s="730">
        <v>30848.541019913078</v>
      </c>
      <c r="H153" s="731">
        <v>31213.8114691462</v>
      </c>
      <c r="I153" s="86">
        <v>34233.245025620519</v>
      </c>
      <c r="J153" s="79"/>
      <c r="L153" s="79"/>
      <c r="N153" s="94"/>
      <c r="O153" s="643"/>
      <c r="P153" s="94"/>
    </row>
    <row r="154" spans="1:16" ht="15.75" customHeight="1" x14ac:dyDescent="0.3">
      <c r="A154" s="77" t="s">
        <v>93</v>
      </c>
      <c r="B154" s="80"/>
      <c r="C154" s="106">
        <v>2020</v>
      </c>
      <c r="D154" s="107">
        <v>6</v>
      </c>
      <c r="E154" s="108">
        <v>32186.663069097769</v>
      </c>
      <c r="F154" s="105">
        <v>32186.663069097769</v>
      </c>
      <c r="G154" s="730">
        <v>32020.92770290612</v>
      </c>
      <c r="H154" s="731">
        <v>32419.90546621224</v>
      </c>
      <c r="I154" s="86">
        <v>35495.920316561693</v>
      </c>
      <c r="J154" s="643"/>
      <c r="L154" s="79"/>
      <c r="N154" s="94"/>
      <c r="O154" s="643"/>
      <c r="P154" s="94"/>
    </row>
    <row r="155" spans="1:16" ht="15.75" customHeight="1" x14ac:dyDescent="0.3">
      <c r="A155" s="77"/>
      <c r="B155" s="80"/>
      <c r="C155" s="106">
        <v>2021</v>
      </c>
      <c r="D155" s="107">
        <v>7</v>
      </c>
      <c r="E155" s="108">
        <v>33200.039884406746</v>
      </c>
      <c r="F155" s="105">
        <v>33200.039884406746</v>
      </c>
      <c r="G155" s="730">
        <v>33200.039884406746</v>
      </c>
      <c r="H155" s="731">
        <v>33609.286920944629</v>
      </c>
      <c r="I155" s="86">
        <v>36728.802179295119</v>
      </c>
      <c r="J155" s="79"/>
      <c r="L155" s="79"/>
      <c r="N155" s="94"/>
      <c r="O155" s="643"/>
      <c r="P155" s="94"/>
    </row>
    <row r="156" spans="1:16" ht="15.75" customHeight="1" x14ac:dyDescent="0.3">
      <c r="A156" s="88"/>
      <c r="B156" s="80"/>
      <c r="C156" s="106">
        <v>2022</v>
      </c>
      <c r="D156" s="107">
        <v>8</v>
      </c>
      <c r="E156" s="108">
        <v>34389.192785584964</v>
      </c>
      <c r="F156" s="105">
        <v>34389.192785584964</v>
      </c>
      <c r="G156" s="730">
        <v>34389.192785584964</v>
      </c>
      <c r="H156" s="731">
        <v>34806.213472146665</v>
      </c>
      <c r="I156" s="86">
        <v>37974.35940747225</v>
      </c>
      <c r="J156" s="79"/>
      <c r="L156" s="79"/>
      <c r="N156" s="94"/>
      <c r="O156" s="643"/>
      <c r="P156" s="94"/>
    </row>
    <row r="157" spans="1:16" ht="15.75" customHeight="1" x14ac:dyDescent="0.3">
      <c r="A157" s="110"/>
      <c r="B157" s="80"/>
      <c r="C157" s="106">
        <v>2023</v>
      </c>
      <c r="D157" s="107">
        <v>9</v>
      </c>
      <c r="E157" s="108">
        <v>35591.70162761079</v>
      </c>
      <c r="F157" s="105">
        <v>35591.70162761079</v>
      </c>
      <c r="G157" s="730">
        <v>35591.70162761079</v>
      </c>
      <c r="H157" s="731">
        <v>36013.839761432951</v>
      </c>
      <c r="I157" s="86">
        <v>39229.597621773195</v>
      </c>
      <c r="J157" s="79"/>
      <c r="L157" s="79"/>
      <c r="N157" s="94"/>
      <c r="O157" s="643"/>
      <c r="P157" s="94"/>
    </row>
    <row r="158" spans="1:16" ht="14.4" x14ac:dyDescent="0.3">
      <c r="A158" s="79"/>
      <c r="B158" s="80"/>
      <c r="C158" s="106">
        <v>2024</v>
      </c>
      <c r="D158" s="107">
        <v>10</v>
      </c>
      <c r="E158" s="108">
        <v>36810.881631654214</v>
      </c>
      <c r="F158" s="105">
        <v>36810.881631654214</v>
      </c>
      <c r="G158" s="730">
        <v>36810.881631654214</v>
      </c>
      <c r="H158" s="731">
        <v>37234.74852291368</v>
      </c>
      <c r="I158" s="86">
        <v>40497.040579319313</v>
      </c>
      <c r="J158" s="79"/>
      <c r="L158" s="79"/>
      <c r="N158" s="94"/>
      <c r="O158" s="643"/>
      <c r="P158" s="94"/>
    </row>
    <row r="159" spans="1:16" ht="15" customHeight="1" x14ac:dyDescent="0.3">
      <c r="A159" s="5" t="s">
        <v>101</v>
      </c>
      <c r="B159" s="80"/>
      <c r="C159" s="106">
        <v>2025</v>
      </c>
      <c r="D159" s="107">
        <v>11</v>
      </c>
      <c r="E159" s="108">
        <v>37931.438437867837</v>
      </c>
      <c r="F159" s="105">
        <v>37931.438437867837</v>
      </c>
      <c r="G159" s="730">
        <v>38050.048018885253</v>
      </c>
      <c r="H159" s="731">
        <v>38471.645929866507</v>
      </c>
      <c r="I159" s="86">
        <v>41772.206962740187</v>
      </c>
      <c r="J159" s="79"/>
      <c r="L159" s="79"/>
      <c r="N159" s="94"/>
      <c r="O159" s="643"/>
      <c r="P159" s="94"/>
    </row>
    <row r="160" spans="1:16" ht="14.55" customHeight="1" x14ac:dyDescent="0.3">
      <c r="A160" s="849" t="s">
        <v>102</v>
      </c>
      <c r="B160" s="80"/>
      <c r="C160" s="106">
        <v>2026</v>
      </c>
      <c r="D160" s="107">
        <v>12</v>
      </c>
      <c r="E160" s="108">
        <v>39312.516010473912</v>
      </c>
      <c r="F160" s="105">
        <v>39312.516010473912</v>
      </c>
      <c r="G160" s="730">
        <v>39312.516010473904</v>
      </c>
      <c r="H160" s="731">
        <v>39727.795627420463</v>
      </c>
      <c r="I160" s="86">
        <v>43079.686981153718</v>
      </c>
      <c r="J160" s="79"/>
      <c r="L160" s="79"/>
      <c r="N160" s="94"/>
      <c r="O160" s="643"/>
      <c r="P160" s="94"/>
    </row>
    <row r="161" spans="1:16" ht="14.4" x14ac:dyDescent="0.3">
      <c r="A161" s="849"/>
      <c r="B161" s="80"/>
      <c r="C161" s="106">
        <v>2027</v>
      </c>
      <c r="D161" s="107">
        <v>13</v>
      </c>
      <c r="E161" s="108">
        <v>40601.600827590184</v>
      </c>
      <c r="F161" s="105">
        <v>40601.600827590184</v>
      </c>
      <c r="G161" s="730">
        <v>40601.600827590184</v>
      </c>
      <c r="H161" s="731">
        <v>41006.783523047809</v>
      </c>
      <c r="I161" s="86">
        <v>44401.622024065618</v>
      </c>
      <c r="J161" s="79"/>
      <c r="L161" s="79"/>
      <c r="N161" s="94"/>
      <c r="O161" s="643"/>
      <c r="P161" s="94"/>
    </row>
    <row r="162" spans="1:16" ht="14.4" x14ac:dyDescent="0.3">
      <c r="A162" s="849"/>
      <c r="B162" s="80"/>
      <c r="C162" s="106">
        <v>2028</v>
      </c>
      <c r="D162" s="107">
        <v>14</v>
      </c>
      <c r="E162" s="108">
        <v>41920.617691404099</v>
      </c>
      <c r="F162" s="105">
        <v>41920.617691404099</v>
      </c>
      <c r="G162" s="730">
        <v>41920.617691404099</v>
      </c>
      <c r="H162" s="731">
        <v>42311.868798511001</v>
      </c>
      <c r="I162" s="86">
        <v>45748.340809908754</v>
      </c>
      <c r="J162" s="79"/>
      <c r="L162" s="79"/>
      <c r="N162" s="94"/>
      <c r="O162" s="643"/>
      <c r="P162" s="94"/>
    </row>
    <row r="163" spans="1:16" ht="14.4" x14ac:dyDescent="0.3">
      <c r="A163" s="849"/>
      <c r="B163" s="80"/>
      <c r="C163" s="106">
        <v>2029</v>
      </c>
      <c r="D163" s="107">
        <v>15</v>
      </c>
      <c r="E163" s="108">
        <v>43272.881823085634</v>
      </c>
      <c r="F163" s="105">
        <v>43272.881823085634</v>
      </c>
      <c r="G163" s="730">
        <v>43272.881823085634</v>
      </c>
      <c r="H163" s="731">
        <v>43646.326575632949</v>
      </c>
      <c r="I163" s="86">
        <v>47123.059483517201</v>
      </c>
      <c r="J163" s="79"/>
      <c r="L163" s="79"/>
      <c r="N163" s="94"/>
      <c r="O163" s="643"/>
      <c r="P163" s="94"/>
    </row>
    <row r="164" spans="1:16" ht="14.4" x14ac:dyDescent="0.3">
      <c r="A164" s="849"/>
      <c r="B164" s="80"/>
      <c r="C164" s="106">
        <v>2030</v>
      </c>
      <c r="D164" s="107">
        <v>16</v>
      </c>
      <c r="E164" s="108">
        <v>44712.206213748286</v>
      </c>
      <c r="F164" s="105">
        <v>44712.206213748286</v>
      </c>
      <c r="G164" s="730">
        <v>44661.708443804819</v>
      </c>
      <c r="H164" s="731">
        <v>45013.398279722256</v>
      </c>
      <c r="I164" s="86">
        <v>48515.119661824843</v>
      </c>
      <c r="J164" s="79"/>
      <c r="L164" s="79"/>
      <c r="N164" s="94"/>
      <c r="O164" s="643"/>
      <c r="P164" s="94"/>
    </row>
    <row r="165" spans="1:16" ht="14.4" x14ac:dyDescent="0.3">
      <c r="A165" s="849"/>
      <c r="B165" s="80"/>
      <c r="C165" s="106">
        <v>2031</v>
      </c>
      <c r="D165" s="107">
        <v>17</v>
      </c>
      <c r="E165" s="108">
        <v>46090.412774731645</v>
      </c>
      <c r="F165" s="105">
        <v>46090.412774731645</v>
      </c>
      <c r="G165" s="730">
        <v>46090.412774731645</v>
      </c>
      <c r="H165" s="731">
        <v>46416.29158154616</v>
      </c>
      <c r="I165" s="86">
        <v>49969.192532767695</v>
      </c>
      <c r="J165" s="79"/>
      <c r="L165" s="79"/>
      <c r="N165" s="94"/>
      <c r="O165" s="643"/>
      <c r="P165" s="94"/>
    </row>
    <row r="166" spans="1:16" ht="14.4" x14ac:dyDescent="0.3">
      <c r="A166" s="849"/>
      <c r="B166" s="80"/>
      <c r="C166" s="106">
        <v>2032</v>
      </c>
      <c r="D166" s="107">
        <v>18</v>
      </c>
      <c r="E166" s="108">
        <v>47562.310037036128</v>
      </c>
      <c r="F166" s="105">
        <v>47562.310037036128</v>
      </c>
      <c r="G166" s="730">
        <v>47562.310037036121</v>
      </c>
      <c r="H166" s="731">
        <v>47858.355271382119</v>
      </c>
      <c r="I166" s="86">
        <v>51447.045415476779</v>
      </c>
      <c r="J166" s="79"/>
      <c r="L166" s="79"/>
      <c r="N166" s="94"/>
      <c r="O166" s="643"/>
      <c r="P166" s="94"/>
    </row>
    <row r="167" spans="1:16" ht="14.4" x14ac:dyDescent="0.3">
      <c r="A167" s="849"/>
      <c r="B167" s="80"/>
      <c r="C167" s="106">
        <v>2033</v>
      </c>
      <c r="D167" s="107">
        <v>19</v>
      </c>
      <c r="E167" s="108">
        <v>49080.715451888267</v>
      </c>
      <c r="F167" s="105">
        <v>49080.715451888267</v>
      </c>
      <c r="G167" s="730">
        <v>49080.715451888267</v>
      </c>
      <c r="H167" s="731">
        <v>49343.29162823614</v>
      </c>
      <c r="I167" s="86">
        <v>52966.162443355133</v>
      </c>
      <c r="J167" s="79"/>
      <c r="L167" s="79"/>
      <c r="N167" s="94"/>
      <c r="O167" s="643"/>
      <c r="P167" s="94"/>
    </row>
    <row r="168" spans="1:16" ht="14.4" x14ac:dyDescent="0.3">
      <c r="A168" s="849"/>
      <c r="B168" s="80"/>
      <c r="C168" s="106">
        <v>2034</v>
      </c>
      <c r="D168" s="107">
        <v>20</v>
      </c>
      <c r="E168" s="108">
        <v>50648.944240458077</v>
      </c>
      <c r="F168" s="105">
        <v>50648.944240458077</v>
      </c>
      <c r="G168" s="730">
        <v>50648.94424045807</v>
      </c>
      <c r="H168" s="731">
        <v>50874.992872595212</v>
      </c>
      <c r="I168" s="86">
        <v>54530.376859900905</v>
      </c>
      <c r="J168" s="79"/>
      <c r="L168" s="79"/>
      <c r="N168" s="94"/>
      <c r="O168" s="643"/>
      <c r="P168" s="94"/>
    </row>
    <row r="169" spans="1:16" ht="14.4" x14ac:dyDescent="0.3">
      <c r="A169" s="849"/>
      <c r="B169" s="80"/>
      <c r="C169" s="106">
        <v>2035</v>
      </c>
      <c r="D169" s="107">
        <v>21</v>
      </c>
      <c r="E169" s="108">
        <v>52186.989511536252</v>
      </c>
      <c r="F169" s="105">
        <v>52186.989511536252</v>
      </c>
      <c r="G169" s="730">
        <v>52270.31162391555</v>
      </c>
      <c r="H169" s="731">
        <v>52457.206237839659</v>
      </c>
      <c r="I169" s="86">
        <v>56128.334846344871</v>
      </c>
      <c r="J169" s="79"/>
      <c r="L169" s="79"/>
      <c r="N169" s="94"/>
      <c r="O169" s="643"/>
      <c r="P169" s="94"/>
    </row>
    <row r="170" spans="1:16" ht="14.4" x14ac:dyDescent="0.3">
      <c r="A170" s="849"/>
      <c r="B170" s="80"/>
      <c r="C170" s="106">
        <v>2036</v>
      </c>
      <c r="D170" s="107">
        <v>22</v>
      </c>
      <c r="E170" s="108">
        <v>53948.1328234307</v>
      </c>
      <c r="F170" s="105">
        <v>53948.1328234307</v>
      </c>
      <c r="G170" s="730">
        <v>53948.1328234307</v>
      </c>
      <c r="H170" s="731">
        <v>54093.398566860713</v>
      </c>
      <c r="I170" s="86">
        <v>57808.570494071573</v>
      </c>
      <c r="J170" s="79"/>
      <c r="L170" s="79"/>
      <c r="N170" s="94"/>
      <c r="O170" s="643"/>
      <c r="P170" s="94"/>
    </row>
    <row r="171" spans="1:16" ht="14.4" x14ac:dyDescent="0.3">
      <c r="A171" s="849"/>
      <c r="B171" s="80"/>
      <c r="C171" s="106">
        <v>2037</v>
      </c>
      <c r="D171" s="107">
        <v>23</v>
      </c>
      <c r="E171" s="108">
        <v>55685.723060173528</v>
      </c>
      <c r="F171" s="105">
        <v>55685.723060173528</v>
      </c>
      <c r="G171" s="730">
        <v>55685.723060173528</v>
      </c>
      <c r="H171" s="731">
        <v>55786.719942801712</v>
      </c>
      <c r="I171" s="86">
        <v>59529.048683753375</v>
      </c>
      <c r="J171" s="79"/>
      <c r="L171" s="79"/>
      <c r="N171" s="94"/>
      <c r="O171" s="643"/>
      <c r="P171" s="94"/>
    </row>
    <row r="172" spans="1:16" ht="14.4" x14ac:dyDescent="0.3">
      <c r="A172" s="849"/>
      <c r="B172" s="80"/>
      <c r="C172" s="106">
        <v>2038</v>
      </c>
      <c r="D172" s="107">
        <v>24</v>
      </c>
      <c r="E172" s="108">
        <v>57486.397555314055</v>
      </c>
      <c r="F172" s="105">
        <v>57486.397555314055</v>
      </c>
      <c r="G172" s="730">
        <v>57486.397555314048</v>
      </c>
      <c r="H172" s="731">
        <v>57540.203765294296</v>
      </c>
      <c r="I172" s="86">
        <v>61307.78591319378</v>
      </c>
      <c r="J172" s="79"/>
      <c r="L172" s="79"/>
      <c r="N172" s="94"/>
      <c r="O172" s="643"/>
      <c r="P172" s="94"/>
    </row>
    <row r="173" spans="1:16" ht="14.4" x14ac:dyDescent="0.3">
      <c r="A173" s="849"/>
      <c r="B173" s="80"/>
      <c r="C173" s="106">
        <v>2039</v>
      </c>
      <c r="D173" s="107">
        <v>25</v>
      </c>
      <c r="E173" s="108">
        <v>59353.471530022267</v>
      </c>
      <c r="F173" s="105">
        <v>59353.471530022267</v>
      </c>
      <c r="G173" s="730">
        <v>59353.47153002226</v>
      </c>
      <c r="H173" s="731">
        <v>59356.692891807528</v>
      </c>
      <c r="I173" s="86">
        <v>63147.566062873026</v>
      </c>
      <c r="J173" s="79"/>
      <c r="L173" s="79"/>
      <c r="N173" s="94"/>
      <c r="O173" s="643"/>
      <c r="P173" s="94"/>
    </row>
    <row r="174" spans="1:16" ht="14.4" x14ac:dyDescent="0.3">
      <c r="A174" s="849"/>
      <c r="B174" s="80"/>
      <c r="C174" s="106">
        <v>2040</v>
      </c>
      <c r="D174" s="107">
        <v>26</v>
      </c>
      <c r="E174" s="108">
        <v>61285.673528876767</v>
      </c>
      <c r="F174" s="105">
        <v>61285.673528876767</v>
      </c>
      <c r="G174" s="730">
        <v>61290.260205468177</v>
      </c>
      <c r="H174" s="731">
        <v>61239.045207642426</v>
      </c>
      <c r="I174" s="86">
        <v>65048.492954543006</v>
      </c>
      <c r="J174" s="79"/>
      <c r="L174" s="79"/>
      <c r="N174" s="94"/>
      <c r="O174" s="643"/>
      <c r="P174" s="94"/>
    </row>
    <row r="175" spans="1:16" ht="14.4" x14ac:dyDescent="0.3">
      <c r="A175" s="849"/>
      <c r="B175" s="80"/>
      <c r="C175" s="106">
        <v>2041</v>
      </c>
      <c r="D175" s="107">
        <v>27</v>
      </c>
      <c r="E175" s="108">
        <v>63300.078802821801</v>
      </c>
      <c r="F175" s="105">
        <v>63300.078802821801</v>
      </c>
      <c r="G175" s="730">
        <v>63300.078802821794</v>
      </c>
      <c r="H175" s="731">
        <v>63190.313325398267</v>
      </c>
      <c r="I175" s="86">
        <v>67021.645483495027</v>
      </c>
      <c r="J175" s="79"/>
      <c r="L175" s="79"/>
      <c r="N175" s="94"/>
      <c r="O175" s="643"/>
      <c r="P175" s="94"/>
    </row>
    <row r="176" spans="1:16" ht="14.4" x14ac:dyDescent="0.3">
      <c r="A176" s="849"/>
      <c r="B176" s="80"/>
      <c r="C176" s="106">
        <v>2042</v>
      </c>
      <c r="D176" s="107">
        <v>28</v>
      </c>
      <c r="E176" s="108">
        <v>65386.242543253131</v>
      </c>
      <c r="F176" s="105">
        <v>65386.242543253131</v>
      </c>
      <c r="G176" s="730">
        <v>65386.242543253131</v>
      </c>
      <c r="H176" s="731">
        <v>65213.605767325877</v>
      </c>
      <c r="I176" s="86">
        <v>69061.987935310215</v>
      </c>
      <c r="J176" s="79"/>
      <c r="L176" s="79"/>
      <c r="N176" s="94"/>
      <c r="O176" s="643"/>
      <c r="P176" s="94"/>
    </row>
    <row r="177" spans="1:16" ht="14.4" x14ac:dyDescent="0.3">
      <c r="A177" s="849"/>
      <c r="B177" s="80"/>
      <c r="C177" s="106">
        <v>2043</v>
      </c>
      <c r="D177" s="107">
        <v>29</v>
      </c>
      <c r="E177" s="108">
        <v>67552.066647932166</v>
      </c>
      <c r="F177" s="105">
        <v>67552.066647932166</v>
      </c>
      <c r="G177" s="730">
        <v>67552.066647932181</v>
      </c>
      <c r="H177" s="731">
        <v>67311.819078884932</v>
      </c>
      <c r="I177" s="86">
        <v>71175.052965019699</v>
      </c>
      <c r="J177" s="79"/>
      <c r="L177" s="79"/>
      <c r="N177" s="94"/>
      <c r="O177" s="643"/>
      <c r="P177" s="94"/>
    </row>
    <row r="178" spans="1:16" ht="14.4" x14ac:dyDescent="0.3">
      <c r="A178" s="849"/>
      <c r="B178" s="80"/>
      <c r="C178" s="106">
        <v>2044</v>
      </c>
      <c r="D178" s="107">
        <v>30</v>
      </c>
      <c r="E178" s="108">
        <v>69800.866338028951</v>
      </c>
      <c r="F178" s="105">
        <v>69800.866338028951</v>
      </c>
      <c r="G178" s="730">
        <v>69800.866338028951</v>
      </c>
      <c r="H178" s="731">
        <v>69487.791885534345</v>
      </c>
      <c r="I178" s="86">
        <v>73363.620221093544</v>
      </c>
      <c r="J178" s="79"/>
      <c r="L178" s="79"/>
      <c r="N178" s="94"/>
      <c r="O178" s="643"/>
      <c r="P178" s="94"/>
    </row>
    <row r="179" spans="1:16" ht="14.4" x14ac:dyDescent="0.3">
      <c r="A179" s="849"/>
      <c r="B179" s="80"/>
      <c r="C179" s="106">
        <v>2045</v>
      </c>
      <c r="D179" s="107">
        <v>31</v>
      </c>
      <c r="E179" s="108">
        <v>72241.1972494082</v>
      </c>
      <c r="F179" s="105">
        <v>72241.1972494082</v>
      </c>
      <c r="G179" s="730">
        <v>72135.956834713448</v>
      </c>
      <c r="H179" s="731">
        <v>71744.324658351456</v>
      </c>
      <c r="I179" s="86">
        <v>75674.939876006232</v>
      </c>
      <c r="J179" s="79"/>
      <c r="L179" s="79"/>
      <c r="N179" s="94"/>
      <c r="O179" s="643"/>
      <c r="P179" s="94"/>
    </row>
    <row r="180" spans="1:16" ht="14.4" x14ac:dyDescent="0.3">
      <c r="A180" s="849"/>
      <c r="B180" s="80"/>
      <c r="C180" s="106">
        <v>2046</v>
      </c>
      <c r="D180" s="107">
        <v>32</v>
      </c>
      <c r="E180" s="108"/>
      <c r="F180" s="105"/>
      <c r="G180" s="730">
        <v>74560.65335915568</v>
      </c>
      <c r="H180" s="731">
        <v>74084.237114443633</v>
      </c>
      <c r="I180" s="86">
        <v>77978.246634718394</v>
      </c>
      <c r="J180" s="79"/>
      <c r="L180" s="79"/>
      <c r="N180" s="94"/>
      <c r="O180" s="643"/>
      <c r="P180" s="94"/>
    </row>
    <row r="181" spans="1:16" ht="14.4" x14ac:dyDescent="0.3">
      <c r="A181" s="849"/>
      <c r="B181" s="80"/>
      <c r="C181" s="106">
        <v>2047</v>
      </c>
      <c r="D181" s="107">
        <v>33</v>
      </c>
      <c r="E181" s="108"/>
      <c r="F181" s="105"/>
      <c r="G181" s="730">
        <v>77078.271132525668</v>
      </c>
      <c r="H181" s="731">
        <v>76510.302551353467</v>
      </c>
      <c r="I181" s="86">
        <v>80409.780852941694</v>
      </c>
      <c r="J181" s="79"/>
      <c r="L181" s="79"/>
      <c r="N181" s="94"/>
      <c r="O181" s="643"/>
      <c r="P181" s="94"/>
    </row>
    <row r="182" spans="1:16" ht="14.4" x14ac:dyDescent="0.3">
      <c r="A182" s="849"/>
      <c r="B182" s="80"/>
      <c r="C182" s="106">
        <v>2048</v>
      </c>
      <c r="D182" s="107">
        <v>34</v>
      </c>
      <c r="E182" s="108"/>
      <c r="F182" s="105"/>
      <c r="G182" s="730">
        <v>79692.12537599339</v>
      </c>
      <c r="H182" s="731">
        <v>79025.173422811422</v>
      </c>
      <c r="I182" s="86">
        <v>82927.627329031777</v>
      </c>
      <c r="J182" s="79"/>
      <c r="L182" s="79"/>
      <c r="N182" s="94"/>
      <c r="O182" s="643"/>
      <c r="P182" s="94"/>
    </row>
    <row r="183" spans="1:16" ht="14.4" x14ac:dyDescent="0.3">
      <c r="A183" s="79"/>
      <c r="B183" s="79"/>
      <c r="C183" s="106">
        <v>2049</v>
      </c>
      <c r="D183" s="107">
        <v>35</v>
      </c>
      <c r="E183" s="108"/>
      <c r="F183" s="105"/>
      <c r="G183" s="730">
        <v>82405.531310728868</v>
      </c>
      <c r="H183" s="731">
        <v>81631.42960818304</v>
      </c>
      <c r="I183" s="86">
        <v>85534.306965365366</v>
      </c>
      <c r="J183" s="79"/>
      <c r="L183" s="79"/>
      <c r="N183" s="94"/>
      <c r="O183" s="643"/>
      <c r="P183" s="94"/>
    </row>
    <row r="184" spans="1:16" ht="14.4" x14ac:dyDescent="0.3">
      <c r="A184" s="79"/>
      <c r="B184" s="79"/>
      <c r="C184" s="106">
        <v>2050</v>
      </c>
      <c r="D184" s="111">
        <v>36</v>
      </c>
      <c r="E184" s="108">
        <v>85171.056990804747</v>
      </c>
      <c r="F184" s="105">
        <v>85171.056990804747</v>
      </c>
      <c r="G184" s="740">
        <v>85221.804157902094</v>
      </c>
      <c r="H184" s="741">
        <v>84331.614307024371</v>
      </c>
      <c r="I184" s="86">
        <v>88209.250601982989</v>
      </c>
      <c r="J184" s="79"/>
      <c r="L184" s="79"/>
      <c r="N184" s="94"/>
      <c r="O184" s="643"/>
      <c r="P184" s="94"/>
    </row>
    <row r="185" spans="1:16" ht="14.4" x14ac:dyDescent="0.3">
      <c r="A185" s="79"/>
      <c r="B185" s="79"/>
      <c r="C185" s="106">
        <v>2051</v>
      </c>
      <c r="D185" s="107">
        <v>37</v>
      </c>
      <c r="E185" s="108"/>
      <c r="F185" s="105"/>
      <c r="G185" s="730">
        <v>88144.259138683105</v>
      </c>
      <c r="H185" s="731">
        <v>87128.34497924168</v>
      </c>
      <c r="I185" s="86">
        <v>91024.176869382092</v>
      </c>
      <c r="J185" s="79"/>
      <c r="L185" s="79"/>
      <c r="N185" s="94"/>
      <c r="O185" s="643"/>
      <c r="P185" s="94"/>
    </row>
    <row r="186" spans="1:16" ht="14.4" x14ac:dyDescent="0.3">
      <c r="A186" s="79"/>
      <c r="B186" s="79"/>
      <c r="C186" s="106">
        <v>2052</v>
      </c>
      <c r="D186" s="107">
        <v>38</v>
      </c>
      <c r="E186" s="108"/>
      <c r="F186" s="105"/>
      <c r="G186" s="730">
        <v>91176.211474241878</v>
      </c>
      <c r="H186" s="731">
        <v>90024.173018438145</v>
      </c>
      <c r="I186" s="86">
        <v>93912.41803659701</v>
      </c>
      <c r="J186" s="79"/>
      <c r="L186" s="79"/>
      <c r="N186" s="94"/>
      <c r="O186" s="643"/>
      <c r="P186" s="94"/>
    </row>
    <row r="187" spans="1:16" ht="14.4" x14ac:dyDescent="0.3">
      <c r="A187" s="79"/>
      <c r="B187" s="79"/>
      <c r="C187" s="106">
        <v>2053</v>
      </c>
      <c r="D187" s="107">
        <v>39</v>
      </c>
      <c r="E187" s="108"/>
      <c r="F187" s="105"/>
      <c r="G187" s="730">
        <v>94320.976385748407</v>
      </c>
      <c r="H187" s="731">
        <v>93021.449390624257</v>
      </c>
      <c r="I187" s="86">
        <v>96899.31947517606</v>
      </c>
      <c r="J187" s="79"/>
      <c r="L187" s="79"/>
      <c r="N187" s="94"/>
      <c r="O187" s="643"/>
      <c r="P187" s="94"/>
    </row>
    <row r="188" spans="1:16" ht="14.4" x14ac:dyDescent="0.3">
      <c r="A188" s="79"/>
      <c r="B188" s="79"/>
      <c r="C188" s="106">
        <v>2054</v>
      </c>
      <c r="D188" s="107">
        <v>40</v>
      </c>
      <c r="E188" s="108"/>
      <c r="F188" s="105"/>
      <c r="G188" s="730">
        <v>97581.869094372742</v>
      </c>
      <c r="H188" s="731">
        <v>96122.419336621053</v>
      </c>
      <c r="I188" s="86">
        <v>99987.067448951449</v>
      </c>
      <c r="J188" s="79"/>
      <c r="L188" s="79"/>
      <c r="N188" s="94"/>
      <c r="O188" s="643"/>
      <c r="P188" s="94"/>
    </row>
    <row r="189" spans="1:16" ht="14.4" x14ac:dyDescent="0.3">
      <c r="A189" s="79"/>
      <c r="B189" s="79"/>
      <c r="C189" s="106">
        <v>2055</v>
      </c>
      <c r="D189" s="111">
        <v>41</v>
      </c>
      <c r="E189" s="108"/>
      <c r="F189" s="105"/>
      <c r="G189" s="740">
        <v>100962.20482128487</v>
      </c>
      <c r="H189" s="741">
        <v>99329.351904894735</v>
      </c>
      <c r="I189" s="86">
        <v>103177.87202940055</v>
      </c>
      <c r="J189" s="79"/>
      <c r="L189" s="79"/>
      <c r="N189" s="94"/>
      <c r="O189" s="643"/>
      <c r="P189" s="94"/>
    </row>
    <row r="190" spans="1:16" ht="14.4" x14ac:dyDescent="0.3">
      <c r="A190" s="79"/>
      <c r="B190" s="79"/>
      <c r="C190" s="106">
        <v>2056</v>
      </c>
      <c r="D190" s="107">
        <v>42</v>
      </c>
      <c r="E190" s="108"/>
      <c r="F190" s="105"/>
      <c r="G190" s="730">
        <v>104465.29878765477</v>
      </c>
      <c r="H190" s="731">
        <v>102644.57361635608</v>
      </c>
      <c r="I190" s="86">
        <v>106474.0007604453</v>
      </c>
      <c r="J190" s="79"/>
      <c r="L190" s="79"/>
      <c r="N190" s="94"/>
      <c r="O190" s="643"/>
      <c r="P190" s="94"/>
    </row>
    <row r="191" spans="1:16" ht="14.4" x14ac:dyDescent="0.3">
      <c r="A191" s="79"/>
      <c r="B191" s="79"/>
      <c r="C191" s="106">
        <v>2057</v>
      </c>
      <c r="D191" s="107">
        <v>43</v>
      </c>
      <c r="E191" s="108"/>
      <c r="F191" s="105"/>
      <c r="G191" s="730">
        <v>108094.46621465249</v>
      </c>
      <c r="H191" s="731">
        <v>106070.51545067252</v>
      </c>
      <c r="I191" s="86">
        <v>109877.82564476429</v>
      </c>
      <c r="J191" s="79"/>
      <c r="L191" s="79"/>
      <c r="N191" s="94"/>
      <c r="O191" s="643"/>
      <c r="P191" s="94"/>
    </row>
    <row r="192" spans="1:16" ht="14.4" x14ac:dyDescent="0.3">
      <c r="A192" s="79"/>
      <c r="B192" s="79"/>
      <c r="C192" s="106">
        <v>2058</v>
      </c>
      <c r="D192" s="107">
        <v>44</v>
      </c>
      <c r="E192" s="108"/>
      <c r="F192" s="105"/>
      <c r="G192" s="730">
        <v>111853.02232344801</v>
      </c>
      <c r="H192" s="731">
        <v>109609.66636958986</v>
      </c>
      <c r="I192" s="86">
        <v>113391.77666711448</v>
      </c>
      <c r="J192" s="79"/>
      <c r="L192" s="79"/>
      <c r="N192" s="94"/>
      <c r="O192" s="643"/>
      <c r="P192" s="94"/>
    </row>
    <row r="193" spans="1:16" ht="14.4" x14ac:dyDescent="0.3">
      <c r="A193" s="79"/>
      <c r="B193" s="79"/>
      <c r="C193" s="106">
        <v>2059</v>
      </c>
      <c r="D193" s="107">
        <v>45</v>
      </c>
      <c r="E193" s="108"/>
      <c r="F193" s="105"/>
      <c r="G193" s="730">
        <v>115744.28233521133</v>
      </c>
      <c r="H193" s="731">
        <v>113264.58817998401</v>
      </c>
      <c r="I193" s="86">
        <v>117018.35665738297</v>
      </c>
      <c r="J193" s="79"/>
      <c r="L193" s="79"/>
      <c r="N193" s="94"/>
      <c r="O193" s="643"/>
      <c r="P193" s="94"/>
    </row>
    <row r="194" spans="1:16" ht="14.4" x14ac:dyDescent="0.3">
      <c r="A194" s="79"/>
      <c r="B194" s="79"/>
      <c r="C194" s="112">
        <v>2060</v>
      </c>
      <c r="D194" s="111">
        <v>46</v>
      </c>
      <c r="E194" s="108"/>
      <c r="F194" s="105"/>
      <c r="G194" s="740">
        <v>119771.56147111248</v>
      </c>
      <c r="H194" s="741">
        <v>117037.80648472867</v>
      </c>
      <c r="I194" s="86">
        <v>120760.03224145461</v>
      </c>
      <c r="J194" s="79"/>
      <c r="L194" s="79"/>
      <c r="N194" s="94"/>
      <c r="O194" s="643"/>
      <c r="P194" s="94"/>
    </row>
    <row r="195" spans="1:16" ht="14.4" x14ac:dyDescent="0.3">
      <c r="A195" s="79"/>
      <c r="B195" s="2"/>
      <c r="C195" s="2"/>
      <c r="D195" s="2"/>
      <c r="E195" s="2"/>
      <c r="F195" s="2"/>
      <c r="G195" s="2"/>
      <c r="H195" s="2"/>
      <c r="I195" s="2"/>
      <c r="J195" s="2"/>
      <c r="K195" s="2"/>
    </row>
    <row r="196" spans="1:16" ht="14.4" x14ac:dyDescent="0.3">
      <c r="A196" s="79"/>
      <c r="B196" s="2"/>
      <c r="C196" s="2"/>
      <c r="D196" s="2"/>
      <c r="E196" s="2"/>
      <c r="F196" s="2"/>
      <c r="G196" s="2"/>
      <c r="H196" s="2"/>
      <c r="I196" s="2"/>
      <c r="J196" s="2"/>
      <c r="K196" s="2"/>
    </row>
    <row r="197" spans="1:16" ht="14.4" x14ac:dyDescent="0.3">
      <c r="A197" s="79"/>
      <c r="B197" s="2"/>
      <c r="C197" s="2"/>
      <c r="D197" s="2"/>
      <c r="E197" s="2"/>
      <c r="F197" s="2"/>
      <c r="G197" s="2"/>
      <c r="H197" s="2"/>
      <c r="I197" s="2"/>
      <c r="J197" s="2"/>
      <c r="K197" s="2"/>
    </row>
    <row r="198" spans="1:16" ht="14.4" x14ac:dyDescent="0.3">
      <c r="A198" s="79"/>
      <c r="B198" s="2"/>
      <c r="C198" s="2"/>
      <c r="D198" s="2"/>
      <c r="E198" s="2"/>
      <c r="F198" s="2"/>
      <c r="G198" s="2"/>
      <c r="H198" s="2"/>
      <c r="I198" s="2"/>
      <c r="J198" s="2"/>
      <c r="K198" s="2"/>
    </row>
    <row r="199" spans="1:16" ht="14.4" x14ac:dyDescent="0.3">
      <c r="A199" s="2"/>
      <c r="B199" s="2"/>
      <c r="C199" s="2"/>
      <c r="D199" s="2"/>
      <c r="E199" s="2"/>
      <c r="F199" s="2"/>
      <c r="G199" s="2"/>
      <c r="H199" s="2"/>
      <c r="I199" s="2"/>
      <c r="J199" s="2"/>
      <c r="K199" s="2"/>
    </row>
    <row r="200" spans="1:16" ht="15.75" customHeight="1" x14ac:dyDescent="0.3">
      <c r="A200" s="71">
        <v>4</v>
      </c>
      <c r="B200" s="72" t="s">
        <v>103</v>
      </c>
      <c r="C200" s="73"/>
      <c r="D200" s="73"/>
      <c r="E200" s="73"/>
      <c r="F200" s="73"/>
      <c r="G200" s="73"/>
      <c r="H200" s="73"/>
      <c r="I200" s="73"/>
      <c r="J200" s="73"/>
      <c r="K200" s="73"/>
    </row>
    <row r="201" spans="1:16" ht="15.75" customHeight="1" x14ac:dyDescent="0.3">
      <c r="A201" s="74" t="s">
        <v>74</v>
      </c>
      <c r="B201" s="75"/>
      <c r="C201" s="75"/>
      <c r="D201" s="76"/>
      <c r="E201" s="77"/>
      <c r="F201" s="862"/>
      <c r="G201" s="77"/>
      <c r="H201" s="78"/>
      <c r="I201" s="79"/>
      <c r="J201" s="79"/>
      <c r="K201" s="79"/>
      <c r="L201" s="99"/>
      <c r="M201" s="99"/>
    </row>
    <row r="202" spans="1:16" ht="16.5" customHeight="1" thickBot="1" x14ac:dyDescent="0.35">
      <c r="A202" s="110" t="s">
        <v>75</v>
      </c>
      <c r="B202" s="80"/>
      <c r="C202" s="80"/>
      <c r="D202" s="81"/>
      <c r="E202" s="109" t="s">
        <v>78</v>
      </c>
      <c r="F202" s="863"/>
      <c r="G202" s="746" t="s">
        <v>110</v>
      </c>
      <c r="H202" s="711"/>
      <c r="I202" s="78"/>
      <c r="J202" s="79"/>
      <c r="K202" s="79"/>
      <c r="L202" s="79"/>
      <c r="M202" s="99"/>
    </row>
    <row r="203" spans="1:16" ht="51.75" customHeight="1" thickBot="1" x14ac:dyDescent="0.35">
      <c r="A203" s="82"/>
      <c r="B203" s="82"/>
      <c r="C203" s="82"/>
      <c r="D203" s="83"/>
      <c r="E203" s="101" t="s">
        <v>80</v>
      </c>
      <c r="F203" s="101" t="s">
        <v>80</v>
      </c>
      <c r="G203" s="746" t="s">
        <v>81</v>
      </c>
      <c r="H203" s="747" t="s">
        <v>82</v>
      </c>
      <c r="I203" s="101" t="s">
        <v>104</v>
      </c>
      <c r="J203" s="101" t="s">
        <v>83</v>
      </c>
      <c r="K203" s="865" t="s">
        <v>84</v>
      </c>
      <c r="L203" s="866"/>
      <c r="M203" s="99"/>
      <c r="N203" s="91"/>
    </row>
    <row r="204" spans="1:16" ht="15.75" customHeight="1" x14ac:dyDescent="0.3">
      <c r="A204" s="74" t="s">
        <v>85</v>
      </c>
      <c r="B204" s="82"/>
      <c r="C204" s="102">
        <v>2005</v>
      </c>
      <c r="D204" s="103">
        <v>-9</v>
      </c>
      <c r="E204" s="104"/>
      <c r="F204" s="105"/>
      <c r="G204" s="722">
        <v>18681.883314078739</v>
      </c>
      <c r="H204" s="723">
        <v>18681.883314078739</v>
      </c>
      <c r="I204" s="84">
        <v>19459.724292546376</v>
      </c>
      <c r="J204" s="871" t="s">
        <v>86</v>
      </c>
      <c r="K204" s="867"/>
      <c r="L204" s="868"/>
      <c r="M204" s="99"/>
      <c r="N204" s="91"/>
      <c r="O204" s="94"/>
    </row>
    <row r="205" spans="1:16" ht="15.75" customHeight="1" x14ac:dyDescent="0.3">
      <c r="A205" s="110" t="s">
        <v>87</v>
      </c>
      <c r="B205" s="82"/>
      <c r="C205" s="106">
        <v>2006</v>
      </c>
      <c r="D205" s="107">
        <v>-8</v>
      </c>
      <c r="E205" s="108"/>
      <c r="F205" s="105"/>
      <c r="G205" s="727">
        <v>19592.855988744283</v>
      </c>
      <c r="H205" s="728">
        <v>19592.855988744283</v>
      </c>
      <c r="I205" s="85">
        <v>20623.921892522842</v>
      </c>
      <c r="J205" s="867"/>
      <c r="K205" s="867"/>
      <c r="L205" s="868"/>
      <c r="M205" s="99"/>
      <c r="N205" s="91"/>
      <c r="O205" s="94"/>
    </row>
    <row r="206" spans="1:16" ht="14.4" x14ac:dyDescent="0.3">
      <c r="A206" s="82"/>
      <c r="B206" s="82"/>
      <c r="C206" s="106">
        <v>2007</v>
      </c>
      <c r="D206" s="107">
        <v>-7</v>
      </c>
      <c r="E206" s="108"/>
      <c r="F206" s="105"/>
      <c r="G206" s="727">
        <v>20475.896855765401</v>
      </c>
      <c r="H206" s="728">
        <v>20475.896855765401</v>
      </c>
      <c r="I206" s="85">
        <v>21757.664564994328</v>
      </c>
      <c r="J206" s="867"/>
      <c r="K206" s="867"/>
      <c r="L206" s="868"/>
      <c r="M206" s="99"/>
      <c r="N206" s="91"/>
      <c r="O206" s="94"/>
    </row>
    <row r="207" spans="1:16" ht="15.75" customHeight="1" x14ac:dyDescent="0.3">
      <c r="A207" s="29" t="s">
        <v>88</v>
      </c>
      <c r="B207" s="82"/>
      <c r="C207" s="106">
        <v>2008</v>
      </c>
      <c r="D207" s="107">
        <v>-6</v>
      </c>
      <c r="E207" s="108"/>
      <c r="F207" s="105"/>
      <c r="G207" s="727">
        <v>21331.898823226486</v>
      </c>
      <c r="H207" s="728">
        <v>21331.898823226486</v>
      </c>
      <c r="I207" s="85">
        <v>22861.84521804523</v>
      </c>
      <c r="J207" s="867"/>
      <c r="K207" s="869"/>
      <c r="L207" s="870"/>
      <c r="M207" s="99"/>
      <c r="N207" s="91"/>
      <c r="O207" s="94"/>
    </row>
    <row r="208" spans="1:16" ht="14.4" x14ac:dyDescent="0.3">
      <c r="A208" s="872" t="s">
        <v>105</v>
      </c>
      <c r="B208" s="82"/>
      <c r="C208" s="106">
        <v>2009</v>
      </c>
      <c r="D208" s="107">
        <v>-5</v>
      </c>
      <c r="E208" s="108"/>
      <c r="F208" s="105"/>
      <c r="G208" s="727">
        <v>22161.754799211914</v>
      </c>
      <c r="H208" s="728">
        <v>22161.754799211914</v>
      </c>
      <c r="I208" s="85">
        <v>23937.356759759918</v>
      </c>
      <c r="J208" s="867"/>
      <c r="K208" s="79"/>
      <c r="L208" s="79"/>
      <c r="M208" s="99"/>
      <c r="N208" s="91"/>
      <c r="O208" s="94"/>
    </row>
    <row r="209" spans="1:15" ht="14.4" x14ac:dyDescent="0.3">
      <c r="A209" s="873"/>
      <c r="B209" s="82"/>
      <c r="C209" s="106">
        <v>2010</v>
      </c>
      <c r="D209" s="107">
        <v>-4</v>
      </c>
      <c r="E209" s="108"/>
      <c r="F209" s="105"/>
      <c r="G209" s="727">
        <v>22966.357691806075</v>
      </c>
      <c r="H209" s="728">
        <v>22966.357691806075</v>
      </c>
      <c r="I209" s="85">
        <v>25430.486743219048</v>
      </c>
      <c r="J209" s="867"/>
      <c r="K209" s="79"/>
      <c r="L209" s="79"/>
      <c r="M209" s="99"/>
      <c r="N209" s="91"/>
      <c r="O209" s="94"/>
    </row>
    <row r="210" spans="1:15" ht="14.4" x14ac:dyDescent="0.3">
      <c r="A210" s="873"/>
      <c r="B210" s="82"/>
      <c r="C210" s="106">
        <v>2011</v>
      </c>
      <c r="D210" s="107">
        <v>-3</v>
      </c>
      <c r="E210" s="108"/>
      <c r="F210" s="105"/>
      <c r="G210" s="727">
        <v>23746.600409093353</v>
      </c>
      <c r="H210" s="728">
        <v>23746.600409093353</v>
      </c>
      <c r="I210" s="85">
        <v>26005.944141518219</v>
      </c>
      <c r="J210" s="869"/>
      <c r="K210" s="79"/>
      <c r="L210" s="79"/>
      <c r="M210" s="99"/>
      <c r="N210" s="91"/>
      <c r="O210" s="94"/>
    </row>
    <row r="211" spans="1:15" ht="14.4" x14ac:dyDescent="0.3">
      <c r="A211" s="874"/>
      <c r="B211" s="82"/>
      <c r="C211" s="106">
        <v>2012</v>
      </c>
      <c r="D211" s="107">
        <v>-2</v>
      </c>
      <c r="E211" s="108"/>
      <c r="F211" s="105"/>
      <c r="G211" s="730">
        <v>24503.375859158132</v>
      </c>
      <c r="H211" s="731">
        <v>24503.375859158132</v>
      </c>
      <c r="I211" s="86">
        <v>27000.805797730598</v>
      </c>
      <c r="J211" s="87" t="s">
        <v>90</v>
      </c>
      <c r="L211" s="79"/>
      <c r="M211" s="99"/>
      <c r="N211" s="91"/>
      <c r="O211" s="643"/>
    </row>
    <row r="212" spans="1:15" ht="14.4" x14ac:dyDescent="0.3">
      <c r="A212" s="82"/>
      <c r="B212" s="82"/>
      <c r="C212" s="106">
        <v>2013</v>
      </c>
      <c r="D212" s="107">
        <v>-1</v>
      </c>
      <c r="E212" s="108">
        <v>25283.631322570884</v>
      </c>
      <c r="F212" s="105">
        <v>25283.631322570884</v>
      </c>
      <c r="G212" s="730">
        <v>25237.5769500848</v>
      </c>
      <c r="H212" s="731">
        <v>25237.5769500848</v>
      </c>
      <c r="I212" s="86">
        <v>27970.569974944316</v>
      </c>
      <c r="J212" s="82"/>
      <c r="L212" s="79"/>
      <c r="M212" s="99"/>
      <c r="N212" s="91"/>
      <c r="O212" s="643"/>
    </row>
    <row r="213" spans="1:15" ht="15.75" customHeight="1" x14ac:dyDescent="0.3">
      <c r="A213" s="77" t="s">
        <v>91</v>
      </c>
      <c r="B213" s="82"/>
      <c r="C213" s="106">
        <v>2014</v>
      </c>
      <c r="D213" s="107">
        <v>0</v>
      </c>
      <c r="E213" s="108"/>
      <c r="F213" s="105"/>
      <c r="G213" s="730">
        <v>25950.096589957735</v>
      </c>
      <c r="H213" s="731">
        <v>26112.797302315405</v>
      </c>
      <c r="I213" s="86">
        <v>29078.830293601412</v>
      </c>
      <c r="J213" s="79"/>
      <c r="L213" s="79"/>
      <c r="M213" s="99"/>
      <c r="N213" s="91"/>
      <c r="O213" s="643"/>
    </row>
    <row r="214" spans="1:15" ht="15.75" customHeight="1" x14ac:dyDescent="0.3">
      <c r="A214" s="110">
        <v>2016</v>
      </c>
      <c r="B214" s="80"/>
      <c r="C214" s="106">
        <v>2015</v>
      </c>
      <c r="D214" s="107">
        <v>1</v>
      </c>
      <c r="E214" s="108"/>
      <c r="F214" s="105"/>
      <c r="G214" s="730">
        <v>26641.827686861328</v>
      </c>
      <c r="H214" s="731">
        <v>26810.940391647615</v>
      </c>
      <c r="I214" s="86">
        <v>29661.622751135215</v>
      </c>
      <c r="J214" s="79"/>
      <c r="L214" s="79"/>
      <c r="M214" s="99"/>
      <c r="N214" s="91"/>
      <c r="O214" s="643"/>
    </row>
    <row r="215" spans="1:15" ht="14.4" x14ac:dyDescent="0.3">
      <c r="A215" s="79"/>
      <c r="B215" s="80"/>
      <c r="C215" s="106">
        <v>2016</v>
      </c>
      <c r="D215" s="107">
        <v>2</v>
      </c>
      <c r="E215" s="108"/>
      <c r="F215" s="105"/>
      <c r="G215" s="730">
        <v>27313.663148879961</v>
      </c>
      <c r="H215" s="731">
        <v>27489.797313616869</v>
      </c>
      <c r="I215" s="86">
        <v>30914.340878174204</v>
      </c>
      <c r="J215" s="79"/>
      <c r="L215" s="79"/>
      <c r="M215" s="99"/>
      <c r="N215" s="91"/>
      <c r="O215" s="643"/>
    </row>
    <row r="216" spans="1:15" ht="15.75" customHeight="1" x14ac:dyDescent="0.3">
      <c r="A216" s="77" t="s">
        <v>92</v>
      </c>
      <c r="B216" s="80"/>
      <c r="C216" s="106">
        <v>2017</v>
      </c>
      <c r="D216" s="107">
        <v>3</v>
      </c>
      <c r="E216" s="108"/>
      <c r="F216" s="105"/>
      <c r="G216" s="730">
        <v>27966.495884098018</v>
      </c>
      <c r="H216" s="731">
        <v>28150.291758043357</v>
      </c>
      <c r="I216" s="86">
        <v>31800.305929445523</v>
      </c>
      <c r="J216" s="79"/>
      <c r="L216" s="79"/>
      <c r="M216" s="99"/>
      <c r="N216" s="91"/>
      <c r="O216" s="643"/>
    </row>
    <row r="217" spans="1:15" ht="15.75" customHeight="1" x14ac:dyDescent="0.3">
      <c r="A217" s="110" t="s">
        <v>80</v>
      </c>
      <c r="B217" s="80"/>
      <c r="C217" s="106">
        <v>2018</v>
      </c>
      <c r="D217" s="107">
        <v>4</v>
      </c>
      <c r="E217" s="108"/>
      <c r="F217" s="105"/>
      <c r="G217" s="730">
        <v>28601.218800599887</v>
      </c>
      <c r="H217" s="731">
        <v>28793.126448565963</v>
      </c>
      <c r="I217" s="86">
        <v>32666.088106952408</v>
      </c>
      <c r="J217" s="79"/>
      <c r="L217" s="79"/>
      <c r="M217" s="99"/>
      <c r="N217" s="91"/>
      <c r="O217" s="643"/>
    </row>
    <row r="218" spans="1:15" ht="14.4" x14ac:dyDescent="0.3">
      <c r="A218" s="79"/>
      <c r="B218" s="80"/>
      <c r="C218" s="106">
        <v>2019</v>
      </c>
      <c r="D218" s="107">
        <v>5</v>
      </c>
      <c r="E218" s="108"/>
      <c r="F218" s="105"/>
      <c r="G218" s="730">
        <v>29218.724806469952</v>
      </c>
      <c r="H218" s="731">
        <v>29418.880177245766</v>
      </c>
      <c r="I218" s="86">
        <v>33512.266202755935</v>
      </c>
      <c r="J218" s="79"/>
      <c r="L218" s="79"/>
      <c r="M218" s="99"/>
      <c r="N218" s="91"/>
      <c r="O218" s="643"/>
    </row>
    <row r="219" spans="1:15" ht="15.75" customHeight="1" x14ac:dyDescent="0.3">
      <c r="A219" s="77" t="s">
        <v>93</v>
      </c>
      <c r="B219" s="80"/>
      <c r="C219" s="106">
        <v>2020</v>
      </c>
      <c r="D219" s="107">
        <v>6</v>
      </c>
      <c r="E219" s="108">
        <v>29672.01594376058</v>
      </c>
      <c r="F219" s="105">
        <v>29672.01594376058</v>
      </c>
      <c r="G219" s="730">
        <v>29819.906809792596</v>
      </c>
      <c r="H219" s="731">
        <v>30030.597058656585</v>
      </c>
      <c r="I219" s="86">
        <v>33885.716530960221</v>
      </c>
      <c r="J219" s="79"/>
      <c r="L219" s="79"/>
      <c r="M219" s="99"/>
      <c r="N219" s="91"/>
      <c r="O219" s="643"/>
    </row>
    <row r="220" spans="1:15" ht="15.75" customHeight="1" x14ac:dyDescent="0.3">
      <c r="A220" s="77"/>
      <c r="B220" s="80"/>
      <c r="C220" s="106">
        <v>2021</v>
      </c>
      <c r="D220" s="107">
        <v>7</v>
      </c>
      <c r="E220" s="108"/>
      <c r="F220" s="105"/>
      <c r="G220" s="730">
        <v>30405.657718652204</v>
      </c>
      <c r="H220" s="731">
        <v>30604.755684701737</v>
      </c>
      <c r="I220" s="86">
        <v>35131.4210848777</v>
      </c>
      <c r="J220" s="79"/>
      <c r="L220" s="79"/>
      <c r="M220" s="99"/>
      <c r="N220" s="91"/>
      <c r="O220" s="643"/>
    </row>
    <row r="221" spans="1:15" ht="15.75" customHeight="1" x14ac:dyDescent="0.3">
      <c r="A221" s="88"/>
      <c r="B221" s="80"/>
      <c r="C221" s="106">
        <v>2022</v>
      </c>
      <c r="D221" s="107">
        <v>8</v>
      </c>
      <c r="E221" s="108"/>
      <c r="F221" s="105"/>
      <c r="G221" s="730">
        <v>30976.870441133164</v>
      </c>
      <c r="H221" s="731">
        <v>31162.017953766819</v>
      </c>
      <c r="I221" s="86">
        <v>35901.53836148484</v>
      </c>
      <c r="J221" s="79"/>
      <c r="L221" s="79"/>
      <c r="M221" s="99"/>
      <c r="N221" s="91"/>
      <c r="O221" s="643"/>
    </row>
    <row r="222" spans="1:15" ht="15.75" customHeight="1" x14ac:dyDescent="0.3">
      <c r="A222" s="110"/>
      <c r="B222" s="80"/>
      <c r="C222" s="106">
        <v>2023</v>
      </c>
      <c r="D222" s="107">
        <v>9</v>
      </c>
      <c r="E222" s="108"/>
      <c r="F222" s="105"/>
      <c r="G222" s="730">
        <v>31534.437885319854</v>
      </c>
      <c r="H222" s="731">
        <v>31703.167705391923</v>
      </c>
      <c r="I222" s="86">
        <v>36653.020000791461</v>
      </c>
      <c r="J222" s="79"/>
      <c r="L222" s="79"/>
      <c r="M222" s="99"/>
      <c r="N222" s="91"/>
      <c r="O222" s="643"/>
    </row>
    <row r="223" spans="1:15" ht="14.4" x14ac:dyDescent="0.3">
      <c r="A223" s="79"/>
      <c r="B223" s="80"/>
      <c r="C223" s="106">
        <v>2024</v>
      </c>
      <c r="D223" s="107">
        <v>10</v>
      </c>
      <c r="E223" s="108"/>
      <c r="F223" s="105"/>
      <c r="G223" s="730">
        <v>32079.252959296668</v>
      </c>
      <c r="H223" s="731">
        <v>32228.424062986462</v>
      </c>
      <c r="I223" s="86">
        <v>37386.085126206948</v>
      </c>
      <c r="J223" s="79"/>
      <c r="L223" s="79"/>
      <c r="M223" s="99"/>
      <c r="N223" s="91"/>
      <c r="O223" s="643"/>
    </row>
    <row r="224" spans="1:15" ht="14.4" x14ac:dyDescent="0.3">
      <c r="A224" s="5" t="s">
        <v>101</v>
      </c>
      <c r="B224" s="80"/>
      <c r="C224" s="106">
        <v>2025</v>
      </c>
      <c r="D224" s="107">
        <v>11</v>
      </c>
      <c r="E224" s="108">
        <v>32683.202439580098</v>
      </c>
      <c r="F224" s="105">
        <v>32683.202439580098</v>
      </c>
      <c r="G224" s="730">
        <v>32612.208571147985</v>
      </c>
      <c r="H224" s="731">
        <v>32738.180881816297</v>
      </c>
      <c r="I224" s="86">
        <v>38090.725066282219</v>
      </c>
      <c r="J224" s="79"/>
      <c r="L224" s="79"/>
      <c r="M224" s="99"/>
      <c r="N224" s="91"/>
      <c r="O224" s="643"/>
    </row>
    <row r="225" spans="1:15" ht="15" customHeight="1" x14ac:dyDescent="0.3">
      <c r="A225" s="849" t="s">
        <v>102</v>
      </c>
      <c r="B225" s="80"/>
      <c r="C225" s="106">
        <v>2026</v>
      </c>
      <c r="D225" s="107">
        <v>12</v>
      </c>
      <c r="E225" s="108"/>
      <c r="F225" s="105"/>
      <c r="G225" s="730">
        <v>33134.197628958187</v>
      </c>
      <c r="H225" s="731">
        <v>33233.437006394619</v>
      </c>
      <c r="I225" s="86">
        <v>38799.146245675365</v>
      </c>
      <c r="J225" s="79"/>
      <c r="L225" s="79"/>
      <c r="M225" s="99"/>
      <c r="N225" s="91"/>
      <c r="O225" s="643"/>
    </row>
    <row r="226" spans="1:15" ht="14.4" x14ac:dyDescent="0.3">
      <c r="A226" s="849"/>
      <c r="B226" s="80"/>
      <c r="C226" s="106">
        <v>2027</v>
      </c>
      <c r="D226" s="107">
        <v>13</v>
      </c>
      <c r="E226" s="108"/>
      <c r="F226" s="105"/>
      <c r="G226" s="730">
        <v>33646.113040811673</v>
      </c>
      <c r="H226" s="731">
        <v>33715.494480191446</v>
      </c>
      <c r="I226" s="86">
        <v>39481.443127711485</v>
      </c>
      <c r="J226" s="79"/>
      <c r="L226" s="79"/>
      <c r="M226" s="99"/>
      <c r="N226" s="91"/>
      <c r="O226" s="643"/>
    </row>
    <row r="227" spans="1:15" ht="14.4" x14ac:dyDescent="0.3">
      <c r="A227" s="849"/>
      <c r="B227" s="80"/>
      <c r="C227" s="106">
        <v>2028</v>
      </c>
      <c r="D227" s="107">
        <v>14</v>
      </c>
      <c r="E227" s="108"/>
      <c r="F227" s="105"/>
      <c r="G227" s="730">
        <v>34148.847714792806</v>
      </c>
      <c r="H227" s="731">
        <v>34185.302254078997</v>
      </c>
      <c r="I227" s="86">
        <v>40148.967189977782</v>
      </c>
      <c r="J227" s="79"/>
      <c r="L227" s="79"/>
      <c r="M227" s="99"/>
      <c r="N227" s="91"/>
      <c r="O227" s="643"/>
    </row>
    <row r="228" spans="1:15" ht="14.4" x14ac:dyDescent="0.3">
      <c r="A228" s="849"/>
      <c r="B228" s="80"/>
      <c r="C228" s="106">
        <v>2029</v>
      </c>
      <c r="D228" s="107">
        <v>15</v>
      </c>
      <c r="E228" s="108"/>
      <c r="F228" s="105"/>
      <c r="G228" s="730">
        <v>34643.294558985988</v>
      </c>
      <c r="H228" s="731">
        <v>34643.816102063269</v>
      </c>
      <c r="I228" s="86">
        <v>40802.674206480246</v>
      </c>
      <c r="J228" s="79"/>
      <c r="L228" s="79"/>
      <c r="M228" s="99"/>
      <c r="N228" s="91"/>
      <c r="O228" s="643"/>
    </row>
    <row r="229" spans="1:15" ht="14.4" x14ac:dyDescent="0.3">
      <c r="A229" s="849"/>
      <c r="B229" s="80"/>
      <c r="C229" s="106">
        <v>2030</v>
      </c>
      <c r="D229" s="107">
        <v>16</v>
      </c>
      <c r="E229" s="108">
        <v>35192.440485364692</v>
      </c>
      <c r="F229" s="105">
        <v>35192.440485364692</v>
      </c>
      <c r="G229" s="730">
        <v>35130.346481475601</v>
      </c>
      <c r="H229" s="731">
        <v>35091.971055653885</v>
      </c>
      <c r="I229" s="86">
        <v>41586.311439918587</v>
      </c>
      <c r="J229" s="79"/>
      <c r="L229" s="79"/>
      <c r="M229" s="99"/>
      <c r="N229" s="91"/>
      <c r="O229" s="643"/>
    </row>
    <row r="230" spans="1:15" ht="14.4" x14ac:dyDescent="0.3">
      <c r="A230" s="849"/>
      <c r="B230" s="80"/>
      <c r="C230" s="106">
        <v>2031</v>
      </c>
      <c r="D230" s="107">
        <v>17</v>
      </c>
      <c r="E230" s="108"/>
      <c r="F230" s="105"/>
      <c r="G230" s="730">
        <v>35610.896390346024</v>
      </c>
      <c r="H230" s="731">
        <v>35530.703671544776</v>
      </c>
      <c r="I230" s="86">
        <v>42072.378753416466</v>
      </c>
      <c r="J230" s="79"/>
      <c r="L230" s="79"/>
      <c r="M230" s="99"/>
      <c r="N230" s="91"/>
      <c r="O230" s="643"/>
    </row>
    <row r="231" spans="1:15" ht="14.4" x14ac:dyDescent="0.3">
      <c r="A231" s="849"/>
      <c r="B231" s="80"/>
      <c r="C231" s="106">
        <v>2032</v>
      </c>
      <c r="D231" s="107">
        <v>18</v>
      </c>
      <c r="E231" s="108"/>
      <c r="F231" s="105"/>
      <c r="G231" s="730">
        <v>36085.837193681647</v>
      </c>
      <c r="H231" s="731">
        <v>35961.056355974135</v>
      </c>
      <c r="I231" s="86">
        <v>42690.355246782354</v>
      </c>
      <c r="J231" s="79"/>
      <c r="L231" s="79"/>
      <c r="M231" s="99"/>
      <c r="N231" s="91"/>
      <c r="O231" s="643"/>
    </row>
    <row r="232" spans="1:15" ht="14.4" x14ac:dyDescent="0.3">
      <c r="A232" s="849"/>
      <c r="B232" s="80"/>
      <c r="C232" s="106">
        <v>2033</v>
      </c>
      <c r="D232" s="107">
        <v>19</v>
      </c>
      <c r="E232" s="108"/>
      <c r="F232" s="105"/>
      <c r="G232" s="730">
        <v>36556.061799566851</v>
      </c>
      <c r="H232" s="731">
        <v>36384.298902942021</v>
      </c>
      <c r="I232" s="86">
        <v>43298.698482826214</v>
      </c>
      <c r="J232" s="79"/>
      <c r="L232" s="79"/>
      <c r="M232" s="99"/>
      <c r="N232" s="91"/>
      <c r="O232" s="643"/>
    </row>
    <row r="233" spans="1:15" ht="14.4" x14ac:dyDescent="0.3">
      <c r="A233" s="849"/>
      <c r="B233" s="80"/>
      <c r="C233" s="106">
        <v>2034</v>
      </c>
      <c r="D233" s="107">
        <v>20</v>
      </c>
      <c r="E233" s="108"/>
      <c r="F233" s="105"/>
      <c r="G233" s="730">
        <v>37022.463116086023</v>
      </c>
      <c r="H233" s="731">
        <v>36801.805106680506</v>
      </c>
      <c r="I233" s="86">
        <v>43898.782255780119</v>
      </c>
      <c r="J233" s="79"/>
      <c r="L233" s="79"/>
      <c r="M233" s="99"/>
      <c r="N233" s="91"/>
      <c r="O233" s="643"/>
    </row>
    <row r="234" spans="1:15" ht="14.4" x14ac:dyDescent="0.3">
      <c r="A234" s="849"/>
      <c r="B234" s="80"/>
      <c r="C234" s="106">
        <v>2035</v>
      </c>
      <c r="D234" s="107">
        <v>21</v>
      </c>
      <c r="E234" s="108">
        <v>37522.415099239355</v>
      </c>
      <c r="F234" s="105">
        <v>37522.415099239355</v>
      </c>
      <c r="G234" s="730">
        <v>37485.934051323551</v>
      </c>
      <c r="H234" s="731">
        <v>37214.82522867473</v>
      </c>
      <c r="I234" s="86">
        <v>44726.183434506544</v>
      </c>
      <c r="J234" s="79"/>
      <c r="L234" s="79"/>
      <c r="M234" s="99"/>
      <c r="N234" s="91"/>
      <c r="O234" s="643"/>
    </row>
    <row r="235" spans="1:15" ht="14.4" x14ac:dyDescent="0.3">
      <c r="A235" s="849"/>
      <c r="B235" s="80"/>
      <c r="C235" s="106">
        <v>2036</v>
      </c>
      <c r="D235" s="107">
        <v>22</v>
      </c>
      <c r="E235" s="108"/>
      <c r="F235" s="105"/>
      <c r="G235" s="730">
        <v>37947.367513363817</v>
      </c>
      <c r="H235" s="731">
        <v>37624.431440215587</v>
      </c>
      <c r="I235" s="86">
        <v>45078.994368164385</v>
      </c>
      <c r="J235" s="79"/>
      <c r="L235" s="79"/>
      <c r="M235" s="99"/>
      <c r="N235" s="91"/>
      <c r="O235" s="643"/>
    </row>
    <row r="236" spans="1:15" ht="14.4" x14ac:dyDescent="0.3">
      <c r="A236" s="849"/>
      <c r="B236" s="80"/>
      <c r="C236" s="106">
        <v>2037</v>
      </c>
      <c r="D236" s="107">
        <v>23</v>
      </c>
      <c r="E236" s="108"/>
      <c r="F236" s="105"/>
      <c r="G236" s="730">
        <v>38407.656410291194</v>
      </c>
      <c r="H236" s="731">
        <v>38031.472555021908</v>
      </c>
      <c r="I236" s="86">
        <v>45661.043692604464</v>
      </c>
      <c r="J236" s="79"/>
      <c r="L236" s="79"/>
      <c r="M236" s="99"/>
      <c r="N236" s="91"/>
      <c r="O236" s="643"/>
    </row>
    <row r="237" spans="1:15" ht="14.4" x14ac:dyDescent="0.3">
      <c r="A237" s="849"/>
      <c r="B237" s="80"/>
      <c r="C237" s="106">
        <v>2038</v>
      </c>
      <c r="D237" s="107">
        <v>24</v>
      </c>
      <c r="E237" s="108"/>
      <c r="F237" s="105"/>
      <c r="G237" s="730">
        <v>38867.693650190093</v>
      </c>
      <c r="H237" s="731">
        <v>38436.689565353852</v>
      </c>
      <c r="I237" s="86">
        <v>46238.745792709618</v>
      </c>
      <c r="J237" s="79"/>
      <c r="L237" s="79"/>
      <c r="M237" s="99"/>
      <c r="N237" s="91"/>
      <c r="O237" s="643"/>
    </row>
    <row r="238" spans="1:15" ht="14.4" x14ac:dyDescent="0.3">
      <c r="A238" s="849"/>
      <c r="B238" s="80"/>
      <c r="C238" s="106">
        <v>2039</v>
      </c>
      <c r="D238" s="107">
        <v>25</v>
      </c>
      <c r="E238" s="108"/>
      <c r="F238" s="105"/>
      <c r="G238" s="730">
        <v>39328.372141144879</v>
      </c>
      <c r="H238" s="731">
        <v>38840.705086976777</v>
      </c>
      <c r="I238" s="86">
        <v>46812.723284245192</v>
      </c>
      <c r="J238" s="79"/>
      <c r="L238" s="79"/>
      <c r="M238" s="99"/>
      <c r="N238" s="91"/>
      <c r="O238" s="643"/>
    </row>
    <row r="239" spans="1:15" ht="14.4" x14ac:dyDescent="0.3">
      <c r="A239" s="849"/>
      <c r="B239" s="80"/>
      <c r="C239" s="106">
        <v>2040</v>
      </c>
      <c r="D239" s="107">
        <v>26</v>
      </c>
      <c r="E239" s="108">
        <v>39726.434389846494</v>
      </c>
      <c r="F239" s="105">
        <v>39726.434389846494</v>
      </c>
      <c r="G239" s="730">
        <v>39790.584791239933</v>
      </c>
      <c r="H239" s="731">
        <v>39244.195671867223</v>
      </c>
      <c r="I239" s="86">
        <v>47562.508769866428</v>
      </c>
      <c r="J239" s="79"/>
      <c r="L239" s="79"/>
      <c r="M239" s="99"/>
      <c r="N239" s="91"/>
      <c r="O239" s="643"/>
    </row>
    <row r="240" spans="1:15" ht="14.4" x14ac:dyDescent="0.3">
      <c r="A240" s="849"/>
      <c r="B240" s="80"/>
      <c r="C240" s="106">
        <v>2041</v>
      </c>
      <c r="D240" s="107">
        <v>27</v>
      </c>
      <c r="E240" s="108"/>
      <c r="F240" s="105"/>
      <c r="G240" s="730">
        <v>40255.224508559659</v>
      </c>
      <c r="H240" s="731">
        <v>39647.999811143854</v>
      </c>
      <c r="I240" s="86">
        <v>47952.372588655911</v>
      </c>
      <c r="J240" s="79"/>
      <c r="L240" s="79"/>
      <c r="M240" s="99"/>
      <c r="N240" s="91"/>
      <c r="O240" s="643"/>
    </row>
    <row r="241" spans="1:15" ht="14.4" x14ac:dyDescent="0.3">
      <c r="A241" s="849"/>
      <c r="B241" s="80"/>
      <c r="C241" s="106">
        <v>2042</v>
      </c>
      <c r="D241" s="107">
        <v>28</v>
      </c>
      <c r="E241" s="108"/>
      <c r="F241" s="105"/>
      <c r="G241" s="730">
        <v>40723.184201188429</v>
      </c>
      <c r="H241" s="731">
        <v>40053.041120146212</v>
      </c>
      <c r="I241" s="86">
        <v>48519.806507989269</v>
      </c>
      <c r="J241" s="79"/>
      <c r="L241" s="79"/>
      <c r="M241" s="99"/>
      <c r="N241" s="91"/>
      <c r="O241" s="643"/>
    </row>
    <row r="242" spans="1:15" ht="14.4" x14ac:dyDescent="0.3">
      <c r="A242" s="849"/>
      <c r="B242" s="80"/>
      <c r="C242" s="106">
        <v>2043</v>
      </c>
      <c r="D242" s="107">
        <v>29</v>
      </c>
      <c r="E242" s="108"/>
      <c r="F242" s="105"/>
      <c r="G242" s="730">
        <v>41195.356777210633</v>
      </c>
      <c r="H242" s="731">
        <v>40460.157833779573</v>
      </c>
      <c r="I242" s="86">
        <v>49086.792712093062</v>
      </c>
      <c r="J242" s="79"/>
      <c r="L242" s="79"/>
      <c r="M242" s="99"/>
      <c r="N242" s="91"/>
      <c r="O242" s="643"/>
    </row>
    <row r="243" spans="1:15" ht="14.4" x14ac:dyDescent="0.3">
      <c r="A243" s="849"/>
      <c r="B243" s="80"/>
      <c r="C243" s="106">
        <v>2044</v>
      </c>
      <c r="D243" s="107">
        <v>30</v>
      </c>
      <c r="E243" s="108"/>
      <c r="F243" s="105"/>
      <c r="G243" s="730">
        <v>41672.635144710643</v>
      </c>
      <c r="H243" s="731">
        <v>40870.196350224898</v>
      </c>
      <c r="I243" s="86">
        <v>49654.177599148272</v>
      </c>
      <c r="J243" s="79"/>
      <c r="L243" s="79"/>
      <c r="M243" s="99"/>
      <c r="N243" s="91"/>
      <c r="O243" s="643"/>
    </row>
    <row r="244" spans="1:15" ht="14.4" x14ac:dyDescent="0.3">
      <c r="A244" s="849"/>
      <c r="B244" s="80"/>
      <c r="C244" s="106">
        <v>2045</v>
      </c>
      <c r="D244" s="107">
        <v>31</v>
      </c>
      <c r="E244" s="108">
        <v>42117.967352890431</v>
      </c>
      <c r="F244" s="105">
        <v>42117.967352890431</v>
      </c>
      <c r="G244" s="730">
        <v>42155.912211772862</v>
      </c>
      <c r="H244" s="731">
        <v>41283.986331291919</v>
      </c>
      <c r="I244" s="86">
        <v>50237.7846076883</v>
      </c>
      <c r="J244" s="79"/>
      <c r="L244" s="79"/>
      <c r="M244" s="99"/>
      <c r="N244" s="91"/>
      <c r="O244" s="643"/>
    </row>
    <row r="245" spans="1:15" ht="14.4" x14ac:dyDescent="0.3">
      <c r="A245" s="849"/>
      <c r="B245" s="80"/>
      <c r="C245" s="106">
        <v>2046</v>
      </c>
      <c r="D245" s="107">
        <v>32</v>
      </c>
      <c r="E245" s="108"/>
      <c r="F245" s="105"/>
      <c r="G245" s="730">
        <v>42646.080886481664</v>
      </c>
      <c r="H245" s="731">
        <v>41702.347891278863</v>
      </c>
      <c r="I245" s="86">
        <v>50793.452521840351</v>
      </c>
      <c r="J245" s="79"/>
      <c r="L245" s="79"/>
      <c r="M245" s="99"/>
      <c r="N245" s="91"/>
      <c r="O245" s="643"/>
    </row>
    <row r="246" spans="1:15" ht="14.4" x14ac:dyDescent="0.3">
      <c r="A246" s="849"/>
      <c r="B246" s="80"/>
      <c r="C246" s="106">
        <v>2047</v>
      </c>
      <c r="D246" s="107">
        <v>33</v>
      </c>
      <c r="E246" s="108"/>
      <c r="F246" s="105"/>
      <c r="G246" s="730">
        <v>43144.034076921445</v>
      </c>
      <c r="H246" s="731">
        <v>42126.074494545101</v>
      </c>
      <c r="I246" s="86">
        <v>51366.95613613481</v>
      </c>
      <c r="J246" s="79"/>
      <c r="L246" s="79"/>
      <c r="M246" s="99"/>
      <c r="N246" s="91"/>
      <c r="O246" s="643"/>
    </row>
    <row r="247" spans="1:15" ht="14.4" x14ac:dyDescent="0.3">
      <c r="A247" s="849"/>
      <c r="B247" s="80"/>
      <c r="C247" s="106">
        <v>2048</v>
      </c>
      <c r="D247" s="107">
        <v>34</v>
      </c>
      <c r="E247" s="108"/>
      <c r="F247" s="105"/>
      <c r="G247" s="730">
        <v>43650.664691176571</v>
      </c>
      <c r="H247" s="731">
        <v>42555.933303769962</v>
      </c>
      <c r="I247" s="86">
        <v>51944.068836527338</v>
      </c>
      <c r="J247" s="79"/>
      <c r="L247" s="79"/>
      <c r="M247" s="99"/>
      <c r="N247" s="91"/>
      <c r="O247" s="643"/>
    </row>
    <row r="248" spans="1:15" ht="14.4" x14ac:dyDescent="0.3">
      <c r="A248" s="79"/>
      <c r="B248" s="79"/>
      <c r="C248" s="106">
        <v>2049</v>
      </c>
      <c r="D248" s="107">
        <v>35</v>
      </c>
      <c r="E248" s="108"/>
      <c r="F248" s="105"/>
      <c r="G248" s="730">
        <v>44166.865637331444</v>
      </c>
      <c r="H248" s="731">
        <v>42992.674924146311</v>
      </c>
      <c r="I248" s="86">
        <v>52525.541228210808</v>
      </c>
      <c r="J248" s="79"/>
      <c r="L248" s="79"/>
      <c r="M248" s="99"/>
      <c r="N248" s="91"/>
      <c r="O248" s="643"/>
    </row>
    <row r="249" spans="1:15" ht="14.4" x14ac:dyDescent="0.3">
      <c r="A249" s="79"/>
      <c r="B249" s="79"/>
      <c r="C249" s="106">
        <v>2050</v>
      </c>
      <c r="D249" s="111">
        <v>36</v>
      </c>
      <c r="E249" s="108">
        <v>44727.892657055228</v>
      </c>
      <c r="F249" s="105">
        <v>44727.892657055228</v>
      </c>
      <c r="G249" s="740">
        <v>44693.529823470439</v>
      </c>
      <c r="H249" s="741">
        <v>43437.05532444959</v>
      </c>
      <c r="I249" s="86">
        <v>52908.183774543621</v>
      </c>
      <c r="J249" s="79"/>
      <c r="L249" s="79"/>
      <c r="M249" s="99"/>
      <c r="N249" s="91"/>
      <c r="O249" s="643"/>
    </row>
    <row r="250" spans="1:15" ht="14.4" x14ac:dyDescent="0.3">
      <c r="A250" s="79"/>
      <c r="B250" s="79"/>
      <c r="C250" s="106">
        <v>2051</v>
      </c>
      <c r="D250" s="107">
        <v>37</v>
      </c>
      <c r="E250" s="108"/>
      <c r="F250" s="105"/>
      <c r="G250" s="730">
        <v>45231.55015767795</v>
      </c>
      <c r="H250" s="731">
        <v>43889.83999425322</v>
      </c>
      <c r="I250" s="86">
        <v>53704.598481350287</v>
      </c>
      <c r="J250" s="79"/>
      <c r="L250" s="79"/>
      <c r="M250" s="99"/>
      <c r="N250" s="91"/>
      <c r="O250" s="643"/>
    </row>
    <row r="251" spans="1:15" ht="14.4" x14ac:dyDescent="0.3">
      <c r="A251" s="79"/>
      <c r="B251" s="79"/>
      <c r="C251" s="106">
        <v>2052</v>
      </c>
      <c r="D251" s="107">
        <v>38</v>
      </c>
      <c r="E251" s="108"/>
      <c r="F251" s="105"/>
      <c r="G251" s="730">
        <v>45781.819548038351</v>
      </c>
      <c r="H251" s="731">
        <v>44351.821073197345</v>
      </c>
      <c r="I251" s="86">
        <v>54303.74097201987</v>
      </c>
      <c r="J251" s="79"/>
      <c r="L251" s="79"/>
      <c r="M251" s="99"/>
      <c r="N251" s="91"/>
      <c r="O251" s="643"/>
    </row>
    <row r="252" spans="1:15" ht="14.4" x14ac:dyDescent="0.3">
      <c r="A252" s="79"/>
      <c r="B252" s="79"/>
      <c r="C252" s="106">
        <v>2053</v>
      </c>
      <c r="D252" s="107">
        <v>39</v>
      </c>
      <c r="E252" s="108"/>
      <c r="F252" s="105"/>
      <c r="G252" s="730">
        <v>46345.230902636031</v>
      </c>
      <c r="H252" s="731">
        <v>44823.810122081704</v>
      </c>
      <c r="I252" s="86">
        <v>54910.368312769133</v>
      </c>
      <c r="J252" s="79"/>
      <c r="L252" s="79"/>
      <c r="M252" s="99"/>
      <c r="N252" s="91"/>
      <c r="O252" s="643"/>
    </row>
    <row r="253" spans="1:15" ht="14.4" x14ac:dyDescent="0.3">
      <c r="A253" s="79"/>
      <c r="B253" s="79"/>
      <c r="C253" s="106">
        <v>2054</v>
      </c>
      <c r="D253" s="107">
        <v>40</v>
      </c>
      <c r="E253" s="108"/>
      <c r="F253" s="105"/>
      <c r="G253" s="730">
        <v>46922.677129555377</v>
      </c>
      <c r="H253" s="731">
        <v>45306.632113077947</v>
      </c>
      <c r="I253" s="86">
        <v>55525.305475769717</v>
      </c>
      <c r="J253" s="79"/>
      <c r="L253" s="79"/>
      <c r="M253" s="99"/>
      <c r="N253" s="91"/>
      <c r="O253" s="643"/>
    </row>
    <row r="254" spans="1:15" ht="14.4" x14ac:dyDescent="0.3">
      <c r="A254" s="79"/>
      <c r="B254" s="79"/>
      <c r="C254" s="106">
        <v>2055</v>
      </c>
      <c r="D254" s="111">
        <v>41</v>
      </c>
      <c r="E254" s="108"/>
      <c r="F254" s="105"/>
      <c r="G254" s="740">
        <v>47515.051136880771</v>
      </c>
      <c r="H254" s="741">
        <v>45801.090673434526</v>
      </c>
      <c r="I254" s="86">
        <v>56149.356088270099</v>
      </c>
      <c r="J254" s="79"/>
      <c r="L254" s="79"/>
      <c r="M254" s="99"/>
      <c r="N254" s="91"/>
      <c r="O254" s="643"/>
    </row>
    <row r="255" spans="1:15" ht="14.4" x14ac:dyDescent="0.3">
      <c r="A255" s="79"/>
      <c r="B255" s="79"/>
      <c r="C255" s="106">
        <v>2056</v>
      </c>
      <c r="D255" s="107">
        <v>42</v>
      </c>
      <c r="E255" s="108"/>
      <c r="F255" s="105"/>
      <c r="G255" s="730">
        <v>48123.245832696601</v>
      </c>
      <c r="H255" s="731">
        <v>46307.93582888665</v>
      </c>
      <c r="I255" s="86">
        <v>56783.270176005462</v>
      </c>
      <c r="J255" s="79"/>
      <c r="L255" s="79"/>
      <c r="M255" s="99"/>
      <c r="N255" s="91"/>
      <c r="O255" s="643"/>
    </row>
    <row r="256" spans="1:15" ht="14.4" x14ac:dyDescent="0.3">
      <c r="A256" s="79"/>
      <c r="B256" s="79"/>
      <c r="C256" s="106">
        <v>2057</v>
      </c>
      <c r="D256" s="107">
        <v>43</v>
      </c>
      <c r="E256" s="108"/>
      <c r="F256" s="105"/>
      <c r="G256" s="730">
        <v>48748.154125087247</v>
      </c>
      <c r="H256" s="731">
        <v>46827.89437711826</v>
      </c>
      <c r="I256" s="86">
        <v>57427.774536659759</v>
      </c>
      <c r="J256" s="79"/>
      <c r="L256" s="79"/>
      <c r="M256" s="99"/>
      <c r="N256" s="91"/>
      <c r="O256" s="643"/>
    </row>
    <row r="257" spans="1:15" ht="14.4" x14ac:dyDescent="0.3">
      <c r="A257" s="79"/>
      <c r="B257" s="79"/>
      <c r="C257" s="106">
        <v>2058</v>
      </c>
      <c r="D257" s="107">
        <v>44</v>
      </c>
      <c r="E257" s="108"/>
      <c r="F257" s="105"/>
      <c r="G257" s="730">
        <v>49390.668922137105</v>
      </c>
      <c r="H257" s="731">
        <v>47361.714172120614</v>
      </c>
      <c r="I257" s="86">
        <v>58083.617024224244</v>
      </c>
      <c r="J257" s="79"/>
      <c r="L257" s="79"/>
      <c r="M257" s="99"/>
      <c r="N257" s="91"/>
      <c r="O257" s="643"/>
    </row>
    <row r="258" spans="1:15" ht="14.4" x14ac:dyDescent="0.3">
      <c r="A258" s="79"/>
      <c r="B258" s="79"/>
      <c r="C258" s="106">
        <v>2059</v>
      </c>
      <c r="D258" s="107">
        <v>45</v>
      </c>
      <c r="E258" s="108"/>
      <c r="F258" s="105"/>
      <c r="G258" s="730">
        <v>50051.683131930542</v>
      </c>
      <c r="H258" s="731">
        <v>47910.137210632209</v>
      </c>
      <c r="I258" s="86">
        <v>58751.539635437424</v>
      </c>
      <c r="J258" s="79"/>
      <c r="L258" s="79"/>
      <c r="M258" s="99"/>
      <c r="N258" s="91"/>
      <c r="O258" s="643"/>
    </row>
    <row r="259" spans="1:15" ht="14.4" x14ac:dyDescent="0.3">
      <c r="A259" s="79"/>
      <c r="B259" s="79"/>
      <c r="C259" s="112">
        <v>2060</v>
      </c>
      <c r="D259" s="111">
        <v>46</v>
      </c>
      <c r="E259" s="108"/>
      <c r="F259" s="105"/>
      <c r="G259" s="740">
        <v>50732.089662551953</v>
      </c>
      <c r="H259" s="741">
        <v>48473.888764803101</v>
      </c>
      <c r="I259" s="86">
        <v>59432.267642449347</v>
      </c>
      <c r="J259" s="79"/>
      <c r="L259" s="79"/>
      <c r="M259" s="99"/>
      <c r="N259" s="91"/>
      <c r="O259" s="643"/>
    </row>
    <row r="260" spans="1:15" ht="14.4" x14ac:dyDescent="0.3">
      <c r="A260" s="79"/>
      <c r="B260" s="2"/>
      <c r="C260" s="2"/>
      <c r="D260" s="2"/>
      <c r="E260" s="2"/>
      <c r="F260" s="2"/>
      <c r="G260" s="2"/>
      <c r="H260" s="2"/>
      <c r="I260" s="2"/>
      <c r="J260" s="2"/>
      <c r="K260" s="2"/>
    </row>
    <row r="261" spans="1:15" ht="14.4" x14ac:dyDescent="0.3">
      <c r="A261" s="79"/>
      <c r="B261" s="2"/>
      <c r="C261" s="2"/>
      <c r="D261" s="2"/>
      <c r="E261" s="2"/>
      <c r="F261" s="2"/>
      <c r="G261" s="2"/>
      <c r="H261" s="2"/>
      <c r="I261" s="2"/>
      <c r="J261" s="2"/>
      <c r="K261" s="2"/>
    </row>
    <row r="262" spans="1:15" ht="14.4" x14ac:dyDescent="0.3">
      <c r="A262" s="79"/>
      <c r="B262" s="2"/>
      <c r="C262" s="2"/>
      <c r="D262" s="2"/>
      <c r="E262" s="2"/>
      <c r="F262" s="2"/>
      <c r="G262" s="2"/>
      <c r="H262" s="2"/>
      <c r="I262" s="2"/>
      <c r="J262" s="2"/>
      <c r="K262" s="2"/>
    </row>
    <row r="263" spans="1:15" ht="14.4" x14ac:dyDescent="0.3">
      <c r="A263" s="79"/>
      <c r="B263" s="2"/>
      <c r="C263" s="2"/>
      <c r="D263" s="2"/>
      <c r="E263" s="2"/>
      <c r="F263" s="2"/>
      <c r="G263" s="2"/>
      <c r="H263" s="2"/>
      <c r="I263" s="2"/>
      <c r="J263" s="2"/>
      <c r="K263" s="2"/>
    </row>
    <row r="264" spans="1:15" ht="14.4" x14ac:dyDescent="0.3">
      <c r="A264" s="2"/>
      <c r="B264" s="2"/>
      <c r="C264" s="2"/>
      <c r="D264" s="2"/>
      <c r="E264" s="2"/>
      <c r="F264" s="2"/>
      <c r="G264" s="2"/>
      <c r="H264" s="2"/>
      <c r="I264" s="2"/>
      <c r="J264" s="2"/>
      <c r="K264" s="2"/>
    </row>
    <row r="265" spans="1:15" ht="15.75" customHeight="1" x14ac:dyDescent="0.3">
      <c r="A265" s="71">
        <v>5</v>
      </c>
      <c r="B265" s="72" t="s">
        <v>106</v>
      </c>
      <c r="C265" s="73"/>
      <c r="D265" s="73"/>
      <c r="E265" s="73"/>
      <c r="F265" s="73"/>
      <c r="G265" s="73"/>
      <c r="H265" s="73"/>
      <c r="I265" s="73"/>
      <c r="J265" s="73"/>
      <c r="K265" s="73"/>
    </row>
    <row r="266" spans="1:15" ht="15.75" customHeight="1" x14ac:dyDescent="0.3">
      <c r="A266" s="74" t="s">
        <v>74</v>
      </c>
      <c r="B266" s="75"/>
      <c r="C266" s="75"/>
      <c r="D266" s="76"/>
      <c r="E266" s="77"/>
      <c r="F266" s="862"/>
      <c r="G266" s="77"/>
      <c r="H266" s="78"/>
      <c r="I266" s="79"/>
      <c r="J266" s="79"/>
      <c r="K266" s="79"/>
      <c r="L266" s="99"/>
    </row>
    <row r="267" spans="1:15" ht="16.5" customHeight="1" thickBot="1" x14ac:dyDescent="0.35">
      <c r="A267" s="110" t="s">
        <v>75</v>
      </c>
      <c r="B267" s="80"/>
      <c r="C267" s="80"/>
      <c r="D267" s="81"/>
      <c r="E267" s="109" t="s">
        <v>78</v>
      </c>
      <c r="F267" s="863"/>
      <c r="G267" s="746" t="s">
        <v>107</v>
      </c>
      <c r="H267" s="711"/>
      <c r="I267" s="78"/>
      <c r="J267" s="79"/>
      <c r="K267" s="79"/>
      <c r="L267" s="79"/>
    </row>
    <row r="268" spans="1:15" ht="51.75" customHeight="1" thickBot="1" x14ac:dyDescent="0.35">
      <c r="A268" s="82"/>
      <c r="B268" s="82"/>
      <c r="C268" s="82"/>
      <c r="D268" s="83"/>
      <c r="E268" s="101" t="s">
        <v>80</v>
      </c>
      <c r="F268" s="101" t="s">
        <v>80</v>
      </c>
      <c r="G268" s="746" t="s">
        <v>81</v>
      </c>
      <c r="H268" s="747" t="s">
        <v>82</v>
      </c>
      <c r="I268" s="101" t="s">
        <v>99</v>
      </c>
      <c r="J268" s="101" t="s">
        <v>83</v>
      </c>
      <c r="K268" s="865" t="s">
        <v>84</v>
      </c>
      <c r="L268" s="866"/>
    </row>
    <row r="269" spans="1:15" ht="15.75" customHeight="1" x14ac:dyDescent="0.3">
      <c r="A269" s="74" t="s">
        <v>85</v>
      </c>
      <c r="B269" s="82"/>
      <c r="C269" s="102">
        <v>2005</v>
      </c>
      <c r="D269" s="103">
        <v>-9</v>
      </c>
      <c r="E269" s="104"/>
      <c r="F269" s="105"/>
      <c r="G269" s="722">
        <v>19193.188975141202</v>
      </c>
      <c r="H269" s="723">
        <v>19193.188975141202</v>
      </c>
      <c r="I269" s="84">
        <v>21444.188358160714</v>
      </c>
      <c r="J269" s="871" t="s">
        <v>86</v>
      </c>
      <c r="K269" s="867"/>
      <c r="L269" s="868"/>
      <c r="O269" s="94"/>
    </row>
    <row r="270" spans="1:15" ht="15.75" customHeight="1" x14ac:dyDescent="0.3">
      <c r="A270" s="110" t="s">
        <v>87</v>
      </c>
      <c r="B270" s="82"/>
      <c r="C270" s="106">
        <v>2006</v>
      </c>
      <c r="D270" s="107">
        <v>-8</v>
      </c>
      <c r="E270" s="108"/>
      <c r="F270" s="105"/>
      <c r="G270" s="727">
        <v>19934.58494682626</v>
      </c>
      <c r="H270" s="728">
        <v>19934.58494682626</v>
      </c>
      <c r="I270" s="85">
        <v>22242.494167706194</v>
      </c>
      <c r="J270" s="867"/>
      <c r="K270" s="867"/>
      <c r="L270" s="868"/>
      <c r="O270" s="94"/>
    </row>
    <row r="271" spans="1:15" ht="14.4" x14ac:dyDescent="0.3">
      <c r="A271" s="82"/>
      <c r="B271" s="82"/>
      <c r="C271" s="106">
        <v>2007</v>
      </c>
      <c r="D271" s="107">
        <v>-7</v>
      </c>
      <c r="E271" s="108"/>
      <c r="F271" s="105"/>
      <c r="G271" s="727">
        <v>20679.467483462249</v>
      </c>
      <c r="H271" s="728">
        <v>20679.467483462249</v>
      </c>
      <c r="I271" s="85">
        <v>23044.211422063538</v>
      </c>
      <c r="J271" s="867"/>
      <c r="K271" s="867"/>
      <c r="L271" s="868"/>
      <c r="O271" s="94"/>
    </row>
    <row r="272" spans="1:15" ht="15.75" customHeight="1" x14ac:dyDescent="0.3">
      <c r="A272" s="29" t="s">
        <v>88</v>
      </c>
      <c r="B272" s="82"/>
      <c r="C272" s="106">
        <v>2008</v>
      </c>
      <c r="D272" s="107">
        <v>-6</v>
      </c>
      <c r="E272" s="108"/>
      <c r="F272" s="105"/>
      <c r="G272" s="727">
        <v>21427.389634032606</v>
      </c>
      <c r="H272" s="728">
        <v>21427.389634032606</v>
      </c>
      <c r="I272" s="85">
        <v>23848.834193227351</v>
      </c>
      <c r="J272" s="867"/>
      <c r="K272" s="869"/>
      <c r="L272" s="870"/>
      <c r="O272" s="94"/>
    </row>
    <row r="273" spans="1:15" ht="14.4" x14ac:dyDescent="0.3">
      <c r="A273" s="872" t="s">
        <v>108</v>
      </c>
      <c r="B273" s="82"/>
      <c r="C273" s="106">
        <v>2009</v>
      </c>
      <c r="D273" s="107">
        <v>-5</v>
      </c>
      <c r="E273" s="108"/>
      <c r="F273" s="105"/>
      <c r="G273" s="727">
        <v>22177.904447520763</v>
      </c>
      <c r="H273" s="728">
        <v>22177.904447520763</v>
      </c>
      <c r="I273" s="85">
        <v>24655.856553192229</v>
      </c>
      <c r="J273" s="867"/>
      <c r="K273" s="79"/>
      <c r="L273" s="79"/>
      <c r="O273" s="94"/>
    </row>
    <row r="274" spans="1:15" ht="14.4" x14ac:dyDescent="0.3">
      <c r="A274" s="873"/>
      <c r="B274" s="82"/>
      <c r="C274" s="106">
        <v>2010</v>
      </c>
      <c r="D274" s="107">
        <v>-4</v>
      </c>
      <c r="E274" s="108"/>
      <c r="F274" s="105"/>
      <c r="G274" s="727">
        <v>22930.56497291015</v>
      </c>
      <c r="H274" s="728">
        <v>22930.56497291015</v>
      </c>
      <c r="I274" s="85">
        <v>25447.117755607218</v>
      </c>
      <c r="J274" s="867"/>
      <c r="K274" s="79"/>
      <c r="L274" s="79"/>
      <c r="O274" s="94"/>
    </row>
    <row r="275" spans="1:15" ht="14.4" x14ac:dyDescent="0.3">
      <c r="A275" s="873"/>
      <c r="B275" s="82"/>
      <c r="C275" s="106">
        <v>2011</v>
      </c>
      <c r="D275" s="107">
        <v>-3</v>
      </c>
      <c r="E275" s="108"/>
      <c r="F275" s="105"/>
      <c r="G275" s="727">
        <v>23684.924259184205</v>
      </c>
      <c r="H275" s="728">
        <v>23684.924259184205</v>
      </c>
      <c r="I275" s="85">
        <v>26275.076327503557</v>
      </c>
      <c r="J275" s="869"/>
      <c r="K275" s="79"/>
      <c r="L275" s="79"/>
      <c r="O275" s="94"/>
    </row>
    <row r="276" spans="1:15" ht="14.4" x14ac:dyDescent="0.3">
      <c r="A276" s="874"/>
      <c r="B276" s="82"/>
      <c r="C276" s="106">
        <v>2012</v>
      </c>
      <c r="D276" s="107">
        <v>-2</v>
      </c>
      <c r="E276" s="108"/>
      <c r="F276" s="105"/>
      <c r="G276" s="730">
        <v>24440.535355326359</v>
      </c>
      <c r="H276" s="731">
        <v>24440.535355326359</v>
      </c>
      <c r="I276" s="86">
        <v>27086.261885839209</v>
      </c>
      <c r="J276" s="87" t="s">
        <v>90</v>
      </c>
      <c r="L276" s="79"/>
      <c r="O276" s="643"/>
    </row>
    <row r="277" spans="1:15" ht="14.4" x14ac:dyDescent="0.3">
      <c r="A277" s="82"/>
      <c r="B277" s="82"/>
      <c r="C277" s="106">
        <v>2013</v>
      </c>
      <c r="D277" s="107">
        <v>-1</v>
      </c>
      <c r="E277" s="108">
        <v>25283.631322570884</v>
      </c>
      <c r="F277" s="105">
        <v>25283.631322570884</v>
      </c>
      <c r="G277" s="730">
        <v>25196.951310320044</v>
      </c>
      <c r="H277" s="731">
        <v>25196.951310320044</v>
      </c>
      <c r="I277" s="86">
        <v>27897.823320954314</v>
      </c>
      <c r="J277" s="82"/>
      <c r="L277" s="79"/>
      <c r="O277" s="643"/>
    </row>
    <row r="278" spans="1:15" ht="15.75" customHeight="1" x14ac:dyDescent="0.3">
      <c r="A278" s="77" t="s">
        <v>91</v>
      </c>
      <c r="B278" s="82"/>
      <c r="C278" s="106">
        <v>2014</v>
      </c>
      <c r="D278" s="107">
        <v>0</v>
      </c>
      <c r="E278" s="108"/>
      <c r="F278" s="105"/>
      <c r="G278" s="730">
        <v>25953.725173148694</v>
      </c>
      <c r="H278" s="731">
        <v>26116.448635829005</v>
      </c>
      <c r="I278" s="86">
        <v>28871.978167523779</v>
      </c>
      <c r="J278" s="79"/>
      <c r="L278" s="79"/>
      <c r="O278" s="643"/>
    </row>
    <row r="279" spans="1:15" ht="15.75" customHeight="1" x14ac:dyDescent="0.3">
      <c r="A279" s="110">
        <v>2016</v>
      </c>
      <c r="B279" s="80"/>
      <c r="C279" s="106">
        <v>2015</v>
      </c>
      <c r="D279" s="107">
        <v>1</v>
      </c>
      <c r="E279" s="108"/>
      <c r="F279" s="105"/>
      <c r="G279" s="730">
        <v>26710.409992795743</v>
      </c>
      <c r="H279" s="731">
        <v>26879.958033302737</v>
      </c>
      <c r="I279" s="86">
        <v>29718.414135314939</v>
      </c>
      <c r="J279" s="79"/>
      <c r="L279" s="79"/>
      <c r="O279" s="643"/>
    </row>
    <row r="280" spans="1:15" ht="14.4" x14ac:dyDescent="0.3">
      <c r="A280" s="79"/>
      <c r="B280" s="80"/>
      <c r="C280" s="106">
        <v>2016</v>
      </c>
      <c r="D280" s="107">
        <v>2</v>
      </c>
      <c r="E280" s="108"/>
      <c r="F280" s="105"/>
      <c r="G280" s="730">
        <v>27466.558818244619</v>
      </c>
      <c r="H280" s="731">
        <v>27643.678941945313</v>
      </c>
      <c r="I280" s="86">
        <v>30506.823730623004</v>
      </c>
      <c r="J280" s="79"/>
      <c r="L280" s="79"/>
      <c r="O280" s="643"/>
    </row>
    <row r="281" spans="1:15" ht="15.75" customHeight="1" x14ac:dyDescent="0.3">
      <c r="A281" s="77" t="s">
        <v>92</v>
      </c>
      <c r="B281" s="80"/>
      <c r="C281" s="106">
        <v>2017</v>
      </c>
      <c r="D281" s="107">
        <v>3</v>
      </c>
      <c r="E281" s="108"/>
      <c r="F281" s="105"/>
      <c r="G281" s="730">
        <v>28221.724698478763</v>
      </c>
      <c r="H281" s="731">
        <v>28407.197936767119</v>
      </c>
      <c r="I281" s="86">
        <v>31323.182507389556</v>
      </c>
      <c r="J281" s="79"/>
      <c r="L281" s="79"/>
      <c r="O281" s="643"/>
    </row>
    <row r="282" spans="1:15" ht="15.75" customHeight="1" x14ac:dyDescent="0.3">
      <c r="A282" s="110" t="s">
        <v>80</v>
      </c>
      <c r="B282" s="80"/>
      <c r="C282" s="106">
        <v>2018</v>
      </c>
      <c r="D282" s="107">
        <v>4</v>
      </c>
      <c r="E282" s="108"/>
      <c r="F282" s="105"/>
      <c r="G282" s="730">
        <v>28975.4606824816</v>
      </c>
      <c r="H282" s="731">
        <v>29169.879408028777</v>
      </c>
      <c r="I282" s="86">
        <v>32137.979893579701</v>
      </c>
      <c r="J282" s="79"/>
      <c r="L282" s="79"/>
      <c r="O282" s="643"/>
    </row>
    <row r="283" spans="1:15" ht="14.4" x14ac:dyDescent="0.3">
      <c r="A283" s="79"/>
      <c r="B283" s="80"/>
      <c r="C283" s="106">
        <v>2019</v>
      </c>
      <c r="D283" s="107">
        <v>5</v>
      </c>
      <c r="E283" s="108"/>
      <c r="F283" s="105"/>
      <c r="G283" s="730">
        <v>29727.319819236567</v>
      </c>
      <c r="H283" s="731">
        <v>29930.959189537662</v>
      </c>
      <c r="I283" s="86">
        <v>32950.392746011981</v>
      </c>
      <c r="J283" s="79"/>
      <c r="L283" s="79"/>
      <c r="O283" s="643"/>
    </row>
    <row r="284" spans="1:15" ht="15.75" customHeight="1" x14ac:dyDescent="0.3">
      <c r="A284" s="77" t="s">
        <v>93</v>
      </c>
      <c r="B284" s="80"/>
      <c r="C284" s="106">
        <v>2020</v>
      </c>
      <c r="D284" s="107">
        <v>6</v>
      </c>
      <c r="E284" s="108">
        <v>30255.298097360443</v>
      </c>
      <c r="F284" s="105">
        <v>30255.298097360443</v>
      </c>
      <c r="G284" s="730">
        <v>30476.855157727099</v>
      </c>
      <c r="H284" s="731">
        <v>30692.187024413706</v>
      </c>
      <c r="I284" s="86">
        <v>33768.201874763166</v>
      </c>
      <c r="J284" s="643"/>
      <c r="L284" s="79"/>
      <c r="O284" s="643"/>
    </row>
    <row r="285" spans="1:15" ht="15.75" customHeight="1" x14ac:dyDescent="0.3">
      <c r="A285" s="77"/>
      <c r="B285" s="80"/>
      <c r="C285" s="106">
        <v>2021</v>
      </c>
      <c r="D285" s="107">
        <v>7</v>
      </c>
      <c r="E285" s="108"/>
      <c r="F285" s="105"/>
      <c r="G285" s="730">
        <v>31223.619746936627</v>
      </c>
      <c r="H285" s="731">
        <v>31428.073774599565</v>
      </c>
      <c r="I285" s="86">
        <v>34547.589032950054</v>
      </c>
      <c r="J285" s="79"/>
      <c r="L285" s="79"/>
      <c r="O285" s="643"/>
    </row>
    <row r="286" spans="1:15" ht="15.75" customHeight="1" x14ac:dyDescent="0.3">
      <c r="A286" s="88"/>
      <c r="B286" s="80"/>
      <c r="C286" s="106">
        <v>2022</v>
      </c>
      <c r="D286" s="107">
        <v>8</v>
      </c>
      <c r="E286" s="108"/>
      <c r="F286" s="105"/>
      <c r="G286" s="730">
        <v>31967.166635848582</v>
      </c>
      <c r="H286" s="731">
        <v>32158.233109132911</v>
      </c>
      <c r="I286" s="86">
        <v>35326.379044458496</v>
      </c>
      <c r="J286" s="79"/>
      <c r="L286" s="79"/>
      <c r="O286" s="643"/>
    </row>
    <row r="287" spans="1:15" ht="15.75" customHeight="1" x14ac:dyDescent="0.3">
      <c r="A287" s="110"/>
      <c r="B287" s="80"/>
      <c r="C287" s="106">
        <v>2023</v>
      </c>
      <c r="D287" s="107">
        <v>9</v>
      </c>
      <c r="E287" s="108"/>
      <c r="F287" s="105"/>
      <c r="G287" s="730">
        <v>32707.048873446402</v>
      </c>
      <c r="H287" s="731">
        <v>32882.052927476936</v>
      </c>
      <c r="I287" s="86">
        <v>36097.81078781718</v>
      </c>
      <c r="J287" s="79"/>
      <c r="L287" s="79"/>
      <c r="O287" s="643"/>
    </row>
    <row r="288" spans="1:15" ht="14.4" x14ac:dyDescent="0.3">
      <c r="A288" s="79"/>
      <c r="B288" s="80"/>
      <c r="C288" s="106">
        <v>2024</v>
      </c>
      <c r="D288" s="107">
        <v>10</v>
      </c>
      <c r="E288" s="108"/>
      <c r="F288" s="105"/>
      <c r="G288" s="730">
        <v>33442.81950871351</v>
      </c>
      <c r="H288" s="731">
        <v>33598.331306414759</v>
      </c>
      <c r="I288" s="86">
        <v>36860.623362820392</v>
      </c>
      <c r="J288" s="79"/>
      <c r="L288" s="79"/>
      <c r="O288" s="643"/>
    </row>
    <row r="289" spans="1:15" ht="14.4" x14ac:dyDescent="0.3">
      <c r="A289" s="5" t="s">
        <v>101</v>
      </c>
      <c r="B289" s="80"/>
      <c r="C289" s="106">
        <v>2025</v>
      </c>
      <c r="D289" s="107">
        <v>11</v>
      </c>
      <c r="E289" s="108">
        <v>34156.375903638851</v>
      </c>
      <c r="F289" s="105">
        <v>34156.375903638851</v>
      </c>
      <c r="G289" s="730">
        <v>34174.031590633349</v>
      </c>
      <c r="H289" s="731">
        <v>34306.036809321071</v>
      </c>
      <c r="I289" s="86">
        <v>37606.597842194751</v>
      </c>
      <c r="J289" s="79"/>
      <c r="L289" s="79"/>
      <c r="O289" s="643"/>
    </row>
    <row r="290" spans="1:15" ht="15" customHeight="1" x14ac:dyDescent="0.3">
      <c r="A290" s="849" t="s">
        <v>102</v>
      </c>
      <c r="B290" s="80"/>
      <c r="C290" s="106">
        <v>2026</v>
      </c>
      <c r="D290" s="107">
        <v>12</v>
      </c>
      <c r="E290" s="108"/>
      <c r="F290" s="105"/>
      <c r="G290" s="730">
        <v>34900.238168189353</v>
      </c>
      <c r="H290" s="731">
        <v>35004.766967920041</v>
      </c>
      <c r="I290" s="86">
        <v>38356.658321653296</v>
      </c>
      <c r="J290" s="79"/>
      <c r="L290" s="79"/>
      <c r="O290" s="643"/>
    </row>
    <row r="291" spans="1:15" ht="14.4" x14ac:dyDescent="0.3">
      <c r="A291" s="849"/>
      <c r="B291" s="80"/>
      <c r="C291" s="106">
        <v>2027</v>
      </c>
      <c r="D291" s="107">
        <v>13</v>
      </c>
      <c r="E291" s="108"/>
      <c r="F291" s="105"/>
      <c r="G291" s="730">
        <v>35620.992290364942</v>
      </c>
      <c r="H291" s="731">
        <v>35694.44611590026</v>
      </c>
      <c r="I291" s="86">
        <v>39089.28461691807</v>
      </c>
      <c r="J291" s="79"/>
      <c r="L291" s="79"/>
      <c r="O291" s="643"/>
    </row>
    <row r="292" spans="1:15" ht="14.4" x14ac:dyDescent="0.3">
      <c r="A292" s="849"/>
      <c r="B292" s="80"/>
      <c r="C292" s="106">
        <v>2028</v>
      </c>
      <c r="D292" s="107">
        <v>14</v>
      </c>
      <c r="E292" s="108"/>
      <c r="F292" s="105"/>
      <c r="G292" s="730">
        <v>36335.847006143566</v>
      </c>
      <c r="H292" s="731">
        <v>36374.636208439508</v>
      </c>
      <c r="I292" s="86">
        <v>39811.108219837261</v>
      </c>
      <c r="J292" s="79"/>
      <c r="L292" s="79"/>
      <c r="O292" s="643"/>
    </row>
    <row r="293" spans="1:15" ht="14.4" x14ac:dyDescent="0.3">
      <c r="A293" s="849"/>
      <c r="B293" s="80"/>
      <c r="C293" s="106">
        <v>2029</v>
      </c>
      <c r="D293" s="107">
        <v>15</v>
      </c>
      <c r="E293" s="108"/>
      <c r="F293" s="105"/>
      <c r="G293" s="730">
        <v>37044.355364508643</v>
      </c>
      <c r="H293" s="731">
        <v>37044.913054743898</v>
      </c>
      <c r="I293" s="86">
        <v>40521.64596262815</v>
      </c>
      <c r="J293" s="79"/>
      <c r="L293" s="79"/>
      <c r="O293" s="643"/>
    </row>
    <row r="294" spans="1:15" ht="14.4" x14ac:dyDescent="0.3">
      <c r="A294" s="849"/>
      <c r="B294" s="80"/>
      <c r="C294" s="106">
        <v>2030</v>
      </c>
      <c r="D294" s="107">
        <v>16</v>
      </c>
      <c r="E294" s="108">
        <v>37935.505235431519</v>
      </c>
      <c r="F294" s="105">
        <v>37935.505235431519</v>
      </c>
      <c r="G294" s="730">
        <v>37746.070414443617</v>
      </c>
      <c r="H294" s="731">
        <v>37704.83764362496</v>
      </c>
      <c r="I294" s="86">
        <v>41206.559025727547</v>
      </c>
      <c r="J294" s="79"/>
      <c r="L294" s="79"/>
      <c r="O294" s="643"/>
    </row>
    <row r="295" spans="1:15" ht="14.4" x14ac:dyDescent="0.3">
      <c r="A295" s="849"/>
      <c r="B295" s="80"/>
      <c r="C295" s="106">
        <v>2031</v>
      </c>
      <c r="D295" s="107">
        <v>17</v>
      </c>
      <c r="E295" s="108"/>
      <c r="F295" s="105"/>
      <c r="G295" s="730">
        <v>38440.545204931914</v>
      </c>
      <c r="H295" s="731">
        <v>38353.98035695967</v>
      </c>
      <c r="I295" s="86">
        <v>41906.881308181204</v>
      </c>
      <c r="J295" s="79"/>
      <c r="L295" s="79"/>
      <c r="O295" s="643"/>
    </row>
    <row r="296" spans="1:15" ht="14.4" x14ac:dyDescent="0.3">
      <c r="A296" s="849"/>
      <c r="B296" s="80"/>
      <c r="C296" s="106">
        <v>2032</v>
      </c>
      <c r="D296" s="107">
        <v>18</v>
      </c>
      <c r="E296" s="108"/>
      <c r="F296" s="105"/>
      <c r="G296" s="730">
        <v>39127.332784956976</v>
      </c>
      <c r="H296" s="731">
        <v>38992.034791565195</v>
      </c>
      <c r="I296" s="86">
        <v>42580.724935659855</v>
      </c>
      <c r="J296" s="79"/>
      <c r="L296" s="79"/>
      <c r="O296" s="643"/>
    </row>
    <row r="297" spans="1:15" ht="14.4" x14ac:dyDescent="0.3">
      <c r="A297" s="849"/>
      <c r="B297" s="80"/>
      <c r="C297" s="106">
        <v>2033</v>
      </c>
      <c r="D297" s="107">
        <v>19</v>
      </c>
      <c r="E297" s="108"/>
      <c r="F297" s="105"/>
      <c r="G297" s="730">
        <v>39805.986203502223</v>
      </c>
      <c r="H297" s="731">
        <v>39618.953160095931</v>
      </c>
      <c r="I297" s="86">
        <v>43241.823975214924</v>
      </c>
      <c r="J297" s="79"/>
      <c r="L297" s="79"/>
      <c r="O297" s="643"/>
    </row>
    <row r="298" spans="1:15" ht="14.4" x14ac:dyDescent="0.3">
      <c r="A298" s="849"/>
      <c r="B298" s="80"/>
      <c r="C298" s="106">
        <v>2034</v>
      </c>
      <c r="D298" s="107">
        <v>20</v>
      </c>
      <c r="E298" s="108"/>
      <c r="F298" s="105"/>
      <c r="G298" s="730">
        <v>40476.058509551098</v>
      </c>
      <c r="H298" s="731">
        <v>40234.816686409999</v>
      </c>
      <c r="I298" s="86">
        <v>43890.200673715692</v>
      </c>
      <c r="J298" s="79"/>
      <c r="L298" s="79"/>
      <c r="O298" s="643"/>
    </row>
    <row r="299" spans="1:15" ht="14.4" x14ac:dyDescent="0.3">
      <c r="A299" s="849"/>
      <c r="B299" s="80"/>
      <c r="C299" s="106">
        <v>2035</v>
      </c>
      <c r="D299" s="107">
        <v>21</v>
      </c>
      <c r="E299" s="108">
        <v>41292.412703233989</v>
      </c>
      <c r="F299" s="105">
        <v>41292.412703233989</v>
      </c>
      <c r="G299" s="730">
        <v>41137.102752087027</v>
      </c>
      <c r="H299" s="731">
        <v>40839.587650048154</v>
      </c>
      <c r="I299" s="86">
        <v>44510.716258553366</v>
      </c>
      <c r="J299" s="79"/>
      <c r="L299" s="79"/>
      <c r="O299" s="643"/>
    </row>
    <row r="300" spans="1:15" ht="14.4" x14ac:dyDescent="0.3">
      <c r="A300" s="849"/>
      <c r="B300" s="80"/>
      <c r="C300" s="106">
        <v>2036</v>
      </c>
      <c r="D300" s="107">
        <v>22</v>
      </c>
      <c r="E300" s="108"/>
      <c r="F300" s="105"/>
      <c r="G300" s="730">
        <v>41788.671980093452</v>
      </c>
      <c r="H300" s="731">
        <v>41433.04600349367</v>
      </c>
      <c r="I300" s="86">
        <v>45148.21793070453</v>
      </c>
      <c r="J300" s="79"/>
      <c r="L300" s="79"/>
      <c r="O300" s="643"/>
    </row>
    <row r="301" spans="1:15" ht="14.4" x14ac:dyDescent="0.3">
      <c r="A301" s="849"/>
      <c r="B301" s="80"/>
      <c r="C301" s="106">
        <v>2037</v>
      </c>
      <c r="D301" s="107">
        <v>23</v>
      </c>
      <c r="E301" s="108"/>
      <c r="F301" s="105"/>
      <c r="G301" s="730">
        <v>42430.3192425538</v>
      </c>
      <c r="H301" s="731">
        <v>42014.7354094123</v>
      </c>
      <c r="I301" s="86">
        <v>45757.064150363964</v>
      </c>
      <c r="J301" s="79"/>
      <c r="L301" s="79"/>
      <c r="O301" s="643"/>
    </row>
    <row r="302" spans="1:15" ht="14.4" x14ac:dyDescent="0.3">
      <c r="A302" s="849"/>
      <c r="B302" s="80"/>
      <c r="C302" s="106">
        <v>2038</v>
      </c>
      <c r="D302" s="107">
        <v>24</v>
      </c>
      <c r="E302" s="108"/>
      <c r="F302" s="105"/>
      <c r="G302" s="730">
        <v>43061.597588451492</v>
      </c>
      <c r="H302" s="731">
        <v>42584.087278031868</v>
      </c>
      <c r="I302" s="86">
        <v>46351.669425931352</v>
      </c>
      <c r="J302" s="79"/>
      <c r="L302" s="79"/>
      <c r="O302" s="643"/>
    </row>
    <row r="303" spans="1:15" ht="14.4" x14ac:dyDescent="0.3">
      <c r="A303" s="849"/>
      <c r="B303" s="80"/>
      <c r="C303" s="106">
        <v>2039</v>
      </c>
      <c r="D303" s="107">
        <v>25</v>
      </c>
      <c r="E303" s="108"/>
      <c r="F303" s="105"/>
      <c r="G303" s="730">
        <v>43682.060066769991</v>
      </c>
      <c r="H303" s="731">
        <v>43140.407809302924</v>
      </c>
      <c r="I303" s="86">
        <v>46931.280980368421</v>
      </c>
      <c r="J303" s="79"/>
      <c r="L303" s="79"/>
      <c r="O303" s="643"/>
    </row>
    <row r="304" spans="1:15" ht="14.4" x14ac:dyDescent="0.3">
      <c r="A304" s="849"/>
      <c r="B304" s="80"/>
      <c r="C304" s="106">
        <v>2040</v>
      </c>
      <c r="D304" s="107">
        <v>26</v>
      </c>
      <c r="E304" s="108">
        <v>44136.051032469542</v>
      </c>
      <c r="F304" s="105">
        <v>44136.051032469542</v>
      </c>
      <c r="G304" s="730">
        <v>44291.259726492703</v>
      </c>
      <c r="H304" s="731">
        <v>43683.069057146364</v>
      </c>
      <c r="I304" s="86">
        <v>47492.516804046951</v>
      </c>
      <c r="J304" s="79"/>
      <c r="L304" s="79"/>
      <c r="O304" s="643"/>
    </row>
    <row r="305" spans="1:15" ht="14.4" x14ac:dyDescent="0.3">
      <c r="A305" s="849"/>
      <c r="B305" s="80"/>
      <c r="C305" s="106">
        <v>2041</v>
      </c>
      <c r="D305" s="107">
        <v>27</v>
      </c>
      <c r="E305" s="108"/>
      <c r="F305" s="105"/>
      <c r="G305" s="730">
        <v>44888.749616603076</v>
      </c>
      <c r="H305" s="731">
        <v>44211.631112456627</v>
      </c>
      <c r="I305" s="86">
        <v>48042.963270553388</v>
      </c>
      <c r="J305" s="79"/>
      <c r="L305" s="79"/>
      <c r="O305" s="643"/>
    </row>
    <row r="306" spans="1:15" ht="14.4" x14ac:dyDescent="0.3">
      <c r="A306" s="849"/>
      <c r="B306" s="80"/>
      <c r="C306" s="106">
        <v>2042</v>
      </c>
      <c r="D306" s="107">
        <v>28</v>
      </c>
      <c r="E306" s="108"/>
      <c r="F306" s="105"/>
      <c r="G306" s="730">
        <v>45474.082786084531</v>
      </c>
      <c r="H306" s="731">
        <v>44725.758642390821</v>
      </c>
      <c r="I306" s="86">
        <v>48574.14081037516</v>
      </c>
      <c r="J306" s="79"/>
      <c r="L306" s="79"/>
      <c r="O306" s="643"/>
    </row>
    <row r="307" spans="1:15" ht="14.4" x14ac:dyDescent="0.3">
      <c r="A307" s="849"/>
      <c r="B307" s="80"/>
      <c r="C307" s="106">
        <v>2043</v>
      </c>
      <c r="D307" s="107">
        <v>29</v>
      </c>
      <c r="E307" s="108"/>
      <c r="F307" s="105"/>
      <c r="G307" s="730">
        <v>46046.812283920517</v>
      </c>
      <c r="H307" s="731">
        <v>45225.031132161334</v>
      </c>
      <c r="I307" s="86">
        <v>49088.265018296101</v>
      </c>
      <c r="J307" s="79"/>
      <c r="L307" s="79"/>
      <c r="O307" s="643"/>
    </row>
    <row r="308" spans="1:15" ht="14.4" x14ac:dyDescent="0.3">
      <c r="A308" s="849"/>
      <c r="B308" s="80"/>
      <c r="C308" s="106">
        <v>2044</v>
      </c>
      <c r="D308" s="107">
        <v>30</v>
      </c>
      <c r="E308" s="108"/>
      <c r="F308" s="105"/>
      <c r="G308" s="730">
        <v>46606.491159094454</v>
      </c>
      <c r="H308" s="731">
        <v>45709.047154148648</v>
      </c>
      <c r="I308" s="86">
        <v>49584.875489707847</v>
      </c>
      <c r="J308" s="79"/>
      <c r="L308" s="79"/>
      <c r="O308" s="643"/>
    </row>
    <row r="309" spans="1:15" ht="14.4" x14ac:dyDescent="0.3">
      <c r="A309" s="849"/>
      <c r="B309" s="80"/>
      <c r="C309" s="106">
        <v>2045</v>
      </c>
      <c r="D309" s="107">
        <v>31</v>
      </c>
      <c r="E309" s="108">
        <v>47015.609417759901</v>
      </c>
      <c r="F309" s="105">
        <v>47015.609417759901</v>
      </c>
      <c r="G309" s="730">
        <v>47152.672460589776</v>
      </c>
      <c r="H309" s="731">
        <v>46177.396792358653</v>
      </c>
      <c r="I309" s="86">
        <v>50108.012010013437</v>
      </c>
      <c r="J309" s="79"/>
      <c r="L309" s="79"/>
      <c r="O309" s="643"/>
    </row>
    <row r="310" spans="1:15" ht="14.4" x14ac:dyDescent="0.3">
      <c r="A310" s="849"/>
      <c r="B310" s="80"/>
      <c r="C310" s="106">
        <v>2046</v>
      </c>
      <c r="D310" s="107">
        <v>32</v>
      </c>
      <c r="E310" s="108"/>
      <c r="F310" s="105"/>
      <c r="G310" s="730">
        <v>47684.909237389918</v>
      </c>
      <c r="H310" s="731">
        <v>46629.669898038555</v>
      </c>
      <c r="I310" s="86">
        <v>50523.679418313324</v>
      </c>
      <c r="J310" s="79"/>
      <c r="L310" s="79"/>
      <c r="O310" s="643"/>
    </row>
    <row r="311" spans="1:15" ht="14.4" x14ac:dyDescent="0.3">
      <c r="A311" s="849"/>
      <c r="B311" s="80"/>
      <c r="C311" s="106">
        <v>2047</v>
      </c>
      <c r="D311" s="107">
        <v>33</v>
      </c>
      <c r="E311" s="108"/>
      <c r="F311" s="105"/>
      <c r="G311" s="730">
        <v>48202.754538478315</v>
      </c>
      <c r="H311" s="731">
        <v>47065.437249327864</v>
      </c>
      <c r="I311" s="86">
        <v>50964.915550916092</v>
      </c>
      <c r="J311" s="79"/>
      <c r="L311" s="79"/>
      <c r="O311" s="643"/>
    </row>
    <row r="312" spans="1:15" ht="14.4" x14ac:dyDescent="0.3">
      <c r="A312" s="849"/>
      <c r="B312" s="80"/>
      <c r="C312" s="106">
        <v>2048</v>
      </c>
      <c r="D312" s="107">
        <v>34</v>
      </c>
      <c r="E312" s="108"/>
      <c r="F312" s="105"/>
      <c r="G312" s="730">
        <v>48705.761412838401</v>
      </c>
      <c r="H312" s="731">
        <v>47484.25135924809</v>
      </c>
      <c r="I312" s="86">
        <v>51386.705265468452</v>
      </c>
      <c r="J312" s="79"/>
      <c r="L312" s="79"/>
      <c r="O312" s="643"/>
    </row>
    <row r="313" spans="1:15" ht="14.4" x14ac:dyDescent="0.3">
      <c r="A313" s="79"/>
      <c r="B313" s="79"/>
      <c r="C313" s="106">
        <v>2049</v>
      </c>
      <c r="D313" s="107">
        <v>35</v>
      </c>
      <c r="E313" s="108"/>
      <c r="F313" s="105"/>
      <c r="G313" s="730">
        <v>49193.482909453603</v>
      </c>
      <c r="H313" s="731">
        <v>47885.657915581069</v>
      </c>
      <c r="I313" s="86">
        <v>51788.535272763394</v>
      </c>
      <c r="J313" s="79"/>
      <c r="L313" s="79"/>
      <c r="O313" s="643"/>
    </row>
    <row r="314" spans="1:15" ht="14.4" x14ac:dyDescent="0.3">
      <c r="A314" s="79"/>
      <c r="B314" s="79"/>
      <c r="C314" s="106">
        <v>2050</v>
      </c>
      <c r="D314" s="111">
        <v>36</v>
      </c>
      <c r="E314" s="108">
        <v>49765.531777135853</v>
      </c>
      <c r="F314" s="105">
        <v>49765.531777135853</v>
      </c>
      <c r="G314" s="740">
        <v>49665.472077307364</v>
      </c>
      <c r="H314" s="741">
        <v>48269.220776650458</v>
      </c>
      <c r="I314" s="86">
        <v>52146.857071609076</v>
      </c>
      <c r="J314" s="79"/>
      <c r="L314" s="79"/>
      <c r="O314" s="643"/>
    </row>
    <row r="315" spans="1:15" ht="14.4" x14ac:dyDescent="0.3">
      <c r="A315" s="79"/>
      <c r="B315" s="79"/>
      <c r="C315" s="106">
        <v>2051</v>
      </c>
      <c r="D315" s="107">
        <v>37</v>
      </c>
      <c r="E315" s="108"/>
      <c r="F315" s="105"/>
      <c r="G315" s="730">
        <v>50121.281965383096</v>
      </c>
      <c r="H315" s="731">
        <v>48634.526964008997</v>
      </c>
      <c r="I315" s="86">
        <v>52530.35885414941</v>
      </c>
      <c r="J315" s="79"/>
      <c r="L315" s="79"/>
      <c r="O315" s="643"/>
    </row>
    <row r="316" spans="1:15" ht="14.4" x14ac:dyDescent="0.3">
      <c r="A316" s="79"/>
      <c r="B316" s="79"/>
      <c r="C316" s="106">
        <v>2052</v>
      </c>
      <c r="D316" s="107">
        <v>38</v>
      </c>
      <c r="E316" s="108"/>
      <c r="F316" s="105"/>
      <c r="G316" s="730">
        <v>50560.465622664255</v>
      </c>
      <c r="H316" s="731">
        <v>48981.205788926192</v>
      </c>
      <c r="I316" s="86">
        <v>52869.450807085057</v>
      </c>
      <c r="J316" s="79"/>
      <c r="L316" s="79"/>
      <c r="O316" s="643"/>
    </row>
    <row r="317" spans="1:15" ht="14.4" x14ac:dyDescent="0.3">
      <c r="A317" s="79"/>
      <c r="B317" s="79"/>
      <c r="C317" s="106">
        <v>2053</v>
      </c>
      <c r="D317" s="107">
        <v>39</v>
      </c>
      <c r="E317" s="108"/>
      <c r="F317" s="105"/>
      <c r="G317" s="730">
        <v>50982.576098134276</v>
      </c>
      <c r="H317" s="731">
        <v>49308.920595481854</v>
      </c>
      <c r="I317" s="86">
        <v>53186.790680033657</v>
      </c>
      <c r="J317" s="79"/>
      <c r="L317" s="79"/>
      <c r="O317" s="643"/>
    </row>
    <row r="318" spans="1:15" ht="14.4" x14ac:dyDescent="0.3">
      <c r="A318" s="79"/>
      <c r="B318" s="79"/>
      <c r="C318" s="106">
        <v>2054</v>
      </c>
      <c r="D318" s="107">
        <v>40</v>
      </c>
      <c r="E318" s="108"/>
      <c r="F318" s="105"/>
      <c r="G318" s="730">
        <v>51387.166440776571</v>
      </c>
      <c r="H318" s="731">
        <v>49617.361746806841</v>
      </c>
      <c r="I318" s="86">
        <v>53482.009859137244</v>
      </c>
      <c r="J318" s="79"/>
      <c r="L318" s="79"/>
      <c r="O318" s="643"/>
    </row>
    <row r="319" spans="1:15" ht="14.4" x14ac:dyDescent="0.3">
      <c r="A319" s="79"/>
      <c r="B319" s="79"/>
      <c r="C319" s="106">
        <v>2055</v>
      </c>
      <c r="D319" s="111">
        <v>41</v>
      </c>
      <c r="E319" s="108"/>
      <c r="F319" s="105"/>
      <c r="G319" s="740">
        <v>51773.789699574583</v>
      </c>
      <c r="H319" s="741">
        <v>49906.20823928708</v>
      </c>
      <c r="I319" s="86">
        <v>53754.728363792899</v>
      </c>
      <c r="J319" s="79"/>
      <c r="L319" s="79"/>
      <c r="O319" s="643"/>
    </row>
    <row r="320" spans="1:15" ht="14.4" x14ac:dyDescent="0.3">
      <c r="A320" s="79"/>
      <c r="B320" s="79"/>
      <c r="C320" s="106">
        <v>2056</v>
      </c>
      <c r="D320" s="107">
        <v>42</v>
      </c>
      <c r="E320" s="108"/>
      <c r="F320" s="105"/>
      <c r="G320" s="730">
        <v>52141.998923511754</v>
      </c>
      <c r="H320" s="731">
        <v>50175.093104366293</v>
      </c>
      <c r="I320" s="86">
        <v>54004.520248455512</v>
      </c>
      <c r="J320" s="79"/>
      <c r="L320" s="79"/>
      <c r="O320" s="643"/>
    </row>
    <row r="321" spans="1:15" ht="14.4" x14ac:dyDescent="0.3">
      <c r="A321" s="79"/>
      <c r="B321" s="79"/>
      <c r="C321" s="106">
        <v>2057</v>
      </c>
      <c r="D321" s="107">
        <v>43</v>
      </c>
      <c r="E321" s="108"/>
      <c r="F321" s="105"/>
      <c r="G321" s="730">
        <v>52491.347161571495</v>
      </c>
      <c r="H321" s="731">
        <v>50423.637668153802</v>
      </c>
      <c r="I321" s="86">
        <v>54230.947862245572</v>
      </c>
      <c r="J321" s="79"/>
      <c r="L321" s="79"/>
      <c r="O321" s="643"/>
    </row>
    <row r="322" spans="1:15" ht="14.4" x14ac:dyDescent="0.3">
      <c r="A322" s="79"/>
      <c r="B322" s="79"/>
      <c r="C322" s="106">
        <v>2058</v>
      </c>
      <c r="D322" s="107">
        <v>44</v>
      </c>
      <c r="E322" s="108"/>
      <c r="F322" s="105"/>
      <c r="G322" s="730">
        <v>52821.387462737257</v>
      </c>
      <c r="H322" s="731">
        <v>50651.499762614461</v>
      </c>
      <c r="I322" s="86">
        <v>54433.610060139086</v>
      </c>
      <c r="J322" s="79"/>
      <c r="L322" s="79"/>
      <c r="O322" s="643"/>
    </row>
    <row r="323" spans="1:15" ht="14.4" x14ac:dyDescent="0.3">
      <c r="A323" s="79"/>
      <c r="B323" s="79"/>
      <c r="C323" s="106">
        <v>2059</v>
      </c>
      <c r="D323" s="107">
        <v>45</v>
      </c>
      <c r="E323" s="108"/>
      <c r="F323" s="105"/>
      <c r="G323" s="730">
        <v>53131.672875992474</v>
      </c>
      <c r="H323" s="731">
        <v>50858.344383933225</v>
      </c>
      <c r="I323" s="86">
        <v>54612.112861332185</v>
      </c>
      <c r="J323" s="79"/>
      <c r="L323" s="79"/>
      <c r="O323" s="643"/>
    </row>
    <row r="324" spans="1:15" ht="14.4" x14ac:dyDescent="0.3">
      <c r="A324" s="79"/>
      <c r="B324" s="79"/>
      <c r="C324" s="112">
        <v>2060</v>
      </c>
      <c r="D324" s="111">
        <v>46</v>
      </c>
      <c r="E324" s="108"/>
      <c r="F324" s="105"/>
      <c r="G324" s="740">
        <v>53421.756450320579</v>
      </c>
      <c r="H324" s="741">
        <v>51043.832355770952</v>
      </c>
      <c r="I324" s="86">
        <v>54766.058112496896</v>
      </c>
      <c r="J324" s="79"/>
      <c r="L324" s="79"/>
      <c r="O324" s="643"/>
    </row>
    <row r="325" spans="1:15" ht="14.4" x14ac:dyDescent="0.3">
      <c r="A325" s="79"/>
      <c r="B325" s="2"/>
      <c r="C325" s="2"/>
      <c r="D325" s="2"/>
      <c r="E325" s="2"/>
      <c r="F325" s="2"/>
      <c r="G325" s="2"/>
      <c r="H325" s="2"/>
      <c r="I325" s="2"/>
      <c r="J325" s="2"/>
      <c r="K325" s="2"/>
      <c r="O325" s="99"/>
    </row>
    <row r="326" spans="1:15" ht="14.4" x14ac:dyDescent="0.3">
      <c r="A326" s="79"/>
      <c r="B326" s="2"/>
      <c r="C326" s="2"/>
      <c r="D326" s="2"/>
      <c r="E326" s="2"/>
      <c r="F326" s="2"/>
      <c r="G326" s="2"/>
      <c r="H326" s="2"/>
      <c r="I326" s="2"/>
      <c r="J326" s="2"/>
      <c r="K326" s="2"/>
    </row>
    <row r="327" spans="1:15" ht="14.4" x14ac:dyDescent="0.3">
      <c r="A327" s="79"/>
      <c r="B327" s="2"/>
      <c r="C327" s="2"/>
      <c r="D327" s="2"/>
      <c r="E327" s="2"/>
      <c r="F327" s="2"/>
      <c r="G327" s="2"/>
      <c r="H327" s="2"/>
      <c r="I327" s="2"/>
      <c r="J327" s="2"/>
      <c r="K327" s="2"/>
    </row>
    <row r="328" spans="1:15" ht="14.4" x14ac:dyDescent="0.3">
      <c r="A328" s="79"/>
      <c r="B328" s="2"/>
      <c r="C328" s="2"/>
      <c r="D328" s="2"/>
      <c r="E328" s="2"/>
      <c r="F328" s="2"/>
      <c r="G328" s="2"/>
      <c r="H328" s="2"/>
      <c r="I328" s="2"/>
      <c r="J328" s="2"/>
      <c r="K328" s="2"/>
    </row>
    <row r="329" spans="1:15" ht="14.4" x14ac:dyDescent="0.3">
      <c r="A329" s="2"/>
      <c r="B329" s="2"/>
      <c r="C329" s="2"/>
      <c r="D329" s="2"/>
      <c r="E329" s="2"/>
      <c r="F329" s="2"/>
      <c r="G329" s="2"/>
      <c r="H329" s="2"/>
      <c r="I329" s="2"/>
      <c r="J329" s="2"/>
      <c r="K329" s="2"/>
    </row>
    <row r="330" spans="1:15" ht="15.75" customHeight="1" x14ac:dyDescent="0.3">
      <c r="A330" s="71">
        <v>6</v>
      </c>
      <c r="B330" s="72" t="s">
        <v>109</v>
      </c>
      <c r="C330" s="73"/>
      <c r="D330" s="73"/>
      <c r="E330" s="73"/>
      <c r="F330" s="73"/>
      <c r="G330" s="73"/>
      <c r="H330" s="73"/>
      <c r="I330" s="73"/>
      <c r="J330" s="73"/>
      <c r="K330" s="73"/>
    </row>
    <row r="331" spans="1:15" ht="15.75" customHeight="1" x14ac:dyDescent="0.3">
      <c r="A331" s="74" t="s">
        <v>74</v>
      </c>
      <c r="B331" s="75"/>
      <c r="C331" s="75"/>
      <c r="D331" s="76"/>
      <c r="E331" s="77"/>
      <c r="F331" s="862"/>
      <c r="G331" s="77"/>
      <c r="H331" s="78"/>
      <c r="I331" s="79"/>
      <c r="J331" s="79"/>
      <c r="K331" s="79"/>
      <c r="L331" s="99"/>
    </row>
    <row r="332" spans="1:15" ht="16.5" customHeight="1" thickBot="1" x14ac:dyDescent="0.35">
      <c r="A332" s="110" t="s">
        <v>75</v>
      </c>
      <c r="B332" s="80"/>
      <c r="C332" s="80"/>
      <c r="D332" s="81"/>
      <c r="E332" s="109" t="s">
        <v>78</v>
      </c>
      <c r="F332" s="863"/>
      <c r="G332" s="746" t="s">
        <v>110</v>
      </c>
      <c r="H332" s="711"/>
      <c r="I332" s="78"/>
      <c r="J332" s="79"/>
      <c r="K332" s="79"/>
      <c r="L332" s="79"/>
    </row>
    <row r="333" spans="1:15" ht="51.75" customHeight="1" thickBot="1" x14ac:dyDescent="0.35">
      <c r="A333" s="82"/>
      <c r="B333" s="82"/>
      <c r="C333" s="82"/>
      <c r="D333" s="83"/>
      <c r="E333" s="101" t="s">
        <v>80</v>
      </c>
      <c r="F333" s="101" t="s">
        <v>80</v>
      </c>
      <c r="G333" s="746" t="s">
        <v>81</v>
      </c>
      <c r="H333" s="747" t="s">
        <v>82</v>
      </c>
      <c r="I333" s="101" t="s">
        <v>99</v>
      </c>
      <c r="J333" s="101" t="s">
        <v>83</v>
      </c>
      <c r="K333" s="865" t="s">
        <v>84</v>
      </c>
      <c r="L333" s="866"/>
    </row>
    <row r="334" spans="1:15" ht="15.75" customHeight="1" x14ac:dyDescent="0.3">
      <c r="A334" s="74" t="s">
        <v>85</v>
      </c>
      <c r="B334" s="82"/>
      <c r="C334" s="102">
        <v>2005</v>
      </c>
      <c r="D334" s="103">
        <v>-9</v>
      </c>
      <c r="E334" s="104"/>
      <c r="F334" s="105"/>
      <c r="G334" s="722">
        <v>19469.456832927724</v>
      </c>
      <c r="H334" s="723">
        <v>19469.456832927724</v>
      </c>
      <c r="I334" s="84">
        <v>21720.456215947237</v>
      </c>
      <c r="J334" s="871" t="s">
        <v>86</v>
      </c>
      <c r="K334" s="867"/>
      <c r="L334" s="868"/>
      <c r="O334" s="94"/>
    </row>
    <row r="335" spans="1:15" ht="15.75" customHeight="1" x14ac:dyDescent="0.3">
      <c r="A335" s="110" t="s">
        <v>87</v>
      </c>
      <c r="B335" s="82"/>
      <c r="C335" s="106">
        <v>2006</v>
      </c>
      <c r="D335" s="107">
        <v>-8</v>
      </c>
      <c r="E335" s="108"/>
      <c r="F335" s="105"/>
      <c r="G335" s="727">
        <v>20163.943831843437</v>
      </c>
      <c r="H335" s="728">
        <v>20163.943831843437</v>
      </c>
      <c r="I335" s="85">
        <v>22471.853052723371</v>
      </c>
      <c r="J335" s="867"/>
      <c r="K335" s="867"/>
      <c r="L335" s="868"/>
      <c r="O335" s="94"/>
    </row>
    <row r="336" spans="1:15" ht="14.4" x14ac:dyDescent="0.3">
      <c r="A336" s="82"/>
      <c r="B336" s="82"/>
      <c r="C336" s="106">
        <v>2007</v>
      </c>
      <c r="D336" s="107">
        <v>-7</v>
      </c>
      <c r="E336" s="108"/>
      <c r="F336" s="105"/>
      <c r="G336" s="727">
        <v>20867.479363848091</v>
      </c>
      <c r="H336" s="728">
        <v>20867.479363848091</v>
      </c>
      <c r="I336" s="85">
        <v>23232.22330244938</v>
      </c>
      <c r="J336" s="867"/>
      <c r="K336" s="867"/>
      <c r="L336" s="868"/>
      <c r="O336" s="94"/>
    </row>
    <row r="337" spans="1:15" ht="15.75" customHeight="1" x14ac:dyDescent="0.3">
      <c r="A337" s="29" t="s">
        <v>88</v>
      </c>
      <c r="B337" s="82"/>
      <c r="C337" s="106">
        <v>2008</v>
      </c>
      <c r="D337" s="107">
        <v>-6</v>
      </c>
      <c r="E337" s="108"/>
      <c r="F337" s="105"/>
      <c r="G337" s="727">
        <v>21579.557886306266</v>
      </c>
      <c r="H337" s="728">
        <v>21579.557886306266</v>
      </c>
      <c r="I337" s="85">
        <v>24001.00244550101</v>
      </c>
      <c r="J337" s="867"/>
      <c r="K337" s="869"/>
      <c r="L337" s="870"/>
      <c r="O337" s="94"/>
    </row>
    <row r="338" spans="1:15" ht="14.4" x14ac:dyDescent="0.3">
      <c r="A338" s="872" t="s">
        <v>111</v>
      </c>
      <c r="B338" s="82"/>
      <c r="C338" s="106">
        <v>2009</v>
      </c>
      <c r="D338" s="107">
        <v>-5</v>
      </c>
      <c r="E338" s="108"/>
      <c r="F338" s="105"/>
      <c r="G338" s="727">
        <v>22299.673856582544</v>
      </c>
      <c r="H338" s="728">
        <v>22299.673856582544</v>
      </c>
      <c r="I338" s="85">
        <v>24777.625962254009</v>
      </c>
      <c r="J338" s="867"/>
      <c r="K338" s="79"/>
      <c r="L338" s="79"/>
      <c r="O338" s="94"/>
    </row>
    <row r="339" spans="1:15" ht="14.4" x14ac:dyDescent="0.3">
      <c r="A339" s="873"/>
      <c r="B339" s="82"/>
      <c r="C339" s="106">
        <v>2010</v>
      </c>
      <c r="D339" s="107">
        <v>-4</v>
      </c>
      <c r="E339" s="108"/>
      <c r="F339" s="105"/>
      <c r="G339" s="727">
        <v>23027.321732041499</v>
      </c>
      <c r="H339" s="728">
        <v>23027.321732041499</v>
      </c>
      <c r="I339" s="85">
        <v>25543.874514738567</v>
      </c>
      <c r="J339" s="867"/>
      <c r="K339" s="79"/>
      <c r="L339" s="79"/>
      <c r="O339" s="94"/>
    </row>
    <row r="340" spans="1:15" ht="14.4" x14ac:dyDescent="0.3">
      <c r="A340" s="873"/>
      <c r="B340" s="82"/>
      <c r="C340" s="106">
        <v>2011</v>
      </c>
      <c r="D340" s="107">
        <v>-3</v>
      </c>
      <c r="E340" s="108"/>
      <c r="F340" s="105"/>
      <c r="G340" s="727">
        <v>23761.995970047716</v>
      </c>
      <c r="H340" s="728">
        <v>23761.995970047716</v>
      </c>
      <c r="I340" s="85">
        <v>26352.148038367071</v>
      </c>
      <c r="J340" s="869"/>
      <c r="K340" s="79"/>
      <c r="L340" s="79"/>
      <c r="O340" s="94"/>
    </row>
    <row r="341" spans="1:15" ht="14.4" x14ac:dyDescent="0.3">
      <c r="A341" s="874"/>
      <c r="B341" s="82"/>
      <c r="C341" s="106">
        <v>2012</v>
      </c>
      <c r="D341" s="107">
        <v>-2</v>
      </c>
      <c r="E341" s="108"/>
      <c r="F341" s="105"/>
      <c r="G341" s="730">
        <v>24503.191027965771</v>
      </c>
      <c r="H341" s="731">
        <v>24503.191027965771</v>
      </c>
      <c r="I341" s="86">
        <v>27148.917558478621</v>
      </c>
      <c r="J341" s="87" t="s">
        <v>90</v>
      </c>
      <c r="L341" s="79"/>
      <c r="O341" s="643"/>
    </row>
    <row r="342" spans="1:15" ht="14.4" x14ac:dyDescent="0.3">
      <c r="A342" s="82"/>
      <c r="B342" s="82"/>
      <c r="C342" s="106">
        <v>2013</v>
      </c>
      <c r="D342" s="107">
        <v>-1</v>
      </c>
      <c r="E342" s="108">
        <v>25283.631322570884</v>
      </c>
      <c r="F342" s="105">
        <v>25283.631322570884</v>
      </c>
      <c r="G342" s="730">
        <v>25250.401363160243</v>
      </c>
      <c r="H342" s="731">
        <v>25250.401363160243</v>
      </c>
      <c r="I342" s="86">
        <v>27951.273373794513</v>
      </c>
      <c r="J342" s="82"/>
      <c r="L342" s="79"/>
      <c r="O342" s="643"/>
    </row>
    <row r="343" spans="1:15" ht="15.75" customHeight="1" x14ac:dyDescent="0.3">
      <c r="A343" s="77" t="s">
        <v>91</v>
      </c>
      <c r="B343" s="82"/>
      <c r="C343" s="106">
        <v>2014</v>
      </c>
      <c r="D343" s="107">
        <v>0</v>
      </c>
      <c r="E343" s="108"/>
      <c r="F343" s="105"/>
      <c r="G343" s="730">
        <v>26003.121432995711</v>
      </c>
      <c r="H343" s="731">
        <v>26166.154598055629</v>
      </c>
      <c r="I343" s="86">
        <v>28921.684129750403</v>
      </c>
      <c r="J343" s="79"/>
      <c r="L343" s="79"/>
      <c r="O343" s="643"/>
    </row>
    <row r="344" spans="1:15" ht="15.75" customHeight="1" x14ac:dyDescent="0.3">
      <c r="A344" s="110">
        <v>2016</v>
      </c>
      <c r="B344" s="80"/>
      <c r="C344" s="106">
        <v>2015</v>
      </c>
      <c r="D344" s="107">
        <v>1</v>
      </c>
      <c r="E344" s="108"/>
      <c r="F344" s="105"/>
      <c r="G344" s="730">
        <v>26760.845694836757</v>
      </c>
      <c r="H344" s="731">
        <v>26930.713882973643</v>
      </c>
      <c r="I344" s="86">
        <v>29769.169984985845</v>
      </c>
      <c r="J344" s="79"/>
      <c r="L344" s="79"/>
      <c r="O344" s="643"/>
    </row>
    <row r="345" spans="1:15" ht="14.4" x14ac:dyDescent="0.3">
      <c r="A345" s="79"/>
      <c r="B345" s="80"/>
      <c r="C345" s="106">
        <v>2016</v>
      </c>
      <c r="D345" s="107">
        <v>2</v>
      </c>
      <c r="E345" s="108"/>
      <c r="F345" s="105"/>
      <c r="G345" s="730">
        <v>27523.068606047957</v>
      </c>
      <c r="H345" s="731">
        <v>27700.55313726953</v>
      </c>
      <c r="I345" s="86">
        <v>30563.697925947225</v>
      </c>
      <c r="J345" s="79"/>
      <c r="L345" s="79"/>
      <c r="O345" s="643"/>
    </row>
    <row r="346" spans="1:15" ht="15.75" customHeight="1" x14ac:dyDescent="0.3">
      <c r="A346" s="77" t="s">
        <v>92</v>
      </c>
      <c r="B346" s="80"/>
      <c r="C346" s="106">
        <v>2017</v>
      </c>
      <c r="D346" s="107">
        <v>3</v>
      </c>
      <c r="E346" s="108"/>
      <c r="F346" s="105"/>
      <c r="G346" s="730">
        <v>28289.284623993888</v>
      </c>
      <c r="H346" s="731">
        <v>28475.20186626491</v>
      </c>
      <c r="I346" s="86">
        <v>31391.186436887347</v>
      </c>
      <c r="J346" s="79"/>
      <c r="L346" s="79"/>
      <c r="O346" s="643"/>
    </row>
    <row r="347" spans="1:15" ht="15.75" customHeight="1" x14ac:dyDescent="0.3">
      <c r="A347" s="110" t="s">
        <v>80</v>
      </c>
      <c r="B347" s="80"/>
      <c r="C347" s="106">
        <v>2018</v>
      </c>
      <c r="D347" s="107">
        <v>4</v>
      </c>
      <c r="E347" s="108"/>
      <c r="F347" s="105"/>
      <c r="G347" s="730">
        <v>29058.988206039136</v>
      </c>
      <c r="H347" s="731">
        <v>29253.967382198509</v>
      </c>
      <c r="I347" s="86">
        <v>32222.067867749436</v>
      </c>
      <c r="J347" s="79"/>
      <c r="L347" s="79"/>
      <c r="O347" s="643"/>
    </row>
    <row r="348" spans="1:15" ht="14.4" x14ac:dyDescent="0.3">
      <c r="A348" s="79"/>
      <c r="B348" s="80"/>
      <c r="C348" s="106">
        <v>2019</v>
      </c>
      <c r="D348" s="107">
        <v>5</v>
      </c>
      <c r="E348" s="108"/>
      <c r="F348" s="105"/>
      <c r="G348" s="730">
        <v>29831.673809548276</v>
      </c>
      <c r="H348" s="731">
        <v>30036.028030061389</v>
      </c>
      <c r="I348" s="86">
        <v>33055.461586535705</v>
      </c>
      <c r="J348" s="79"/>
      <c r="L348" s="79"/>
      <c r="O348" s="643"/>
    </row>
    <row r="349" spans="1:15" ht="15.75" customHeight="1" x14ac:dyDescent="0.3">
      <c r="A349" s="77" t="s">
        <v>93</v>
      </c>
      <c r="B349" s="80"/>
      <c r="C349" s="106">
        <v>2020</v>
      </c>
      <c r="D349" s="107">
        <v>6</v>
      </c>
      <c r="E349" s="108">
        <v>30527.513002169602</v>
      </c>
      <c r="F349" s="105">
        <v>30527.513002169602</v>
      </c>
      <c r="G349" s="730">
        <v>30606.835891885887</v>
      </c>
      <c r="H349" s="731">
        <v>30823.086127412549</v>
      </c>
      <c r="I349" s="86">
        <v>33899.100977762006</v>
      </c>
      <c r="J349" s="79"/>
      <c r="L349" s="79"/>
      <c r="O349" s="643"/>
    </row>
    <row r="350" spans="1:15" ht="15.75" customHeight="1" x14ac:dyDescent="0.3">
      <c r="A350" s="77"/>
      <c r="B350" s="80"/>
      <c r="C350" s="106">
        <v>2021</v>
      </c>
      <c r="D350" s="107">
        <v>7</v>
      </c>
      <c r="E350" s="108"/>
      <c r="F350" s="105"/>
      <c r="G350" s="730">
        <v>31383.968910416548</v>
      </c>
      <c r="H350" s="731">
        <v>31589.472913469002</v>
      </c>
      <c r="I350" s="86">
        <v>34708.988171819488</v>
      </c>
      <c r="J350" s="79"/>
      <c r="L350" s="79"/>
      <c r="O350" s="643"/>
    </row>
    <row r="351" spans="1:15" ht="15.75" customHeight="1" x14ac:dyDescent="0.3">
      <c r="A351" s="88"/>
      <c r="B351" s="80"/>
      <c r="C351" s="106">
        <v>2022</v>
      </c>
      <c r="D351" s="107">
        <v>8</v>
      </c>
      <c r="E351" s="108"/>
      <c r="F351" s="105"/>
      <c r="G351" s="730">
        <v>32162.567322504841</v>
      </c>
      <c r="H351" s="731">
        <v>32354.801697858878</v>
      </c>
      <c r="I351" s="86">
        <v>35522.947633184463</v>
      </c>
      <c r="J351" s="79"/>
      <c r="L351" s="79"/>
      <c r="O351" s="643"/>
    </row>
    <row r="352" spans="1:15" ht="15.75" customHeight="1" x14ac:dyDescent="0.3">
      <c r="A352" s="110"/>
      <c r="B352" s="80"/>
      <c r="C352" s="106">
        <v>2023</v>
      </c>
      <c r="D352" s="107">
        <v>9</v>
      </c>
      <c r="E352" s="108"/>
      <c r="F352" s="105"/>
      <c r="G352" s="730">
        <v>32942.125585515343</v>
      </c>
      <c r="H352" s="731">
        <v>33118.387453351686</v>
      </c>
      <c r="I352" s="86">
        <v>36334.14531369193</v>
      </c>
      <c r="J352" s="79"/>
      <c r="L352" s="79"/>
      <c r="O352" s="643"/>
    </row>
    <row r="353" spans="1:15" ht="14.4" x14ac:dyDescent="0.3">
      <c r="A353" s="79"/>
      <c r="B353" s="80"/>
      <c r="C353" s="106">
        <v>2024</v>
      </c>
      <c r="D353" s="107">
        <v>10</v>
      </c>
      <c r="E353" s="108"/>
      <c r="F353" s="105"/>
      <c r="G353" s="730">
        <v>33722.138156812631</v>
      </c>
      <c r="H353" s="731">
        <v>33878.948808669586</v>
      </c>
      <c r="I353" s="86">
        <v>37141.240865075219</v>
      </c>
      <c r="J353" s="79"/>
      <c r="L353" s="79"/>
      <c r="O353" s="643"/>
    </row>
    <row r="354" spans="1:15" ht="14.4" x14ac:dyDescent="0.3">
      <c r="A354" s="5" t="s">
        <v>101</v>
      </c>
      <c r="B354" s="80"/>
      <c r="C354" s="106">
        <v>2025</v>
      </c>
      <c r="D354" s="107">
        <v>11</v>
      </c>
      <c r="E354" s="108">
        <v>34494.905338152748</v>
      </c>
      <c r="F354" s="105">
        <v>34494.905338152748</v>
      </c>
      <c r="G354" s="730">
        <v>34502.099493761285</v>
      </c>
      <c r="H354" s="731">
        <v>34635.371951732202</v>
      </c>
      <c r="I354" s="86">
        <v>37935.932984605883</v>
      </c>
      <c r="J354" s="79"/>
      <c r="L354" s="79"/>
      <c r="O354" s="643"/>
    </row>
    <row r="355" spans="1:15" ht="15" customHeight="1" x14ac:dyDescent="0.3">
      <c r="A355" s="849" t="s">
        <v>102</v>
      </c>
      <c r="B355" s="80"/>
      <c r="C355" s="106">
        <v>2026</v>
      </c>
      <c r="D355" s="107">
        <v>12</v>
      </c>
      <c r="E355" s="108"/>
      <c r="F355" s="105"/>
      <c r="G355" s="730">
        <v>35281.50405372589</v>
      </c>
      <c r="H355" s="731">
        <v>35387.17477303894</v>
      </c>
      <c r="I355" s="86">
        <v>38739.066126772195</v>
      </c>
      <c r="J355" s="79"/>
      <c r="L355" s="79"/>
      <c r="O355" s="643"/>
    </row>
    <row r="356" spans="1:15" ht="14.4" x14ac:dyDescent="0.3">
      <c r="A356" s="849"/>
      <c r="B356" s="80"/>
      <c r="C356" s="106">
        <v>2027</v>
      </c>
      <c r="D356" s="107">
        <v>13</v>
      </c>
      <c r="E356" s="108"/>
      <c r="F356" s="105"/>
      <c r="G356" s="730">
        <v>36059.846294071023</v>
      </c>
      <c r="H356" s="731">
        <v>36134.205077704108</v>
      </c>
      <c r="I356" s="86">
        <v>39529.043578721918</v>
      </c>
      <c r="J356" s="79"/>
      <c r="L356" s="79"/>
      <c r="O356" s="643"/>
    </row>
    <row r="357" spans="1:15" ht="14.4" x14ac:dyDescent="0.3">
      <c r="A357" s="849"/>
      <c r="B357" s="80"/>
      <c r="C357" s="106">
        <v>2028</v>
      </c>
      <c r="D357" s="107">
        <v>14</v>
      </c>
      <c r="E357" s="108"/>
      <c r="F357" s="105"/>
      <c r="G357" s="730">
        <v>36836.620672161254</v>
      </c>
      <c r="H357" s="731">
        <v>36875.944459794708</v>
      </c>
      <c r="I357" s="86">
        <v>40312.41647119246</v>
      </c>
      <c r="J357" s="79"/>
      <c r="L357" s="79"/>
      <c r="O357" s="643"/>
    </row>
    <row r="358" spans="1:15" ht="14.4" x14ac:dyDescent="0.3">
      <c r="A358" s="849"/>
      <c r="B358" s="80"/>
      <c r="C358" s="106">
        <v>2029</v>
      </c>
      <c r="D358" s="107">
        <v>15</v>
      </c>
      <c r="E358" s="108"/>
      <c r="F358" s="105"/>
      <c r="G358" s="730">
        <v>37611.321645361175</v>
      </c>
      <c r="H358" s="731">
        <v>37611.887871081941</v>
      </c>
      <c r="I358" s="86">
        <v>41088.620778966193</v>
      </c>
      <c r="J358" s="79"/>
      <c r="L358" s="79"/>
      <c r="O358" s="643"/>
    </row>
    <row r="359" spans="1:15" ht="14.4" x14ac:dyDescent="0.3">
      <c r="A359" s="849"/>
      <c r="B359" s="80"/>
      <c r="C359" s="106">
        <v>2030</v>
      </c>
      <c r="D359" s="107">
        <v>16</v>
      </c>
      <c r="E359" s="108">
        <v>38410.628257228447</v>
      </c>
      <c r="F359" s="105">
        <v>38410.628257228447</v>
      </c>
      <c r="G359" s="730">
        <v>38383.443671035355</v>
      </c>
      <c r="H359" s="731">
        <v>38341.514651173384</v>
      </c>
      <c r="I359" s="86">
        <v>41843.236033275971</v>
      </c>
      <c r="J359" s="79"/>
      <c r="L359" s="79"/>
      <c r="O359" s="643"/>
    </row>
    <row r="360" spans="1:15" ht="14.4" x14ac:dyDescent="0.3">
      <c r="A360" s="849"/>
      <c r="B360" s="80"/>
      <c r="C360" s="106">
        <v>2031</v>
      </c>
      <c r="D360" s="107">
        <v>17</v>
      </c>
      <c r="E360" s="108"/>
      <c r="F360" s="105"/>
      <c r="G360" s="730">
        <v>39152.481206548386</v>
      </c>
      <c r="H360" s="731">
        <v>39064.313139073987</v>
      </c>
      <c r="I360" s="86">
        <v>42617.214090295522</v>
      </c>
      <c r="J360" s="79"/>
      <c r="L360" s="79"/>
      <c r="O360" s="643"/>
    </row>
    <row r="361" spans="1:15" ht="14.4" x14ac:dyDescent="0.3">
      <c r="A361" s="849"/>
      <c r="B361" s="80"/>
      <c r="C361" s="106">
        <v>2032</v>
      </c>
      <c r="D361" s="107">
        <v>18</v>
      </c>
      <c r="E361" s="108"/>
      <c r="F361" s="105"/>
      <c r="G361" s="730">
        <v>39917.92870926483</v>
      </c>
      <c r="H361" s="731">
        <v>39779.896922523767</v>
      </c>
      <c r="I361" s="86">
        <v>43368.587066618427</v>
      </c>
      <c r="J361" s="79"/>
      <c r="L361" s="79"/>
      <c r="O361" s="643"/>
    </row>
    <row r="362" spans="1:15" ht="14.4" x14ac:dyDescent="0.3">
      <c r="A362" s="849"/>
      <c r="B362" s="80"/>
      <c r="C362" s="106">
        <v>2033</v>
      </c>
      <c r="D362" s="107">
        <v>19</v>
      </c>
      <c r="E362" s="108"/>
      <c r="F362" s="105"/>
      <c r="G362" s="730">
        <v>40679.280636549272</v>
      </c>
      <c r="H362" s="731">
        <v>40488.144317952967</v>
      </c>
      <c r="I362" s="86">
        <v>44111.01513307196</v>
      </c>
      <c r="J362" s="79"/>
      <c r="L362" s="79"/>
      <c r="O362" s="643"/>
    </row>
    <row r="363" spans="1:15" ht="14.4" x14ac:dyDescent="0.3">
      <c r="A363" s="849"/>
      <c r="B363" s="80"/>
      <c r="C363" s="106">
        <v>2034</v>
      </c>
      <c r="D363" s="107">
        <v>20</v>
      </c>
      <c r="E363" s="108"/>
      <c r="F363" s="105"/>
      <c r="G363" s="730">
        <v>41436.031445766304</v>
      </c>
      <c r="H363" s="731">
        <v>41189.068076856514</v>
      </c>
      <c r="I363" s="86">
        <v>44844.452064162208</v>
      </c>
      <c r="J363" s="79"/>
      <c r="L363" s="79"/>
      <c r="O363" s="643"/>
    </row>
    <row r="364" spans="1:15" ht="14.4" x14ac:dyDescent="0.3">
      <c r="A364" s="849"/>
      <c r="B364" s="80"/>
      <c r="C364" s="106">
        <v>2035</v>
      </c>
      <c r="D364" s="107">
        <v>21</v>
      </c>
      <c r="E364" s="108">
        <v>42320.942810000175</v>
      </c>
      <c r="F364" s="105">
        <v>42320.942810000175</v>
      </c>
      <c r="G364" s="730">
        <v>42187.675594280488</v>
      </c>
      <c r="H364" s="731">
        <v>41882.562453842358</v>
      </c>
      <c r="I364" s="86">
        <v>45553.691062347571</v>
      </c>
      <c r="J364" s="79"/>
      <c r="L364" s="79"/>
      <c r="O364" s="643"/>
    </row>
    <row r="365" spans="1:15" ht="14.4" x14ac:dyDescent="0.3">
      <c r="A365" s="849"/>
      <c r="B365" s="80"/>
      <c r="C365" s="106">
        <v>2036</v>
      </c>
      <c r="D365" s="107">
        <v>22</v>
      </c>
      <c r="E365" s="108"/>
      <c r="F365" s="105"/>
      <c r="G365" s="730">
        <v>42933.707539456416</v>
      </c>
      <c r="H365" s="731">
        <v>42568.337190285194</v>
      </c>
      <c r="I365" s="86">
        <v>46283.509117496054</v>
      </c>
      <c r="J365" s="79"/>
      <c r="L365" s="79"/>
      <c r="O365" s="643"/>
    </row>
    <row r="366" spans="1:15" ht="14.4" x14ac:dyDescent="0.3">
      <c r="A366" s="849"/>
      <c r="B366" s="80"/>
      <c r="C366" s="106">
        <v>2037</v>
      </c>
      <c r="D366" s="107">
        <v>23</v>
      </c>
      <c r="E366" s="108"/>
      <c r="F366" s="105"/>
      <c r="G366" s="730">
        <v>43673.62173865865</v>
      </c>
      <c r="H366" s="731">
        <v>43245.860377129211</v>
      </c>
      <c r="I366" s="86">
        <v>46988.189118080874</v>
      </c>
      <c r="J366" s="79"/>
      <c r="L366" s="79"/>
      <c r="O366" s="643"/>
    </row>
    <row r="367" spans="1:15" ht="14.4" x14ac:dyDescent="0.3">
      <c r="A367" s="849"/>
      <c r="B367" s="80"/>
      <c r="C367" s="106">
        <v>2038</v>
      </c>
      <c r="D367" s="107">
        <v>24</v>
      </c>
      <c r="E367" s="108"/>
      <c r="F367" s="105"/>
      <c r="G367" s="730">
        <v>44406.912649251797</v>
      </c>
      <c r="H367" s="731">
        <v>43914.484132163794</v>
      </c>
      <c r="I367" s="86">
        <v>47682.066280063278</v>
      </c>
      <c r="J367" s="79"/>
      <c r="L367" s="79"/>
      <c r="O367" s="643"/>
    </row>
    <row r="368" spans="1:15" ht="14.4" x14ac:dyDescent="0.3">
      <c r="A368" s="849"/>
      <c r="B368" s="80"/>
      <c r="C368" s="106">
        <v>2039</v>
      </c>
      <c r="D368" s="107">
        <v>25</v>
      </c>
      <c r="E368" s="108"/>
      <c r="F368" s="105"/>
      <c r="G368" s="730">
        <v>45133.074728600412</v>
      </c>
      <c r="H368" s="731">
        <v>44573.430064960266</v>
      </c>
      <c r="I368" s="86">
        <v>48364.303236025771</v>
      </c>
      <c r="J368" s="79"/>
      <c r="L368" s="79"/>
      <c r="O368" s="643"/>
    </row>
    <row r="369" spans="1:15" ht="14.4" x14ac:dyDescent="0.3">
      <c r="A369" s="849"/>
      <c r="B369" s="80"/>
      <c r="C369" s="106">
        <v>2040</v>
      </c>
      <c r="D369" s="107">
        <v>26</v>
      </c>
      <c r="E369" s="108">
        <v>45763.592732737277</v>
      </c>
      <c r="F369" s="105">
        <v>45763.592732737277</v>
      </c>
      <c r="G369" s="730">
        <v>45851.602434069078</v>
      </c>
      <c r="H369" s="731">
        <v>45221.985734359398</v>
      </c>
      <c r="I369" s="86">
        <v>49031.433481259985</v>
      </c>
      <c r="J369" s="79"/>
      <c r="L369" s="79"/>
      <c r="O369" s="643"/>
    </row>
    <row r="370" spans="1:15" ht="14.4" x14ac:dyDescent="0.3">
      <c r="A370" s="849"/>
      <c r="B370" s="80"/>
      <c r="C370" s="106">
        <v>2041</v>
      </c>
      <c r="D370" s="107">
        <v>27</v>
      </c>
      <c r="E370" s="108"/>
      <c r="F370" s="105"/>
      <c r="G370" s="730">
        <v>46561.990223022382</v>
      </c>
      <c r="H370" s="731">
        <v>45859.631938615341</v>
      </c>
      <c r="I370" s="86">
        <v>49690.964096712101</v>
      </c>
      <c r="J370" s="79"/>
      <c r="L370" s="79"/>
      <c r="O370" s="643"/>
    </row>
    <row r="371" spans="1:15" ht="14.4" x14ac:dyDescent="0.3">
      <c r="A371" s="849"/>
      <c r="B371" s="80"/>
      <c r="C371" s="106">
        <v>2042</v>
      </c>
      <c r="D371" s="107">
        <v>28</v>
      </c>
      <c r="E371" s="108"/>
      <c r="F371" s="105"/>
      <c r="G371" s="730">
        <v>47263.732552824906</v>
      </c>
      <c r="H371" s="731">
        <v>46485.957828775179</v>
      </c>
      <c r="I371" s="86">
        <v>50334.339996759518</v>
      </c>
      <c r="J371" s="79"/>
      <c r="L371" s="79"/>
      <c r="O371" s="643"/>
    </row>
    <row r="372" spans="1:15" ht="14.4" x14ac:dyDescent="0.3">
      <c r="A372" s="849"/>
      <c r="B372" s="80"/>
      <c r="C372" s="106">
        <v>2043</v>
      </c>
      <c r="D372" s="107">
        <v>29</v>
      </c>
      <c r="E372" s="108"/>
      <c r="F372" s="105"/>
      <c r="G372" s="730">
        <v>47956.323880841213</v>
      </c>
      <c r="H372" s="731">
        <v>47100.464351848459</v>
      </c>
      <c r="I372" s="86">
        <v>50963.698237983226</v>
      </c>
      <c r="J372" s="79"/>
      <c r="L372" s="79"/>
      <c r="O372" s="643"/>
    </row>
    <row r="373" spans="1:15" ht="14.4" x14ac:dyDescent="0.3">
      <c r="A373" s="849"/>
      <c r="B373" s="80"/>
      <c r="C373" s="106">
        <v>2044</v>
      </c>
      <c r="D373" s="107">
        <v>30</v>
      </c>
      <c r="E373" s="108"/>
      <c r="F373" s="105"/>
      <c r="G373" s="730">
        <v>48639.258664435889</v>
      </c>
      <c r="H373" s="731">
        <v>47702.672150244107</v>
      </c>
      <c r="I373" s="86">
        <v>51578.500485803306</v>
      </c>
      <c r="J373" s="79"/>
      <c r="L373" s="79"/>
      <c r="O373" s="643"/>
    </row>
    <row r="374" spans="1:15" ht="14.4" x14ac:dyDescent="0.3">
      <c r="A374" s="849"/>
      <c r="B374" s="80"/>
      <c r="C374" s="106">
        <v>2045</v>
      </c>
      <c r="D374" s="107">
        <v>31</v>
      </c>
      <c r="E374" s="108">
        <v>49245.517188407437</v>
      </c>
      <c r="F374" s="105">
        <v>49245.517188407437</v>
      </c>
      <c r="G374" s="730">
        <v>49312.031360973524</v>
      </c>
      <c r="H374" s="731">
        <v>48292.092896666894</v>
      </c>
      <c r="I374" s="86">
        <v>52222.708114321678</v>
      </c>
      <c r="J374" s="79"/>
      <c r="L374" s="79"/>
      <c r="O374" s="643"/>
    </row>
    <row r="375" spans="1:15" ht="14.4" x14ac:dyDescent="0.3">
      <c r="A375" s="849"/>
      <c r="B375" s="80"/>
      <c r="C375" s="106">
        <v>2046</v>
      </c>
      <c r="D375" s="107">
        <v>32</v>
      </c>
      <c r="E375" s="108"/>
      <c r="F375" s="105"/>
      <c r="G375" s="730">
        <v>49974.136427818681</v>
      </c>
      <c r="H375" s="731">
        <v>48868.23782064682</v>
      </c>
      <c r="I375" s="86">
        <v>52762.247340921589</v>
      </c>
      <c r="J375" s="79"/>
      <c r="L375" s="79"/>
      <c r="O375" s="643"/>
    </row>
    <row r="376" spans="1:15" ht="14.4" x14ac:dyDescent="0.3">
      <c r="A376" s="849"/>
      <c r="B376" s="80"/>
      <c r="C376" s="106">
        <v>2047</v>
      </c>
      <c r="D376" s="107">
        <v>33</v>
      </c>
      <c r="E376" s="108"/>
      <c r="F376" s="105"/>
      <c r="G376" s="730">
        <v>50625.068322335952</v>
      </c>
      <c r="H376" s="731">
        <v>49430.597881410125</v>
      </c>
      <c r="I376" s="86">
        <v>53330.076182998353</v>
      </c>
      <c r="J376" s="79"/>
      <c r="L376" s="79"/>
      <c r="O376" s="643"/>
    </row>
    <row r="377" spans="1:15" ht="14.4" x14ac:dyDescent="0.3">
      <c r="A377" s="849"/>
      <c r="B377" s="80"/>
      <c r="C377" s="106">
        <v>2048</v>
      </c>
      <c r="D377" s="107">
        <v>34</v>
      </c>
      <c r="E377" s="108"/>
      <c r="F377" s="105"/>
      <c r="G377" s="730">
        <v>51264.321501889921</v>
      </c>
      <c r="H377" s="731">
        <v>49978.644360447295</v>
      </c>
      <c r="I377" s="86">
        <v>53881.098266667657</v>
      </c>
      <c r="J377" s="79"/>
      <c r="L377" s="79"/>
      <c r="O377" s="643"/>
    </row>
    <row r="378" spans="1:15" ht="14.4" x14ac:dyDescent="0.3">
      <c r="A378" s="79"/>
      <c r="B378" s="79"/>
      <c r="C378" s="106">
        <v>2049</v>
      </c>
      <c r="D378" s="107">
        <v>35</v>
      </c>
      <c r="E378" s="108"/>
      <c r="F378" s="105"/>
      <c r="G378" s="730">
        <v>51891.390423845151</v>
      </c>
      <c r="H378" s="731">
        <v>50511.84066746755</v>
      </c>
      <c r="I378" s="86">
        <v>54414.718024649876</v>
      </c>
      <c r="J378" s="79"/>
      <c r="L378" s="79"/>
      <c r="O378" s="643"/>
    </row>
    <row r="379" spans="1:15" ht="14.4" x14ac:dyDescent="0.3">
      <c r="A379" s="79"/>
      <c r="B379" s="79"/>
      <c r="C379" s="106">
        <v>2050</v>
      </c>
      <c r="D379" s="111">
        <v>36</v>
      </c>
      <c r="E379" s="108">
        <v>52553.12870346554</v>
      </c>
      <c r="F379" s="105">
        <v>52553.12870346554</v>
      </c>
      <c r="G379" s="740">
        <v>52505.769545566218</v>
      </c>
      <c r="H379" s="741">
        <v>51029.668625678147</v>
      </c>
      <c r="I379" s="86">
        <v>54907.304920636765</v>
      </c>
      <c r="J379" s="79"/>
      <c r="L379" s="79"/>
      <c r="O379" s="643"/>
    </row>
    <row r="380" spans="1:15" ht="14.4" x14ac:dyDescent="0.3">
      <c r="A380" s="79"/>
      <c r="B380" s="79"/>
      <c r="C380" s="106">
        <v>2051</v>
      </c>
      <c r="D380" s="107">
        <v>37</v>
      </c>
      <c r="E380" s="108"/>
      <c r="F380" s="105"/>
      <c r="G380" s="730">
        <v>53106.953324417715</v>
      </c>
      <c r="H380" s="731">
        <v>51531.633911850586</v>
      </c>
      <c r="I380" s="86">
        <v>55427.465801990998</v>
      </c>
      <c r="J380" s="79"/>
      <c r="L380" s="79"/>
      <c r="O380" s="643"/>
    </row>
    <row r="381" spans="1:15" ht="14.4" x14ac:dyDescent="0.3">
      <c r="A381" s="79"/>
      <c r="B381" s="79"/>
      <c r="C381" s="106">
        <v>2052</v>
      </c>
      <c r="D381" s="107">
        <v>38</v>
      </c>
      <c r="E381" s="108"/>
      <c r="F381" s="105"/>
      <c r="G381" s="730">
        <v>53694.436217764218</v>
      </c>
      <c r="H381" s="731">
        <v>52017.286583764137</v>
      </c>
      <c r="I381" s="86">
        <v>55905.531601923001</v>
      </c>
      <c r="J381" s="79"/>
      <c r="L381" s="79"/>
      <c r="O381" s="643"/>
    </row>
    <row r="382" spans="1:15" ht="14.4" x14ac:dyDescent="0.3">
      <c r="A382" s="79"/>
      <c r="B382" s="79"/>
      <c r="C382" s="106">
        <v>2053</v>
      </c>
      <c r="D382" s="107">
        <v>39</v>
      </c>
      <c r="E382" s="108"/>
      <c r="F382" s="105"/>
      <c r="G382" s="730">
        <v>54267.712682970312</v>
      </c>
      <c r="H382" s="731">
        <v>52486.212749083337</v>
      </c>
      <c r="I382" s="86">
        <v>56364.082833635141</v>
      </c>
      <c r="J382" s="79"/>
      <c r="L382" s="79"/>
      <c r="O382" s="643"/>
    </row>
    <row r="383" spans="1:15" ht="14.4" x14ac:dyDescent="0.3">
      <c r="A383" s="79"/>
      <c r="B383" s="79"/>
      <c r="C383" s="106">
        <v>2054</v>
      </c>
      <c r="D383" s="107">
        <v>40</v>
      </c>
      <c r="E383" s="108"/>
      <c r="F383" s="105"/>
      <c r="G383" s="730">
        <v>54826.277177400567</v>
      </c>
      <c r="H383" s="731">
        <v>52938.027456270727</v>
      </c>
      <c r="I383" s="86">
        <v>56802.675568601131</v>
      </c>
      <c r="J383" s="79"/>
      <c r="L383" s="79"/>
      <c r="O383" s="643"/>
    </row>
    <row r="384" spans="1:15" ht="14.4" x14ac:dyDescent="0.3">
      <c r="A384" s="79"/>
      <c r="B384" s="79"/>
      <c r="C384" s="106">
        <v>2055</v>
      </c>
      <c r="D384" s="111">
        <v>41</v>
      </c>
      <c r="E384" s="108"/>
      <c r="F384" s="105"/>
      <c r="G384" s="740">
        <v>55369.62415841956</v>
      </c>
      <c r="H384" s="741">
        <v>53372.33394378802</v>
      </c>
      <c r="I384" s="86">
        <v>57220.85406829384</v>
      </c>
      <c r="J384" s="79"/>
      <c r="L384" s="79"/>
      <c r="O384" s="643"/>
    </row>
    <row r="385" spans="1:18" ht="14.4" x14ac:dyDescent="0.3">
      <c r="A385" s="79"/>
      <c r="B385" s="79"/>
      <c r="C385" s="106">
        <v>2056</v>
      </c>
      <c r="D385" s="107">
        <v>42</v>
      </c>
      <c r="E385" s="108"/>
      <c r="F385" s="105"/>
      <c r="G385" s="730">
        <v>55897.248083391874</v>
      </c>
      <c r="H385" s="731">
        <v>53788.686371158299</v>
      </c>
      <c r="I385" s="86">
        <v>57618.113515247518</v>
      </c>
      <c r="J385" s="79"/>
      <c r="L385" s="79"/>
      <c r="O385" s="643"/>
    </row>
    <row r="386" spans="1:18" ht="14.4" x14ac:dyDescent="0.3">
      <c r="A386" s="79"/>
      <c r="B386" s="79"/>
      <c r="C386" s="106">
        <v>2057</v>
      </c>
      <c r="D386" s="107">
        <v>43</v>
      </c>
      <c r="E386" s="108"/>
      <c r="F386" s="105"/>
      <c r="G386" s="730">
        <v>56408.643409682089</v>
      </c>
      <c r="H386" s="731">
        <v>54186.625995459544</v>
      </c>
      <c r="I386" s="86">
        <v>57993.936189551314</v>
      </c>
      <c r="J386" s="79"/>
      <c r="L386" s="79"/>
      <c r="O386" s="643"/>
    </row>
    <row r="387" spans="1:18" ht="14.4" x14ac:dyDescent="0.3">
      <c r="A387" s="79"/>
      <c r="B387" s="79"/>
      <c r="C387" s="106">
        <v>2058</v>
      </c>
      <c r="D387" s="107">
        <v>44</v>
      </c>
      <c r="E387" s="108"/>
      <c r="F387" s="105"/>
      <c r="G387" s="730">
        <v>56903.304594654794</v>
      </c>
      <c r="H387" s="731">
        <v>54565.732889947365</v>
      </c>
      <c r="I387" s="86">
        <v>58347.84318747199</v>
      </c>
      <c r="J387" s="79"/>
      <c r="L387" s="79"/>
      <c r="O387" s="643"/>
    </row>
    <row r="388" spans="1:18" ht="14.4" x14ac:dyDescent="0.3">
      <c r="A388" s="79"/>
      <c r="B388" s="79"/>
      <c r="C388" s="106">
        <v>2059</v>
      </c>
      <c r="D388" s="107">
        <v>45</v>
      </c>
      <c r="E388" s="108"/>
      <c r="F388" s="105"/>
      <c r="G388" s="730">
        <v>57380.726095674545</v>
      </c>
      <c r="H388" s="731">
        <v>54925.594674670741</v>
      </c>
      <c r="I388" s="86">
        <v>58679.363152069702</v>
      </c>
      <c r="J388" s="79"/>
      <c r="L388" s="79"/>
      <c r="O388" s="643"/>
    </row>
    <row r="389" spans="1:18" ht="14.4" x14ac:dyDescent="0.3">
      <c r="A389" s="79"/>
      <c r="B389" s="79"/>
      <c r="C389" s="112">
        <v>2060</v>
      </c>
      <c r="D389" s="111">
        <v>46</v>
      </c>
      <c r="E389" s="108"/>
      <c r="F389" s="105"/>
      <c r="G389" s="740">
        <v>57840.402370105934</v>
      </c>
      <c r="H389" s="741">
        <v>55265.794278321737</v>
      </c>
      <c r="I389" s="86">
        <v>58988.020035047681</v>
      </c>
      <c r="J389" s="79"/>
      <c r="L389" s="79"/>
      <c r="O389" s="643"/>
    </row>
    <row r="390" spans="1:18" ht="14.4" x14ac:dyDescent="0.3">
      <c r="A390" s="79"/>
      <c r="B390" s="2"/>
      <c r="C390" s="2"/>
      <c r="D390" s="2"/>
      <c r="E390" s="2"/>
      <c r="F390" s="2"/>
      <c r="G390" s="2"/>
      <c r="H390" s="2"/>
      <c r="I390" s="2"/>
      <c r="J390" s="2"/>
      <c r="K390" s="2"/>
    </row>
    <row r="391" spans="1:18" ht="14.4" x14ac:dyDescent="0.3">
      <c r="A391" s="79"/>
      <c r="B391" s="2"/>
      <c r="C391" s="2"/>
      <c r="D391" s="2"/>
      <c r="E391" s="2"/>
      <c r="F391" s="2"/>
      <c r="G391" s="2"/>
      <c r="H391" s="2"/>
      <c r="I391" s="2"/>
      <c r="J391" s="2"/>
      <c r="K391" s="2"/>
    </row>
    <row r="392" spans="1:18" ht="14.4" x14ac:dyDescent="0.3">
      <c r="A392" s="2"/>
      <c r="B392" s="2"/>
      <c r="C392" s="2"/>
      <c r="D392" s="2"/>
      <c r="E392" s="2"/>
      <c r="F392" s="2"/>
      <c r="G392" s="2"/>
      <c r="H392" s="2"/>
      <c r="I392" s="2"/>
      <c r="J392" s="2"/>
      <c r="K392" s="2"/>
    </row>
    <row r="393" spans="1:18" ht="14.4" x14ac:dyDescent="0.3">
      <c r="A393" s="2"/>
      <c r="B393" s="2"/>
      <c r="C393" s="2"/>
      <c r="D393" s="2"/>
      <c r="E393" s="2"/>
      <c r="F393" s="2"/>
      <c r="G393" s="2"/>
      <c r="H393" s="2"/>
      <c r="I393" s="2"/>
      <c r="J393" s="2"/>
      <c r="K393" s="2"/>
    </row>
    <row r="394" spans="1:18" ht="14.4" x14ac:dyDescent="0.3">
      <c r="A394" s="2"/>
      <c r="B394" s="2"/>
      <c r="C394" s="2"/>
      <c r="D394" s="2"/>
      <c r="E394" s="2"/>
      <c r="F394" s="2"/>
      <c r="G394" s="2"/>
      <c r="H394" s="2"/>
      <c r="I394" s="2"/>
      <c r="J394" s="2"/>
      <c r="K394" s="2"/>
    </row>
    <row r="395" spans="1:18" ht="15.75" customHeight="1" x14ac:dyDescent="0.3">
      <c r="A395" s="71">
        <v>7</v>
      </c>
      <c r="B395" s="72" t="s">
        <v>113</v>
      </c>
      <c r="C395" s="73"/>
      <c r="D395" s="73"/>
      <c r="E395" s="73"/>
      <c r="F395" s="73"/>
      <c r="G395" s="73"/>
      <c r="H395" s="73"/>
      <c r="I395" s="73"/>
      <c r="J395" s="73"/>
      <c r="K395" s="73"/>
    </row>
    <row r="396" spans="1:18" ht="15.75" customHeight="1" x14ac:dyDescent="0.3">
      <c r="A396" s="74" t="s">
        <v>74</v>
      </c>
      <c r="B396" s="75"/>
      <c r="C396" s="75"/>
      <c r="D396" s="76"/>
      <c r="E396" s="77"/>
      <c r="F396" s="862"/>
      <c r="G396" s="77"/>
      <c r="H396" s="78"/>
      <c r="I396" s="79"/>
      <c r="J396" s="79"/>
      <c r="K396" s="79"/>
      <c r="L396" s="99"/>
      <c r="M396" s="99"/>
      <c r="N396" s="99"/>
      <c r="O396" s="99"/>
      <c r="P396" s="99"/>
      <c r="Q396" s="99"/>
      <c r="R396" s="99"/>
    </row>
    <row r="397" spans="1:18" ht="16.5" customHeight="1" thickBot="1" x14ac:dyDescent="0.35">
      <c r="A397" s="110" t="s">
        <v>75</v>
      </c>
      <c r="B397" s="80"/>
      <c r="C397" s="80"/>
      <c r="D397" s="81"/>
      <c r="E397" s="109" t="s">
        <v>78</v>
      </c>
      <c r="F397" s="863"/>
      <c r="G397" s="746" t="s">
        <v>114</v>
      </c>
      <c r="H397" s="711"/>
      <c r="I397" s="79"/>
      <c r="J397" s="79"/>
      <c r="K397" s="79"/>
      <c r="L397" s="99"/>
      <c r="M397" s="99"/>
      <c r="N397" s="99"/>
      <c r="O397" s="99"/>
      <c r="P397" s="99"/>
      <c r="Q397" s="99"/>
      <c r="R397" s="99"/>
    </row>
    <row r="398" spans="1:18" ht="51.75" customHeight="1" thickBot="1" x14ac:dyDescent="0.35">
      <c r="A398" s="82"/>
      <c r="B398" s="82"/>
      <c r="C398" s="82"/>
      <c r="D398" s="83"/>
      <c r="E398" s="101" t="s">
        <v>80</v>
      </c>
      <c r="F398" s="101" t="s">
        <v>80</v>
      </c>
      <c r="G398" s="746" t="s">
        <v>81</v>
      </c>
      <c r="H398" s="747" t="s">
        <v>82</v>
      </c>
      <c r="I398" s="101" t="s">
        <v>83</v>
      </c>
      <c r="J398" s="865" t="s">
        <v>84</v>
      </c>
      <c r="K398" s="875"/>
      <c r="L398" s="99"/>
      <c r="M398" s="99"/>
      <c r="N398" s="99"/>
      <c r="O398" s="99"/>
      <c r="P398" s="99"/>
      <c r="Q398" s="99"/>
      <c r="R398" s="99"/>
    </row>
    <row r="399" spans="1:18" ht="15.75" customHeight="1" x14ac:dyDescent="0.3">
      <c r="A399" s="74" t="s">
        <v>85</v>
      </c>
      <c r="B399" s="82"/>
      <c r="C399" s="102">
        <v>2005</v>
      </c>
      <c r="D399" s="103">
        <v>-9</v>
      </c>
      <c r="E399" s="104"/>
      <c r="F399" s="105"/>
      <c r="G399" s="722">
        <v>2250.9993830195135</v>
      </c>
      <c r="H399" s="723">
        <v>2250.9993830195135</v>
      </c>
      <c r="I399" s="871" t="s">
        <v>86</v>
      </c>
      <c r="J399" s="876"/>
      <c r="K399" s="877"/>
      <c r="L399" s="99"/>
      <c r="M399" s="99"/>
      <c r="N399" s="99"/>
      <c r="O399" s="99"/>
      <c r="P399" s="99"/>
      <c r="Q399" s="99"/>
      <c r="R399" s="99"/>
    </row>
    <row r="400" spans="1:18" ht="15.75" customHeight="1" x14ac:dyDescent="0.3">
      <c r="A400" s="110" t="s">
        <v>87</v>
      </c>
      <c r="B400" s="82"/>
      <c r="C400" s="106">
        <v>2006</v>
      </c>
      <c r="D400" s="107">
        <v>-8</v>
      </c>
      <c r="E400" s="108"/>
      <c r="F400" s="105"/>
      <c r="G400" s="727">
        <v>2307.9092208799339</v>
      </c>
      <c r="H400" s="728">
        <v>2307.9092208799339</v>
      </c>
      <c r="I400" s="882"/>
      <c r="J400" s="876"/>
      <c r="K400" s="877"/>
      <c r="L400" s="99"/>
      <c r="M400" s="99"/>
      <c r="N400" s="99"/>
      <c r="O400" s="99"/>
      <c r="P400" s="99"/>
      <c r="Q400" s="99"/>
      <c r="R400" s="99"/>
    </row>
    <row r="401" spans="1:18" ht="14.4" x14ac:dyDescent="0.3">
      <c r="A401" s="82"/>
      <c r="B401" s="82"/>
      <c r="C401" s="106">
        <v>2007</v>
      </c>
      <c r="D401" s="107">
        <v>-7</v>
      </c>
      <c r="E401" s="108"/>
      <c r="F401" s="105"/>
      <c r="G401" s="727">
        <v>2364.7439386012898</v>
      </c>
      <c r="H401" s="728">
        <v>2364.7439386012898</v>
      </c>
      <c r="I401" s="882"/>
      <c r="J401" s="876"/>
      <c r="K401" s="877"/>
      <c r="L401" s="99"/>
      <c r="M401" s="99"/>
      <c r="N401" s="99"/>
      <c r="O401" s="99"/>
      <c r="P401" s="99"/>
      <c r="Q401" s="99"/>
      <c r="R401" s="99"/>
    </row>
    <row r="402" spans="1:18" ht="15.75" customHeight="1" x14ac:dyDescent="0.3">
      <c r="A402" s="29" t="s">
        <v>88</v>
      </c>
      <c r="B402" s="82"/>
      <c r="C402" s="106">
        <v>2008</v>
      </c>
      <c r="D402" s="107">
        <v>-6</v>
      </c>
      <c r="E402" s="108"/>
      <c r="F402" s="105"/>
      <c r="G402" s="727">
        <v>2421.4445591947456</v>
      </c>
      <c r="H402" s="728">
        <v>2421.4445591947456</v>
      </c>
      <c r="I402" s="882"/>
      <c r="J402" s="878"/>
      <c r="K402" s="879"/>
      <c r="L402" s="99"/>
      <c r="M402" s="99"/>
      <c r="N402" s="99"/>
      <c r="O402" s="99"/>
      <c r="P402" s="99"/>
      <c r="Q402" s="99"/>
      <c r="R402" s="99"/>
    </row>
    <row r="403" spans="1:18" ht="14.55" customHeight="1" x14ac:dyDescent="0.3">
      <c r="A403" s="872" t="s">
        <v>116</v>
      </c>
      <c r="B403" s="82"/>
      <c r="C403" s="106">
        <v>2009</v>
      </c>
      <c r="D403" s="107">
        <v>-5</v>
      </c>
      <c r="E403" s="108"/>
      <c r="F403" s="105"/>
      <c r="G403" s="727">
        <v>2477.9521056714652</v>
      </c>
      <c r="H403" s="728">
        <v>2477.9521056714652</v>
      </c>
      <c r="I403" s="882"/>
      <c r="J403" s="79"/>
      <c r="K403" s="79"/>
      <c r="L403" s="99"/>
      <c r="M403" s="99"/>
      <c r="N403" s="99"/>
      <c r="O403" s="99"/>
      <c r="P403" s="99"/>
      <c r="Q403" s="99"/>
      <c r="R403" s="99"/>
    </row>
    <row r="404" spans="1:18" ht="14.4" x14ac:dyDescent="0.3">
      <c r="A404" s="880"/>
      <c r="B404" s="82"/>
      <c r="C404" s="106">
        <v>2010</v>
      </c>
      <c r="D404" s="107">
        <v>-4</v>
      </c>
      <c r="E404" s="108">
        <v>2516.5527826970674</v>
      </c>
      <c r="F404" s="105">
        <v>2516.5527826970674</v>
      </c>
      <c r="G404" s="727">
        <v>2516.5527826970674</v>
      </c>
      <c r="H404" s="728">
        <v>2516.5527826970674</v>
      </c>
      <c r="I404" s="882"/>
      <c r="J404" s="79"/>
      <c r="K404" s="79"/>
      <c r="L404" s="99"/>
      <c r="M404" s="99"/>
      <c r="N404" s="99"/>
      <c r="O404" s="99"/>
      <c r="P404" s="99"/>
      <c r="Q404" s="99"/>
      <c r="R404" s="99"/>
    </row>
    <row r="405" spans="1:18" ht="14.4" x14ac:dyDescent="0.3">
      <c r="A405" s="880"/>
      <c r="B405" s="82"/>
      <c r="C405" s="106">
        <v>2011</v>
      </c>
      <c r="D405" s="107">
        <v>-3</v>
      </c>
      <c r="E405" s="108"/>
      <c r="F405" s="105"/>
      <c r="G405" s="727">
        <v>2590.1520683193539</v>
      </c>
      <c r="H405" s="728">
        <v>2590.1520683193539</v>
      </c>
      <c r="I405" s="883"/>
      <c r="J405" s="79"/>
      <c r="K405" s="79"/>
      <c r="L405" s="99"/>
      <c r="M405" s="99"/>
      <c r="N405" s="99"/>
      <c r="O405" s="99"/>
      <c r="P405" s="99"/>
      <c r="Q405" s="99"/>
      <c r="R405" s="99"/>
    </row>
    <row r="406" spans="1:18" ht="14.4" x14ac:dyDescent="0.3">
      <c r="A406" s="881"/>
      <c r="B406" s="82"/>
      <c r="C406" s="106">
        <v>2012</v>
      </c>
      <c r="D406" s="107">
        <v>-2</v>
      </c>
      <c r="E406" s="108"/>
      <c r="F406" s="105"/>
      <c r="G406" s="730">
        <v>2645.7265305128512</v>
      </c>
      <c r="H406" s="731">
        <v>2645.7265305128512</v>
      </c>
      <c r="I406" s="87" t="s">
        <v>90</v>
      </c>
      <c r="J406" s="79"/>
      <c r="K406" s="79"/>
      <c r="L406" s="99"/>
      <c r="M406" s="99"/>
      <c r="N406" s="99"/>
      <c r="O406" s="99"/>
      <c r="P406" s="99"/>
      <c r="Q406" s="99"/>
      <c r="R406" s="99"/>
    </row>
    <row r="407" spans="1:18" ht="14.4" x14ac:dyDescent="0.3">
      <c r="A407" s="82"/>
      <c r="B407" s="82"/>
      <c r="C407" s="106">
        <v>2013</v>
      </c>
      <c r="D407" s="107">
        <v>-1</v>
      </c>
      <c r="E407" s="108"/>
      <c r="F407" s="105"/>
      <c r="G407" s="730">
        <v>2700.8720106342694</v>
      </c>
      <c r="H407" s="731">
        <v>2700.8720106342694</v>
      </c>
      <c r="I407" s="82"/>
      <c r="J407" s="79"/>
      <c r="K407" s="79"/>
      <c r="L407" s="99"/>
      <c r="M407" s="99"/>
      <c r="N407" s="99"/>
      <c r="O407" s="99"/>
      <c r="P407" s="99"/>
      <c r="Q407" s="99"/>
      <c r="R407" s="99"/>
    </row>
    <row r="408" spans="1:18" ht="15.75" customHeight="1" x14ac:dyDescent="0.3">
      <c r="A408" s="77" t="s">
        <v>91</v>
      </c>
      <c r="B408" s="82"/>
      <c r="C408" s="106">
        <v>2014</v>
      </c>
      <c r="D408" s="107">
        <v>0</v>
      </c>
      <c r="E408" s="108"/>
      <c r="F408" s="105"/>
      <c r="G408" s="730">
        <v>2755.5295316947731</v>
      </c>
      <c r="H408" s="731">
        <v>2772.8060229854773</v>
      </c>
      <c r="I408" s="79"/>
      <c r="J408" s="79"/>
      <c r="K408" s="79"/>
      <c r="L408" s="99"/>
      <c r="M408" s="99"/>
      <c r="N408" s="99"/>
      <c r="O408" s="99"/>
      <c r="P408" s="99"/>
      <c r="Q408" s="99"/>
      <c r="R408" s="99"/>
    </row>
    <row r="409" spans="1:18" ht="15.75" customHeight="1" x14ac:dyDescent="0.3">
      <c r="A409" s="110">
        <v>2015</v>
      </c>
      <c r="B409" s="80"/>
      <c r="C409" s="106">
        <v>2015</v>
      </c>
      <c r="D409" s="107">
        <v>1</v>
      </c>
      <c r="E409" s="108">
        <v>2838.4561020122028</v>
      </c>
      <c r="F409" s="105">
        <v>2838.4561020122028</v>
      </c>
      <c r="G409" s="730">
        <v>2838.4561020122028</v>
      </c>
      <c r="H409" s="731">
        <v>2856.4735967002698</v>
      </c>
      <c r="I409" s="79"/>
      <c r="J409" s="79"/>
      <c r="K409" s="79"/>
      <c r="L409" s="99"/>
      <c r="M409" s="99"/>
      <c r="N409" s="99"/>
      <c r="O409" s="99"/>
      <c r="P409" s="99"/>
      <c r="Q409" s="99"/>
      <c r="R409" s="99"/>
    </row>
    <row r="410" spans="1:18" ht="14.4" x14ac:dyDescent="0.3">
      <c r="A410" s="79"/>
      <c r="B410" s="80"/>
      <c r="C410" s="106">
        <v>2016</v>
      </c>
      <c r="D410" s="107">
        <v>2</v>
      </c>
      <c r="E410" s="108"/>
      <c r="F410" s="105"/>
      <c r="G410" s="730">
        <v>2863.1447886776932</v>
      </c>
      <c r="H410" s="731">
        <v>2881.6079883271059</v>
      </c>
      <c r="I410" s="79"/>
      <c r="J410" s="79"/>
      <c r="K410" s="79"/>
      <c r="L410" s="99"/>
      <c r="M410" s="99"/>
      <c r="N410" s="99"/>
      <c r="O410" s="99"/>
      <c r="P410" s="99"/>
      <c r="Q410" s="99"/>
      <c r="R410" s="99"/>
    </row>
    <row r="411" spans="1:18" ht="15.75" customHeight="1" x14ac:dyDescent="0.3">
      <c r="A411" s="77" t="s">
        <v>92</v>
      </c>
      <c r="B411" s="80"/>
      <c r="C411" s="106">
        <v>2017</v>
      </c>
      <c r="D411" s="107">
        <v>3</v>
      </c>
      <c r="E411" s="108"/>
      <c r="F411" s="105"/>
      <c r="G411" s="730">
        <v>2915.9845706224382</v>
      </c>
      <c r="H411" s="731">
        <v>2935.1484277888781</v>
      </c>
      <c r="I411" s="79"/>
      <c r="J411" s="79"/>
      <c r="K411" s="79"/>
      <c r="L411" s="99"/>
      <c r="M411" s="99"/>
      <c r="N411" s="99"/>
      <c r="O411" s="99"/>
      <c r="P411" s="99"/>
      <c r="Q411" s="99"/>
      <c r="R411" s="99"/>
    </row>
    <row r="412" spans="1:18" ht="15.75" customHeight="1" x14ac:dyDescent="0.3">
      <c r="A412" s="110" t="s">
        <v>80</v>
      </c>
      <c r="B412" s="80"/>
      <c r="C412" s="106">
        <v>2018</v>
      </c>
      <c r="D412" s="107">
        <v>4</v>
      </c>
      <c r="E412" s="108"/>
      <c r="F412" s="105"/>
      <c r="G412" s="730">
        <v>2968.1004855509254</v>
      </c>
      <c r="H412" s="731">
        <v>2988.0157621368694</v>
      </c>
      <c r="I412" s="79"/>
      <c r="J412" s="79"/>
      <c r="K412" s="79"/>
      <c r="L412" s="99"/>
      <c r="M412" s="99"/>
      <c r="N412" s="99"/>
      <c r="O412" s="99"/>
      <c r="P412" s="99"/>
      <c r="Q412" s="99"/>
      <c r="R412" s="99"/>
    </row>
    <row r="413" spans="1:18" ht="14.4" x14ac:dyDescent="0.3">
      <c r="A413" s="79"/>
      <c r="B413" s="80"/>
      <c r="C413" s="106">
        <v>2019</v>
      </c>
      <c r="D413" s="107">
        <v>5</v>
      </c>
      <c r="E413" s="108"/>
      <c r="F413" s="105"/>
      <c r="G413" s="730">
        <v>3019.4335564743192</v>
      </c>
      <c r="H413" s="731">
        <v>3040.117410647696</v>
      </c>
      <c r="I413" s="79"/>
      <c r="J413" s="79"/>
      <c r="K413" s="79"/>
      <c r="L413" s="99"/>
      <c r="M413" s="99"/>
      <c r="N413" s="99"/>
      <c r="O413" s="99"/>
      <c r="P413" s="99"/>
      <c r="Q413" s="99"/>
      <c r="R413" s="99"/>
    </row>
    <row r="414" spans="1:18" ht="15.75" customHeight="1" x14ac:dyDescent="0.3">
      <c r="A414" s="77" t="s">
        <v>93</v>
      </c>
      <c r="B414" s="80"/>
      <c r="C414" s="106">
        <v>2020</v>
      </c>
      <c r="D414" s="107">
        <v>6</v>
      </c>
      <c r="E414" s="108">
        <v>3076.0148503494543</v>
      </c>
      <c r="F414" s="105">
        <v>3076.0148503494543</v>
      </c>
      <c r="G414" s="730">
        <v>3076.0148503494543</v>
      </c>
      <c r="H414" s="731">
        <v>3097.7481957439686</v>
      </c>
      <c r="I414" s="79"/>
      <c r="J414" s="79"/>
      <c r="K414" s="79"/>
      <c r="L414" s="99"/>
      <c r="M414" s="99"/>
      <c r="N414" s="99"/>
      <c r="O414" s="99"/>
      <c r="P414" s="99"/>
      <c r="Q414" s="99"/>
      <c r="R414" s="99"/>
    </row>
    <row r="415" spans="1:18" ht="15.75" customHeight="1" x14ac:dyDescent="0.3">
      <c r="A415" s="77"/>
      <c r="B415" s="80"/>
      <c r="C415" s="106">
        <v>2021</v>
      </c>
      <c r="D415" s="107">
        <v>7</v>
      </c>
      <c r="E415" s="108"/>
      <c r="F415" s="105"/>
      <c r="G415" s="730">
        <v>3119.5152583504832</v>
      </c>
      <c r="H415" s="731">
        <v>3139.9420206571926</v>
      </c>
      <c r="I415" s="79"/>
      <c r="J415" s="79"/>
      <c r="K415" s="79"/>
      <c r="L415" s="99"/>
      <c r="M415" s="99"/>
      <c r="N415" s="99"/>
      <c r="O415" s="99"/>
      <c r="P415" s="99"/>
      <c r="Q415" s="99"/>
      <c r="R415" s="99"/>
    </row>
    <row r="416" spans="1:18" ht="15.75" customHeight="1" x14ac:dyDescent="0.3">
      <c r="A416" s="88"/>
      <c r="B416" s="80"/>
      <c r="C416" s="106">
        <v>2022</v>
      </c>
      <c r="D416" s="107">
        <v>8</v>
      </c>
      <c r="E416" s="108"/>
      <c r="F416" s="105"/>
      <c r="G416" s="730">
        <v>3168.1459353255818</v>
      </c>
      <c r="H416" s="731">
        <v>3187.0818165567298</v>
      </c>
      <c r="I416" s="79"/>
      <c r="J416" s="79"/>
      <c r="K416" s="79"/>
      <c r="L416" s="99"/>
      <c r="M416" s="99"/>
      <c r="N416" s="99"/>
      <c r="O416" s="99"/>
      <c r="P416" s="99"/>
      <c r="Q416" s="99"/>
      <c r="R416" s="99"/>
    </row>
    <row r="417" spans="1:18" ht="15.75" customHeight="1" x14ac:dyDescent="0.3">
      <c r="A417" s="110"/>
      <c r="B417" s="80"/>
      <c r="C417" s="106">
        <v>2023</v>
      </c>
      <c r="D417" s="107">
        <v>9</v>
      </c>
      <c r="E417" s="108"/>
      <c r="F417" s="105"/>
      <c r="G417" s="730">
        <v>3215.757860340244</v>
      </c>
      <c r="H417" s="731">
        <v>3232.9642632938589</v>
      </c>
      <c r="I417" s="79"/>
      <c r="J417" s="79"/>
      <c r="K417" s="79"/>
      <c r="L417" s="99"/>
      <c r="M417" s="99"/>
      <c r="N417" s="99"/>
      <c r="O417" s="99"/>
      <c r="P417" s="99"/>
      <c r="Q417" s="99"/>
      <c r="R417" s="99"/>
    </row>
    <row r="418" spans="1:18" ht="14.4" x14ac:dyDescent="0.3">
      <c r="A418" s="79"/>
      <c r="B418" s="80"/>
      <c r="C418" s="106">
        <v>2024</v>
      </c>
      <c r="D418" s="107">
        <v>10</v>
      </c>
      <c r="E418" s="108"/>
      <c r="F418" s="105"/>
      <c r="G418" s="730">
        <v>3262.292056405634</v>
      </c>
      <c r="H418" s="731">
        <v>3277.4619765789603</v>
      </c>
      <c r="I418" s="79"/>
      <c r="J418" s="79"/>
      <c r="K418" s="79"/>
      <c r="L418" s="99"/>
      <c r="M418" s="99"/>
      <c r="N418" s="99"/>
      <c r="O418" s="99"/>
      <c r="P418" s="99"/>
      <c r="Q418" s="99"/>
      <c r="R418" s="99"/>
    </row>
    <row r="419" spans="1:18" ht="14.4" x14ac:dyDescent="0.3">
      <c r="A419" s="5"/>
      <c r="B419" s="80"/>
      <c r="C419" s="106">
        <v>2025</v>
      </c>
      <c r="D419" s="107">
        <v>11</v>
      </c>
      <c r="E419" s="108">
        <v>3300.5610328736775</v>
      </c>
      <c r="F419" s="105">
        <v>3300.5610328736775</v>
      </c>
      <c r="G419" s="730">
        <v>3300.5610328736775</v>
      </c>
      <c r="H419" s="731">
        <v>3313.3102246036951</v>
      </c>
      <c r="I419" s="79"/>
      <c r="J419" s="79"/>
      <c r="K419" s="79"/>
      <c r="L419" s="99"/>
      <c r="M419" s="99"/>
      <c r="N419" s="99"/>
      <c r="O419" s="99"/>
      <c r="P419" s="99"/>
      <c r="Q419" s="99"/>
      <c r="R419" s="99"/>
    </row>
    <row r="420" spans="1:18" ht="14.4" x14ac:dyDescent="0.3">
      <c r="A420" s="5"/>
      <c r="B420" s="80"/>
      <c r="C420" s="106">
        <v>2026</v>
      </c>
      <c r="D420" s="107">
        <v>12</v>
      </c>
      <c r="E420" s="108"/>
      <c r="F420" s="105"/>
      <c r="G420" s="730">
        <v>3351.8913537332542</v>
      </c>
      <c r="H420" s="731">
        <v>3361.9305167425414</v>
      </c>
      <c r="I420" s="79"/>
      <c r="J420" s="79"/>
      <c r="K420" s="79"/>
      <c r="L420" s="99"/>
      <c r="M420" s="99"/>
      <c r="N420" s="99"/>
      <c r="O420" s="99"/>
      <c r="P420" s="99"/>
      <c r="Q420" s="99"/>
      <c r="R420" s="99"/>
    </row>
    <row r="421" spans="1:18" ht="14.4" x14ac:dyDescent="0.3">
      <c r="A421" s="5"/>
      <c r="B421" s="80"/>
      <c r="C421" s="106">
        <v>2027</v>
      </c>
      <c r="D421" s="107">
        <v>13</v>
      </c>
      <c r="E421" s="108"/>
      <c r="F421" s="105"/>
      <c r="G421" s="730">
        <v>3394.8385010178126</v>
      </c>
      <c r="H421" s="731">
        <v>3401.8389762696429</v>
      </c>
      <c r="I421" s="79"/>
      <c r="J421" s="79"/>
      <c r="K421" s="79"/>
      <c r="L421" s="99"/>
      <c r="M421" s="99"/>
      <c r="N421" s="99"/>
      <c r="O421" s="99"/>
      <c r="P421" s="99"/>
      <c r="Q421" s="99"/>
      <c r="R421" s="99"/>
    </row>
    <row r="422" spans="1:18" ht="14.4" x14ac:dyDescent="0.3">
      <c r="A422" s="5"/>
      <c r="B422" s="80"/>
      <c r="C422" s="106">
        <v>2028</v>
      </c>
      <c r="D422" s="107">
        <v>14</v>
      </c>
      <c r="E422" s="108"/>
      <c r="F422" s="105"/>
      <c r="G422" s="730">
        <v>3436.4720113977564</v>
      </c>
      <c r="H422" s="731">
        <v>3440.1405101123155</v>
      </c>
      <c r="I422" s="79"/>
      <c r="J422" s="79"/>
      <c r="K422" s="79"/>
      <c r="L422" s="99"/>
      <c r="M422" s="99"/>
      <c r="N422" s="99"/>
      <c r="O422" s="99"/>
      <c r="P422" s="99"/>
      <c r="Q422" s="99"/>
      <c r="R422" s="99"/>
    </row>
    <row r="423" spans="1:18" ht="14.4" x14ac:dyDescent="0.3">
      <c r="A423" s="5"/>
      <c r="B423" s="80"/>
      <c r="C423" s="106">
        <v>2029</v>
      </c>
      <c r="D423" s="107">
        <v>15</v>
      </c>
      <c r="E423" s="108"/>
      <c r="F423" s="105"/>
      <c r="G423" s="730">
        <v>3476.7329078842486</v>
      </c>
      <c r="H423" s="731">
        <v>3476.7852489217494</v>
      </c>
      <c r="I423" s="79"/>
      <c r="J423" s="79"/>
      <c r="K423" s="79"/>
      <c r="L423" s="99"/>
      <c r="M423" s="99"/>
      <c r="N423" s="99"/>
      <c r="O423" s="99"/>
      <c r="P423" s="99"/>
      <c r="Q423" s="99"/>
      <c r="R423" s="99"/>
    </row>
    <row r="424" spans="1:18" ht="14.4" x14ac:dyDescent="0.3">
      <c r="A424" s="5"/>
      <c r="B424" s="80"/>
      <c r="C424" s="106">
        <v>2030</v>
      </c>
      <c r="D424" s="107">
        <v>16</v>
      </c>
      <c r="E424" s="108">
        <v>3501.7213821025898</v>
      </c>
      <c r="F424" s="105">
        <v>3501.7213821025898</v>
      </c>
      <c r="G424" s="730">
        <v>3501.7213821025898</v>
      </c>
      <c r="H424" s="731">
        <v>3497.8961978215848</v>
      </c>
      <c r="I424" s="79"/>
      <c r="J424" s="79"/>
      <c r="K424" s="79"/>
      <c r="L424" s="99"/>
      <c r="M424" s="99"/>
      <c r="N424" s="99"/>
      <c r="O424" s="99"/>
      <c r="P424" s="99"/>
      <c r="Q424" s="99"/>
      <c r="R424" s="99"/>
    </row>
    <row r="425" spans="1:18" ht="14.4" x14ac:dyDescent="0.3">
      <c r="A425" s="5"/>
      <c r="B425" s="80"/>
      <c r="C425" s="106">
        <v>2031</v>
      </c>
      <c r="D425" s="107">
        <v>17</v>
      </c>
      <c r="E425" s="108"/>
      <c r="F425" s="105"/>
      <c r="G425" s="730">
        <v>3552.9009512215375</v>
      </c>
      <c r="H425" s="731">
        <v>3544.900119571952</v>
      </c>
      <c r="I425" s="79"/>
      <c r="J425" s="79"/>
      <c r="K425" s="79"/>
      <c r="L425" s="99"/>
      <c r="M425" s="99"/>
      <c r="N425" s="99"/>
      <c r="O425" s="99"/>
      <c r="P425" s="99"/>
      <c r="Q425" s="99"/>
      <c r="R425" s="99"/>
    </row>
    <row r="426" spans="1:18" ht="14.4" x14ac:dyDescent="0.3">
      <c r="A426" s="5"/>
      <c r="B426" s="80"/>
      <c r="C426" s="106">
        <v>2032</v>
      </c>
      <c r="D426" s="107">
        <v>18</v>
      </c>
      <c r="E426" s="108"/>
      <c r="F426" s="105"/>
      <c r="G426" s="730">
        <v>3588.6901440946622</v>
      </c>
      <c r="H426" s="731">
        <v>3576.280850109064</v>
      </c>
      <c r="I426" s="79"/>
      <c r="J426" s="79"/>
      <c r="K426" s="79"/>
      <c r="L426" s="99"/>
      <c r="M426" s="99"/>
      <c r="N426" s="99"/>
      <c r="O426" s="99"/>
      <c r="P426" s="99"/>
      <c r="Q426" s="99"/>
      <c r="R426" s="99"/>
    </row>
    <row r="427" spans="1:18" ht="14.4" x14ac:dyDescent="0.3">
      <c r="A427" s="5"/>
      <c r="B427" s="80"/>
      <c r="C427" s="106">
        <v>2033</v>
      </c>
      <c r="D427" s="107">
        <v>19</v>
      </c>
      <c r="E427" s="108"/>
      <c r="F427" s="105"/>
      <c r="G427" s="730">
        <v>3622.8708151189931</v>
      </c>
      <c r="H427" s="731">
        <v>3605.848336365284</v>
      </c>
      <c r="I427" s="79"/>
      <c r="J427" s="79"/>
      <c r="K427" s="79"/>
      <c r="L427" s="99"/>
      <c r="M427" s="99"/>
      <c r="N427" s="99"/>
      <c r="O427" s="99"/>
      <c r="P427" s="99"/>
      <c r="Q427" s="99"/>
      <c r="R427" s="99"/>
    </row>
    <row r="428" spans="1:18" ht="14.4" x14ac:dyDescent="0.3">
      <c r="A428" s="5"/>
      <c r="B428" s="80"/>
      <c r="C428" s="106">
        <v>2034</v>
      </c>
      <c r="D428" s="107">
        <v>20</v>
      </c>
      <c r="E428" s="108"/>
      <c r="F428" s="105"/>
      <c r="G428" s="730">
        <v>3655.3839873056941</v>
      </c>
      <c r="H428" s="731">
        <v>3633.5974910446926</v>
      </c>
      <c r="I428" s="79"/>
      <c r="J428" s="79"/>
      <c r="K428" s="79"/>
      <c r="L428" s="99"/>
      <c r="M428" s="99"/>
      <c r="N428" s="99"/>
      <c r="O428" s="99"/>
      <c r="P428" s="99"/>
      <c r="Q428" s="99"/>
      <c r="R428" s="99"/>
    </row>
    <row r="429" spans="1:18" ht="14.4" x14ac:dyDescent="0.3">
      <c r="A429" s="5"/>
      <c r="B429" s="80"/>
      <c r="C429" s="106">
        <v>2035</v>
      </c>
      <c r="D429" s="107">
        <v>21</v>
      </c>
      <c r="E429" s="108">
        <v>3671.1286085052157</v>
      </c>
      <c r="F429" s="105">
        <v>3671.1286085052157</v>
      </c>
      <c r="G429" s="730">
        <v>3671.1286085052157</v>
      </c>
      <c r="H429" s="731">
        <v>3644.5779734461667</v>
      </c>
      <c r="I429" s="79"/>
      <c r="J429" s="79"/>
      <c r="K429" s="79"/>
      <c r="L429" s="99"/>
      <c r="M429" s="99"/>
      <c r="N429" s="99"/>
      <c r="O429" s="99"/>
      <c r="P429" s="99"/>
      <c r="Q429" s="99"/>
      <c r="R429" s="99"/>
    </row>
    <row r="430" spans="1:18" ht="14.4" x14ac:dyDescent="0.3">
      <c r="A430" s="5"/>
      <c r="B430" s="80"/>
      <c r="C430" s="106">
        <v>2036</v>
      </c>
      <c r="D430" s="107">
        <v>22</v>
      </c>
      <c r="E430" s="108"/>
      <c r="F430" s="105"/>
      <c r="G430" s="730">
        <v>3715.1719272108639</v>
      </c>
      <c r="H430" s="731">
        <v>3683.5554248850704</v>
      </c>
      <c r="I430" s="79"/>
      <c r="J430" s="79"/>
      <c r="K430" s="79"/>
      <c r="L430" s="99"/>
      <c r="M430" s="99"/>
      <c r="N430" s="99"/>
      <c r="O430" s="99"/>
      <c r="P430" s="99"/>
      <c r="Q430" s="99"/>
      <c r="R430" s="99"/>
    </row>
    <row r="431" spans="1:18" ht="14.4" x14ac:dyDescent="0.3">
      <c r="A431" s="5"/>
      <c r="B431" s="80"/>
      <c r="C431" s="106">
        <v>2037</v>
      </c>
      <c r="D431" s="107">
        <v>23</v>
      </c>
      <c r="E431" s="108"/>
      <c r="F431" s="105"/>
      <c r="G431" s="730">
        <v>3742.3287409516606</v>
      </c>
      <c r="H431" s="731">
        <v>3705.6744958080017</v>
      </c>
      <c r="I431" s="79"/>
      <c r="J431" s="79"/>
      <c r="K431" s="79"/>
      <c r="L431" s="99"/>
      <c r="M431" s="99"/>
      <c r="N431" s="99"/>
      <c r="O431" s="99"/>
      <c r="P431" s="99"/>
      <c r="Q431" s="99"/>
      <c r="R431" s="99"/>
    </row>
    <row r="432" spans="1:18" ht="14.4" x14ac:dyDescent="0.3">
      <c r="A432" s="80"/>
      <c r="B432" s="80"/>
      <c r="C432" s="106">
        <v>2038</v>
      </c>
      <c r="D432" s="107">
        <v>24</v>
      </c>
      <c r="E432" s="108"/>
      <c r="F432" s="105"/>
      <c r="G432" s="730">
        <v>3767.5821478994853</v>
      </c>
      <c r="H432" s="731">
        <v>3725.8034071716356</v>
      </c>
      <c r="I432" s="79"/>
      <c r="J432" s="79"/>
      <c r="K432" s="79"/>
      <c r="L432" s="99"/>
      <c r="M432" s="99"/>
      <c r="N432" s="99"/>
      <c r="O432" s="99"/>
      <c r="P432" s="99"/>
      <c r="Q432" s="99"/>
      <c r="R432" s="99"/>
    </row>
    <row r="433" spans="1:18" ht="14.4" x14ac:dyDescent="0.3">
      <c r="A433" s="80"/>
      <c r="B433" s="80"/>
      <c r="C433" s="106">
        <v>2039</v>
      </c>
      <c r="D433" s="107">
        <v>25</v>
      </c>
      <c r="E433" s="108"/>
      <c r="F433" s="105"/>
      <c r="G433" s="730">
        <v>3790.8731710655011</v>
      </c>
      <c r="H433" s="731">
        <v>3743.8668025988964</v>
      </c>
      <c r="I433" s="79"/>
      <c r="J433" s="79"/>
      <c r="K433" s="79"/>
      <c r="L433" s="99"/>
      <c r="M433" s="99"/>
      <c r="N433" s="99"/>
      <c r="O433" s="99"/>
      <c r="P433" s="99"/>
      <c r="Q433" s="99"/>
      <c r="R433" s="99"/>
    </row>
    <row r="434" spans="1:18" ht="14.4" x14ac:dyDescent="0.3">
      <c r="A434" s="80"/>
      <c r="B434" s="80"/>
      <c r="C434" s="106">
        <v>2040</v>
      </c>
      <c r="D434" s="107">
        <v>26</v>
      </c>
      <c r="E434" s="108">
        <v>3809.4477469005847</v>
      </c>
      <c r="F434" s="105">
        <v>3809.4477469005847</v>
      </c>
      <c r="G434" s="730">
        <v>3809.4477469005847</v>
      </c>
      <c r="H434" s="731">
        <v>3757.1378647853658</v>
      </c>
      <c r="I434" s="79"/>
      <c r="J434" s="79"/>
      <c r="K434" s="79"/>
      <c r="L434" s="99"/>
      <c r="M434" s="99"/>
      <c r="N434" s="99"/>
      <c r="O434" s="99"/>
      <c r="P434" s="99"/>
      <c r="Q434" s="99"/>
      <c r="R434" s="99"/>
    </row>
    <row r="435" spans="1:18" ht="14.4" x14ac:dyDescent="0.3">
      <c r="A435" s="80"/>
      <c r="B435" s="80"/>
      <c r="C435" s="106">
        <v>2041</v>
      </c>
      <c r="D435" s="107">
        <v>27</v>
      </c>
      <c r="E435" s="108"/>
      <c r="F435" s="105"/>
      <c r="G435" s="730">
        <v>3831.332158096764</v>
      </c>
      <c r="H435" s="731">
        <v>3773.5389265646672</v>
      </c>
      <c r="I435" s="79"/>
      <c r="J435" s="79"/>
      <c r="K435" s="79"/>
      <c r="L435" s="99"/>
      <c r="M435" s="99"/>
      <c r="N435" s="99"/>
      <c r="O435" s="99"/>
      <c r="P435" s="99"/>
      <c r="Q435" s="99"/>
      <c r="R435" s="99"/>
    </row>
    <row r="436" spans="1:18" ht="14.4" x14ac:dyDescent="0.3">
      <c r="A436" s="80"/>
      <c r="B436" s="80"/>
      <c r="C436" s="106">
        <v>2042</v>
      </c>
      <c r="D436" s="107">
        <v>28</v>
      </c>
      <c r="E436" s="108"/>
      <c r="F436" s="105"/>
      <c r="G436" s="730">
        <v>3848.38216798434</v>
      </c>
      <c r="H436" s="731">
        <v>3785.0529678329017</v>
      </c>
      <c r="I436" s="79"/>
      <c r="J436" s="79"/>
      <c r="K436" s="79"/>
      <c r="L436" s="99"/>
      <c r="M436" s="99"/>
      <c r="N436" s="99"/>
      <c r="O436" s="99"/>
      <c r="P436" s="99"/>
      <c r="Q436" s="99"/>
      <c r="R436" s="99"/>
    </row>
    <row r="437" spans="1:18" ht="14.4" x14ac:dyDescent="0.3">
      <c r="A437" s="80"/>
      <c r="B437" s="80"/>
      <c r="C437" s="106">
        <v>2043</v>
      </c>
      <c r="D437" s="107">
        <v>29</v>
      </c>
      <c r="E437" s="108"/>
      <c r="F437" s="105"/>
      <c r="G437" s="730">
        <v>3863.2338861347635</v>
      </c>
      <c r="H437" s="731">
        <v>3794.288119099082</v>
      </c>
      <c r="I437" s="79"/>
      <c r="J437" s="79"/>
      <c r="K437" s="79"/>
      <c r="L437" s="99"/>
      <c r="M437" s="99"/>
      <c r="N437" s="99"/>
      <c r="O437" s="99"/>
      <c r="P437" s="99"/>
      <c r="Q437" s="99"/>
      <c r="R437" s="99"/>
    </row>
    <row r="438" spans="1:18" ht="14.4" x14ac:dyDescent="0.3">
      <c r="A438" s="80"/>
      <c r="B438" s="80"/>
      <c r="C438" s="106">
        <v>2044</v>
      </c>
      <c r="D438" s="107">
        <v>30</v>
      </c>
      <c r="E438" s="108"/>
      <c r="F438" s="105"/>
      <c r="G438" s="730">
        <v>3875.8283355592002</v>
      </c>
      <c r="H438" s="731">
        <v>3801.1962657028121</v>
      </c>
      <c r="I438" s="79"/>
      <c r="J438" s="79"/>
      <c r="K438" s="79"/>
      <c r="L438" s="99"/>
      <c r="M438" s="99"/>
      <c r="N438" s="99"/>
      <c r="O438" s="99"/>
      <c r="P438" s="99"/>
      <c r="Q438" s="99"/>
      <c r="R438" s="99"/>
    </row>
    <row r="439" spans="1:18" ht="14.4" x14ac:dyDescent="0.3">
      <c r="A439" s="80"/>
      <c r="B439" s="80"/>
      <c r="C439" s="106">
        <v>2045</v>
      </c>
      <c r="D439" s="107">
        <v>31</v>
      </c>
      <c r="E439" s="108">
        <v>3930.615217654783</v>
      </c>
      <c r="F439" s="105">
        <v>3930.615217654783</v>
      </c>
      <c r="G439" s="730">
        <v>3930.615217654783</v>
      </c>
      <c r="H439" s="731">
        <v>3849.3168906901415</v>
      </c>
      <c r="I439" s="79"/>
      <c r="J439" s="79"/>
      <c r="K439" s="79"/>
      <c r="L439" s="99"/>
      <c r="M439" s="99"/>
      <c r="N439" s="99"/>
      <c r="O439" s="99"/>
      <c r="P439" s="99"/>
      <c r="Q439" s="99"/>
      <c r="R439" s="99"/>
    </row>
    <row r="440" spans="1:18" ht="14.4" x14ac:dyDescent="0.3">
      <c r="A440" s="80"/>
      <c r="B440" s="80"/>
      <c r="C440" s="106">
        <v>2046</v>
      </c>
      <c r="D440" s="107">
        <v>32</v>
      </c>
      <c r="E440" s="108"/>
      <c r="F440" s="105"/>
      <c r="G440" s="730">
        <v>3894.0095202747693</v>
      </c>
      <c r="H440" s="731">
        <v>3807.8373517770533</v>
      </c>
      <c r="I440" s="79"/>
      <c r="J440" s="79"/>
      <c r="K440" s="79"/>
      <c r="L440" s="99"/>
      <c r="M440" s="99"/>
      <c r="N440" s="99"/>
      <c r="O440" s="99"/>
      <c r="P440" s="99"/>
      <c r="Q440" s="99"/>
      <c r="R440" s="99"/>
    </row>
    <row r="441" spans="1:18" ht="14.4" x14ac:dyDescent="0.3">
      <c r="A441" s="89"/>
      <c r="B441" s="80"/>
      <c r="C441" s="106">
        <v>2047</v>
      </c>
      <c r="D441" s="107">
        <v>33</v>
      </c>
      <c r="E441" s="108"/>
      <c r="F441" s="105"/>
      <c r="G441" s="730">
        <v>3899.4783015882294</v>
      </c>
      <c r="H441" s="731">
        <v>3807.4722713618221</v>
      </c>
      <c r="I441" s="79"/>
      <c r="J441" s="79"/>
      <c r="K441" s="79"/>
      <c r="L441" s="99"/>
      <c r="M441" s="99"/>
      <c r="N441" s="99"/>
      <c r="O441" s="99"/>
      <c r="P441" s="99"/>
      <c r="Q441" s="99"/>
      <c r="R441" s="99"/>
    </row>
    <row r="442" spans="1:18" ht="14.4" x14ac:dyDescent="0.3">
      <c r="A442" s="79"/>
      <c r="B442" s="80"/>
      <c r="C442" s="106">
        <v>2048</v>
      </c>
      <c r="D442" s="107">
        <v>34</v>
      </c>
      <c r="E442" s="108"/>
      <c r="F442" s="105"/>
      <c r="G442" s="730">
        <v>3902.4539062203598</v>
      </c>
      <c r="H442" s="731">
        <v>3804.5828014096578</v>
      </c>
      <c r="I442" s="79"/>
      <c r="J442" s="79"/>
      <c r="K442" s="79"/>
      <c r="L442" s="99"/>
      <c r="M442" s="99"/>
      <c r="N442" s="99"/>
      <c r="O442" s="99"/>
      <c r="P442" s="99"/>
      <c r="Q442" s="99"/>
      <c r="R442" s="99"/>
    </row>
    <row r="443" spans="1:18" ht="14.4" x14ac:dyDescent="0.3">
      <c r="A443" s="79"/>
      <c r="B443" s="79"/>
      <c r="C443" s="106">
        <v>2049</v>
      </c>
      <c r="D443" s="107">
        <v>35</v>
      </c>
      <c r="E443" s="108"/>
      <c r="F443" s="105"/>
      <c r="G443" s="730">
        <v>3902.877357182324</v>
      </c>
      <c r="H443" s="731">
        <v>3799.1180733532597</v>
      </c>
      <c r="I443" s="79"/>
      <c r="J443" s="79"/>
      <c r="K443" s="79"/>
      <c r="L443" s="99"/>
      <c r="M443" s="99"/>
      <c r="N443" s="99"/>
      <c r="O443" s="99"/>
      <c r="P443" s="99"/>
      <c r="Q443" s="99"/>
      <c r="R443" s="99"/>
    </row>
    <row r="444" spans="1:18" ht="14.4" x14ac:dyDescent="0.3">
      <c r="A444" s="79"/>
      <c r="B444" s="79"/>
      <c r="C444" s="106">
        <v>2050</v>
      </c>
      <c r="D444" s="111">
        <v>36</v>
      </c>
      <c r="E444" s="108">
        <v>3877.6362949586191</v>
      </c>
      <c r="F444" s="105">
        <v>3877.6362949586191</v>
      </c>
      <c r="G444" s="740">
        <v>3877.6362949586191</v>
      </c>
      <c r="H444" s="741">
        <v>3768.6238463930858</v>
      </c>
      <c r="I444" s="79"/>
      <c r="J444" s="79"/>
      <c r="K444" s="79"/>
      <c r="L444" s="99"/>
      <c r="M444" s="99"/>
      <c r="N444" s="99"/>
      <c r="O444" s="99"/>
      <c r="P444" s="99"/>
      <c r="Q444" s="99"/>
      <c r="R444" s="99"/>
    </row>
    <row r="445" spans="1:18" ht="14.4" x14ac:dyDescent="0.3">
      <c r="A445" s="79"/>
      <c r="B445" s="79"/>
      <c r="C445" s="106">
        <v>2051</v>
      </c>
      <c r="D445" s="107">
        <v>37</v>
      </c>
      <c r="E445" s="108"/>
      <c r="F445" s="105"/>
      <c r="G445" s="730">
        <v>3895.83189014041</v>
      </c>
      <c r="H445" s="731">
        <v>3780.2692524732533</v>
      </c>
      <c r="I445" s="79"/>
      <c r="J445" s="79"/>
      <c r="K445" s="79"/>
      <c r="L445" s="99"/>
      <c r="M445" s="99"/>
      <c r="N445" s="99"/>
      <c r="O445" s="99"/>
      <c r="P445" s="99"/>
      <c r="Q445" s="99"/>
      <c r="R445" s="99"/>
    </row>
    <row r="446" spans="1:18" ht="14.4" x14ac:dyDescent="0.3">
      <c r="A446" s="79"/>
      <c r="B446" s="79"/>
      <c r="C446" s="106">
        <v>2052</v>
      </c>
      <c r="D446" s="107">
        <v>38</v>
      </c>
      <c r="E446" s="108"/>
      <c r="F446" s="105"/>
      <c r="G446" s="730">
        <v>3888.2450181588615</v>
      </c>
      <c r="H446" s="731">
        <v>3766.7954012439841</v>
      </c>
      <c r="I446" s="79"/>
      <c r="J446" s="79"/>
      <c r="K446" s="79"/>
      <c r="L446" s="99"/>
      <c r="M446" s="99"/>
      <c r="N446" s="99"/>
      <c r="O446" s="99"/>
      <c r="P446" s="99"/>
      <c r="Q446" s="99"/>
      <c r="R446" s="99"/>
    </row>
    <row r="447" spans="1:18" ht="14.4" x14ac:dyDescent="0.3">
      <c r="A447" s="79"/>
      <c r="B447" s="79"/>
      <c r="C447" s="106">
        <v>2053</v>
      </c>
      <c r="D447" s="107">
        <v>39</v>
      </c>
      <c r="E447" s="108"/>
      <c r="F447" s="105"/>
      <c r="G447" s="730">
        <v>3877.8700845518038</v>
      </c>
      <c r="H447" s="731">
        <v>3750.5674038655907</v>
      </c>
      <c r="I447" s="79"/>
      <c r="J447" s="79"/>
      <c r="K447" s="79"/>
      <c r="L447" s="99"/>
      <c r="M447" s="99"/>
      <c r="N447" s="99"/>
      <c r="O447" s="99"/>
      <c r="P447" s="99"/>
      <c r="Q447" s="99"/>
      <c r="R447" s="99"/>
    </row>
    <row r="448" spans="1:18" ht="14.4" x14ac:dyDescent="0.3">
      <c r="A448" s="79"/>
      <c r="B448" s="79"/>
      <c r="C448" s="106">
        <v>2054</v>
      </c>
      <c r="D448" s="107">
        <v>40</v>
      </c>
      <c r="E448" s="108"/>
      <c r="F448" s="105"/>
      <c r="G448" s="730">
        <v>3864.6481123304011</v>
      </c>
      <c r="H448" s="731">
        <v>3731.5473238752465</v>
      </c>
      <c r="I448" s="79"/>
      <c r="J448" s="79"/>
      <c r="K448" s="79"/>
      <c r="L448" s="99"/>
      <c r="M448" s="99"/>
      <c r="N448" s="99"/>
      <c r="O448" s="99"/>
      <c r="P448" s="99"/>
      <c r="Q448" s="99"/>
      <c r="R448" s="99"/>
    </row>
    <row r="449" spans="1:18" ht="14.4" x14ac:dyDescent="0.3">
      <c r="A449" s="79"/>
      <c r="B449" s="79"/>
      <c r="C449" s="106">
        <v>2055</v>
      </c>
      <c r="D449" s="111">
        <v>41</v>
      </c>
      <c r="E449" s="108"/>
      <c r="F449" s="105"/>
      <c r="G449" s="740">
        <v>3848.5201245058179</v>
      </c>
      <c r="H449" s="741">
        <v>3709.6965059185641</v>
      </c>
      <c r="I449" s="79"/>
      <c r="J449" s="79"/>
      <c r="K449" s="79"/>
      <c r="L449" s="99"/>
      <c r="M449" s="99"/>
      <c r="N449" s="99"/>
      <c r="O449" s="99"/>
      <c r="P449" s="99"/>
      <c r="Q449" s="99"/>
      <c r="R449" s="99"/>
    </row>
    <row r="450" spans="1:18" ht="14.4" x14ac:dyDescent="0.3">
      <c r="A450" s="79"/>
      <c r="B450" s="79"/>
      <c r="C450" s="106">
        <v>2056</v>
      </c>
      <c r="D450" s="107">
        <v>42</v>
      </c>
      <c r="E450" s="108"/>
      <c r="F450" s="105"/>
      <c r="G450" s="730">
        <v>3829.427144089218</v>
      </c>
      <c r="H450" s="731">
        <v>3684.9731014900512</v>
      </c>
      <c r="I450" s="79"/>
      <c r="J450" s="79"/>
      <c r="K450" s="79"/>
      <c r="L450" s="99"/>
      <c r="M450" s="99"/>
      <c r="N450" s="99"/>
      <c r="O450" s="99"/>
      <c r="P450" s="99"/>
      <c r="Q450" s="99"/>
      <c r="R450" s="99"/>
    </row>
    <row r="451" spans="1:18" ht="14.4" x14ac:dyDescent="0.3">
      <c r="A451" s="79"/>
      <c r="B451" s="79"/>
      <c r="C451" s="106">
        <v>2057</v>
      </c>
      <c r="D451" s="107">
        <v>43</v>
      </c>
      <c r="E451" s="108"/>
      <c r="F451" s="105"/>
      <c r="G451" s="730">
        <v>3807.3101940917663</v>
      </c>
      <c r="H451" s="731">
        <v>3657.3347817923304</v>
      </c>
      <c r="I451" s="79"/>
      <c r="J451" s="79"/>
      <c r="K451" s="79"/>
      <c r="L451" s="99"/>
      <c r="M451" s="99"/>
      <c r="N451" s="99"/>
      <c r="O451" s="99"/>
      <c r="P451" s="99"/>
      <c r="Q451" s="99"/>
      <c r="R451" s="99"/>
    </row>
    <row r="452" spans="1:18" ht="14.4" x14ac:dyDescent="0.3">
      <c r="A452" s="79"/>
      <c r="B452" s="79"/>
      <c r="C452" s="106">
        <v>2058</v>
      </c>
      <c r="D452" s="107">
        <v>44</v>
      </c>
      <c r="E452" s="108"/>
      <c r="F452" s="105"/>
      <c r="G452" s="730">
        <v>3782.1102975246267</v>
      </c>
      <c r="H452" s="731">
        <v>3626.7422731444285</v>
      </c>
      <c r="I452" s="79"/>
      <c r="J452" s="79"/>
      <c r="K452" s="79"/>
      <c r="L452" s="99"/>
      <c r="M452" s="99"/>
      <c r="N452" s="99"/>
      <c r="O452" s="99"/>
      <c r="P452" s="99"/>
      <c r="Q452" s="99"/>
      <c r="R452" s="99"/>
    </row>
    <row r="453" spans="1:18" ht="14.4" x14ac:dyDescent="0.3">
      <c r="A453" s="79"/>
      <c r="B453" s="79"/>
      <c r="C453" s="106">
        <v>2059</v>
      </c>
      <c r="D453" s="107">
        <v>45</v>
      </c>
      <c r="E453" s="108"/>
      <c r="F453" s="105"/>
      <c r="G453" s="730">
        <v>3753.7684773989631</v>
      </c>
      <c r="H453" s="731">
        <v>3593.1571438883102</v>
      </c>
      <c r="I453" s="79"/>
      <c r="J453" s="79"/>
      <c r="K453" s="79"/>
      <c r="L453" s="99"/>
      <c r="M453" s="99"/>
      <c r="N453" s="99"/>
      <c r="O453" s="99"/>
      <c r="P453" s="99"/>
      <c r="Q453" s="99"/>
      <c r="R453" s="99"/>
    </row>
    <row r="454" spans="1:18" ht="14.4" x14ac:dyDescent="0.3">
      <c r="A454" s="79"/>
      <c r="B454" s="79"/>
      <c r="C454" s="112">
        <v>2060</v>
      </c>
      <c r="D454" s="111">
        <v>46</v>
      </c>
      <c r="E454" s="108"/>
      <c r="F454" s="105"/>
      <c r="G454" s="740">
        <v>3722.2257567259408</v>
      </c>
      <c r="H454" s="741">
        <v>3556.5410076574044</v>
      </c>
      <c r="I454" s="79"/>
      <c r="J454" s="79"/>
      <c r="K454" s="79"/>
      <c r="L454" s="99"/>
      <c r="M454" s="99"/>
      <c r="N454" s="99"/>
      <c r="O454" s="99"/>
      <c r="P454" s="99"/>
      <c r="Q454" s="99"/>
      <c r="R454" s="99"/>
    </row>
    <row r="455" spans="1:18" ht="14.4" x14ac:dyDescent="0.3">
      <c r="A455" s="79"/>
      <c r="B455" s="2"/>
      <c r="C455" s="2"/>
      <c r="D455" s="2"/>
      <c r="E455" s="2"/>
      <c r="F455" s="2"/>
      <c r="G455" s="2"/>
      <c r="H455" s="2"/>
      <c r="I455" s="2"/>
      <c r="J455" s="2"/>
      <c r="K455" s="2"/>
    </row>
    <row r="456" spans="1:18" ht="14.4" x14ac:dyDescent="0.3">
      <c r="A456" s="79"/>
      <c r="B456" s="2"/>
      <c r="C456" s="2"/>
      <c r="D456" s="2"/>
      <c r="E456" s="2"/>
      <c r="F456" s="2"/>
      <c r="G456" s="2"/>
      <c r="H456" s="2"/>
      <c r="I456" s="2"/>
      <c r="J456" s="2"/>
      <c r="K456" s="2"/>
    </row>
    <row r="457" spans="1:18" ht="14.4" x14ac:dyDescent="0.3">
      <c r="A457" s="2"/>
      <c r="B457" s="2"/>
      <c r="C457" s="2"/>
      <c r="D457" s="2"/>
      <c r="E457" s="2"/>
      <c r="F457" s="2"/>
      <c r="G457" s="2"/>
      <c r="H457" s="2"/>
      <c r="I457" s="2"/>
      <c r="J457" s="2"/>
      <c r="K457" s="2"/>
    </row>
    <row r="458" spans="1:18" ht="14.4" x14ac:dyDescent="0.3">
      <c r="A458" s="2"/>
      <c r="B458" s="2"/>
      <c r="C458" s="2"/>
      <c r="D458" s="2"/>
      <c r="E458" s="2"/>
      <c r="F458" s="2"/>
      <c r="G458" s="2"/>
      <c r="H458" s="2"/>
      <c r="I458" s="2"/>
      <c r="J458" s="2"/>
      <c r="K458" s="2"/>
    </row>
    <row r="459" spans="1:18" ht="14.4" x14ac:dyDescent="0.3">
      <c r="A459" s="2"/>
      <c r="B459" s="2"/>
      <c r="C459" s="2"/>
      <c r="D459" s="2"/>
      <c r="E459" s="2"/>
      <c r="F459" s="2"/>
      <c r="G459" s="2"/>
      <c r="H459" s="2"/>
      <c r="I459" s="2"/>
      <c r="J459" s="2"/>
      <c r="K459" s="2"/>
    </row>
    <row r="460" spans="1:18" ht="15.75" customHeight="1" x14ac:dyDescent="0.3">
      <c r="A460" s="71">
        <v>8</v>
      </c>
      <c r="B460" s="72" t="s">
        <v>117</v>
      </c>
      <c r="C460" s="73"/>
      <c r="D460" s="73"/>
      <c r="E460" s="73"/>
      <c r="F460" s="73"/>
      <c r="G460" s="73"/>
      <c r="H460" s="73"/>
      <c r="I460" s="73"/>
      <c r="J460" s="73"/>
      <c r="K460" s="73"/>
    </row>
    <row r="461" spans="1:18" ht="15.75" customHeight="1" x14ac:dyDescent="0.3">
      <c r="A461" s="74" t="s">
        <v>74</v>
      </c>
      <c r="B461" s="75"/>
      <c r="C461" s="75"/>
      <c r="D461" s="76"/>
      <c r="E461" s="77"/>
      <c r="F461" s="862"/>
      <c r="G461" s="77"/>
      <c r="H461" s="78"/>
      <c r="I461" s="79"/>
      <c r="J461" s="79"/>
      <c r="K461" s="79"/>
      <c r="L461" s="99"/>
      <c r="M461" s="99"/>
      <c r="N461" s="99"/>
      <c r="O461" s="99"/>
      <c r="P461" s="99"/>
      <c r="Q461" s="99"/>
      <c r="R461" s="99"/>
    </row>
    <row r="462" spans="1:18" ht="16.5" customHeight="1" thickBot="1" x14ac:dyDescent="0.35">
      <c r="A462" s="110" t="s">
        <v>75</v>
      </c>
      <c r="B462" s="80"/>
      <c r="C462" s="80"/>
      <c r="D462" s="81"/>
      <c r="E462" s="109" t="s">
        <v>78</v>
      </c>
      <c r="F462" s="863"/>
      <c r="G462" s="746" t="s">
        <v>118</v>
      </c>
      <c r="H462" s="711"/>
      <c r="I462" s="79"/>
      <c r="J462" s="79"/>
      <c r="K462" s="79"/>
      <c r="L462" s="99"/>
      <c r="M462" s="99"/>
      <c r="N462" s="99"/>
      <c r="O462" s="99"/>
      <c r="P462" s="99"/>
      <c r="Q462" s="99"/>
      <c r="R462" s="99"/>
    </row>
    <row r="463" spans="1:18" ht="51.75" customHeight="1" thickBot="1" x14ac:dyDescent="0.35">
      <c r="A463" s="82"/>
      <c r="B463" s="82"/>
      <c r="C463" s="82"/>
      <c r="D463" s="83"/>
      <c r="E463" s="101" t="s">
        <v>80</v>
      </c>
      <c r="F463" s="101" t="s">
        <v>80</v>
      </c>
      <c r="G463" s="746" t="s">
        <v>119</v>
      </c>
      <c r="H463" s="747" t="s">
        <v>82</v>
      </c>
      <c r="I463" s="101" t="s">
        <v>83</v>
      </c>
      <c r="J463" s="865" t="s">
        <v>84</v>
      </c>
      <c r="K463" s="875"/>
      <c r="L463" s="99"/>
      <c r="M463" s="99"/>
      <c r="N463" s="99"/>
      <c r="O463" s="99"/>
      <c r="P463" s="99"/>
      <c r="Q463" s="99"/>
      <c r="R463" s="99"/>
    </row>
    <row r="464" spans="1:18" ht="15.75" customHeight="1" x14ac:dyDescent="0.3">
      <c r="A464" s="74" t="s">
        <v>85</v>
      </c>
      <c r="B464" s="82"/>
      <c r="C464" s="102">
        <v>2005</v>
      </c>
      <c r="D464" s="103">
        <v>-9</v>
      </c>
      <c r="E464" s="104"/>
      <c r="F464" s="105"/>
      <c r="G464" s="722">
        <v>777.8409784676378</v>
      </c>
      <c r="H464" s="723">
        <v>777.8409784676378</v>
      </c>
      <c r="I464" s="871" t="s">
        <v>86</v>
      </c>
      <c r="J464" s="876"/>
      <c r="K464" s="877"/>
      <c r="L464" s="99"/>
      <c r="M464" s="99"/>
      <c r="N464" s="99"/>
      <c r="O464" s="99"/>
      <c r="P464" s="99"/>
      <c r="Q464" s="99"/>
      <c r="R464" s="99"/>
    </row>
    <row r="465" spans="1:18" ht="15.75" customHeight="1" x14ac:dyDescent="0.3">
      <c r="A465" s="110" t="s">
        <v>87</v>
      </c>
      <c r="B465" s="82"/>
      <c r="C465" s="106">
        <v>2006</v>
      </c>
      <c r="D465" s="107">
        <v>-8</v>
      </c>
      <c r="E465" s="108"/>
      <c r="F465" s="105"/>
      <c r="G465" s="727">
        <v>1031.0659037785597</v>
      </c>
      <c r="H465" s="728">
        <v>1031.0659037785597</v>
      </c>
      <c r="I465" s="882"/>
      <c r="J465" s="876"/>
      <c r="K465" s="877"/>
      <c r="L465" s="99"/>
      <c r="M465" s="99"/>
      <c r="N465" s="99"/>
      <c r="O465" s="99"/>
      <c r="P465" s="99"/>
      <c r="Q465" s="99"/>
      <c r="R465" s="99"/>
    </row>
    <row r="466" spans="1:18" ht="14.4" x14ac:dyDescent="0.3">
      <c r="A466" s="82"/>
      <c r="B466" s="82"/>
      <c r="C466" s="106">
        <v>2007</v>
      </c>
      <c r="D466" s="107">
        <v>-7</v>
      </c>
      <c r="E466" s="108"/>
      <c r="F466" s="105"/>
      <c r="G466" s="727">
        <v>1281.7677092289284</v>
      </c>
      <c r="H466" s="728">
        <v>1281.7677092289284</v>
      </c>
      <c r="I466" s="882"/>
      <c r="J466" s="876"/>
      <c r="K466" s="877"/>
      <c r="L466" s="99"/>
      <c r="M466" s="99"/>
      <c r="N466" s="99"/>
      <c r="O466" s="99"/>
      <c r="P466" s="99"/>
      <c r="Q466" s="99"/>
      <c r="R466" s="99"/>
    </row>
    <row r="467" spans="1:18" ht="15.75" customHeight="1" x14ac:dyDescent="0.3">
      <c r="A467" s="29" t="s">
        <v>88</v>
      </c>
      <c r="B467" s="82"/>
      <c r="C467" s="106">
        <v>2008</v>
      </c>
      <c r="D467" s="107">
        <v>-6</v>
      </c>
      <c r="E467" s="108"/>
      <c r="F467" s="105"/>
      <c r="G467" s="727">
        <v>1529.9463948187436</v>
      </c>
      <c r="H467" s="728">
        <v>1529.9463948187436</v>
      </c>
      <c r="I467" s="882"/>
      <c r="J467" s="878"/>
      <c r="K467" s="879"/>
      <c r="L467" s="99"/>
      <c r="M467" s="99"/>
      <c r="N467" s="99"/>
      <c r="O467" s="99"/>
      <c r="P467" s="99"/>
      <c r="Q467" s="99"/>
      <c r="R467" s="99"/>
    </row>
    <row r="468" spans="1:18" ht="14.55" customHeight="1" x14ac:dyDescent="0.3">
      <c r="A468" s="872" t="s">
        <v>120</v>
      </c>
      <c r="B468" s="82"/>
      <c r="C468" s="106">
        <v>2009</v>
      </c>
      <c r="D468" s="107">
        <v>-5</v>
      </c>
      <c r="E468" s="108"/>
      <c r="F468" s="105"/>
      <c r="G468" s="727">
        <v>1775.6019605480051</v>
      </c>
      <c r="H468" s="728">
        <v>1775.6019605480051</v>
      </c>
      <c r="I468" s="882"/>
      <c r="J468" s="79"/>
      <c r="K468" s="79"/>
      <c r="L468" s="99"/>
      <c r="M468" s="99"/>
      <c r="N468" s="99"/>
      <c r="O468" s="99"/>
      <c r="P468" s="99"/>
      <c r="Q468" s="99"/>
      <c r="R468" s="99"/>
    </row>
    <row r="469" spans="1:18" ht="14.4" x14ac:dyDescent="0.3">
      <c r="A469" s="880"/>
      <c r="B469" s="82"/>
      <c r="C469" s="106">
        <v>2010</v>
      </c>
      <c r="D469" s="107">
        <v>-4</v>
      </c>
      <c r="E469" s="108">
        <v>2464.1290514129732</v>
      </c>
      <c r="F469" s="105">
        <v>2464.1290514129732</v>
      </c>
      <c r="G469" s="727">
        <v>2464.1290514129732</v>
      </c>
      <c r="H469" s="728">
        <v>2464.1290514129732</v>
      </c>
      <c r="I469" s="882"/>
      <c r="J469" s="79"/>
      <c r="K469" s="79"/>
      <c r="L469" s="99"/>
      <c r="M469" s="99"/>
      <c r="N469" s="99"/>
      <c r="O469" s="99"/>
      <c r="P469" s="99"/>
      <c r="Q469" s="99"/>
      <c r="R469" s="99"/>
    </row>
    <row r="470" spans="1:18" ht="14.4" x14ac:dyDescent="0.3">
      <c r="A470" s="880"/>
      <c r="B470" s="82"/>
      <c r="C470" s="106">
        <v>2011</v>
      </c>
      <c r="D470" s="107">
        <v>-3</v>
      </c>
      <c r="E470" s="108"/>
      <c r="F470" s="105"/>
      <c r="G470" s="727">
        <v>2259.3437324248671</v>
      </c>
      <c r="H470" s="728">
        <v>2259.3437324248671</v>
      </c>
      <c r="I470" s="883"/>
      <c r="J470" s="79"/>
      <c r="K470" s="79"/>
      <c r="L470" s="99"/>
      <c r="M470" s="99"/>
      <c r="N470" s="99"/>
      <c r="O470" s="99"/>
      <c r="P470" s="99"/>
      <c r="Q470" s="99"/>
      <c r="R470" s="99"/>
    </row>
    <row r="471" spans="1:18" ht="14.4" x14ac:dyDescent="0.3">
      <c r="A471" s="881"/>
      <c r="B471" s="82"/>
      <c r="C471" s="106">
        <v>2012</v>
      </c>
      <c r="D471" s="107">
        <v>-2</v>
      </c>
      <c r="E471" s="108"/>
      <c r="F471" s="105"/>
      <c r="G471" s="730">
        <v>2497.4299385724676</v>
      </c>
      <c r="H471" s="731">
        <v>2497.4299385724676</v>
      </c>
      <c r="I471" s="87" t="s">
        <v>90</v>
      </c>
      <c r="J471" s="79"/>
      <c r="K471" s="79"/>
      <c r="L471" s="99"/>
      <c r="M471" s="99"/>
      <c r="N471" s="99"/>
      <c r="O471" s="99"/>
      <c r="P471" s="99"/>
      <c r="Q471" s="99"/>
      <c r="R471" s="99"/>
    </row>
    <row r="472" spans="1:18" ht="14.4" x14ac:dyDescent="0.3">
      <c r="A472" s="82"/>
      <c r="B472" s="82"/>
      <c r="C472" s="106">
        <v>2013</v>
      </c>
      <c r="D472" s="107">
        <v>-1</v>
      </c>
      <c r="E472" s="108"/>
      <c r="F472" s="105"/>
      <c r="G472" s="730">
        <v>2732.9930248595147</v>
      </c>
      <c r="H472" s="731">
        <v>2732.9930248595147</v>
      </c>
      <c r="I472" s="82"/>
      <c r="J472" s="79"/>
      <c r="K472" s="79"/>
      <c r="L472" s="99"/>
      <c r="M472" s="99"/>
      <c r="N472" s="99"/>
      <c r="O472" s="99"/>
      <c r="P472" s="99"/>
      <c r="Q472" s="99"/>
      <c r="R472" s="99"/>
    </row>
    <row r="473" spans="1:18" ht="15.75" customHeight="1" x14ac:dyDescent="0.3">
      <c r="A473" s="77" t="s">
        <v>91</v>
      </c>
      <c r="B473" s="82"/>
      <c r="C473" s="106">
        <v>2014</v>
      </c>
      <c r="D473" s="107">
        <v>0</v>
      </c>
      <c r="E473" s="108"/>
      <c r="F473" s="105"/>
      <c r="G473" s="730">
        <v>2966.0329912860079</v>
      </c>
      <c r="H473" s="731">
        <v>2984.6292874071305</v>
      </c>
      <c r="I473" s="79"/>
      <c r="J473" s="79"/>
      <c r="K473" s="79"/>
      <c r="L473" s="99"/>
      <c r="M473" s="99"/>
      <c r="N473" s="99"/>
      <c r="O473" s="99"/>
      <c r="P473" s="99"/>
      <c r="Q473" s="99"/>
      <c r="R473" s="99"/>
    </row>
    <row r="474" spans="1:18" ht="15.75" customHeight="1" x14ac:dyDescent="0.3">
      <c r="A474" s="110">
        <v>2015</v>
      </c>
      <c r="B474" s="80"/>
      <c r="C474" s="106">
        <v>2015</v>
      </c>
      <c r="D474" s="107">
        <v>1</v>
      </c>
      <c r="E474" s="108">
        <v>2850.6823594876023</v>
      </c>
      <c r="F474" s="105">
        <v>2850.6823594876023</v>
      </c>
      <c r="G474" s="730">
        <v>2850.6823594876023</v>
      </c>
      <c r="H474" s="731">
        <v>2868.7774620445957</v>
      </c>
      <c r="I474" s="79"/>
      <c r="J474" s="79"/>
      <c r="K474" s="79"/>
      <c r="L474" s="99"/>
      <c r="M474" s="99"/>
      <c r="N474" s="99"/>
      <c r="O474" s="99"/>
      <c r="P474" s="99"/>
      <c r="Q474" s="99"/>
      <c r="R474" s="99"/>
    </row>
    <row r="475" spans="1:18" ht="14.4" x14ac:dyDescent="0.3">
      <c r="A475" s="79"/>
      <c r="B475" s="80"/>
      <c r="C475" s="106">
        <v>2016</v>
      </c>
      <c r="D475" s="107">
        <v>2</v>
      </c>
      <c r="E475" s="108"/>
      <c r="F475" s="105"/>
      <c r="G475" s="730">
        <v>3424.5435645573339</v>
      </c>
      <c r="H475" s="731">
        <v>3446.6269854833622</v>
      </c>
      <c r="I475" s="79"/>
      <c r="J475" s="79"/>
      <c r="K475" s="79"/>
      <c r="L475" s="99"/>
      <c r="M475" s="99"/>
      <c r="N475" s="99"/>
      <c r="O475" s="99"/>
      <c r="P475" s="99"/>
      <c r="Q475" s="99"/>
      <c r="R475" s="99"/>
    </row>
    <row r="476" spans="1:18" ht="15.75" customHeight="1" x14ac:dyDescent="0.3">
      <c r="A476" s="77" t="s">
        <v>92</v>
      </c>
      <c r="B476" s="80"/>
      <c r="C476" s="106">
        <v>2017</v>
      </c>
      <c r="D476" s="107">
        <v>3</v>
      </c>
      <c r="E476" s="108"/>
      <c r="F476" s="105"/>
      <c r="G476" s="730">
        <v>3650.0141714021665</v>
      </c>
      <c r="H476" s="731">
        <v>3674.0020727583455</v>
      </c>
      <c r="I476" s="79"/>
      <c r="J476" s="79"/>
      <c r="K476" s="79"/>
      <c r="L476" s="99"/>
      <c r="M476" s="99"/>
      <c r="N476" s="99"/>
      <c r="O476" s="99"/>
      <c r="P476" s="99"/>
      <c r="Q476" s="99"/>
      <c r="R476" s="99"/>
    </row>
    <row r="477" spans="1:18" ht="15.75" customHeight="1" x14ac:dyDescent="0.3">
      <c r="A477" s="110" t="s">
        <v>80</v>
      </c>
      <c r="B477" s="80"/>
      <c r="C477" s="106">
        <v>2018</v>
      </c>
      <c r="D477" s="107">
        <v>4</v>
      </c>
      <c r="E477" s="108"/>
      <c r="F477" s="105"/>
      <c r="G477" s="730">
        <v>3872.9616583864454</v>
      </c>
      <c r="H477" s="731">
        <v>3898.9483468456151</v>
      </c>
      <c r="I477" s="79"/>
      <c r="J477" s="79"/>
      <c r="K477" s="79"/>
      <c r="L477" s="99"/>
      <c r="M477" s="99"/>
      <c r="N477" s="99"/>
      <c r="O477" s="99"/>
      <c r="P477" s="99"/>
      <c r="Q477" s="99"/>
      <c r="R477" s="99"/>
    </row>
    <row r="478" spans="1:18" ht="14.4" x14ac:dyDescent="0.3">
      <c r="A478" s="79"/>
      <c r="B478" s="80"/>
      <c r="C478" s="106">
        <v>2019</v>
      </c>
      <c r="D478" s="107">
        <v>5</v>
      </c>
      <c r="E478" s="108"/>
      <c r="F478" s="105"/>
      <c r="G478" s="730">
        <v>4093.3860255101704</v>
      </c>
      <c r="H478" s="731">
        <v>4121.4267152764505</v>
      </c>
      <c r="I478" s="79"/>
      <c r="J478" s="79"/>
      <c r="K478" s="79"/>
      <c r="L478" s="99"/>
      <c r="M478" s="99"/>
      <c r="N478" s="99"/>
      <c r="O478" s="99"/>
      <c r="P478" s="99"/>
      <c r="Q478" s="99"/>
      <c r="R478" s="99"/>
    </row>
    <row r="479" spans="1:18" ht="15.75" customHeight="1" x14ac:dyDescent="0.3">
      <c r="A479" s="77" t="s">
        <v>93</v>
      </c>
      <c r="B479" s="80"/>
      <c r="C479" s="106">
        <v>2020</v>
      </c>
      <c r="D479" s="107">
        <v>6</v>
      </c>
      <c r="E479" s="108">
        <v>3855.1194723036378</v>
      </c>
      <c r="F479" s="105">
        <v>3855.1194723036378</v>
      </c>
      <c r="G479" s="730">
        <v>3855.1194723036378</v>
      </c>
      <c r="H479" s="731">
        <v>3882.3575212419173</v>
      </c>
      <c r="I479" s="79"/>
      <c r="J479" s="79"/>
      <c r="K479" s="79"/>
      <c r="L479" s="99"/>
      <c r="M479" s="99"/>
      <c r="N479" s="99"/>
      <c r="O479" s="99"/>
      <c r="P479" s="99"/>
      <c r="Q479" s="99"/>
      <c r="R479" s="99"/>
    </row>
    <row r="480" spans="1:18" ht="15.75" customHeight="1" x14ac:dyDescent="0.3">
      <c r="A480" s="77"/>
      <c r="B480" s="80"/>
      <c r="C480" s="106">
        <v>2021</v>
      </c>
      <c r="D480" s="107">
        <v>7</v>
      </c>
      <c r="E480" s="108"/>
      <c r="F480" s="105"/>
      <c r="G480" s="730">
        <v>4526.6654001759598</v>
      </c>
      <c r="H480" s="731">
        <v>4556.3062611795676</v>
      </c>
      <c r="I480" s="79"/>
      <c r="J480" s="79"/>
      <c r="K480" s="79"/>
      <c r="L480" s="99"/>
      <c r="M480" s="99"/>
      <c r="N480" s="99"/>
      <c r="O480" s="99"/>
      <c r="P480" s="99"/>
      <c r="Q480" s="99"/>
      <c r="R480" s="99"/>
    </row>
    <row r="481" spans="1:18" ht="15.75" customHeight="1" x14ac:dyDescent="0.3">
      <c r="A481" s="88"/>
      <c r="B481" s="80"/>
      <c r="C481" s="106">
        <v>2022</v>
      </c>
      <c r="D481" s="107">
        <v>8</v>
      </c>
      <c r="E481" s="108"/>
      <c r="F481" s="105"/>
      <c r="G481" s="730">
        <v>4739.5204077180242</v>
      </c>
      <c r="H481" s="731">
        <v>4767.8483311676509</v>
      </c>
      <c r="I481" s="79"/>
      <c r="J481" s="79"/>
      <c r="K481" s="79"/>
      <c r="L481" s="99"/>
      <c r="M481" s="99"/>
      <c r="N481" s="99"/>
      <c r="O481" s="99"/>
      <c r="P481" s="99"/>
      <c r="Q481" s="99"/>
      <c r="R481" s="99"/>
    </row>
    <row r="482" spans="1:18" ht="15.75" customHeight="1" x14ac:dyDescent="0.3">
      <c r="A482" s="110"/>
      <c r="B482" s="80"/>
      <c r="C482" s="106">
        <v>2023</v>
      </c>
      <c r="D482" s="107">
        <v>9</v>
      </c>
      <c r="E482" s="108"/>
      <c r="F482" s="105"/>
      <c r="G482" s="730">
        <v>4949.8522953995353</v>
      </c>
      <c r="H482" s="731">
        <v>4976.3372351413946</v>
      </c>
      <c r="I482" s="79"/>
      <c r="J482" s="79"/>
      <c r="K482" s="79"/>
      <c r="L482" s="99"/>
      <c r="M482" s="99"/>
      <c r="N482" s="99"/>
      <c r="O482" s="99"/>
      <c r="P482" s="99"/>
      <c r="Q482" s="99"/>
      <c r="R482" s="99"/>
    </row>
    <row r="483" spans="1:18" ht="14.4" x14ac:dyDescent="0.3">
      <c r="A483" s="79"/>
      <c r="B483" s="80"/>
      <c r="C483" s="106">
        <v>2024</v>
      </c>
      <c r="D483" s="107">
        <v>10</v>
      </c>
      <c r="E483" s="108"/>
      <c r="F483" s="105"/>
      <c r="G483" s="730">
        <v>5157.661063220492</v>
      </c>
      <c r="H483" s="731">
        <v>5181.6446015601996</v>
      </c>
      <c r="I483" s="79"/>
      <c r="J483" s="79"/>
      <c r="K483" s="79"/>
      <c r="L483" s="99"/>
      <c r="M483" s="99"/>
      <c r="N483" s="99"/>
      <c r="O483" s="99"/>
      <c r="P483" s="99"/>
      <c r="Q483" s="99"/>
      <c r="R483" s="99"/>
    </row>
    <row r="484" spans="1:18" ht="14.4" x14ac:dyDescent="0.3">
      <c r="A484" s="5"/>
      <c r="B484" s="80"/>
      <c r="C484" s="106">
        <v>2025</v>
      </c>
      <c r="D484" s="107">
        <v>11</v>
      </c>
      <c r="E484" s="108">
        <v>5352.544184465919</v>
      </c>
      <c r="F484" s="105">
        <v>5352.544184465919</v>
      </c>
      <c r="G484" s="730">
        <v>5352.544184465919</v>
      </c>
      <c r="H484" s="731">
        <v>5373.2196427808749</v>
      </c>
      <c r="I484" s="79"/>
      <c r="J484" s="79"/>
      <c r="K484" s="79"/>
      <c r="L484" s="99"/>
      <c r="M484" s="99"/>
      <c r="N484" s="99"/>
      <c r="O484" s="99"/>
      <c r="P484" s="99"/>
      <c r="Q484" s="99"/>
      <c r="R484" s="99"/>
    </row>
    <row r="485" spans="1:18" ht="14.4" x14ac:dyDescent="0.3">
      <c r="A485" s="5"/>
      <c r="B485" s="80"/>
      <c r="C485" s="106">
        <v>2026</v>
      </c>
      <c r="D485" s="107">
        <v>12</v>
      </c>
      <c r="E485" s="108"/>
      <c r="F485" s="105"/>
      <c r="G485" s="730">
        <v>5565.7092392807463</v>
      </c>
      <c r="H485" s="731">
        <v>5582.3789509207736</v>
      </c>
      <c r="I485" s="79"/>
      <c r="J485" s="79"/>
      <c r="K485" s="79"/>
      <c r="L485" s="99"/>
      <c r="M485" s="99"/>
      <c r="N485" s="99"/>
      <c r="O485" s="99"/>
      <c r="P485" s="99"/>
      <c r="Q485" s="99"/>
      <c r="R485" s="99"/>
    </row>
    <row r="486" spans="1:18" ht="14.4" x14ac:dyDescent="0.3">
      <c r="A486" s="5"/>
      <c r="B486" s="80"/>
      <c r="C486" s="106">
        <v>2027</v>
      </c>
      <c r="D486" s="107">
        <v>13</v>
      </c>
      <c r="E486" s="108"/>
      <c r="F486" s="105"/>
      <c r="G486" s="730">
        <v>5765.9486475200429</v>
      </c>
      <c r="H486" s="731">
        <v>5777.838574183178</v>
      </c>
      <c r="I486" s="79"/>
      <c r="J486" s="79"/>
      <c r="K486" s="79"/>
      <c r="L486" s="99"/>
      <c r="M486" s="99"/>
      <c r="N486" s="99"/>
      <c r="O486" s="99"/>
      <c r="P486" s="99"/>
      <c r="Q486" s="99"/>
      <c r="R486" s="99"/>
    </row>
    <row r="487" spans="1:18" ht="14.4" x14ac:dyDescent="0.3">
      <c r="A487" s="5"/>
      <c r="B487" s="80"/>
      <c r="C487" s="106">
        <v>2028</v>
      </c>
      <c r="D487" s="107">
        <v>14</v>
      </c>
      <c r="E487" s="108"/>
      <c r="F487" s="105"/>
      <c r="G487" s="730">
        <v>5963.6649358987852</v>
      </c>
      <c r="H487" s="731">
        <v>5970.0312607455589</v>
      </c>
      <c r="I487" s="79"/>
      <c r="J487" s="79"/>
      <c r="K487" s="79"/>
      <c r="L487" s="99"/>
      <c r="M487" s="99"/>
      <c r="N487" s="99"/>
      <c r="O487" s="99"/>
      <c r="P487" s="99"/>
      <c r="Q487" s="99"/>
      <c r="R487" s="99"/>
    </row>
    <row r="488" spans="1:18" ht="14.4" x14ac:dyDescent="0.3">
      <c r="A488" s="5"/>
      <c r="B488" s="80"/>
      <c r="C488" s="106">
        <v>2029</v>
      </c>
      <c r="D488" s="107">
        <v>15</v>
      </c>
      <c r="E488" s="108"/>
      <c r="F488" s="105"/>
      <c r="G488" s="730">
        <v>6158.8581044169741</v>
      </c>
      <c r="H488" s="731">
        <v>6158.9508239417537</v>
      </c>
      <c r="I488" s="79"/>
      <c r="J488" s="79"/>
      <c r="K488" s="79"/>
      <c r="L488" s="99"/>
      <c r="M488" s="99"/>
      <c r="N488" s="99"/>
      <c r="O488" s="99"/>
      <c r="P488" s="99"/>
      <c r="Q488" s="99"/>
      <c r="R488" s="99"/>
    </row>
    <row r="489" spans="1:18" ht="14.4" x14ac:dyDescent="0.3">
      <c r="A489" s="5"/>
      <c r="B489" s="80"/>
      <c r="C489" s="106">
        <v>2030</v>
      </c>
      <c r="D489" s="107">
        <v>16</v>
      </c>
      <c r="E489" s="108">
        <v>6494.3403842647058</v>
      </c>
      <c r="F489" s="105">
        <v>6494.3403842647058</v>
      </c>
      <c r="G489" s="730">
        <v>6494.3403842647058</v>
      </c>
      <c r="H489" s="731">
        <v>6487.2461451626596</v>
      </c>
      <c r="I489" s="79"/>
      <c r="J489" s="79"/>
      <c r="K489" s="79"/>
      <c r="L489" s="99"/>
      <c r="M489" s="99"/>
      <c r="N489" s="99"/>
      <c r="O489" s="99"/>
      <c r="P489" s="99"/>
      <c r="Q489" s="99"/>
      <c r="R489" s="99"/>
    </row>
    <row r="490" spans="1:18" ht="14.4" x14ac:dyDescent="0.3">
      <c r="A490" s="5"/>
      <c r="B490" s="80"/>
      <c r="C490" s="106">
        <v>2031</v>
      </c>
      <c r="D490" s="107">
        <v>17</v>
      </c>
      <c r="E490" s="108"/>
      <c r="F490" s="105"/>
      <c r="G490" s="730">
        <v>6541.6750818716919</v>
      </c>
      <c r="H490" s="731">
        <v>6526.9437843334508</v>
      </c>
      <c r="I490" s="79"/>
      <c r="J490" s="79"/>
      <c r="K490" s="79"/>
      <c r="L490" s="99"/>
      <c r="M490" s="99"/>
      <c r="N490" s="99"/>
      <c r="O490" s="99"/>
      <c r="P490" s="99"/>
      <c r="Q490" s="99"/>
      <c r="R490" s="99"/>
    </row>
    <row r="491" spans="1:18" ht="14.4" x14ac:dyDescent="0.3">
      <c r="A491" s="5"/>
      <c r="B491" s="80"/>
      <c r="C491" s="106">
        <v>2032</v>
      </c>
      <c r="D491" s="107">
        <v>18</v>
      </c>
      <c r="E491" s="108"/>
      <c r="F491" s="105"/>
      <c r="G491" s="730">
        <v>6729.2988908082189</v>
      </c>
      <c r="H491" s="731">
        <v>6706.029718798367</v>
      </c>
      <c r="I491" s="79"/>
      <c r="J491" s="79"/>
      <c r="K491" s="79"/>
      <c r="L491" s="99"/>
      <c r="M491" s="99"/>
      <c r="N491" s="99"/>
      <c r="O491" s="99"/>
      <c r="P491" s="99"/>
      <c r="Q491" s="99"/>
      <c r="R491" s="99"/>
    </row>
    <row r="492" spans="1:18" ht="14.4" x14ac:dyDescent="0.3">
      <c r="A492" s="5"/>
      <c r="B492" s="80"/>
      <c r="C492" s="106">
        <v>2033</v>
      </c>
      <c r="D492" s="107">
        <v>19</v>
      </c>
      <c r="E492" s="108"/>
      <c r="F492" s="105"/>
      <c r="G492" s="730">
        <v>6914.3995798841943</v>
      </c>
      <c r="H492" s="731">
        <v>6881.911471433833</v>
      </c>
      <c r="I492" s="79"/>
      <c r="J492" s="79"/>
      <c r="K492" s="79"/>
      <c r="L492" s="99"/>
      <c r="M492" s="99"/>
      <c r="N492" s="99"/>
      <c r="O492" s="99"/>
      <c r="P492" s="99"/>
      <c r="Q492" s="99"/>
      <c r="R492" s="99"/>
    </row>
    <row r="493" spans="1:18" ht="14.4" x14ac:dyDescent="0.3">
      <c r="A493" s="5"/>
      <c r="B493" s="80"/>
      <c r="C493" s="106">
        <v>2034</v>
      </c>
      <c r="D493" s="107">
        <v>20</v>
      </c>
      <c r="E493" s="108"/>
      <c r="F493" s="105"/>
      <c r="G493" s="730">
        <v>7096.9771490996154</v>
      </c>
      <c r="H493" s="731">
        <v>7054.6783737424366</v>
      </c>
      <c r="I493" s="79"/>
      <c r="J493" s="79"/>
      <c r="K493" s="79"/>
      <c r="L493" s="99"/>
      <c r="M493" s="99"/>
      <c r="N493" s="99"/>
      <c r="O493" s="99"/>
      <c r="P493" s="99"/>
      <c r="Q493" s="99"/>
      <c r="R493" s="99"/>
    </row>
    <row r="494" spans="1:18" ht="14.4" x14ac:dyDescent="0.3">
      <c r="A494" s="5"/>
      <c r="B494" s="80"/>
      <c r="C494" s="106">
        <v>2035</v>
      </c>
      <c r="D494" s="107">
        <v>21</v>
      </c>
      <c r="E494" s="108">
        <v>7511.3582058318134</v>
      </c>
      <c r="F494" s="105">
        <v>7511.3582058318134</v>
      </c>
      <c r="G494" s="730">
        <v>7511.3582058318134</v>
      </c>
      <c r="H494" s="731">
        <v>7457.0339497818368</v>
      </c>
      <c r="I494" s="79"/>
      <c r="J494" s="79"/>
      <c r="K494" s="79"/>
      <c r="L494" s="99"/>
      <c r="M494" s="99"/>
      <c r="N494" s="99"/>
      <c r="O494" s="99"/>
      <c r="P494" s="99"/>
      <c r="Q494" s="99"/>
      <c r="R494" s="99"/>
    </row>
    <row r="495" spans="1:18" ht="14.4" x14ac:dyDescent="0.3">
      <c r="A495" s="5"/>
      <c r="B495" s="80"/>
      <c r="C495" s="106">
        <v>2036</v>
      </c>
      <c r="D495" s="107">
        <v>22</v>
      </c>
      <c r="E495" s="108"/>
      <c r="F495" s="105"/>
      <c r="G495" s="730">
        <v>7454.5629279487957</v>
      </c>
      <c r="H495" s="731">
        <v>7391.1238164441475</v>
      </c>
      <c r="I495" s="79"/>
      <c r="J495" s="79"/>
      <c r="K495" s="79"/>
      <c r="L495" s="99"/>
      <c r="M495" s="99"/>
      <c r="N495" s="99"/>
      <c r="O495" s="99"/>
      <c r="P495" s="99"/>
      <c r="Q495" s="99"/>
      <c r="R495" s="99"/>
    </row>
    <row r="496" spans="1:18" ht="14.4" x14ac:dyDescent="0.3">
      <c r="A496" s="5"/>
      <c r="B496" s="80"/>
      <c r="C496" s="106">
        <v>2037</v>
      </c>
      <c r="D496" s="107">
        <v>23</v>
      </c>
      <c r="E496" s="108"/>
      <c r="F496" s="105"/>
      <c r="G496" s="730">
        <v>7629.5711375825567</v>
      </c>
      <c r="H496" s="731">
        <v>7554.8432902511058</v>
      </c>
      <c r="I496" s="79"/>
      <c r="J496" s="79"/>
      <c r="K496" s="79"/>
      <c r="L496" s="99"/>
      <c r="M496" s="99"/>
      <c r="N496" s="99"/>
      <c r="O496" s="99"/>
      <c r="P496" s="99"/>
      <c r="Q496" s="99"/>
      <c r="R496" s="99"/>
    </row>
    <row r="497" spans="1:18" ht="14.4" x14ac:dyDescent="0.3">
      <c r="A497" s="80"/>
      <c r="B497" s="80"/>
      <c r="C497" s="106">
        <v>2038</v>
      </c>
      <c r="D497" s="107">
        <v>24</v>
      </c>
      <c r="E497" s="108"/>
      <c r="F497" s="105"/>
      <c r="G497" s="730">
        <v>7802.0562273557634</v>
      </c>
      <c r="H497" s="731">
        <v>7715.539179692043</v>
      </c>
      <c r="I497" s="79"/>
      <c r="J497" s="79"/>
      <c r="K497" s="79"/>
      <c r="L497" s="99"/>
      <c r="M497" s="99"/>
      <c r="N497" s="99"/>
      <c r="O497" s="99"/>
      <c r="P497" s="99"/>
      <c r="Q497" s="99"/>
      <c r="R497" s="99"/>
    </row>
    <row r="498" spans="1:18" ht="14.4" x14ac:dyDescent="0.3">
      <c r="A498" s="80"/>
      <c r="B498" s="80"/>
      <c r="C498" s="106">
        <v>2039</v>
      </c>
      <c r="D498" s="107">
        <v>25</v>
      </c>
      <c r="E498" s="108"/>
      <c r="F498" s="105"/>
      <c r="G498" s="730">
        <v>7972.0181972684159</v>
      </c>
      <c r="H498" s="731">
        <v>7873.1661365707614</v>
      </c>
      <c r="I498" s="79"/>
      <c r="J498" s="79"/>
      <c r="K498" s="79"/>
      <c r="L498" s="99"/>
      <c r="M498" s="99"/>
      <c r="N498" s="99"/>
      <c r="O498" s="99"/>
      <c r="P498" s="99"/>
      <c r="Q498" s="99"/>
      <c r="R498" s="99"/>
    </row>
    <row r="499" spans="1:18" ht="14.4" x14ac:dyDescent="0.3">
      <c r="A499" s="80"/>
      <c r="B499" s="80"/>
      <c r="C499" s="106">
        <v>2040</v>
      </c>
      <c r="D499" s="107">
        <v>26</v>
      </c>
      <c r="E499" s="108">
        <v>8318.3130979992075</v>
      </c>
      <c r="F499" s="105">
        <v>8318.3130979992075</v>
      </c>
      <c r="G499" s="730">
        <v>8318.3130979992075</v>
      </c>
      <c r="H499" s="731">
        <v>8204.0891982468493</v>
      </c>
      <c r="I499" s="79"/>
      <c r="J499" s="79"/>
      <c r="K499" s="79"/>
      <c r="L499" s="99"/>
      <c r="M499" s="99"/>
      <c r="N499" s="99"/>
      <c r="O499" s="99"/>
      <c r="P499" s="99"/>
      <c r="Q499" s="99"/>
      <c r="R499" s="99"/>
    </row>
    <row r="500" spans="1:18" ht="14.4" x14ac:dyDescent="0.3">
      <c r="A500" s="80"/>
      <c r="B500" s="80"/>
      <c r="C500" s="106">
        <v>2041</v>
      </c>
      <c r="D500" s="107">
        <v>27</v>
      </c>
      <c r="E500" s="108"/>
      <c r="F500" s="105"/>
      <c r="G500" s="730">
        <v>8304.3727775120606</v>
      </c>
      <c r="H500" s="731">
        <v>8179.1065466410701</v>
      </c>
      <c r="I500" s="79"/>
      <c r="J500" s="79"/>
      <c r="K500" s="79"/>
      <c r="L500" s="99"/>
      <c r="M500" s="99"/>
      <c r="N500" s="99"/>
      <c r="O500" s="99"/>
      <c r="P500" s="99"/>
      <c r="Q500" s="99"/>
      <c r="R500" s="99"/>
    </row>
    <row r="501" spans="1:18" ht="14.4" x14ac:dyDescent="0.3">
      <c r="A501" s="80"/>
      <c r="B501" s="80"/>
      <c r="C501" s="106">
        <v>2042</v>
      </c>
      <c r="D501" s="107">
        <v>28</v>
      </c>
      <c r="E501" s="108"/>
      <c r="F501" s="105"/>
      <c r="G501" s="730">
        <v>8466.7653878430538</v>
      </c>
      <c r="H501" s="731">
        <v>8327.435805572688</v>
      </c>
      <c r="I501" s="79"/>
      <c r="J501" s="79"/>
      <c r="K501" s="79"/>
      <c r="L501" s="99"/>
      <c r="M501" s="99"/>
      <c r="N501" s="99"/>
      <c r="O501" s="99"/>
      <c r="P501" s="99"/>
      <c r="Q501" s="99"/>
      <c r="R501" s="99"/>
    </row>
    <row r="502" spans="1:18" ht="14.4" x14ac:dyDescent="0.3">
      <c r="A502" s="80"/>
      <c r="B502" s="80"/>
      <c r="C502" s="106">
        <v>2043</v>
      </c>
      <c r="D502" s="107">
        <v>29</v>
      </c>
      <c r="E502" s="108"/>
      <c r="F502" s="105"/>
      <c r="G502" s="730">
        <v>8626.6348783134927</v>
      </c>
      <c r="H502" s="731">
        <v>8472.6783806867952</v>
      </c>
      <c r="I502" s="79"/>
      <c r="J502" s="79"/>
      <c r="K502" s="79"/>
      <c r="L502" s="99"/>
      <c r="M502" s="99"/>
      <c r="N502" s="99"/>
      <c r="O502" s="99"/>
      <c r="P502" s="99"/>
      <c r="Q502" s="99"/>
      <c r="R502" s="99"/>
    </row>
    <row r="503" spans="1:18" ht="14.4" x14ac:dyDescent="0.3">
      <c r="A503" s="80"/>
      <c r="B503" s="80"/>
      <c r="C503" s="106">
        <v>2044</v>
      </c>
      <c r="D503" s="107">
        <v>30</v>
      </c>
      <c r="E503" s="108"/>
      <c r="F503" s="105"/>
      <c r="G503" s="730">
        <v>8783.9812489233773</v>
      </c>
      <c r="H503" s="731">
        <v>8614.8389016805213</v>
      </c>
      <c r="I503" s="79"/>
      <c r="J503" s="79"/>
      <c r="K503" s="79"/>
      <c r="L503" s="99"/>
      <c r="M503" s="99"/>
      <c r="N503" s="99"/>
      <c r="O503" s="99"/>
      <c r="P503" s="99"/>
      <c r="Q503" s="99"/>
      <c r="R503" s="99"/>
    </row>
    <row r="504" spans="1:18" ht="14.4" x14ac:dyDescent="0.3">
      <c r="A504" s="80"/>
      <c r="B504" s="80"/>
      <c r="C504" s="106">
        <v>2045</v>
      </c>
      <c r="D504" s="107">
        <v>31</v>
      </c>
      <c r="E504" s="108">
        <v>8953.7982763963792</v>
      </c>
      <c r="F504" s="105">
        <v>8953.7982763963792</v>
      </c>
      <c r="G504" s="730">
        <v>8953.7982763963792</v>
      </c>
      <c r="H504" s="731">
        <v>8768.6036492091771</v>
      </c>
      <c r="I504" s="79"/>
      <c r="J504" s="79"/>
      <c r="K504" s="79"/>
      <c r="L504" s="99"/>
      <c r="M504" s="99"/>
      <c r="N504" s="99"/>
      <c r="O504" s="99"/>
      <c r="P504" s="99"/>
      <c r="Q504" s="99"/>
      <c r="R504" s="99"/>
    </row>
    <row r="505" spans="1:18" ht="14.4" x14ac:dyDescent="0.3">
      <c r="A505" s="80"/>
      <c r="B505" s="80"/>
      <c r="C505" s="106">
        <v>2046</v>
      </c>
      <c r="D505" s="107">
        <v>32</v>
      </c>
      <c r="E505" s="108"/>
      <c r="F505" s="105"/>
      <c r="G505" s="730">
        <v>9091.1046305614855</v>
      </c>
      <c r="H505" s="731">
        <v>8889.9237664736575</v>
      </c>
      <c r="I505" s="79"/>
      <c r="J505" s="79"/>
      <c r="K505" s="79"/>
      <c r="L505" s="99"/>
      <c r="M505" s="99"/>
      <c r="N505" s="99"/>
      <c r="O505" s="99"/>
      <c r="P505" s="99"/>
      <c r="Q505" s="99"/>
      <c r="R505" s="99"/>
    </row>
    <row r="506" spans="1:18" ht="14.4" x14ac:dyDescent="0.3">
      <c r="A506" s="89"/>
      <c r="B506" s="80"/>
      <c r="C506" s="106">
        <v>2047</v>
      </c>
      <c r="D506" s="107">
        <v>33</v>
      </c>
      <c r="E506" s="108"/>
      <c r="F506" s="105"/>
      <c r="G506" s="730">
        <v>9240.881641589709</v>
      </c>
      <c r="H506" s="731">
        <v>9022.8481586777852</v>
      </c>
      <c r="I506" s="79"/>
      <c r="J506" s="79"/>
      <c r="K506" s="79"/>
      <c r="L506" s="99"/>
      <c r="M506" s="99"/>
      <c r="N506" s="99"/>
      <c r="O506" s="99"/>
      <c r="P506" s="99"/>
      <c r="Q506" s="99"/>
      <c r="R506" s="99"/>
    </row>
    <row r="507" spans="1:18" ht="14.4" x14ac:dyDescent="0.3">
      <c r="A507" s="79"/>
      <c r="B507" s="80"/>
      <c r="C507" s="106">
        <v>2048</v>
      </c>
      <c r="D507" s="107">
        <v>34</v>
      </c>
      <c r="E507" s="108"/>
      <c r="F507" s="105"/>
      <c r="G507" s="730">
        <v>9388.1355327573801</v>
      </c>
      <c r="H507" s="731">
        <v>9152.6869614779098</v>
      </c>
      <c r="I507" s="79"/>
      <c r="J507" s="79"/>
      <c r="K507" s="79"/>
      <c r="L507" s="99"/>
      <c r="M507" s="99"/>
      <c r="N507" s="99"/>
      <c r="O507" s="99"/>
      <c r="P507" s="99"/>
      <c r="Q507" s="99"/>
      <c r="R507" s="99"/>
    </row>
    <row r="508" spans="1:18" ht="14.4" x14ac:dyDescent="0.3">
      <c r="A508" s="79"/>
      <c r="B508" s="79"/>
      <c r="C508" s="106">
        <v>2049</v>
      </c>
      <c r="D508" s="107">
        <v>35</v>
      </c>
      <c r="E508" s="108"/>
      <c r="F508" s="105"/>
      <c r="G508" s="730">
        <v>9532.8663040644969</v>
      </c>
      <c r="H508" s="731">
        <v>9279.431904254905</v>
      </c>
      <c r="I508" s="79"/>
      <c r="J508" s="79"/>
      <c r="K508" s="79"/>
      <c r="L508" s="99"/>
      <c r="M508" s="99"/>
      <c r="N508" s="99"/>
      <c r="O508" s="99"/>
      <c r="P508" s="99"/>
      <c r="Q508" s="99"/>
      <c r="R508" s="99"/>
    </row>
    <row r="509" spans="1:18" ht="14.4" x14ac:dyDescent="0.3">
      <c r="A509" s="79"/>
      <c r="B509" s="79"/>
      <c r="C509" s="106">
        <v>2050</v>
      </c>
      <c r="D509" s="111">
        <v>36</v>
      </c>
      <c r="E509" s="108">
        <v>9471.1284500940328</v>
      </c>
      <c r="F509" s="105">
        <v>9471.1284500940328</v>
      </c>
      <c r="G509" s="740">
        <v>9471.1284500940328</v>
      </c>
      <c r="H509" s="741">
        <v>9204.8654938787295</v>
      </c>
      <c r="I509" s="79"/>
      <c r="J509" s="79"/>
      <c r="K509" s="79"/>
      <c r="L509" s="99"/>
      <c r="M509" s="99"/>
      <c r="N509" s="99"/>
      <c r="O509" s="99"/>
      <c r="P509" s="99"/>
      <c r="Q509" s="99"/>
      <c r="R509" s="99"/>
    </row>
    <row r="510" spans="1:18" ht="14.4" x14ac:dyDescent="0.3">
      <c r="A510" s="79"/>
      <c r="B510" s="79"/>
      <c r="C510" s="106">
        <v>2051</v>
      </c>
      <c r="D510" s="107">
        <v>37</v>
      </c>
      <c r="E510" s="108"/>
      <c r="F510" s="105"/>
      <c r="G510" s="730">
        <v>9814.7584870970695</v>
      </c>
      <c r="H510" s="731">
        <v>9523.6218541983199</v>
      </c>
      <c r="I510" s="79"/>
      <c r="J510" s="79"/>
      <c r="K510" s="79"/>
      <c r="L510" s="99"/>
      <c r="M510" s="99"/>
      <c r="N510" s="99"/>
      <c r="O510" s="99"/>
      <c r="P510" s="99"/>
      <c r="Q510" s="99"/>
      <c r="R510" s="99"/>
    </row>
    <row r="511" spans="1:18" ht="14.4" x14ac:dyDescent="0.3">
      <c r="A511" s="79"/>
      <c r="B511" s="79"/>
      <c r="C511" s="106">
        <v>2052</v>
      </c>
      <c r="D511" s="107">
        <v>38</v>
      </c>
      <c r="E511" s="108"/>
      <c r="F511" s="105"/>
      <c r="G511" s="730">
        <v>9951.9198988225253</v>
      </c>
      <c r="H511" s="731">
        <v>9641.0709544697711</v>
      </c>
      <c r="I511" s="79"/>
      <c r="J511" s="79"/>
      <c r="K511" s="79"/>
      <c r="L511" s="99"/>
      <c r="M511" s="99"/>
      <c r="N511" s="99"/>
      <c r="O511" s="99"/>
      <c r="P511" s="99"/>
      <c r="Q511" s="99"/>
      <c r="R511" s="99"/>
    </row>
    <row r="512" spans="1:18" ht="14.4" x14ac:dyDescent="0.3">
      <c r="A512" s="79"/>
      <c r="B512" s="79"/>
      <c r="C512" s="106">
        <v>2053</v>
      </c>
      <c r="D512" s="107">
        <v>39</v>
      </c>
      <c r="E512" s="108"/>
      <c r="F512" s="105"/>
      <c r="G512" s="730">
        <v>10086.558190687427</v>
      </c>
      <c r="H512" s="731">
        <v>9755.4367584127322</v>
      </c>
      <c r="I512" s="79"/>
      <c r="J512" s="79"/>
      <c r="K512" s="79"/>
      <c r="L512" s="99"/>
      <c r="M512" s="99"/>
      <c r="N512" s="99"/>
      <c r="O512" s="99"/>
      <c r="P512" s="99"/>
      <c r="Q512" s="99"/>
      <c r="R512" s="99"/>
    </row>
    <row r="513" spans="1:18" ht="14.4" x14ac:dyDescent="0.3">
      <c r="A513" s="79"/>
      <c r="B513" s="79"/>
      <c r="C513" s="106">
        <v>2054</v>
      </c>
      <c r="D513" s="107">
        <v>40</v>
      </c>
      <c r="E513" s="108"/>
      <c r="F513" s="105"/>
      <c r="G513" s="730">
        <v>10218.673362691774</v>
      </c>
      <c r="H513" s="731">
        <v>9866.7361508145968</v>
      </c>
      <c r="I513" s="79"/>
      <c r="J513" s="79"/>
      <c r="K513" s="79"/>
      <c r="L513" s="99"/>
      <c r="M513" s="99"/>
      <c r="N513" s="99"/>
      <c r="O513" s="99"/>
      <c r="P513" s="99"/>
      <c r="Q513" s="99"/>
      <c r="R513" s="99"/>
    </row>
    <row r="514" spans="1:18" ht="14.4" x14ac:dyDescent="0.3">
      <c r="A514" s="79"/>
      <c r="B514" s="79"/>
      <c r="C514" s="106">
        <v>2055</v>
      </c>
      <c r="D514" s="111">
        <v>41</v>
      </c>
      <c r="E514" s="108"/>
      <c r="F514" s="105"/>
      <c r="G514" s="740">
        <v>10348.265414835572</v>
      </c>
      <c r="H514" s="741">
        <v>9974.9833208064356</v>
      </c>
      <c r="I514" s="79"/>
      <c r="J514" s="79"/>
      <c r="K514" s="79"/>
      <c r="L514" s="99"/>
      <c r="M514" s="99"/>
      <c r="N514" s="99"/>
      <c r="O514" s="99"/>
      <c r="P514" s="99"/>
      <c r="Q514" s="99"/>
      <c r="R514" s="99"/>
    </row>
    <row r="515" spans="1:18" ht="14.4" x14ac:dyDescent="0.3">
      <c r="A515" s="79"/>
      <c r="B515" s="79"/>
      <c r="C515" s="106">
        <v>2056</v>
      </c>
      <c r="D515" s="107">
        <v>42</v>
      </c>
      <c r="E515" s="108"/>
      <c r="F515" s="105"/>
      <c r="G515" s="730">
        <v>10475.334347118813</v>
      </c>
      <c r="H515" s="731">
        <v>10080.182712923377</v>
      </c>
      <c r="I515" s="79"/>
      <c r="J515" s="79"/>
      <c r="K515" s="79"/>
      <c r="L515" s="99"/>
      <c r="M515" s="99"/>
      <c r="N515" s="99"/>
      <c r="O515" s="99"/>
      <c r="P515" s="99"/>
      <c r="Q515" s="99"/>
      <c r="R515" s="99"/>
    </row>
    <row r="516" spans="1:18" ht="14.4" x14ac:dyDescent="0.3">
      <c r="A516" s="79"/>
      <c r="B516" s="79"/>
      <c r="C516" s="106">
        <v>2057</v>
      </c>
      <c r="D516" s="107">
        <v>43</v>
      </c>
      <c r="E516" s="108"/>
      <c r="F516" s="105"/>
      <c r="G516" s="730">
        <v>10599.880159541499</v>
      </c>
      <c r="H516" s="731">
        <v>10182.335668494041</v>
      </c>
      <c r="I516" s="79"/>
      <c r="J516" s="79"/>
      <c r="K516" s="79"/>
      <c r="L516" s="99"/>
      <c r="M516" s="99"/>
      <c r="N516" s="99"/>
      <c r="O516" s="99"/>
      <c r="P516" s="99"/>
      <c r="Q516" s="99"/>
      <c r="R516" s="99"/>
    </row>
    <row r="517" spans="1:18" ht="14.4" x14ac:dyDescent="0.3">
      <c r="A517" s="79"/>
      <c r="B517" s="79"/>
      <c r="C517" s="106">
        <v>2058</v>
      </c>
      <c r="D517" s="107">
        <v>44</v>
      </c>
      <c r="E517" s="108"/>
      <c r="F517" s="105"/>
      <c r="G517" s="730">
        <v>10721.902852103634</v>
      </c>
      <c r="H517" s="731">
        <v>10281.450106762486</v>
      </c>
      <c r="I517" s="79"/>
      <c r="J517" s="79"/>
      <c r="K517" s="79"/>
      <c r="L517" s="99"/>
      <c r="M517" s="99"/>
      <c r="N517" s="99"/>
      <c r="O517" s="99"/>
      <c r="P517" s="99"/>
      <c r="Q517" s="99"/>
      <c r="R517" s="99"/>
    </row>
    <row r="518" spans="1:18" ht="14.4" x14ac:dyDescent="0.3">
      <c r="A518" s="79"/>
      <c r="B518" s="79"/>
      <c r="C518" s="106">
        <v>2059</v>
      </c>
      <c r="D518" s="107">
        <v>45</v>
      </c>
      <c r="E518" s="108"/>
      <c r="F518" s="105"/>
      <c r="G518" s="730">
        <v>10841.402424805216</v>
      </c>
      <c r="H518" s="731">
        <v>10377.534684677532</v>
      </c>
      <c r="I518" s="79"/>
      <c r="J518" s="79"/>
      <c r="K518" s="79"/>
      <c r="L518" s="99"/>
      <c r="M518" s="99"/>
      <c r="N518" s="99"/>
      <c r="O518" s="99"/>
      <c r="P518" s="99"/>
      <c r="Q518" s="99"/>
      <c r="R518" s="99"/>
    </row>
    <row r="519" spans="1:18" ht="14.4" x14ac:dyDescent="0.3">
      <c r="A519" s="79"/>
      <c r="B519" s="79"/>
      <c r="C519" s="112">
        <v>2060</v>
      </c>
      <c r="D519" s="111">
        <v>46</v>
      </c>
      <c r="E519" s="108"/>
      <c r="F519" s="105"/>
      <c r="G519" s="740">
        <v>10958.378877646242</v>
      </c>
      <c r="H519" s="741">
        <v>10470.596466474655</v>
      </c>
      <c r="I519" s="79"/>
      <c r="J519" s="79"/>
      <c r="K519" s="79"/>
      <c r="L519" s="99"/>
      <c r="M519" s="99"/>
      <c r="N519" s="99"/>
      <c r="O519" s="99"/>
      <c r="P519" s="99"/>
      <c r="Q519" s="99"/>
      <c r="R519" s="99"/>
    </row>
    <row r="520" spans="1:18" ht="14.4" x14ac:dyDescent="0.3">
      <c r="A520" s="79"/>
      <c r="B520" s="2"/>
      <c r="C520" s="2"/>
      <c r="D520" s="2"/>
      <c r="E520" s="2"/>
      <c r="F520" s="2"/>
      <c r="G520" s="2"/>
      <c r="H520" s="2"/>
      <c r="I520" s="2"/>
      <c r="J520" s="2"/>
      <c r="K520" s="2"/>
    </row>
  </sheetData>
  <mergeCells count="38">
    <mergeCell ref="K138:L142"/>
    <mergeCell ref="J204:J210"/>
    <mergeCell ref="J463:K467"/>
    <mergeCell ref="I464:I470"/>
    <mergeCell ref="I399:I405"/>
    <mergeCell ref="J398:K402"/>
    <mergeCell ref="K268:L272"/>
    <mergeCell ref="K333:L337"/>
    <mergeCell ref="J334:J340"/>
    <mergeCell ref="F201:F202"/>
    <mergeCell ref="J269:J275"/>
    <mergeCell ref="A143:A146"/>
    <mergeCell ref="A208:A211"/>
    <mergeCell ref="J139:J145"/>
    <mergeCell ref="A468:A471"/>
    <mergeCell ref="F461:F462"/>
    <mergeCell ref="A338:A341"/>
    <mergeCell ref="A273:A276"/>
    <mergeCell ref="A403:A406"/>
    <mergeCell ref="F396:F397"/>
    <mergeCell ref="A290:A312"/>
    <mergeCell ref="A355:A377"/>
    <mergeCell ref="Q2:S3"/>
    <mergeCell ref="F331:F332"/>
    <mergeCell ref="F71:F72"/>
    <mergeCell ref="F136:F137"/>
    <mergeCell ref="F266:F267"/>
    <mergeCell ref="A2:O4"/>
    <mergeCell ref="J73:K77"/>
    <mergeCell ref="I74:I80"/>
    <mergeCell ref="A78:A81"/>
    <mergeCell ref="J8:K12"/>
    <mergeCell ref="F6:F7"/>
    <mergeCell ref="A13:A16"/>
    <mergeCell ref="I9:I15"/>
    <mergeCell ref="A225:A247"/>
    <mergeCell ref="A160:A182"/>
    <mergeCell ref="K203:L207"/>
  </mergeCells>
  <hyperlinks>
    <hyperlink ref="Q2:S3" location="'Table of Contents'!A1" display="Back to Table of Contents" xr:uid="{7126017D-4500-4501-93D9-64445B57E27C}"/>
  </hyperlink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4" tint="0.39997558519241921"/>
  </sheetPr>
  <dimension ref="A1:S718"/>
  <sheetViews>
    <sheetView zoomScale="70" zoomScaleNormal="70" workbookViewId="0">
      <selection activeCell="C36" sqref="C36"/>
    </sheetView>
  </sheetViews>
  <sheetFormatPr defaultColWidth="15.21875" defaultRowHeight="15" customHeight="1" x14ac:dyDescent="0.3"/>
  <cols>
    <col min="1" max="1" width="40.77734375" customWidth="1"/>
    <col min="2" max="2" width="7.5546875" customWidth="1"/>
    <col min="3" max="3" width="10.109375" customWidth="1"/>
    <col min="4" max="4" width="18.21875" hidden="1" customWidth="1"/>
    <col min="5" max="14" width="18.21875" customWidth="1"/>
    <col min="15" max="26" width="7.5546875" customWidth="1"/>
  </cols>
  <sheetData>
    <row r="1" spans="1:19" s="184" customFormat="1" ht="15" customHeight="1" thickBot="1" x14ac:dyDescent="0.45">
      <c r="A1" s="115" t="s">
        <v>213</v>
      </c>
      <c r="B1" s="115"/>
      <c r="C1" s="115"/>
      <c r="D1" s="115"/>
      <c r="E1" s="115"/>
      <c r="F1" s="115"/>
      <c r="G1" s="115"/>
    </row>
    <row r="2" spans="1:19" s="184" customFormat="1" ht="15" customHeight="1" x14ac:dyDescent="0.3">
      <c r="A2" s="864" t="s">
        <v>700</v>
      </c>
      <c r="B2" s="864"/>
      <c r="C2" s="864"/>
      <c r="D2" s="864"/>
      <c r="E2" s="864"/>
      <c r="F2" s="864"/>
      <c r="G2" s="864"/>
      <c r="H2" s="864"/>
      <c r="I2" s="864"/>
      <c r="J2" s="864"/>
      <c r="K2" s="864"/>
      <c r="L2" s="864"/>
      <c r="M2" s="864"/>
      <c r="N2" s="864"/>
      <c r="O2" s="864"/>
      <c r="Q2" s="815" t="s">
        <v>467</v>
      </c>
      <c r="R2" s="816"/>
      <c r="S2" s="817"/>
    </row>
    <row r="3" spans="1:19" s="184" customFormat="1" ht="15" customHeight="1" thickBot="1" x14ac:dyDescent="0.35">
      <c r="A3" s="864"/>
      <c r="B3" s="864"/>
      <c r="C3" s="864"/>
      <c r="D3" s="864"/>
      <c r="E3" s="864"/>
      <c r="F3" s="864"/>
      <c r="G3" s="864"/>
      <c r="H3" s="864"/>
      <c r="I3" s="864"/>
      <c r="J3" s="864"/>
      <c r="K3" s="864"/>
      <c r="L3" s="864"/>
      <c r="M3" s="864"/>
      <c r="N3" s="864"/>
      <c r="O3" s="864"/>
      <c r="Q3" s="818"/>
      <c r="R3" s="819"/>
      <c r="S3" s="820"/>
    </row>
    <row r="4" spans="1:19" ht="14.4" x14ac:dyDescent="0.3">
      <c r="A4" s="864"/>
      <c r="B4" s="864"/>
      <c r="C4" s="864"/>
      <c r="D4" s="864"/>
      <c r="E4" s="864"/>
      <c r="F4" s="864"/>
      <c r="G4" s="864"/>
      <c r="H4" s="864"/>
      <c r="I4" s="864"/>
      <c r="J4" s="864"/>
      <c r="K4" s="864"/>
      <c r="L4" s="864"/>
      <c r="M4" s="864"/>
      <c r="N4" s="864"/>
      <c r="O4" s="864"/>
    </row>
    <row r="5" spans="1:19" ht="14.4" x14ac:dyDescent="0.3">
      <c r="A5" s="2"/>
      <c r="C5" s="2"/>
      <c r="D5" s="2"/>
      <c r="E5" s="2"/>
      <c r="F5" s="2"/>
      <c r="G5" s="2"/>
      <c r="H5" s="2"/>
      <c r="I5" s="2"/>
      <c r="J5" s="2"/>
      <c r="K5" s="2"/>
      <c r="L5" s="2"/>
      <c r="M5" s="2"/>
      <c r="N5" s="2"/>
    </row>
    <row r="6" spans="1:19" ht="15.75" customHeight="1" x14ac:dyDescent="0.3">
      <c r="A6" s="71">
        <v>1</v>
      </c>
      <c r="B6" s="72" t="s">
        <v>112</v>
      </c>
      <c r="C6" s="73"/>
      <c r="D6" s="73"/>
      <c r="E6" s="73"/>
      <c r="F6" s="73"/>
      <c r="G6" s="73"/>
      <c r="H6" s="73"/>
      <c r="I6" s="73"/>
      <c r="J6" s="73"/>
      <c r="K6" s="73"/>
      <c r="L6" s="2"/>
      <c r="M6" s="2"/>
      <c r="N6" s="2"/>
    </row>
    <row r="7" spans="1:19" ht="15.75" customHeight="1" x14ac:dyDescent="0.3">
      <c r="A7" s="74" t="s">
        <v>74</v>
      </c>
      <c r="B7" s="75"/>
      <c r="C7" s="75"/>
      <c r="D7" s="76"/>
      <c r="E7" s="77"/>
      <c r="F7" s="862"/>
      <c r="G7" s="77"/>
      <c r="H7" s="78"/>
      <c r="I7" s="79"/>
      <c r="J7" s="79"/>
      <c r="K7" s="79"/>
      <c r="L7" s="2"/>
      <c r="M7" s="2"/>
      <c r="N7" s="2"/>
    </row>
    <row r="8" spans="1:19" ht="16.5" customHeight="1" thickBot="1" x14ac:dyDescent="0.35">
      <c r="A8" s="110" t="s">
        <v>75</v>
      </c>
      <c r="B8" s="80"/>
      <c r="C8" s="80"/>
      <c r="D8" s="81"/>
      <c r="E8" s="109" t="s">
        <v>78</v>
      </c>
      <c r="F8" s="863"/>
      <c r="G8" s="746" t="s">
        <v>110</v>
      </c>
      <c r="H8" s="711"/>
      <c r="I8" s="79"/>
      <c r="J8" s="79"/>
      <c r="K8" s="79"/>
      <c r="L8" s="219"/>
      <c r="M8" s="219"/>
      <c r="N8" s="2"/>
    </row>
    <row r="9" spans="1:19" ht="39" customHeight="1" thickBot="1" x14ac:dyDescent="0.35">
      <c r="A9" s="82"/>
      <c r="B9" s="82"/>
      <c r="C9" s="82"/>
      <c r="D9" s="83"/>
      <c r="E9" s="101" t="s">
        <v>115</v>
      </c>
      <c r="F9" s="101" t="s">
        <v>115</v>
      </c>
      <c r="G9" s="746" t="s">
        <v>81</v>
      </c>
      <c r="H9" s="747" t="s">
        <v>82</v>
      </c>
      <c r="I9" s="101" t="s">
        <v>234</v>
      </c>
      <c r="J9" s="747" t="s">
        <v>754</v>
      </c>
      <c r="K9" s="865" t="s">
        <v>84</v>
      </c>
      <c r="L9" s="866"/>
      <c r="M9" s="219"/>
      <c r="N9" s="2"/>
    </row>
    <row r="10" spans="1:19" ht="15.75" customHeight="1" x14ac:dyDescent="0.3">
      <c r="A10" s="74" t="s">
        <v>85</v>
      </c>
      <c r="B10" s="82"/>
      <c r="C10" s="102">
        <v>2005</v>
      </c>
      <c r="D10" s="103">
        <v>-9</v>
      </c>
      <c r="E10" s="104"/>
      <c r="F10" s="105"/>
      <c r="G10" s="722">
        <v>18542.329872611626</v>
      </c>
      <c r="H10" s="723">
        <v>18542.329872611626</v>
      </c>
      <c r="I10" s="84">
        <f>H10+$L$20/10^9</f>
        <v>18740.83518918066</v>
      </c>
      <c r="J10" s="871" t="s">
        <v>86</v>
      </c>
      <c r="K10" s="867"/>
      <c r="L10" s="868"/>
      <c r="M10" s="219"/>
      <c r="N10" s="2"/>
    </row>
    <row r="11" spans="1:19" ht="15.75" customHeight="1" x14ac:dyDescent="0.3">
      <c r="A11" s="110" t="s">
        <v>87</v>
      </c>
      <c r="B11" s="82"/>
      <c r="C11" s="106">
        <v>2006</v>
      </c>
      <c r="D11" s="107">
        <v>-8</v>
      </c>
      <c r="E11" s="108"/>
      <c r="F11" s="105"/>
      <c r="G11" s="727">
        <v>19268.672128367172</v>
      </c>
      <c r="H11" s="728">
        <v>19268.672128367172</v>
      </c>
      <c r="I11" s="85">
        <f t="shared" ref="I11:I65" si="0">H11+$L$20/10^9</f>
        <v>19467.177444936206</v>
      </c>
      <c r="J11" s="867"/>
      <c r="K11" s="867"/>
      <c r="L11" s="868"/>
      <c r="M11" s="219"/>
      <c r="N11" s="2"/>
    </row>
    <row r="12" spans="1:19" ht="14.4" x14ac:dyDescent="0.3">
      <c r="A12" s="82"/>
      <c r="B12" s="82"/>
      <c r="C12" s="106">
        <v>2007</v>
      </c>
      <c r="D12" s="107">
        <v>-7</v>
      </c>
      <c r="E12" s="108"/>
      <c r="F12" s="105"/>
      <c r="G12" s="727">
        <v>20015.613827067882</v>
      </c>
      <c r="H12" s="728">
        <v>20015.613827067882</v>
      </c>
      <c r="I12" s="85">
        <f t="shared" si="0"/>
        <v>20214.119143636915</v>
      </c>
      <c r="J12" s="867"/>
      <c r="K12" s="867"/>
      <c r="L12" s="868"/>
      <c r="M12" s="219"/>
      <c r="N12" s="2"/>
    </row>
    <row r="13" spans="1:19" ht="15.75" customHeight="1" x14ac:dyDescent="0.3">
      <c r="A13" s="29" t="s">
        <v>88</v>
      </c>
      <c r="B13" s="82"/>
      <c r="C13" s="106">
        <v>2008</v>
      </c>
      <c r="D13" s="107">
        <v>-6</v>
      </c>
      <c r="E13" s="108"/>
      <c r="F13" s="105"/>
      <c r="G13" s="727">
        <v>20782.433752075209</v>
      </c>
      <c r="H13" s="728">
        <v>20782.433752075209</v>
      </c>
      <c r="I13" s="85">
        <f t="shared" si="0"/>
        <v>20980.939068644242</v>
      </c>
      <c r="J13" s="867"/>
      <c r="K13" s="869"/>
      <c r="L13" s="870"/>
      <c r="M13" s="219"/>
      <c r="N13" s="2"/>
    </row>
    <row r="14" spans="1:19" ht="14.55" customHeight="1" x14ac:dyDescent="0.3">
      <c r="A14" s="872" t="s">
        <v>63</v>
      </c>
      <c r="B14" s="82"/>
      <c r="C14" s="106">
        <v>2009</v>
      </c>
      <c r="D14" s="107">
        <v>-5</v>
      </c>
      <c r="E14" s="108"/>
      <c r="F14" s="105"/>
      <c r="G14" s="727">
        <v>21568.410686750587</v>
      </c>
      <c r="H14" s="728">
        <v>21568.410686750587</v>
      </c>
      <c r="I14" s="85">
        <f t="shared" si="0"/>
        <v>21766.91600331962</v>
      </c>
      <c r="J14" s="867"/>
      <c r="K14" s="79"/>
      <c r="L14" s="79"/>
      <c r="M14" s="219"/>
      <c r="N14" s="2"/>
    </row>
    <row r="15" spans="1:19" ht="14.4" x14ac:dyDescent="0.3">
      <c r="A15" s="873"/>
      <c r="B15" s="82"/>
      <c r="C15" s="106">
        <v>2010</v>
      </c>
      <c r="D15" s="107">
        <v>-4</v>
      </c>
      <c r="E15" s="108"/>
      <c r="F15" s="105"/>
      <c r="G15" s="727">
        <v>22372.823414455463</v>
      </c>
      <c r="H15" s="728">
        <v>22372.823414455463</v>
      </c>
      <c r="I15" s="85">
        <f t="shared" si="0"/>
        <v>22571.328731024496</v>
      </c>
      <c r="J15" s="867"/>
      <c r="K15" s="79"/>
      <c r="L15" s="79"/>
      <c r="M15" s="219"/>
    </row>
    <row r="16" spans="1:19" ht="14.4" x14ac:dyDescent="0.3">
      <c r="A16" s="873"/>
      <c r="B16" s="82"/>
      <c r="C16" s="106">
        <v>2011</v>
      </c>
      <c r="D16" s="107">
        <v>-3</v>
      </c>
      <c r="E16" s="108"/>
      <c r="F16" s="105"/>
      <c r="G16" s="727">
        <v>23194.950718551278</v>
      </c>
      <c r="H16" s="728">
        <v>23194.950718551278</v>
      </c>
      <c r="I16" s="85">
        <f t="shared" si="0"/>
        <v>23393.456035120311</v>
      </c>
      <c r="J16" s="869"/>
      <c r="K16" s="79"/>
      <c r="L16" s="79"/>
      <c r="M16" s="219"/>
    </row>
    <row r="17" spans="1:14" ht="14.4" x14ac:dyDescent="0.3">
      <c r="A17" s="874"/>
      <c r="B17" s="82"/>
      <c r="C17" s="106">
        <v>2012</v>
      </c>
      <c r="D17" s="107">
        <v>-2</v>
      </c>
      <c r="E17" s="108"/>
      <c r="F17" s="105"/>
      <c r="G17" s="730">
        <v>24034.071382399474</v>
      </c>
      <c r="H17" s="731">
        <v>24034.071382399474</v>
      </c>
      <c r="I17" s="86">
        <f t="shared" si="0"/>
        <v>24232.576698968507</v>
      </c>
      <c r="J17" s="87" t="s">
        <v>90</v>
      </c>
      <c r="K17" s="79"/>
      <c r="L17" s="79"/>
      <c r="M17" s="219"/>
    </row>
    <row r="18" spans="1:14" ht="14.4" x14ac:dyDescent="0.3">
      <c r="A18" s="82"/>
      <c r="B18" s="82"/>
      <c r="C18" s="106">
        <v>2013</v>
      </c>
      <c r="D18" s="107">
        <v>-1</v>
      </c>
      <c r="E18" s="108">
        <v>24826.116674173594</v>
      </c>
      <c r="F18" s="105">
        <v>24826.116674173594</v>
      </c>
      <c r="G18" s="730">
        <v>24889.464189361497</v>
      </c>
      <c r="H18" s="731">
        <v>24889.464189361497</v>
      </c>
      <c r="I18" s="86">
        <f t="shared" si="0"/>
        <v>25087.96950593053</v>
      </c>
      <c r="J18" s="79"/>
      <c r="K18" s="79"/>
      <c r="L18" s="219"/>
      <c r="M18" s="219"/>
    </row>
    <row r="19" spans="1:14" ht="15.75" customHeight="1" x14ac:dyDescent="0.3">
      <c r="A19" s="77" t="s">
        <v>91</v>
      </c>
      <c r="B19" s="82"/>
      <c r="C19" s="106">
        <v>2014</v>
      </c>
      <c r="D19" s="107">
        <v>0</v>
      </c>
      <c r="E19" s="108"/>
      <c r="F19" s="105"/>
      <c r="G19" s="730">
        <v>25760.407922798786</v>
      </c>
      <c r="H19" s="731">
        <v>25921.919333946498</v>
      </c>
      <c r="I19" s="86">
        <f t="shared" si="0"/>
        <v>26120.424650515532</v>
      </c>
      <c r="J19" s="79"/>
      <c r="K19" s="79"/>
      <c r="L19" s="219"/>
      <c r="M19" s="219"/>
    </row>
    <row r="20" spans="1:14" ht="15.75" customHeight="1" x14ac:dyDescent="0.3">
      <c r="A20" s="110">
        <v>2016</v>
      </c>
      <c r="B20" s="80"/>
      <c r="C20" s="106">
        <v>2015</v>
      </c>
      <c r="D20" s="107">
        <v>1</v>
      </c>
      <c r="E20" s="108"/>
      <c r="F20" s="105"/>
      <c r="G20" s="730">
        <v>26646.181366072782</v>
      </c>
      <c r="H20" s="731">
        <v>26815.321706443079</v>
      </c>
      <c r="I20" s="86">
        <f t="shared" si="0"/>
        <v>27013.827023012112</v>
      </c>
      <c r="J20" s="219" t="s">
        <v>233</v>
      </c>
      <c r="K20" s="219"/>
      <c r="L20" s="232">
        <v>198505316569.03406</v>
      </c>
      <c r="M20" s="219" t="s">
        <v>232</v>
      </c>
    </row>
    <row r="21" spans="1:14" ht="14.4" x14ac:dyDescent="0.3">
      <c r="A21" s="79"/>
      <c r="B21" s="80"/>
      <c r="C21" s="106">
        <v>2016</v>
      </c>
      <c r="D21" s="107">
        <v>2</v>
      </c>
      <c r="E21" s="108"/>
      <c r="F21" s="105"/>
      <c r="G21" s="730">
        <v>27546.063302544932</v>
      </c>
      <c r="H21" s="731">
        <v>27723.696116757284</v>
      </c>
      <c r="I21" s="86">
        <f t="shared" si="0"/>
        <v>27922.201433326318</v>
      </c>
      <c r="J21" s="79"/>
      <c r="K21" s="234"/>
      <c r="L21" s="235" t="s">
        <v>237</v>
      </c>
      <c r="M21" s="236"/>
    </row>
    <row r="22" spans="1:14" ht="15.75" customHeight="1" x14ac:dyDescent="0.3">
      <c r="A22" s="77" t="s">
        <v>92</v>
      </c>
      <c r="B22" s="80"/>
      <c r="C22" s="106">
        <v>2017</v>
      </c>
      <c r="D22" s="107">
        <v>3</v>
      </c>
      <c r="E22" s="108"/>
      <c r="F22" s="105"/>
      <c r="G22" s="730">
        <v>28459.332515576676</v>
      </c>
      <c r="H22" s="731">
        <v>28646.367312974216</v>
      </c>
      <c r="I22" s="86">
        <f t="shared" si="0"/>
        <v>28844.87262954325</v>
      </c>
      <c r="J22" s="79"/>
      <c r="K22" s="79"/>
      <c r="L22" s="219"/>
      <c r="M22" s="219"/>
    </row>
    <row r="23" spans="1:14" ht="15.75" customHeight="1" x14ac:dyDescent="0.3">
      <c r="A23" s="110" t="s">
        <v>115</v>
      </c>
      <c r="B23" s="80"/>
      <c r="C23" s="106">
        <v>2018</v>
      </c>
      <c r="D23" s="107">
        <v>4</v>
      </c>
      <c r="E23" s="108"/>
      <c r="F23" s="105"/>
      <c r="G23" s="730">
        <v>29385.267788529458</v>
      </c>
      <c r="H23" s="731">
        <v>29582.43622619169</v>
      </c>
      <c r="I23" s="86">
        <f t="shared" si="0"/>
        <v>29780.941542760724</v>
      </c>
      <c r="J23" s="219"/>
      <c r="K23" s="219"/>
      <c r="L23" s="219"/>
      <c r="M23" s="219"/>
    </row>
    <row r="24" spans="1:14" ht="14.4" x14ac:dyDescent="0.3">
      <c r="A24" s="79"/>
      <c r="B24" s="80"/>
      <c r="C24" s="106">
        <v>2019</v>
      </c>
      <c r="D24" s="107">
        <v>5</v>
      </c>
      <c r="E24" s="108"/>
      <c r="F24" s="105"/>
      <c r="G24" s="730">
        <v>30323.147904764715</v>
      </c>
      <c r="H24" s="731">
        <v>30530.868842354164</v>
      </c>
      <c r="I24" s="86">
        <f t="shared" si="0"/>
        <v>30729.374158923198</v>
      </c>
      <c r="J24" s="219"/>
      <c r="K24" s="219"/>
      <c r="L24" s="219"/>
      <c r="M24" s="219"/>
    </row>
    <row r="25" spans="1:14" ht="15.75" customHeight="1" x14ac:dyDescent="0.3">
      <c r="A25" s="77" t="s">
        <v>93</v>
      </c>
      <c r="B25" s="80"/>
      <c r="C25" s="106">
        <v>2020</v>
      </c>
      <c r="D25" s="107">
        <v>6</v>
      </c>
      <c r="E25" s="108">
        <v>31434.524577098422</v>
      </c>
      <c r="F25" s="105">
        <v>31434.524577098422</v>
      </c>
      <c r="G25" s="730">
        <v>31272.251647643898</v>
      </c>
      <c r="H25" s="731">
        <v>31493.203326809296</v>
      </c>
      <c r="I25" s="86">
        <f t="shared" si="0"/>
        <v>31691.70864337833</v>
      </c>
      <c r="J25" s="219"/>
      <c r="K25" s="219"/>
      <c r="L25" s="219"/>
      <c r="M25" s="219"/>
    </row>
    <row r="26" spans="1:14" ht="15.75" customHeight="1" x14ac:dyDescent="0.3">
      <c r="A26" s="77"/>
      <c r="B26" s="80"/>
      <c r="C26" s="106">
        <v>2021</v>
      </c>
      <c r="D26" s="107">
        <v>7</v>
      </c>
      <c r="E26" s="108"/>
      <c r="F26" s="105"/>
      <c r="G26" s="730">
        <v>32231.85780052844</v>
      </c>
      <c r="H26" s="731">
        <v>32442.913827977776</v>
      </c>
      <c r="I26" s="86">
        <f t="shared" si="0"/>
        <v>32641.41914454681</v>
      </c>
      <c r="J26" s="219"/>
      <c r="K26" s="219"/>
      <c r="L26" s="219"/>
      <c r="M26" s="219"/>
      <c r="N26" s="2"/>
    </row>
    <row r="27" spans="1:14" ht="15.75" customHeight="1" x14ac:dyDescent="0.3">
      <c r="A27" s="88"/>
      <c r="B27" s="80"/>
      <c r="C27" s="106">
        <v>2022</v>
      </c>
      <c r="D27" s="107">
        <v>8</v>
      </c>
      <c r="E27" s="108"/>
      <c r="F27" s="105"/>
      <c r="G27" s="730">
        <v>33201.245146779795</v>
      </c>
      <c r="H27" s="731">
        <v>33399.687657844566</v>
      </c>
      <c r="I27" s="86">
        <f t="shared" si="0"/>
        <v>33598.1929744136</v>
      </c>
      <c r="J27" s="219"/>
      <c r="K27" s="219"/>
      <c r="L27" s="219"/>
      <c r="M27" s="219"/>
      <c r="N27" s="2"/>
    </row>
    <row r="28" spans="1:14" ht="15.75" customHeight="1" x14ac:dyDescent="0.3">
      <c r="A28" s="110"/>
      <c r="B28" s="80"/>
      <c r="C28" s="106">
        <v>2023</v>
      </c>
      <c r="D28" s="107">
        <v>9</v>
      </c>
      <c r="E28" s="108"/>
      <c r="F28" s="105"/>
      <c r="G28" s="730">
        <v>34179.692469759393</v>
      </c>
      <c r="H28" s="731">
        <v>34362.576127984546</v>
      </c>
      <c r="I28" s="86">
        <f t="shared" si="0"/>
        <v>34561.08144455358</v>
      </c>
      <c r="J28" s="219"/>
      <c r="K28" s="219"/>
      <c r="L28" s="219"/>
      <c r="M28" s="219"/>
      <c r="N28" s="2"/>
    </row>
    <row r="29" spans="1:14" ht="14.4" x14ac:dyDescent="0.3">
      <c r="A29" s="79"/>
      <c r="B29" s="80"/>
      <c r="C29" s="106">
        <v>2024</v>
      </c>
      <c r="D29" s="107">
        <v>10</v>
      </c>
      <c r="E29" s="108"/>
      <c r="F29" s="105"/>
      <c r="G29" s="730">
        <v>35166.478552828681</v>
      </c>
      <c r="H29" s="731">
        <v>35330.005503573608</v>
      </c>
      <c r="I29" s="86">
        <f t="shared" si="0"/>
        <v>35528.510820142641</v>
      </c>
      <c r="J29" s="219"/>
      <c r="K29" s="219"/>
      <c r="L29" s="219"/>
      <c r="M29" s="219"/>
      <c r="N29" s="2"/>
    </row>
    <row r="30" spans="1:14" ht="15" customHeight="1" x14ac:dyDescent="0.3">
      <c r="A30" s="219" t="s">
        <v>235</v>
      </c>
      <c r="B30" s="80"/>
      <c r="C30" s="106">
        <v>2025</v>
      </c>
      <c r="D30" s="107">
        <v>11</v>
      </c>
      <c r="E30" s="108">
        <v>36186.23866658326</v>
      </c>
      <c r="F30" s="105">
        <v>36186.23866658326</v>
      </c>
      <c r="G30" s="730">
        <v>36160.882179349108</v>
      </c>
      <c r="H30" s="731">
        <v>36300.562074809095</v>
      </c>
      <c r="I30" s="86">
        <f t="shared" si="0"/>
        <v>36499.067391378128</v>
      </c>
      <c r="J30" s="219"/>
      <c r="K30" s="219"/>
      <c r="L30" s="94"/>
      <c r="M30" s="219"/>
      <c r="N30" s="2"/>
    </row>
    <row r="31" spans="1:14" ht="15" customHeight="1" x14ac:dyDescent="0.3">
      <c r="A31" s="884" t="s">
        <v>236</v>
      </c>
      <c r="B31" s="80"/>
      <c r="C31" s="106">
        <v>2026</v>
      </c>
      <c r="D31" s="107">
        <v>12</v>
      </c>
      <c r="E31" s="108"/>
      <c r="F31" s="105"/>
      <c r="G31" s="730">
        <v>37162.182132682108</v>
      </c>
      <c r="H31" s="731">
        <v>37273.485622216547</v>
      </c>
      <c r="I31" s="86">
        <f t="shared" si="0"/>
        <v>37471.990938785581</v>
      </c>
      <c r="J31" s="219"/>
      <c r="K31" s="219"/>
      <c r="L31" s="219"/>
      <c r="M31" s="219"/>
      <c r="N31" s="2"/>
    </row>
    <row r="32" spans="1:14" ht="14.4" x14ac:dyDescent="0.3">
      <c r="A32" s="884"/>
      <c r="B32" s="80"/>
      <c r="C32" s="106">
        <v>2027</v>
      </c>
      <c r="D32" s="107">
        <v>13</v>
      </c>
      <c r="E32" s="108"/>
      <c r="F32" s="105"/>
      <c r="G32" s="730">
        <v>38169.657196189124</v>
      </c>
      <c r="H32" s="731">
        <v>38248.366607695047</v>
      </c>
      <c r="I32" s="86">
        <f t="shared" si="0"/>
        <v>38446.87192426408</v>
      </c>
      <c r="J32" s="79"/>
      <c r="K32" s="79"/>
      <c r="L32" s="219"/>
      <c r="M32" s="219"/>
      <c r="N32" s="2"/>
    </row>
    <row r="33" spans="1:14" ht="14.4" x14ac:dyDescent="0.3">
      <c r="A33" s="884"/>
      <c r="B33" s="80"/>
      <c r="C33" s="106">
        <v>2028</v>
      </c>
      <c r="D33" s="107">
        <v>14</v>
      </c>
      <c r="E33" s="108"/>
      <c r="F33" s="105"/>
      <c r="G33" s="730">
        <v>39182.586153231605</v>
      </c>
      <c r="H33" s="731">
        <v>39224.414303281854</v>
      </c>
      <c r="I33" s="86">
        <f t="shared" si="0"/>
        <v>39422.919619850887</v>
      </c>
      <c r="J33" s="79"/>
      <c r="K33" s="79"/>
      <c r="L33" s="219"/>
      <c r="M33" s="219"/>
      <c r="N33" s="2"/>
    </row>
    <row r="34" spans="1:14" ht="14.4" x14ac:dyDescent="0.3">
      <c r="A34" s="884"/>
      <c r="B34" s="80"/>
      <c r="C34" s="106">
        <v>2029</v>
      </c>
      <c r="D34" s="107">
        <v>15</v>
      </c>
      <c r="E34" s="108"/>
      <c r="F34" s="105"/>
      <c r="G34" s="730">
        <v>40200.247787170985</v>
      </c>
      <c r="H34" s="731">
        <v>40200.8529882988</v>
      </c>
      <c r="I34" s="86">
        <f t="shared" si="0"/>
        <v>40399.358304867834</v>
      </c>
      <c r="J34" s="79"/>
      <c r="K34" s="79"/>
      <c r="L34" s="219"/>
      <c r="M34" s="219"/>
      <c r="N34" s="2"/>
    </row>
    <row r="35" spans="1:14" ht="14.4" x14ac:dyDescent="0.3">
      <c r="A35" s="884"/>
      <c r="B35" s="80"/>
      <c r="C35" s="106">
        <v>2030</v>
      </c>
      <c r="D35" s="107">
        <v>16</v>
      </c>
      <c r="E35" s="108">
        <v>41025.874626195116</v>
      </c>
      <c r="F35" s="105">
        <v>41025.874626195116</v>
      </c>
      <c r="G35" s="730">
        <v>41221.920881368715</v>
      </c>
      <c r="H35" s="731">
        <v>41176.891186946377</v>
      </c>
      <c r="I35" s="86">
        <f t="shared" si="0"/>
        <v>41375.396503515411</v>
      </c>
      <c r="J35" s="79"/>
      <c r="K35" s="79"/>
      <c r="L35" s="219"/>
      <c r="M35" s="219"/>
      <c r="N35" s="2"/>
    </row>
    <row r="36" spans="1:14" ht="14.4" x14ac:dyDescent="0.3">
      <c r="A36" s="884"/>
      <c r="B36" s="80"/>
      <c r="C36" s="106">
        <v>2031</v>
      </c>
      <c r="D36" s="107">
        <v>17</v>
      </c>
      <c r="E36" s="108"/>
      <c r="F36" s="105"/>
      <c r="G36" s="730">
        <v>42246.884219186228</v>
      </c>
      <c r="H36" s="731">
        <v>42151.747818538461</v>
      </c>
      <c r="I36" s="86">
        <f t="shared" si="0"/>
        <v>42350.253135107494</v>
      </c>
      <c r="J36" s="79"/>
      <c r="K36" s="79"/>
      <c r="L36" s="219"/>
      <c r="M36" s="219"/>
      <c r="N36" s="2"/>
    </row>
    <row r="37" spans="1:14" ht="14.4" x14ac:dyDescent="0.3">
      <c r="A37" s="884"/>
      <c r="B37" s="80"/>
      <c r="C37" s="106">
        <v>2032</v>
      </c>
      <c r="D37" s="107">
        <v>18</v>
      </c>
      <c r="E37" s="108"/>
      <c r="F37" s="105"/>
      <c r="G37" s="730">
        <v>43274.416583984974</v>
      </c>
      <c r="H37" s="731">
        <v>43124.778433048596</v>
      </c>
      <c r="I37" s="86">
        <f t="shared" si="0"/>
        <v>43323.283749617629</v>
      </c>
      <c r="J37" s="79"/>
      <c r="K37" s="79"/>
      <c r="L37" s="219"/>
      <c r="M37" s="219"/>
      <c r="N37" s="2"/>
    </row>
    <row r="38" spans="1:14" ht="14.4" x14ac:dyDescent="0.3">
      <c r="A38" s="884"/>
      <c r="B38" s="80"/>
      <c r="C38" s="106">
        <v>2033</v>
      </c>
      <c r="D38" s="107">
        <v>19</v>
      </c>
      <c r="E38" s="108"/>
      <c r="F38" s="105"/>
      <c r="G38" s="730">
        <v>44303.796759126402</v>
      </c>
      <c r="H38" s="731">
        <v>44095.630231108451</v>
      </c>
      <c r="I38" s="86">
        <f t="shared" si="0"/>
        <v>44294.135547677484</v>
      </c>
      <c r="J38" s="79"/>
      <c r="K38" s="79"/>
      <c r="L38" s="219"/>
      <c r="M38" s="219"/>
      <c r="N38" s="2"/>
    </row>
    <row r="39" spans="1:14" ht="14.4" x14ac:dyDescent="0.3">
      <c r="A39" s="884"/>
      <c r="B39" s="80"/>
      <c r="C39" s="106">
        <v>2034</v>
      </c>
      <c r="D39" s="107">
        <v>20</v>
      </c>
      <c r="E39" s="108"/>
      <c r="F39" s="105"/>
      <c r="G39" s="730">
        <v>45334.303527971933</v>
      </c>
      <c r="H39" s="731">
        <v>45064.106022665452</v>
      </c>
      <c r="I39" s="86">
        <f t="shared" si="0"/>
        <v>45262.611339234485</v>
      </c>
      <c r="J39" s="79"/>
      <c r="K39" s="79"/>
      <c r="L39" s="219"/>
      <c r="M39" s="219"/>
      <c r="N39" s="2"/>
    </row>
    <row r="40" spans="1:14" ht="14.4" x14ac:dyDescent="0.3">
      <c r="A40" s="884"/>
      <c r="B40" s="80"/>
      <c r="C40" s="106">
        <v>2035</v>
      </c>
      <c r="D40" s="107">
        <v>21</v>
      </c>
      <c r="E40" s="108">
        <v>46350.50172051508</v>
      </c>
      <c r="F40" s="105">
        <v>46350.50172051508</v>
      </c>
      <c r="G40" s="730">
        <v>46365.215673883024</v>
      </c>
      <c r="H40" s="731">
        <v>46029.889388135547</v>
      </c>
      <c r="I40" s="86">
        <f t="shared" si="0"/>
        <v>46228.39470470458</v>
      </c>
      <c r="J40" s="79"/>
      <c r="K40" s="79"/>
      <c r="L40" s="219"/>
      <c r="M40" s="219"/>
      <c r="N40" s="2"/>
    </row>
    <row r="41" spans="1:14" ht="14.4" x14ac:dyDescent="0.3">
      <c r="A41" s="884"/>
      <c r="B41" s="80"/>
      <c r="C41" s="106">
        <v>2036</v>
      </c>
      <c r="D41" s="107">
        <v>22</v>
      </c>
      <c r="E41" s="108"/>
      <c r="F41" s="105"/>
      <c r="G41" s="730">
        <v>47395.811980221115</v>
      </c>
      <c r="H41" s="731">
        <v>46992.468654780314</v>
      </c>
      <c r="I41" s="86">
        <f t="shared" si="0"/>
        <v>47190.973971349347</v>
      </c>
      <c r="J41" s="79"/>
      <c r="K41" s="79"/>
      <c r="L41" s="219"/>
      <c r="M41" s="219"/>
      <c r="N41" s="2"/>
    </row>
    <row r="42" spans="1:14" ht="14.4" x14ac:dyDescent="0.3">
      <c r="A42" s="884"/>
      <c r="B42" s="80"/>
      <c r="C42" s="106">
        <v>2037</v>
      </c>
      <c r="D42" s="107">
        <v>23</v>
      </c>
      <c r="E42" s="108"/>
      <c r="F42" s="105"/>
      <c r="G42" s="730">
        <v>48425.37123034765</v>
      </c>
      <c r="H42" s="731">
        <v>47951.068850434734</v>
      </c>
      <c r="I42" s="86">
        <f t="shared" si="0"/>
        <v>48149.574167003768</v>
      </c>
      <c r="J42" s="79"/>
      <c r="K42" s="79"/>
      <c r="L42" s="219"/>
      <c r="M42" s="219"/>
      <c r="N42" s="2"/>
    </row>
    <row r="43" spans="1:14" ht="14.4" x14ac:dyDescent="0.3">
      <c r="A43" s="884"/>
      <c r="B43" s="80"/>
      <c r="C43" s="106">
        <v>2038</v>
      </c>
      <c r="D43" s="107">
        <v>24</v>
      </c>
      <c r="E43" s="108"/>
      <c r="F43" s="105"/>
      <c r="G43" s="730">
        <v>49453.172207624077</v>
      </c>
      <c r="H43" s="731">
        <v>48904.785688438576</v>
      </c>
      <c r="I43" s="86">
        <f t="shared" si="0"/>
        <v>49103.29100500761</v>
      </c>
      <c r="J43" s="79"/>
      <c r="K43" s="79"/>
      <c r="L43" s="219"/>
      <c r="M43" s="219"/>
      <c r="N43" s="2"/>
    </row>
    <row r="44" spans="1:14" ht="14.4" x14ac:dyDescent="0.3">
      <c r="A44" s="884"/>
      <c r="B44" s="80"/>
      <c r="C44" s="106">
        <v>2039</v>
      </c>
      <c r="D44" s="107">
        <v>25</v>
      </c>
      <c r="E44" s="108"/>
      <c r="F44" s="105"/>
      <c r="G44" s="730">
        <v>50478.493695411831</v>
      </c>
      <c r="H44" s="731">
        <v>49852.566483603056</v>
      </c>
      <c r="I44" s="86">
        <f t="shared" si="0"/>
        <v>50051.071800172089</v>
      </c>
      <c r="J44" s="79"/>
      <c r="K44" s="79"/>
      <c r="L44" s="219"/>
      <c r="M44" s="219"/>
      <c r="N44" s="2"/>
    </row>
    <row r="45" spans="1:14" ht="14.4" x14ac:dyDescent="0.3">
      <c r="A45" s="884"/>
      <c r="B45" s="80"/>
      <c r="C45" s="106">
        <v>2040</v>
      </c>
      <c r="D45" s="107">
        <v>26</v>
      </c>
      <c r="E45" s="108">
        <v>51533.444213708288</v>
      </c>
      <c r="F45" s="105">
        <v>51533.444213708288</v>
      </c>
      <c r="G45" s="730">
        <v>51500.614477072348</v>
      </c>
      <c r="H45" s="731">
        <v>50793.427700629793</v>
      </c>
      <c r="I45" s="86">
        <f t="shared" si="0"/>
        <v>50991.933017198826</v>
      </c>
      <c r="J45" s="79"/>
      <c r="K45" s="79"/>
      <c r="L45" s="219"/>
      <c r="M45" s="219"/>
      <c r="N45" s="2"/>
    </row>
    <row r="46" spans="1:14" ht="14.4" x14ac:dyDescent="0.3">
      <c r="A46" s="884"/>
      <c r="B46" s="80"/>
      <c r="C46" s="106">
        <v>2041</v>
      </c>
      <c r="D46" s="107">
        <v>27</v>
      </c>
      <c r="E46" s="108"/>
      <c r="F46" s="105"/>
      <c r="G46" s="730">
        <v>52518.813335967076</v>
      </c>
      <c r="H46" s="731">
        <v>51726.600128218393</v>
      </c>
      <c r="I46" s="86">
        <f t="shared" si="0"/>
        <v>51925.105444787427</v>
      </c>
      <c r="J46" s="79"/>
      <c r="K46" s="79"/>
      <c r="L46" s="219"/>
      <c r="M46" s="219"/>
      <c r="N46" s="2"/>
    </row>
    <row r="47" spans="1:14" ht="14.4" x14ac:dyDescent="0.3">
      <c r="A47" s="884"/>
      <c r="B47" s="80"/>
      <c r="C47" s="106">
        <v>2042</v>
      </c>
      <c r="D47" s="107">
        <v>28</v>
      </c>
      <c r="E47" s="108"/>
      <c r="F47" s="105"/>
      <c r="G47" s="730">
        <v>53532.369055457464</v>
      </c>
      <c r="H47" s="731">
        <v>52651.437285557542</v>
      </c>
      <c r="I47" s="86">
        <f t="shared" si="0"/>
        <v>52849.942602126575</v>
      </c>
      <c r="J47" s="79"/>
      <c r="K47" s="79"/>
      <c r="L47" s="219"/>
      <c r="M47" s="219"/>
      <c r="N47" s="2"/>
    </row>
    <row r="48" spans="1:14" ht="14.4" x14ac:dyDescent="0.3">
      <c r="A48" s="884"/>
      <c r="B48" s="80"/>
      <c r="C48" s="106">
        <v>2043</v>
      </c>
      <c r="D48" s="107">
        <v>29</v>
      </c>
      <c r="E48" s="108"/>
      <c r="F48" s="105"/>
      <c r="G48" s="730">
        <v>54540.560418904948</v>
      </c>
      <c r="H48" s="731">
        <v>53567.194352166596</v>
      </c>
      <c r="I48" s="86">
        <f t="shared" si="0"/>
        <v>53765.69966873563</v>
      </c>
      <c r="J48" s="79"/>
      <c r="K48" s="79"/>
      <c r="L48" s="219"/>
      <c r="M48" s="219"/>
      <c r="N48" s="2"/>
    </row>
    <row r="49" spans="1:14" ht="14.4" x14ac:dyDescent="0.3">
      <c r="A49" s="884"/>
      <c r="B49" s="80"/>
      <c r="C49" s="106">
        <v>2044</v>
      </c>
      <c r="D49" s="107">
        <v>30</v>
      </c>
      <c r="E49" s="108"/>
      <c r="F49" s="105"/>
      <c r="G49" s="730">
        <v>55542.66620967097</v>
      </c>
      <c r="H49" s="731">
        <v>54473.149248215515</v>
      </c>
      <c r="I49" s="86">
        <f t="shared" si="0"/>
        <v>54671.654564784549</v>
      </c>
      <c r="J49" s="79"/>
      <c r="K49" s="79"/>
      <c r="L49" s="219"/>
      <c r="M49" s="219"/>
      <c r="N49" s="2"/>
    </row>
    <row r="50" spans="1:14" ht="14.4" x14ac:dyDescent="0.3">
      <c r="A50" s="884"/>
      <c r="B50" s="80"/>
      <c r="C50" s="106">
        <v>2045</v>
      </c>
      <c r="D50" s="107">
        <v>31</v>
      </c>
      <c r="E50" s="108">
        <v>56668.984218136073</v>
      </c>
      <c r="F50" s="105">
        <v>56668.984218136073</v>
      </c>
      <c r="G50" s="730">
        <v>56537.965211116978</v>
      </c>
      <c r="H50" s="731">
        <v>55368.570160438016</v>
      </c>
      <c r="I50" s="86">
        <f t="shared" si="0"/>
        <v>55567.075477007049</v>
      </c>
      <c r="J50" s="79"/>
      <c r="K50" s="79"/>
      <c r="L50" s="219"/>
      <c r="M50" s="219"/>
      <c r="N50" s="2"/>
    </row>
    <row r="51" spans="1:14" ht="14.4" x14ac:dyDescent="0.3">
      <c r="A51" s="884"/>
      <c r="B51" s="80"/>
      <c r="C51" s="106">
        <v>2046</v>
      </c>
      <c r="D51" s="107">
        <v>32</v>
      </c>
      <c r="E51" s="108"/>
      <c r="F51" s="105"/>
      <c r="G51" s="730">
        <v>57525.736206604408</v>
      </c>
      <c r="H51" s="731">
        <v>56252.72508335454</v>
      </c>
      <c r="I51" s="86">
        <f t="shared" si="0"/>
        <v>56451.230399923574</v>
      </c>
      <c r="J51" s="79"/>
      <c r="K51" s="79"/>
      <c r="L51" s="219"/>
      <c r="M51" s="219"/>
      <c r="N51" s="2"/>
    </row>
    <row r="52" spans="1:14" ht="14.4" x14ac:dyDescent="0.3">
      <c r="A52" s="884"/>
      <c r="B52" s="80"/>
      <c r="C52" s="106">
        <v>2047</v>
      </c>
      <c r="D52" s="107">
        <v>33</v>
      </c>
      <c r="E52" s="108"/>
      <c r="F52" s="105"/>
      <c r="G52" s="730">
        <v>58505.257979494709</v>
      </c>
      <c r="H52" s="731">
        <v>57124.858829210229</v>
      </c>
      <c r="I52" s="86">
        <f t="shared" si="0"/>
        <v>57323.364145779262</v>
      </c>
      <c r="J52" s="79"/>
      <c r="K52" s="79"/>
      <c r="L52" s="219"/>
      <c r="M52" s="219"/>
      <c r="N52" s="2"/>
    </row>
    <row r="53" spans="1:14" ht="14.4" x14ac:dyDescent="0.3">
      <c r="A53" s="884"/>
      <c r="B53" s="80"/>
      <c r="C53" s="106">
        <v>2048</v>
      </c>
      <c r="D53" s="107">
        <v>34</v>
      </c>
      <c r="E53" s="108"/>
      <c r="F53" s="105"/>
      <c r="G53" s="730">
        <v>59475.809313149308</v>
      </c>
      <c r="H53" s="731">
        <v>57984.193189840284</v>
      </c>
      <c r="I53" s="86">
        <f t="shared" si="0"/>
        <v>58182.698506409317</v>
      </c>
      <c r="J53" s="79"/>
      <c r="K53" s="79"/>
      <c r="L53" s="219"/>
      <c r="M53" s="219"/>
      <c r="N53" s="2"/>
    </row>
    <row r="54" spans="1:14" ht="14.4" x14ac:dyDescent="0.3">
      <c r="A54" s="79"/>
      <c r="B54" s="79"/>
      <c r="C54" s="106">
        <v>2049</v>
      </c>
      <c r="D54" s="107">
        <v>35</v>
      </c>
      <c r="E54" s="108"/>
      <c r="F54" s="105"/>
      <c r="G54" s="730">
        <v>60436.668990929669</v>
      </c>
      <c r="H54" s="731">
        <v>58829.940180972822</v>
      </c>
      <c r="I54" s="86">
        <f t="shared" si="0"/>
        <v>59028.445497541856</v>
      </c>
      <c r="J54" s="79"/>
      <c r="K54" s="79"/>
      <c r="L54" s="219"/>
      <c r="M54" s="219"/>
      <c r="N54" s="2"/>
    </row>
    <row r="55" spans="1:14" ht="14.4" x14ac:dyDescent="0.3">
      <c r="A55" s="79"/>
      <c r="B55" s="79"/>
      <c r="C55" s="106">
        <v>2050</v>
      </c>
      <c r="D55" s="111">
        <v>36</v>
      </c>
      <c r="E55" s="108">
        <v>61309.745359583016</v>
      </c>
      <c r="F55" s="105">
        <v>61309.745359583016</v>
      </c>
      <c r="G55" s="740">
        <v>61387.11579619722</v>
      </c>
      <c r="H55" s="741">
        <v>59661.332536942165</v>
      </c>
      <c r="I55" s="86">
        <f t="shared" si="0"/>
        <v>59859.837853511199</v>
      </c>
      <c r="J55" s="79"/>
      <c r="K55" s="79"/>
      <c r="L55" s="219"/>
      <c r="M55" s="219"/>
      <c r="N55" s="2"/>
    </row>
    <row r="56" spans="1:14" ht="14.4" x14ac:dyDescent="0.3">
      <c r="A56" s="79"/>
      <c r="B56" s="79"/>
      <c r="C56" s="106">
        <v>2051</v>
      </c>
      <c r="D56" s="107">
        <v>37</v>
      </c>
      <c r="E56" s="108"/>
      <c r="F56" s="105"/>
      <c r="G56" s="730">
        <v>62326.428512313418</v>
      </c>
      <c r="H56" s="731">
        <v>60477.63044341193</v>
      </c>
      <c r="I56" s="86">
        <f t="shared" si="0"/>
        <v>60676.135759980963</v>
      </c>
      <c r="J56" s="79"/>
      <c r="K56" s="79"/>
      <c r="L56" s="219"/>
      <c r="M56" s="219"/>
      <c r="N56" s="2"/>
    </row>
    <row r="57" spans="1:14" ht="14.4" x14ac:dyDescent="0.3">
      <c r="A57" s="79"/>
      <c r="B57" s="79"/>
      <c r="C57" s="106">
        <v>2052</v>
      </c>
      <c r="D57" s="107">
        <v>38</v>
      </c>
      <c r="E57" s="108"/>
      <c r="F57" s="105"/>
      <c r="G57" s="730">
        <v>63253.885922639689</v>
      </c>
      <c r="H57" s="731">
        <v>61278.146179438125</v>
      </c>
      <c r="I57" s="86">
        <f t="shared" si="0"/>
        <v>61476.651496007158</v>
      </c>
      <c r="J57" s="79"/>
      <c r="K57" s="79"/>
      <c r="L57" s="219"/>
      <c r="M57" s="219"/>
      <c r="N57" s="2"/>
    </row>
    <row r="58" spans="1:14" ht="14.4" x14ac:dyDescent="0.3">
      <c r="A58" s="79"/>
      <c r="B58" s="79"/>
      <c r="C58" s="106">
        <v>2053</v>
      </c>
      <c r="D58" s="107">
        <v>39</v>
      </c>
      <c r="E58" s="108"/>
      <c r="F58" s="105"/>
      <c r="G58" s="730">
        <v>64168.766810537491</v>
      </c>
      <c r="H58" s="731">
        <v>62062.235169920641</v>
      </c>
      <c r="I58" s="86">
        <f t="shared" si="0"/>
        <v>62260.740486489674</v>
      </c>
      <c r="J58" s="79"/>
      <c r="K58" s="79"/>
      <c r="L58" s="219"/>
      <c r="M58" s="219"/>
      <c r="N58" s="2"/>
    </row>
    <row r="59" spans="1:14" ht="14.4" x14ac:dyDescent="0.3">
      <c r="A59" s="79"/>
      <c r="B59" s="79"/>
      <c r="C59" s="106">
        <v>2054</v>
      </c>
      <c r="D59" s="107">
        <v>40</v>
      </c>
      <c r="E59" s="108"/>
      <c r="F59" s="105"/>
      <c r="G59" s="730">
        <v>65070.349959368235</v>
      </c>
      <c r="H59" s="731">
        <v>62829.288255196116</v>
      </c>
      <c r="I59" s="86">
        <f t="shared" si="0"/>
        <v>63027.793571765149</v>
      </c>
      <c r="J59" s="79"/>
      <c r="K59" s="79"/>
      <c r="L59" s="219"/>
      <c r="M59" s="219"/>
      <c r="N59" s="2"/>
    </row>
    <row r="60" spans="1:14" ht="14.4" x14ac:dyDescent="0.3">
      <c r="A60" s="79"/>
      <c r="B60" s="79"/>
      <c r="C60" s="106">
        <v>2055</v>
      </c>
      <c r="D60" s="111">
        <v>41</v>
      </c>
      <c r="E60" s="108"/>
      <c r="F60" s="105"/>
      <c r="G60" s="740">
        <v>65957.914152493395</v>
      </c>
      <c r="H60" s="741">
        <v>63578.68368964312</v>
      </c>
      <c r="I60" s="86">
        <f t="shared" si="0"/>
        <v>63777.189006212153</v>
      </c>
      <c r="J60" s="79"/>
      <c r="K60" s="79"/>
      <c r="L60" s="219"/>
      <c r="M60" s="219"/>
      <c r="N60" s="2"/>
    </row>
    <row r="61" spans="1:14" ht="14.4" x14ac:dyDescent="0.3">
      <c r="A61" s="79"/>
      <c r="B61" s="79"/>
      <c r="C61" s="106">
        <v>2056</v>
      </c>
      <c r="D61" s="107">
        <v>42</v>
      </c>
      <c r="E61" s="108"/>
      <c r="F61" s="105"/>
      <c r="G61" s="730">
        <v>66830.738173274411</v>
      </c>
      <c r="H61" s="731">
        <v>64309.742229033247</v>
      </c>
      <c r="I61" s="86">
        <f t="shared" si="0"/>
        <v>64508.24754560228</v>
      </c>
      <c r="J61" s="79"/>
      <c r="K61" s="79"/>
      <c r="L61" s="219"/>
      <c r="M61" s="219"/>
      <c r="N61" s="2"/>
    </row>
    <row r="62" spans="1:14" ht="14.4" x14ac:dyDescent="0.3">
      <c r="A62" s="79"/>
      <c r="B62" s="79"/>
      <c r="C62" s="106">
        <v>2057</v>
      </c>
      <c r="D62" s="107">
        <v>43</v>
      </c>
      <c r="E62" s="108"/>
      <c r="F62" s="105"/>
      <c r="G62" s="730">
        <v>67688.100805072711</v>
      </c>
      <c r="H62" s="731">
        <v>65021.769377242148</v>
      </c>
      <c r="I62" s="86">
        <f t="shared" si="0"/>
        <v>65220.274693811181</v>
      </c>
      <c r="J62" s="79"/>
      <c r="K62" s="79"/>
      <c r="L62" s="219"/>
      <c r="M62" s="219"/>
      <c r="N62" s="2"/>
    </row>
    <row r="63" spans="1:14" ht="14.4" x14ac:dyDescent="0.3">
      <c r="A63" s="79"/>
      <c r="B63" s="79"/>
      <c r="C63" s="106">
        <v>2058</v>
      </c>
      <c r="D63" s="107">
        <v>44</v>
      </c>
      <c r="E63" s="108"/>
      <c r="F63" s="105"/>
      <c r="G63" s="730">
        <v>68529.280831249751</v>
      </c>
      <c r="H63" s="731">
        <v>65714.117301535764</v>
      </c>
      <c r="I63" s="86">
        <f t="shared" si="0"/>
        <v>65912.622618104797</v>
      </c>
      <c r="J63" s="79"/>
      <c r="K63" s="79"/>
      <c r="L63" s="219"/>
      <c r="M63" s="219"/>
      <c r="N63" s="2"/>
    </row>
    <row r="64" spans="1:14" ht="14.4" x14ac:dyDescent="0.3">
      <c r="A64" s="79"/>
      <c r="B64" s="79"/>
      <c r="C64" s="106">
        <v>2059</v>
      </c>
      <c r="D64" s="107">
        <v>45</v>
      </c>
      <c r="E64" s="108"/>
      <c r="F64" s="105"/>
      <c r="G64" s="730">
        <v>69353.557035166959</v>
      </c>
      <c r="H64" s="731">
        <v>66386.147791311931</v>
      </c>
      <c r="I64" s="86">
        <f t="shared" si="0"/>
        <v>66584.653107880964</v>
      </c>
      <c r="J64" s="79"/>
      <c r="K64" s="79"/>
      <c r="L64" s="219"/>
      <c r="M64" s="219"/>
      <c r="N64" s="2"/>
    </row>
    <row r="65" spans="1:14" ht="14.4" x14ac:dyDescent="0.3">
      <c r="A65" s="79"/>
      <c r="B65" s="79"/>
      <c r="C65" s="112">
        <v>2060</v>
      </c>
      <c r="D65" s="111">
        <v>46</v>
      </c>
      <c r="E65" s="108"/>
      <c r="F65" s="105"/>
      <c r="G65" s="740">
        <v>70160.208200185793</v>
      </c>
      <c r="H65" s="741">
        <v>67037.217481732194</v>
      </c>
      <c r="I65" s="86">
        <f t="shared" si="0"/>
        <v>67235.722798301227</v>
      </c>
      <c r="J65" s="79"/>
      <c r="K65" s="79"/>
      <c r="L65" s="219"/>
      <c r="M65" s="219"/>
      <c r="N65" s="2"/>
    </row>
    <row r="66" spans="1:14" ht="14.4" x14ac:dyDescent="0.3">
      <c r="A66" s="79"/>
      <c r="C66" s="2"/>
      <c r="D66" s="2"/>
      <c r="E66" s="2"/>
      <c r="F66" s="2"/>
      <c r="G66" s="788"/>
      <c r="H66" s="788"/>
      <c r="I66" s="2"/>
      <c r="J66" s="2"/>
      <c r="K66" s="2"/>
      <c r="L66" s="2"/>
      <c r="M66" s="2"/>
      <c r="N66" s="2"/>
    </row>
    <row r="67" spans="1:14" ht="14.4" x14ac:dyDescent="0.3">
      <c r="A67" s="79"/>
      <c r="C67" s="2"/>
      <c r="D67" s="2"/>
      <c r="E67" s="2"/>
      <c r="F67" s="2"/>
      <c r="G67" s="788"/>
      <c r="H67" s="788"/>
      <c r="I67" s="2"/>
      <c r="J67" s="2"/>
      <c r="K67" s="2"/>
      <c r="L67" s="2"/>
      <c r="M67" s="2"/>
      <c r="N67" s="2"/>
    </row>
    <row r="68" spans="1:14" ht="14.4" x14ac:dyDescent="0.3">
      <c r="A68" s="231" t="s">
        <v>190</v>
      </c>
      <c r="C68" s="2"/>
      <c r="D68" s="2"/>
      <c r="E68" s="2"/>
      <c r="F68" s="2"/>
      <c r="G68" s="788"/>
      <c r="H68" s="788"/>
      <c r="I68" s="2"/>
      <c r="J68" s="2"/>
      <c r="K68" s="2"/>
      <c r="L68" s="2"/>
      <c r="M68" s="2"/>
      <c r="N68" s="2"/>
    </row>
    <row r="69" spans="1:14" ht="14.4" x14ac:dyDescent="0.3">
      <c r="A69" s="2"/>
      <c r="C69" s="2"/>
      <c r="D69" s="2"/>
      <c r="E69" s="2"/>
      <c r="F69" s="2"/>
      <c r="G69" s="788"/>
      <c r="H69" s="788"/>
      <c r="I69" s="2"/>
      <c r="J69" s="2"/>
      <c r="K69" s="2"/>
      <c r="L69" s="2"/>
      <c r="M69" s="2"/>
      <c r="N69" s="2"/>
    </row>
    <row r="70" spans="1:14" ht="14.4" x14ac:dyDescent="0.3">
      <c r="A70" s="2"/>
      <c r="C70" s="2"/>
      <c r="D70" s="2"/>
      <c r="E70" s="2"/>
      <c r="F70" s="2"/>
      <c r="G70" s="5"/>
      <c r="H70" s="5"/>
      <c r="I70" s="2"/>
      <c r="J70" s="2"/>
      <c r="K70" s="2"/>
      <c r="L70" s="2"/>
      <c r="M70" s="2"/>
      <c r="N70" s="2"/>
    </row>
    <row r="71" spans="1:14" ht="15.75" customHeight="1" x14ac:dyDescent="0.3">
      <c r="A71" s="71">
        <v>2</v>
      </c>
      <c r="B71" s="72" t="s">
        <v>121</v>
      </c>
      <c r="C71" s="73"/>
      <c r="D71" s="73"/>
      <c r="E71" s="73"/>
      <c r="F71" s="73"/>
      <c r="G71" s="705"/>
      <c r="H71" s="705"/>
      <c r="I71" s="73"/>
      <c r="J71" s="73"/>
      <c r="K71" s="73"/>
      <c r="L71" s="2"/>
      <c r="M71" s="2"/>
      <c r="N71" s="2"/>
    </row>
    <row r="72" spans="1:14" ht="15.75" customHeight="1" x14ac:dyDescent="0.3">
      <c r="A72" s="74" t="s">
        <v>74</v>
      </c>
      <c r="B72" s="75"/>
      <c r="C72" s="75"/>
      <c r="D72" s="76"/>
      <c r="E72" s="77"/>
      <c r="F72" s="862"/>
      <c r="G72" s="710"/>
      <c r="H72" s="711"/>
      <c r="I72" s="79"/>
      <c r="J72" s="79"/>
      <c r="K72" s="79"/>
      <c r="L72" s="2"/>
      <c r="M72" s="2"/>
      <c r="N72" s="2"/>
    </row>
    <row r="73" spans="1:14" ht="16.5" customHeight="1" thickBot="1" x14ac:dyDescent="0.35">
      <c r="A73" s="110" t="s">
        <v>75</v>
      </c>
      <c r="B73" s="80"/>
      <c r="C73" s="80"/>
      <c r="D73" s="81"/>
      <c r="E73" s="109" t="s">
        <v>78</v>
      </c>
      <c r="F73" s="863"/>
      <c r="G73" s="746" t="s">
        <v>79</v>
      </c>
      <c r="H73" s="711"/>
      <c r="I73" s="79"/>
      <c r="J73" s="79"/>
      <c r="K73" s="79"/>
      <c r="L73" s="219"/>
      <c r="M73" s="219"/>
      <c r="N73" s="2"/>
    </row>
    <row r="74" spans="1:14" ht="39" customHeight="1" thickBot="1" x14ac:dyDescent="0.35">
      <c r="A74" s="82"/>
      <c r="B74" s="82"/>
      <c r="C74" s="82"/>
      <c r="D74" s="83"/>
      <c r="E74" s="101" t="s">
        <v>115</v>
      </c>
      <c r="F74" s="101" t="s">
        <v>115</v>
      </c>
      <c r="G74" s="746" t="s">
        <v>81</v>
      </c>
      <c r="H74" s="747" t="s">
        <v>82</v>
      </c>
      <c r="I74" s="101" t="s">
        <v>234</v>
      </c>
      <c r="J74" s="747" t="s">
        <v>754</v>
      </c>
      <c r="K74" s="865" t="s">
        <v>84</v>
      </c>
      <c r="L74" s="866"/>
      <c r="M74" s="219"/>
      <c r="N74" s="2"/>
    </row>
    <row r="75" spans="1:14" ht="15.75" customHeight="1" x14ac:dyDescent="0.3">
      <c r="A75" s="74" t="s">
        <v>85</v>
      </c>
      <c r="B75" s="82"/>
      <c r="C75" s="102">
        <v>2005</v>
      </c>
      <c r="D75" s="103">
        <v>-9</v>
      </c>
      <c r="E75" s="104"/>
      <c r="F75" s="105"/>
      <c r="G75" s="722">
        <v>17417.752621589258</v>
      </c>
      <c r="H75" s="723">
        <v>17417.752621589258</v>
      </c>
      <c r="I75" s="84">
        <f>H75+$L$85/10^9</f>
        <v>17616.257938158291</v>
      </c>
      <c r="J75" s="871" t="s">
        <v>86</v>
      </c>
      <c r="K75" s="867"/>
      <c r="L75" s="868"/>
      <c r="M75" s="219"/>
      <c r="N75" s="2"/>
    </row>
    <row r="76" spans="1:14" ht="15.75" customHeight="1" x14ac:dyDescent="0.3">
      <c r="A76" s="110" t="s">
        <v>87</v>
      </c>
      <c r="B76" s="82"/>
      <c r="C76" s="106">
        <v>2006</v>
      </c>
      <c r="D76" s="107">
        <v>-8</v>
      </c>
      <c r="E76" s="108"/>
      <c r="F76" s="105"/>
      <c r="G76" s="727">
        <v>18299.237131490263</v>
      </c>
      <c r="H76" s="728">
        <v>18299.237131490263</v>
      </c>
      <c r="I76" s="85">
        <f t="shared" ref="I76:I130" si="1">H76+$L$85/10^9</f>
        <v>18497.742448059296</v>
      </c>
      <c r="J76" s="867"/>
      <c r="K76" s="867"/>
      <c r="L76" s="868"/>
      <c r="M76" s="219"/>
      <c r="N76" s="2"/>
    </row>
    <row r="77" spans="1:14" ht="14.4" x14ac:dyDescent="0.3">
      <c r="A77" s="82"/>
      <c r="B77" s="82"/>
      <c r="C77" s="106">
        <v>2007</v>
      </c>
      <c r="D77" s="107">
        <v>-7</v>
      </c>
      <c r="E77" s="108"/>
      <c r="F77" s="105"/>
      <c r="G77" s="727">
        <v>19188.218807271936</v>
      </c>
      <c r="H77" s="728">
        <v>19188.218807271936</v>
      </c>
      <c r="I77" s="85">
        <f t="shared" si="1"/>
        <v>19386.72412384097</v>
      </c>
      <c r="J77" s="867"/>
      <c r="K77" s="867"/>
      <c r="L77" s="868"/>
      <c r="M77" s="219"/>
      <c r="N77" s="2"/>
    </row>
    <row r="78" spans="1:14" ht="15.75" customHeight="1" x14ac:dyDescent="0.3">
      <c r="A78" s="29" t="s">
        <v>88</v>
      </c>
      <c r="B78" s="82"/>
      <c r="C78" s="106">
        <v>2008</v>
      </c>
      <c r="D78" s="107">
        <v>-6</v>
      </c>
      <c r="E78" s="108"/>
      <c r="F78" s="105"/>
      <c r="G78" s="727">
        <v>20084.301580128053</v>
      </c>
      <c r="H78" s="728">
        <v>20084.301580128053</v>
      </c>
      <c r="I78" s="85">
        <f t="shared" si="1"/>
        <v>20282.806896697086</v>
      </c>
      <c r="J78" s="867"/>
      <c r="K78" s="869"/>
      <c r="L78" s="870"/>
      <c r="M78" s="219"/>
      <c r="N78" s="2"/>
    </row>
    <row r="79" spans="1:14" ht="14.55" customHeight="1" x14ac:dyDescent="0.3">
      <c r="A79" s="872" t="s">
        <v>59</v>
      </c>
      <c r="B79" s="82"/>
      <c r="C79" s="106">
        <v>2009</v>
      </c>
      <c r="D79" s="107">
        <v>-5</v>
      </c>
      <c r="E79" s="108"/>
      <c r="F79" s="105"/>
      <c r="G79" s="727">
        <v>20987.089381252386</v>
      </c>
      <c r="H79" s="728">
        <v>20987.089381252386</v>
      </c>
      <c r="I79" s="85">
        <f t="shared" si="1"/>
        <v>21185.59469782142</v>
      </c>
      <c r="J79" s="867"/>
      <c r="K79" s="79"/>
      <c r="L79" s="79"/>
      <c r="M79" s="219"/>
      <c r="N79" s="2"/>
    </row>
    <row r="80" spans="1:14" ht="14.4" x14ac:dyDescent="0.3">
      <c r="A80" s="873"/>
      <c r="B80" s="82"/>
      <c r="C80" s="106">
        <v>2010</v>
      </c>
      <c r="D80" s="107">
        <v>-4</v>
      </c>
      <c r="E80" s="108"/>
      <c r="F80" s="105"/>
      <c r="G80" s="727">
        <v>21896.186141838713</v>
      </c>
      <c r="H80" s="728">
        <v>21896.186141838713</v>
      </c>
      <c r="I80" s="85">
        <f t="shared" si="1"/>
        <v>22094.691458407746</v>
      </c>
      <c r="J80" s="867"/>
      <c r="K80" s="79"/>
      <c r="L80" s="79"/>
      <c r="M80" s="219"/>
      <c r="N80" s="2"/>
    </row>
    <row r="81" spans="1:14" ht="14.4" x14ac:dyDescent="0.3">
      <c r="A81" s="873"/>
      <c r="B81" s="82"/>
      <c r="C81" s="106">
        <v>2011</v>
      </c>
      <c r="D81" s="107">
        <v>-3</v>
      </c>
      <c r="E81" s="108"/>
      <c r="F81" s="105"/>
      <c r="G81" s="727">
        <v>22811.195793080806</v>
      </c>
      <c r="H81" s="728">
        <v>22811.195793080806</v>
      </c>
      <c r="I81" s="85">
        <f t="shared" si="1"/>
        <v>23009.701109649839</v>
      </c>
      <c r="J81" s="869"/>
      <c r="K81" s="79"/>
      <c r="L81" s="79"/>
      <c r="M81" s="219"/>
      <c r="N81" s="2"/>
    </row>
    <row r="82" spans="1:14" ht="14.4" x14ac:dyDescent="0.3">
      <c r="A82" s="874"/>
      <c r="B82" s="82"/>
      <c r="C82" s="106">
        <v>2012</v>
      </c>
      <c r="D82" s="107">
        <v>-2</v>
      </c>
      <c r="E82" s="108"/>
      <c r="F82" s="105"/>
      <c r="G82" s="730">
        <v>23731.722266172441</v>
      </c>
      <c r="H82" s="731">
        <v>23731.722266172441</v>
      </c>
      <c r="I82" s="86">
        <f t="shared" si="1"/>
        <v>23930.227582741474</v>
      </c>
      <c r="J82" s="87" t="s">
        <v>90</v>
      </c>
      <c r="K82" s="79"/>
      <c r="L82" s="79"/>
      <c r="M82" s="219"/>
      <c r="N82" s="2"/>
    </row>
    <row r="83" spans="1:14" ht="14.4" x14ac:dyDescent="0.3">
      <c r="A83" s="82"/>
      <c r="B83" s="82"/>
      <c r="C83" s="106">
        <v>2013</v>
      </c>
      <c r="D83" s="107">
        <v>-1</v>
      </c>
      <c r="E83" s="108">
        <v>24649.553926642577</v>
      </c>
      <c r="F83" s="105">
        <v>24649.553926642577</v>
      </c>
      <c r="G83" s="730">
        <v>24657.369492307389</v>
      </c>
      <c r="H83" s="731">
        <v>24657.369492307389</v>
      </c>
      <c r="I83" s="86">
        <f t="shared" si="1"/>
        <v>24855.874808876422</v>
      </c>
      <c r="J83" s="79"/>
      <c r="K83" s="79"/>
      <c r="L83" s="219"/>
      <c r="M83" s="219"/>
      <c r="N83" s="2"/>
    </row>
    <row r="84" spans="1:14" ht="15.75" customHeight="1" x14ac:dyDescent="0.3">
      <c r="A84" s="77" t="s">
        <v>91</v>
      </c>
      <c r="B84" s="82"/>
      <c r="C84" s="106">
        <v>2014</v>
      </c>
      <c r="D84" s="107">
        <v>0</v>
      </c>
      <c r="E84" s="108"/>
      <c r="F84" s="105"/>
      <c r="G84" s="730">
        <v>25587.741402679429</v>
      </c>
      <c r="H84" s="731">
        <v>25748.170237285416</v>
      </c>
      <c r="I84" s="86">
        <f t="shared" si="1"/>
        <v>25946.675553854449</v>
      </c>
      <c r="J84" s="79"/>
      <c r="K84" s="79"/>
      <c r="L84" s="219"/>
      <c r="M84" s="219"/>
      <c r="N84" s="2"/>
    </row>
    <row r="85" spans="1:14" ht="15.75" customHeight="1" x14ac:dyDescent="0.3">
      <c r="A85" s="110">
        <v>2016</v>
      </c>
      <c r="B85" s="80"/>
      <c r="C85" s="106">
        <v>2015</v>
      </c>
      <c r="D85" s="107">
        <v>1</v>
      </c>
      <c r="E85" s="108"/>
      <c r="F85" s="105"/>
      <c r="G85" s="730">
        <v>26522.441928482331</v>
      </c>
      <c r="H85" s="731">
        <v>26690.796815571208</v>
      </c>
      <c r="I85" s="86">
        <f t="shared" si="1"/>
        <v>26889.302132140241</v>
      </c>
      <c r="J85" s="219" t="s">
        <v>233</v>
      </c>
      <c r="K85" s="219"/>
      <c r="L85" s="232">
        <v>198505316569.03406</v>
      </c>
      <c r="M85" s="219" t="s">
        <v>232</v>
      </c>
      <c r="N85" s="2"/>
    </row>
    <row r="86" spans="1:14" ht="14.4" x14ac:dyDescent="0.3">
      <c r="A86" s="79"/>
      <c r="B86" s="80"/>
      <c r="C86" s="106">
        <v>2016</v>
      </c>
      <c r="D86" s="107">
        <v>2</v>
      </c>
      <c r="E86" s="108"/>
      <c r="F86" s="105"/>
      <c r="G86" s="730">
        <v>27461.075000909874</v>
      </c>
      <c r="H86" s="731">
        <v>27638.159761811352</v>
      </c>
      <c r="I86" s="86">
        <f t="shared" si="1"/>
        <v>27836.665078380385</v>
      </c>
      <c r="J86" s="79"/>
      <c r="K86" s="234"/>
      <c r="L86" s="235" t="s">
        <v>237</v>
      </c>
      <c r="M86" s="236"/>
      <c r="N86" s="2"/>
    </row>
    <row r="87" spans="1:14" ht="15.75" customHeight="1" x14ac:dyDescent="0.3">
      <c r="A87" s="77" t="s">
        <v>92</v>
      </c>
      <c r="B87" s="80"/>
      <c r="C87" s="106">
        <v>2017</v>
      </c>
      <c r="D87" s="107">
        <v>3</v>
      </c>
      <c r="E87" s="108"/>
      <c r="F87" s="105"/>
      <c r="G87" s="730">
        <v>28403.244551155833</v>
      </c>
      <c r="H87" s="731">
        <v>28589.910738324859</v>
      </c>
      <c r="I87" s="86">
        <f t="shared" si="1"/>
        <v>28788.416054893893</v>
      </c>
      <c r="J87" s="79"/>
      <c r="K87" s="79"/>
      <c r="L87" s="219"/>
      <c r="M87" s="219"/>
      <c r="N87" s="2"/>
    </row>
    <row r="88" spans="1:14" ht="15.75" customHeight="1" x14ac:dyDescent="0.3">
      <c r="A88" s="110" t="s">
        <v>115</v>
      </c>
      <c r="B88" s="80"/>
      <c r="C88" s="106">
        <v>2018</v>
      </c>
      <c r="D88" s="107">
        <v>4</v>
      </c>
      <c r="E88" s="108"/>
      <c r="F88" s="105"/>
      <c r="G88" s="730">
        <v>29348.554510413975</v>
      </c>
      <c r="H88" s="731">
        <v>29545.476610362373</v>
      </c>
      <c r="I88" s="86">
        <f t="shared" si="1"/>
        <v>29743.981926931407</v>
      </c>
      <c r="J88" s="219"/>
      <c r="K88" s="219"/>
      <c r="L88" s="219"/>
      <c r="M88" s="219"/>
      <c r="N88" s="2"/>
    </row>
    <row r="89" spans="1:14" ht="14.4" x14ac:dyDescent="0.3">
      <c r="A89" s="79"/>
      <c r="B89" s="80"/>
      <c r="C89" s="106">
        <v>2019</v>
      </c>
      <c r="D89" s="107">
        <v>5</v>
      </c>
      <c r="E89" s="108"/>
      <c r="F89" s="105"/>
      <c r="G89" s="730">
        <v>30296.608809878082</v>
      </c>
      <c r="H89" s="731">
        <v>30504.14794821338</v>
      </c>
      <c r="I89" s="86">
        <f t="shared" si="1"/>
        <v>30702.653264782413</v>
      </c>
      <c r="J89" s="219"/>
      <c r="K89" s="219"/>
      <c r="L89" s="219"/>
      <c r="M89" s="219"/>
      <c r="N89" s="2"/>
    </row>
    <row r="90" spans="1:14" ht="15.75" customHeight="1" x14ac:dyDescent="0.3">
      <c r="A90" s="77" t="s">
        <v>93</v>
      </c>
      <c r="B90" s="80"/>
      <c r="C90" s="106">
        <v>2020</v>
      </c>
      <c r="D90" s="107">
        <v>6</v>
      </c>
      <c r="E90" s="108">
        <v>31268.114536517762</v>
      </c>
      <c r="F90" s="105">
        <v>31268.114536517762</v>
      </c>
      <c r="G90" s="730">
        <v>31247.011380741926</v>
      </c>
      <c r="H90" s="731">
        <v>31467.784726750589</v>
      </c>
      <c r="I90" s="86">
        <f t="shared" si="1"/>
        <v>31666.290043319623</v>
      </c>
      <c r="J90" s="219"/>
      <c r="K90" s="219"/>
      <c r="L90" s="219"/>
      <c r="M90" s="219"/>
      <c r="N90" s="2"/>
    </row>
    <row r="91" spans="1:14" ht="15.75" customHeight="1" x14ac:dyDescent="0.3">
      <c r="A91" s="77"/>
      <c r="B91" s="80"/>
      <c r="C91" s="106">
        <v>2021</v>
      </c>
      <c r="D91" s="107">
        <v>7</v>
      </c>
      <c r="E91" s="108"/>
      <c r="F91" s="105"/>
      <c r="G91" s="730">
        <v>32199.366154199281</v>
      </c>
      <c r="H91" s="731">
        <v>32410.209424511191</v>
      </c>
      <c r="I91" s="86">
        <f t="shared" si="1"/>
        <v>32608.714741080224</v>
      </c>
      <c r="J91" s="219"/>
      <c r="K91" s="219"/>
      <c r="L91" s="219"/>
      <c r="M91" s="219"/>
      <c r="N91" s="2"/>
    </row>
    <row r="92" spans="1:14" ht="15.75" customHeight="1" x14ac:dyDescent="0.3">
      <c r="A92" s="88"/>
      <c r="B92" s="80"/>
      <c r="C92" s="106">
        <v>2022</v>
      </c>
      <c r="D92" s="107">
        <v>8</v>
      </c>
      <c r="E92" s="108"/>
      <c r="F92" s="105"/>
      <c r="G92" s="730">
        <v>33153.277061443921</v>
      </c>
      <c r="H92" s="731">
        <v>33351.432869185883</v>
      </c>
      <c r="I92" s="86">
        <f t="shared" si="1"/>
        <v>33549.938185754916</v>
      </c>
      <c r="J92" s="219"/>
      <c r="K92" s="219"/>
      <c r="L92" s="219"/>
      <c r="M92" s="219"/>
      <c r="N92" s="2"/>
    </row>
    <row r="93" spans="1:14" ht="15.75" customHeight="1" x14ac:dyDescent="0.3">
      <c r="A93" s="110"/>
      <c r="B93" s="80"/>
      <c r="C93" s="106">
        <v>2023</v>
      </c>
      <c r="D93" s="107">
        <v>9</v>
      </c>
      <c r="E93" s="108"/>
      <c r="F93" s="105"/>
      <c r="G93" s="730">
        <v>34108.348033669623</v>
      </c>
      <c r="H93" s="731">
        <v>34290.849952606819</v>
      </c>
      <c r="I93" s="86">
        <f t="shared" si="1"/>
        <v>34489.355269175852</v>
      </c>
      <c r="J93" s="219"/>
      <c r="K93" s="219"/>
      <c r="L93" s="219"/>
      <c r="M93" s="219"/>
      <c r="N93" s="2"/>
    </row>
    <row r="94" spans="1:14" ht="14.4" x14ac:dyDescent="0.3">
      <c r="A94" s="79"/>
      <c r="B94" s="80"/>
      <c r="C94" s="106">
        <v>2024</v>
      </c>
      <c r="D94" s="107">
        <v>10</v>
      </c>
      <c r="E94" s="108"/>
      <c r="F94" s="105"/>
      <c r="G94" s="730">
        <v>35064.18300207016</v>
      </c>
      <c r="H94" s="731">
        <v>35227.234270285051</v>
      </c>
      <c r="I94" s="86">
        <f t="shared" si="1"/>
        <v>35425.739586854084</v>
      </c>
      <c r="J94" s="219"/>
      <c r="K94" s="219"/>
      <c r="L94" s="219"/>
      <c r="M94" s="219"/>
      <c r="N94" s="2"/>
    </row>
    <row r="95" spans="1:14" ht="15" customHeight="1" x14ac:dyDescent="0.3">
      <c r="A95" s="219" t="s">
        <v>235</v>
      </c>
      <c r="B95" s="80"/>
      <c r="C95" s="106">
        <v>2025</v>
      </c>
      <c r="D95" s="107">
        <v>11</v>
      </c>
      <c r="E95" s="108">
        <v>36019.040075633595</v>
      </c>
      <c r="F95" s="105">
        <v>36019.040075633595</v>
      </c>
      <c r="G95" s="730">
        <v>36020.385897839304</v>
      </c>
      <c r="H95" s="731">
        <v>36159.523093433272</v>
      </c>
      <c r="I95" s="86">
        <f t="shared" si="1"/>
        <v>36358.028410002305</v>
      </c>
      <c r="J95" s="219"/>
      <c r="K95" s="219"/>
      <c r="L95" s="219"/>
      <c r="M95" s="219"/>
      <c r="N95" s="2"/>
    </row>
    <row r="96" spans="1:14" ht="15" customHeight="1" x14ac:dyDescent="0.3">
      <c r="A96" s="884" t="s">
        <v>236</v>
      </c>
      <c r="B96" s="80"/>
      <c r="C96" s="106">
        <v>2026</v>
      </c>
      <c r="D96" s="107">
        <v>12</v>
      </c>
      <c r="E96" s="108"/>
      <c r="F96" s="105"/>
      <c r="G96" s="730">
        <v>36976.560652170832</v>
      </c>
      <c r="H96" s="731">
        <v>37087.308191614939</v>
      </c>
      <c r="I96" s="86">
        <f t="shared" si="1"/>
        <v>37285.813508183972</v>
      </c>
      <c r="J96" s="219"/>
      <c r="K96" s="219"/>
      <c r="L96" s="219"/>
      <c r="M96" s="219"/>
      <c r="N96" s="2"/>
    </row>
    <row r="97" spans="1:14" ht="14.4" x14ac:dyDescent="0.3">
      <c r="A97" s="884"/>
      <c r="B97" s="80"/>
      <c r="C97" s="106">
        <v>2027</v>
      </c>
      <c r="D97" s="107">
        <v>13</v>
      </c>
      <c r="E97" s="108"/>
      <c r="F97" s="105"/>
      <c r="G97" s="730">
        <v>37932.311196258517</v>
      </c>
      <c r="H97" s="731">
        <v>38010.531178061632</v>
      </c>
      <c r="I97" s="86">
        <f t="shared" si="1"/>
        <v>38209.036494630665</v>
      </c>
      <c r="J97" s="79"/>
      <c r="K97" s="79"/>
      <c r="L97" s="219"/>
      <c r="M97" s="219"/>
      <c r="N97" s="2"/>
    </row>
    <row r="98" spans="1:14" ht="14.4" x14ac:dyDescent="0.3">
      <c r="A98" s="884"/>
      <c r="B98" s="80"/>
      <c r="C98" s="106">
        <v>2028</v>
      </c>
      <c r="D98" s="107">
        <v>14</v>
      </c>
      <c r="E98" s="108"/>
      <c r="F98" s="105"/>
      <c r="G98" s="730">
        <v>38887.241461296137</v>
      </c>
      <c r="H98" s="731">
        <v>38928.75432531492</v>
      </c>
      <c r="I98" s="86">
        <f t="shared" si="1"/>
        <v>39127.259641883953</v>
      </c>
      <c r="J98" s="79"/>
      <c r="K98" s="79"/>
      <c r="L98" s="219"/>
      <c r="M98" s="219"/>
      <c r="N98" s="2"/>
    </row>
    <row r="99" spans="1:14" ht="14.4" x14ac:dyDescent="0.3">
      <c r="A99" s="884"/>
      <c r="B99" s="80"/>
      <c r="C99" s="106">
        <v>2029</v>
      </c>
      <c r="D99" s="107">
        <v>15</v>
      </c>
      <c r="E99" s="108"/>
      <c r="F99" s="105"/>
      <c r="G99" s="730">
        <v>39840.955378477462</v>
      </c>
      <c r="H99" s="731">
        <v>39841.555170579639</v>
      </c>
      <c r="I99" s="86">
        <f t="shared" si="1"/>
        <v>40040.060487148672</v>
      </c>
      <c r="J99" s="79"/>
      <c r="K99" s="79"/>
      <c r="L99" s="219"/>
      <c r="M99" s="219"/>
      <c r="N99" s="2"/>
    </row>
    <row r="100" spans="1:14" ht="14.4" x14ac:dyDescent="0.3">
      <c r="A100" s="884"/>
      <c r="B100" s="80"/>
      <c r="C100" s="106">
        <v>2030</v>
      </c>
      <c r="D100" s="107">
        <v>16</v>
      </c>
      <c r="E100" s="108">
        <v>40768.515507587406</v>
      </c>
      <c r="F100" s="105">
        <v>40768.515507587406</v>
      </c>
      <c r="G100" s="730">
        <v>40793.056878996271</v>
      </c>
      <c r="H100" s="731">
        <v>40748.495663833579</v>
      </c>
      <c r="I100" s="86">
        <f t="shared" si="1"/>
        <v>40947.000980402612</v>
      </c>
      <c r="J100" s="79"/>
      <c r="K100" s="79"/>
      <c r="L100" s="219"/>
      <c r="M100" s="219"/>
      <c r="N100" s="2"/>
    </row>
    <row r="101" spans="1:14" ht="14.4" x14ac:dyDescent="0.3">
      <c r="A101" s="884"/>
      <c r="B101" s="80"/>
      <c r="C101" s="106">
        <v>2031</v>
      </c>
      <c r="D101" s="107">
        <v>17</v>
      </c>
      <c r="E101" s="108"/>
      <c r="F101" s="105"/>
      <c r="G101" s="730">
        <v>41743.149894046335</v>
      </c>
      <c r="H101" s="731">
        <v>41649.147860381185</v>
      </c>
      <c r="I101" s="86">
        <f t="shared" si="1"/>
        <v>41847.653176950218</v>
      </c>
      <c r="J101" s="79"/>
      <c r="K101" s="79"/>
      <c r="L101" s="219"/>
      <c r="M101" s="219"/>
      <c r="N101" s="2"/>
    </row>
    <row r="102" spans="1:14" ht="14.4" x14ac:dyDescent="0.3">
      <c r="A102" s="884"/>
      <c r="B102" s="80"/>
      <c r="C102" s="106">
        <v>2032</v>
      </c>
      <c r="D102" s="107">
        <v>18</v>
      </c>
      <c r="E102" s="108"/>
      <c r="F102" s="105"/>
      <c r="G102" s="730">
        <v>42690.838354821433</v>
      </c>
      <c r="H102" s="731">
        <v>42543.218152918969</v>
      </c>
      <c r="I102" s="86">
        <f t="shared" si="1"/>
        <v>42741.723469488003</v>
      </c>
      <c r="J102" s="79"/>
      <c r="K102" s="79"/>
      <c r="L102" s="219"/>
      <c r="M102" s="219"/>
      <c r="N102" s="2"/>
    </row>
    <row r="103" spans="1:14" ht="14.4" x14ac:dyDescent="0.3">
      <c r="A103" s="884"/>
      <c r="B103" s="80"/>
      <c r="C103" s="106">
        <v>2033</v>
      </c>
      <c r="D103" s="107">
        <v>19</v>
      </c>
      <c r="E103" s="108"/>
      <c r="F103" s="105"/>
      <c r="G103" s="730">
        <v>43635.726192515336</v>
      </c>
      <c r="H103" s="731">
        <v>43430.698671546343</v>
      </c>
      <c r="I103" s="86">
        <f t="shared" si="1"/>
        <v>43629.203988115376</v>
      </c>
      <c r="J103" s="79"/>
      <c r="K103" s="79"/>
      <c r="L103" s="219"/>
      <c r="M103" s="219"/>
      <c r="N103" s="2"/>
    </row>
    <row r="104" spans="1:14" ht="14.4" x14ac:dyDescent="0.3">
      <c r="A104" s="884"/>
      <c r="B104" s="80"/>
      <c r="C104" s="106">
        <v>2034</v>
      </c>
      <c r="D104" s="107">
        <v>20</v>
      </c>
      <c r="E104" s="108"/>
      <c r="F104" s="105"/>
      <c r="G104" s="730">
        <v>44577.417338321815</v>
      </c>
      <c r="H104" s="731">
        <v>44311.730959123583</v>
      </c>
      <c r="I104" s="86">
        <f t="shared" si="1"/>
        <v>44510.236275692616</v>
      </c>
      <c r="J104" s="79"/>
      <c r="K104" s="79"/>
      <c r="L104" s="219"/>
      <c r="M104" s="219"/>
      <c r="N104" s="2"/>
    </row>
    <row r="105" spans="1:14" ht="14.4" x14ac:dyDescent="0.3">
      <c r="A105" s="884"/>
      <c r="B105" s="80"/>
      <c r="C105" s="106">
        <v>2035</v>
      </c>
      <c r="D105" s="107">
        <v>21</v>
      </c>
      <c r="E105" s="108">
        <v>45538.206986507314</v>
      </c>
      <c r="F105" s="105">
        <v>45538.206986507314</v>
      </c>
      <c r="G105" s="730">
        <v>45515.515723434655</v>
      </c>
      <c r="H105" s="731">
        <v>45186.334706812799</v>
      </c>
      <c r="I105" s="86">
        <f t="shared" si="1"/>
        <v>45384.840023381832</v>
      </c>
      <c r="J105" s="79"/>
      <c r="K105" s="79"/>
      <c r="L105" s="219"/>
      <c r="M105" s="219"/>
      <c r="N105" s="2"/>
    </row>
    <row r="106" spans="1:14" ht="14.4" x14ac:dyDescent="0.3">
      <c r="A106" s="884"/>
      <c r="B106" s="80"/>
      <c r="C106" s="106">
        <v>2036</v>
      </c>
      <c r="D106" s="107">
        <v>22</v>
      </c>
      <c r="E106" s="108"/>
      <c r="F106" s="105"/>
      <c r="G106" s="730">
        <v>46449.625279047614</v>
      </c>
      <c r="H106" s="731">
        <v>46054.334101562388</v>
      </c>
      <c r="I106" s="86">
        <f t="shared" si="1"/>
        <v>46252.839418131422</v>
      </c>
      <c r="J106" s="79"/>
      <c r="K106" s="79"/>
      <c r="L106" s="219"/>
      <c r="M106" s="219"/>
      <c r="N106" s="2"/>
    </row>
    <row r="107" spans="1:14" ht="14.4" x14ac:dyDescent="0.3">
      <c r="A107" s="884"/>
      <c r="B107" s="80"/>
      <c r="C107" s="106">
        <v>2037</v>
      </c>
      <c r="D107" s="107">
        <v>23</v>
      </c>
      <c r="E107" s="108"/>
      <c r="F107" s="105"/>
      <c r="G107" s="730">
        <v>47379.349936354483</v>
      </c>
      <c r="H107" s="731">
        <v>46915.292813763823</v>
      </c>
      <c r="I107" s="86">
        <f t="shared" si="1"/>
        <v>47113.798130332856</v>
      </c>
      <c r="J107" s="79"/>
      <c r="K107" s="79"/>
      <c r="L107" s="219"/>
      <c r="M107" s="219"/>
      <c r="N107" s="2"/>
    </row>
    <row r="108" spans="1:14" ht="14.4" x14ac:dyDescent="0.3">
      <c r="A108" s="884"/>
      <c r="B108" s="80"/>
      <c r="C108" s="106">
        <v>2038</v>
      </c>
      <c r="D108" s="107">
        <v>24</v>
      </c>
      <c r="E108" s="108"/>
      <c r="F108" s="105"/>
      <c r="G108" s="730">
        <v>48304.293626549028</v>
      </c>
      <c r="H108" s="731">
        <v>47768.647028746069</v>
      </c>
      <c r="I108" s="86">
        <f t="shared" si="1"/>
        <v>47967.152345315102</v>
      </c>
      <c r="J108" s="79"/>
      <c r="K108" s="79"/>
      <c r="L108" s="219"/>
      <c r="M108" s="219"/>
      <c r="N108" s="2"/>
    </row>
    <row r="109" spans="1:14" ht="14.4" x14ac:dyDescent="0.3">
      <c r="A109" s="884"/>
      <c r="B109" s="80"/>
      <c r="C109" s="106">
        <v>2039</v>
      </c>
      <c r="D109" s="107">
        <v>25</v>
      </c>
      <c r="E109" s="108"/>
      <c r="F109" s="105"/>
      <c r="G109" s="730">
        <v>49224.060280825026</v>
      </c>
      <c r="H109" s="731">
        <v>48613.687891518086</v>
      </c>
      <c r="I109" s="86">
        <f t="shared" si="1"/>
        <v>48812.193208087119</v>
      </c>
      <c r="J109" s="79"/>
      <c r="K109" s="79"/>
      <c r="L109" s="219"/>
      <c r="M109" s="219"/>
      <c r="N109" s="2"/>
    </row>
    <row r="110" spans="1:14" ht="14.4" x14ac:dyDescent="0.3">
      <c r="A110" s="884"/>
      <c r="B110" s="80"/>
      <c r="C110" s="106">
        <v>2040</v>
      </c>
      <c r="D110" s="107">
        <v>26</v>
      </c>
      <c r="E110" s="108">
        <v>50099.411749973624</v>
      </c>
      <c r="F110" s="105">
        <v>50099.411749973624</v>
      </c>
      <c r="G110" s="730">
        <v>50138.253830376249</v>
      </c>
      <c r="H110" s="731">
        <v>49449.77447022128</v>
      </c>
      <c r="I110" s="86">
        <f t="shared" si="1"/>
        <v>49648.279786790314</v>
      </c>
      <c r="J110" s="79"/>
      <c r="K110" s="79"/>
      <c r="L110" s="219"/>
      <c r="M110" s="219"/>
      <c r="N110" s="2"/>
    </row>
    <row r="111" spans="1:14" ht="14.4" x14ac:dyDescent="0.3">
      <c r="A111" s="884"/>
      <c r="B111" s="80"/>
      <c r="C111" s="106">
        <v>2041</v>
      </c>
      <c r="D111" s="107">
        <v>27</v>
      </c>
      <c r="E111" s="108"/>
      <c r="F111" s="105"/>
      <c r="G111" s="730">
        <v>51046.478206396467</v>
      </c>
      <c r="H111" s="731">
        <v>50276.474246378049</v>
      </c>
      <c r="I111" s="86">
        <f t="shared" si="1"/>
        <v>50474.979562947083</v>
      </c>
      <c r="J111" s="79"/>
      <c r="K111" s="79"/>
      <c r="L111" s="219"/>
      <c r="M111" s="219"/>
      <c r="N111" s="2"/>
    </row>
    <row r="112" spans="1:14" ht="14.4" x14ac:dyDescent="0.3">
      <c r="A112" s="884"/>
      <c r="B112" s="80"/>
      <c r="C112" s="106">
        <v>2042</v>
      </c>
      <c r="D112" s="107">
        <v>28</v>
      </c>
      <c r="E112" s="108"/>
      <c r="F112" s="105"/>
      <c r="G112" s="730">
        <v>51948.337340079466</v>
      </c>
      <c r="H112" s="731">
        <v>51093.472487957086</v>
      </c>
      <c r="I112" s="86">
        <f t="shared" si="1"/>
        <v>51291.977804526119</v>
      </c>
      <c r="J112" s="79"/>
      <c r="K112" s="79"/>
      <c r="L112" s="219"/>
      <c r="M112" s="219"/>
      <c r="N112" s="2"/>
    </row>
    <row r="113" spans="1:14" ht="14.4" x14ac:dyDescent="0.3">
      <c r="A113" s="884"/>
      <c r="B113" s="80"/>
      <c r="C113" s="106">
        <v>2043</v>
      </c>
      <c r="D113" s="107">
        <v>29</v>
      </c>
      <c r="E113" s="108"/>
      <c r="F113" s="105"/>
      <c r="G113" s="730">
        <v>52843.435162619018</v>
      </c>
      <c r="H113" s="731">
        <v>51900.357089307676</v>
      </c>
      <c r="I113" s="86">
        <f t="shared" si="1"/>
        <v>52098.862405876709</v>
      </c>
      <c r="J113" s="79"/>
      <c r="K113" s="79"/>
      <c r="L113" s="219"/>
      <c r="M113" s="219"/>
      <c r="N113" s="2"/>
    </row>
    <row r="114" spans="1:14" ht="14.4" x14ac:dyDescent="0.3">
      <c r="A114" s="884"/>
      <c r="B114" s="80"/>
      <c r="C114" s="106">
        <v>2044</v>
      </c>
      <c r="D114" s="107">
        <v>30</v>
      </c>
      <c r="E114" s="108"/>
      <c r="F114" s="105"/>
      <c r="G114" s="730">
        <v>53731.375605208894</v>
      </c>
      <c r="H114" s="731">
        <v>52696.736444114773</v>
      </c>
      <c r="I114" s="86">
        <f t="shared" si="1"/>
        <v>52895.241760683806</v>
      </c>
      <c r="J114" s="79"/>
      <c r="K114" s="79"/>
      <c r="L114" s="219"/>
      <c r="M114" s="219"/>
      <c r="N114" s="2"/>
    </row>
    <row r="115" spans="1:14" ht="14.4" x14ac:dyDescent="0.3">
      <c r="A115" s="884"/>
      <c r="B115" s="80"/>
      <c r="C115" s="106">
        <v>2045</v>
      </c>
      <c r="D115" s="107">
        <v>31</v>
      </c>
      <c r="E115" s="108">
        <v>54657.483818558634</v>
      </c>
      <c r="F115" s="105">
        <v>54657.483818558634</v>
      </c>
      <c r="G115" s="730">
        <v>54611.762599042864</v>
      </c>
      <c r="H115" s="731">
        <v>53482.207889146477</v>
      </c>
      <c r="I115" s="86">
        <f t="shared" si="1"/>
        <v>53680.71320571551</v>
      </c>
      <c r="J115" s="79"/>
      <c r="K115" s="79"/>
      <c r="L115" s="219"/>
      <c r="M115" s="219"/>
      <c r="N115" s="2"/>
    </row>
    <row r="116" spans="1:14" ht="14.4" x14ac:dyDescent="0.3">
      <c r="A116" s="884"/>
      <c r="B116" s="80"/>
      <c r="C116" s="106">
        <v>2046</v>
      </c>
      <c r="D116" s="107">
        <v>32</v>
      </c>
      <c r="E116" s="108"/>
      <c r="F116" s="105"/>
      <c r="G116" s="730">
        <v>55484.200075314715</v>
      </c>
      <c r="H116" s="731">
        <v>54256.366960640247</v>
      </c>
      <c r="I116" s="86">
        <f t="shared" si="1"/>
        <v>54454.872277209281</v>
      </c>
      <c r="J116" s="79"/>
      <c r="K116" s="79"/>
      <c r="L116" s="219"/>
      <c r="M116" s="219"/>
      <c r="N116" s="2"/>
    </row>
    <row r="117" spans="1:14" ht="14.4" x14ac:dyDescent="0.3">
      <c r="A117" s="884"/>
      <c r="B117" s="80"/>
      <c r="C117" s="106">
        <v>2047</v>
      </c>
      <c r="D117" s="107">
        <v>33</v>
      </c>
      <c r="E117" s="108"/>
      <c r="F117" s="105"/>
      <c r="G117" s="730">
        <v>56348.29196521821</v>
      </c>
      <c r="H117" s="731">
        <v>55018.785233087729</v>
      </c>
      <c r="I117" s="86">
        <f t="shared" si="1"/>
        <v>55217.290549656762</v>
      </c>
      <c r="J117" s="79"/>
      <c r="K117" s="79"/>
      <c r="L117" s="219"/>
      <c r="M117" s="219"/>
      <c r="N117" s="2"/>
    </row>
    <row r="118" spans="1:14" ht="14.4" x14ac:dyDescent="0.3">
      <c r="A118" s="884"/>
      <c r="B118" s="80"/>
      <c r="C118" s="106">
        <v>2048</v>
      </c>
      <c r="D118" s="107">
        <v>34</v>
      </c>
      <c r="E118" s="108"/>
      <c r="F118" s="105"/>
      <c r="G118" s="730">
        <v>57203.64219994712</v>
      </c>
      <c r="H118" s="731">
        <v>55769.010607660792</v>
      </c>
      <c r="I118" s="86">
        <f t="shared" si="1"/>
        <v>55967.515924229825</v>
      </c>
      <c r="J118" s="79"/>
      <c r="K118" s="79"/>
      <c r="L118" s="219"/>
      <c r="M118" s="219"/>
      <c r="N118" s="2"/>
    </row>
    <row r="119" spans="1:14" ht="14.4" x14ac:dyDescent="0.3">
      <c r="A119" s="79"/>
      <c r="B119" s="79"/>
      <c r="C119" s="106">
        <v>2049</v>
      </c>
      <c r="D119" s="107">
        <v>35</v>
      </c>
      <c r="E119" s="108"/>
      <c r="F119" s="105"/>
      <c r="G119" s="730">
        <v>58049.854710695239</v>
      </c>
      <c r="H119" s="731">
        <v>56506.58014684591</v>
      </c>
      <c r="I119" s="86">
        <f t="shared" si="1"/>
        <v>56705.085463414944</v>
      </c>
      <c r="J119" s="79"/>
      <c r="K119" s="79"/>
      <c r="L119" s="219"/>
      <c r="M119" s="219"/>
      <c r="N119" s="2"/>
    </row>
    <row r="120" spans="1:14" ht="14.4" x14ac:dyDescent="0.3">
      <c r="A120" s="79"/>
      <c r="B120" s="79"/>
      <c r="C120" s="106">
        <v>2050</v>
      </c>
      <c r="D120" s="111">
        <v>36</v>
      </c>
      <c r="E120" s="108">
        <v>58869.562629974025</v>
      </c>
      <c r="F120" s="105">
        <v>58869.562629974025</v>
      </c>
      <c r="G120" s="740">
        <v>58886.533428656323</v>
      </c>
      <c r="H120" s="741">
        <v>57231.049337757984</v>
      </c>
      <c r="I120" s="86">
        <f t="shared" si="1"/>
        <v>57429.554654327017</v>
      </c>
      <c r="J120" s="79"/>
      <c r="K120" s="79"/>
      <c r="L120" s="219"/>
      <c r="M120" s="219"/>
      <c r="N120" s="2"/>
    </row>
    <row r="121" spans="1:14" ht="14.4" x14ac:dyDescent="0.3">
      <c r="A121" s="79"/>
      <c r="B121" s="79"/>
      <c r="C121" s="106">
        <v>2051</v>
      </c>
      <c r="D121" s="107">
        <v>37</v>
      </c>
      <c r="E121" s="108"/>
      <c r="F121" s="105"/>
      <c r="G121" s="730">
        <v>59713.282285024157</v>
      </c>
      <c r="H121" s="731">
        <v>57941.998359225145</v>
      </c>
      <c r="I121" s="86">
        <f t="shared" si="1"/>
        <v>58140.503675794178</v>
      </c>
      <c r="J121" s="79"/>
      <c r="K121" s="79"/>
      <c r="L121" s="219"/>
      <c r="M121" s="219"/>
      <c r="N121" s="2"/>
    </row>
    <row r="122" spans="1:14" ht="14.4" x14ac:dyDescent="0.3">
      <c r="A122" s="79"/>
      <c r="B122" s="79"/>
      <c r="C122" s="106">
        <v>2052</v>
      </c>
      <c r="D122" s="107">
        <v>38</v>
      </c>
      <c r="E122" s="108"/>
      <c r="F122" s="105"/>
      <c r="G122" s="730">
        <v>60529.705210992506</v>
      </c>
      <c r="H122" s="731">
        <v>58639.055451135951</v>
      </c>
      <c r="I122" s="86">
        <f t="shared" si="1"/>
        <v>58837.560767704985</v>
      </c>
      <c r="J122" s="79"/>
      <c r="K122" s="79"/>
      <c r="L122" s="219"/>
      <c r="M122" s="219"/>
      <c r="N122" s="2"/>
    </row>
    <row r="123" spans="1:14" ht="14.4" x14ac:dyDescent="0.3">
      <c r="A123" s="79"/>
      <c r="B123" s="79"/>
      <c r="C123" s="106">
        <v>2053</v>
      </c>
      <c r="D123" s="107">
        <v>39</v>
      </c>
      <c r="E123" s="108"/>
      <c r="F123" s="105"/>
      <c r="G123" s="730">
        <v>61335.406137755148</v>
      </c>
      <c r="H123" s="731">
        <v>59321.888033211355</v>
      </c>
      <c r="I123" s="86">
        <f t="shared" si="1"/>
        <v>59520.393349780388</v>
      </c>
      <c r="J123" s="79"/>
      <c r="K123" s="79"/>
      <c r="L123" s="219"/>
      <c r="M123" s="219"/>
      <c r="N123" s="2"/>
    </row>
    <row r="124" spans="1:14" ht="14.4" x14ac:dyDescent="0.3">
      <c r="A124" s="79"/>
      <c r="B124" s="79"/>
      <c r="C124" s="106">
        <v>2054</v>
      </c>
      <c r="D124" s="107">
        <v>40</v>
      </c>
      <c r="E124" s="108"/>
      <c r="F124" s="105"/>
      <c r="G124" s="730">
        <v>62129.988996505868</v>
      </c>
      <c r="H124" s="731">
        <v>59990.195079496843</v>
      </c>
      <c r="I124" s="86">
        <f t="shared" si="1"/>
        <v>60188.700396065877</v>
      </c>
      <c r="J124" s="79"/>
      <c r="K124" s="79"/>
      <c r="L124" s="219"/>
      <c r="M124" s="219"/>
      <c r="N124" s="2"/>
    </row>
    <row r="125" spans="1:14" ht="14.4" x14ac:dyDescent="0.3">
      <c r="A125" s="79"/>
      <c r="B125" s="79"/>
      <c r="C125" s="106">
        <v>2055</v>
      </c>
      <c r="D125" s="111">
        <v>41</v>
      </c>
      <c r="E125" s="108"/>
      <c r="F125" s="105"/>
      <c r="G125" s="740">
        <v>62913.057718438431</v>
      </c>
      <c r="H125" s="741">
        <v>60643.661159161282</v>
      </c>
      <c r="I125" s="86">
        <f t="shared" si="1"/>
        <v>60842.166475730315</v>
      </c>
      <c r="J125" s="79"/>
      <c r="K125" s="79"/>
      <c r="L125" s="219"/>
      <c r="M125" s="219"/>
      <c r="N125" s="2"/>
    </row>
    <row r="126" spans="1:14" ht="14.4" x14ac:dyDescent="0.3">
      <c r="A126" s="79"/>
      <c r="B126" s="79"/>
      <c r="C126" s="106">
        <v>2056</v>
      </c>
      <c r="D126" s="107">
        <v>42</v>
      </c>
      <c r="E126" s="108"/>
      <c r="F126" s="105"/>
      <c r="G126" s="730">
        <v>63684.216234746607</v>
      </c>
      <c r="H126" s="731">
        <v>61281.913713057918</v>
      </c>
      <c r="I126" s="86">
        <f t="shared" si="1"/>
        <v>61480.419029626952</v>
      </c>
      <c r="J126" s="79"/>
      <c r="K126" s="79"/>
      <c r="L126" s="219"/>
      <c r="M126" s="219"/>
      <c r="N126" s="2"/>
    </row>
    <row r="127" spans="1:14" ht="14.4" x14ac:dyDescent="0.3">
      <c r="A127" s="79"/>
      <c r="B127" s="79"/>
      <c r="C127" s="106">
        <v>2057</v>
      </c>
      <c r="D127" s="107">
        <v>43</v>
      </c>
      <c r="E127" s="108"/>
      <c r="F127" s="105"/>
      <c r="G127" s="730">
        <v>64443.068476624176</v>
      </c>
      <c r="H127" s="731">
        <v>61904.563529057632</v>
      </c>
      <c r="I127" s="86">
        <f t="shared" si="1"/>
        <v>62103.068845626665</v>
      </c>
      <c r="J127" s="79"/>
      <c r="K127" s="79"/>
      <c r="L127" s="219"/>
      <c r="M127" s="219"/>
      <c r="N127" s="2"/>
    </row>
    <row r="128" spans="1:14" ht="14.4" x14ac:dyDescent="0.3">
      <c r="A128" s="79"/>
      <c r="B128" s="79"/>
      <c r="C128" s="106">
        <v>2058</v>
      </c>
      <c r="D128" s="107">
        <v>44</v>
      </c>
      <c r="E128" s="108"/>
      <c r="F128" s="105"/>
      <c r="G128" s="730">
        <v>65189.218375264914</v>
      </c>
      <c r="H128" s="731">
        <v>62511.26366926833</v>
      </c>
      <c r="I128" s="86">
        <f t="shared" si="1"/>
        <v>62709.768985837363</v>
      </c>
      <c r="J128" s="79"/>
      <c r="K128" s="79"/>
      <c r="L128" s="219"/>
      <c r="M128" s="219"/>
      <c r="N128" s="2"/>
    </row>
    <row r="129" spans="1:14" ht="14.4" x14ac:dyDescent="0.3">
      <c r="A129" s="79"/>
      <c r="B129" s="79"/>
      <c r="C129" s="106">
        <v>2059</v>
      </c>
      <c r="D129" s="107">
        <v>45</v>
      </c>
      <c r="E129" s="108"/>
      <c r="F129" s="105"/>
      <c r="G129" s="730">
        <v>65922.269861862587</v>
      </c>
      <c r="H129" s="731">
        <v>63101.674043470681</v>
      </c>
      <c r="I129" s="86">
        <f t="shared" si="1"/>
        <v>63300.179360039714</v>
      </c>
      <c r="J129" s="79"/>
      <c r="K129" s="79"/>
      <c r="L129" s="219"/>
      <c r="M129" s="219"/>
      <c r="N129" s="2"/>
    </row>
    <row r="130" spans="1:14" ht="14.4" x14ac:dyDescent="0.3">
      <c r="A130" s="79"/>
      <c r="B130" s="79"/>
      <c r="C130" s="112">
        <v>2060</v>
      </c>
      <c r="D130" s="111">
        <v>46</v>
      </c>
      <c r="E130" s="108"/>
      <c r="F130" s="105"/>
      <c r="G130" s="740">
        <v>66641.826867610987</v>
      </c>
      <c r="H130" s="741">
        <v>63675.447318472339</v>
      </c>
      <c r="I130" s="86">
        <f t="shared" si="1"/>
        <v>63873.952635041373</v>
      </c>
      <c r="J130" s="79"/>
      <c r="K130" s="79"/>
      <c r="L130" s="219"/>
      <c r="M130" s="219"/>
      <c r="N130" s="2"/>
    </row>
    <row r="131" spans="1:14" ht="14.4" x14ac:dyDescent="0.3">
      <c r="A131" s="79"/>
      <c r="C131" s="2"/>
      <c r="D131" s="2"/>
      <c r="E131" s="2"/>
      <c r="F131" s="2"/>
      <c r="G131" s="788"/>
      <c r="H131" s="788"/>
      <c r="I131" s="2"/>
      <c r="J131" s="2"/>
      <c r="K131" s="2"/>
      <c r="L131" s="2"/>
      <c r="M131" s="2"/>
      <c r="N131" s="2"/>
    </row>
    <row r="132" spans="1:14" ht="14.4" x14ac:dyDescent="0.3">
      <c r="A132" s="79"/>
      <c r="C132" s="2"/>
      <c r="D132" s="2"/>
      <c r="E132" s="2"/>
      <c r="F132" s="2"/>
      <c r="G132" s="788"/>
      <c r="H132" s="788"/>
      <c r="I132" s="2"/>
      <c r="J132" s="2"/>
      <c r="K132" s="2"/>
      <c r="L132" s="2"/>
      <c r="M132" s="2"/>
      <c r="N132" s="2"/>
    </row>
    <row r="133" spans="1:14" ht="14.4" x14ac:dyDescent="0.3">
      <c r="A133" s="231" t="s">
        <v>190</v>
      </c>
      <c r="C133" s="2"/>
      <c r="D133" s="2"/>
      <c r="E133" s="2"/>
      <c r="F133" s="2"/>
      <c r="G133" s="788"/>
      <c r="H133" s="788"/>
      <c r="I133" s="2"/>
      <c r="J133" s="2"/>
      <c r="K133" s="2"/>
      <c r="L133" s="2"/>
      <c r="M133" s="2"/>
      <c r="N133" s="2"/>
    </row>
    <row r="134" spans="1:14" ht="14.4" x14ac:dyDescent="0.3">
      <c r="A134" s="2"/>
      <c r="C134" s="2"/>
      <c r="D134" s="2"/>
      <c r="E134" s="2"/>
      <c r="F134" s="2"/>
      <c r="G134" s="788"/>
      <c r="H134" s="788"/>
      <c r="I134" s="2"/>
      <c r="J134" s="2"/>
      <c r="K134" s="2"/>
      <c r="L134" s="2"/>
      <c r="M134" s="2"/>
      <c r="N134" s="2"/>
    </row>
    <row r="135" spans="1:14" ht="14.4" x14ac:dyDescent="0.3">
      <c r="A135" s="2"/>
      <c r="C135" s="2"/>
      <c r="D135" s="2"/>
      <c r="E135" s="2"/>
      <c r="F135" s="2"/>
      <c r="G135" s="5"/>
      <c r="H135" s="5"/>
      <c r="I135" s="2"/>
      <c r="J135" s="2"/>
      <c r="K135" s="2"/>
      <c r="L135" s="2"/>
      <c r="M135" s="2"/>
      <c r="N135" s="2"/>
    </row>
    <row r="136" spans="1:14" ht="15.75" customHeight="1" x14ac:dyDescent="0.3">
      <c r="A136" s="71">
        <v>3</v>
      </c>
      <c r="B136" s="72" t="s">
        <v>122</v>
      </c>
      <c r="C136" s="73"/>
      <c r="D136" s="73"/>
      <c r="E136" s="73"/>
      <c r="F136" s="73"/>
      <c r="G136" s="705"/>
      <c r="H136" s="705"/>
      <c r="I136" s="73"/>
      <c r="J136" s="73"/>
      <c r="K136" s="73"/>
      <c r="L136" s="2"/>
      <c r="M136" s="2"/>
      <c r="N136" s="2"/>
    </row>
    <row r="137" spans="1:14" ht="15.75" customHeight="1" x14ac:dyDescent="0.3">
      <c r="A137" s="74" t="s">
        <v>74</v>
      </c>
      <c r="B137" s="75"/>
      <c r="C137" s="75"/>
      <c r="D137" s="76"/>
      <c r="E137" s="77"/>
      <c r="F137" s="862"/>
      <c r="G137" s="710"/>
      <c r="H137" s="711"/>
      <c r="I137" s="79"/>
      <c r="J137" s="79"/>
      <c r="K137" s="79"/>
      <c r="L137" s="2"/>
      <c r="M137" s="2"/>
      <c r="N137" s="2"/>
    </row>
    <row r="138" spans="1:14" ht="16.5" customHeight="1" thickBot="1" x14ac:dyDescent="0.35">
      <c r="A138" s="110" t="s">
        <v>75</v>
      </c>
      <c r="B138" s="80"/>
      <c r="C138" s="80"/>
      <c r="D138" s="81"/>
      <c r="E138" s="109" t="s">
        <v>78</v>
      </c>
      <c r="F138" s="863"/>
      <c r="G138" s="746" t="s">
        <v>110</v>
      </c>
      <c r="H138" s="711"/>
      <c r="I138" s="79"/>
      <c r="J138" s="79"/>
      <c r="K138" s="79"/>
      <c r="L138" s="219"/>
      <c r="M138" s="219"/>
      <c r="N138" s="2"/>
    </row>
    <row r="139" spans="1:14" ht="39" customHeight="1" thickBot="1" x14ac:dyDescent="0.35">
      <c r="A139" s="82"/>
      <c r="B139" s="82"/>
      <c r="C139" s="82"/>
      <c r="D139" s="83"/>
      <c r="E139" s="101" t="s">
        <v>115</v>
      </c>
      <c r="F139" s="101" t="s">
        <v>115</v>
      </c>
      <c r="G139" s="746" t="s">
        <v>81</v>
      </c>
      <c r="H139" s="747" t="s">
        <v>82</v>
      </c>
      <c r="I139" s="101" t="s">
        <v>234</v>
      </c>
      <c r="J139" s="747" t="s">
        <v>754</v>
      </c>
      <c r="K139" s="865" t="s">
        <v>84</v>
      </c>
      <c r="L139" s="866"/>
      <c r="M139" s="219"/>
      <c r="N139" s="2"/>
    </row>
    <row r="140" spans="1:14" ht="15.75" customHeight="1" x14ac:dyDescent="0.3">
      <c r="A140" s="74" t="s">
        <v>85</v>
      </c>
      <c r="B140" s="82"/>
      <c r="C140" s="102">
        <v>2005</v>
      </c>
      <c r="D140" s="103">
        <v>-9</v>
      </c>
      <c r="E140" s="104"/>
      <c r="F140" s="105"/>
      <c r="G140" s="722">
        <v>15850.305819959822</v>
      </c>
      <c r="H140" s="723">
        <v>15850.305819959822</v>
      </c>
      <c r="I140" s="84">
        <f>H140+$L$150/10^9</f>
        <v>16048.811136528855</v>
      </c>
      <c r="J140" s="871" t="s">
        <v>86</v>
      </c>
      <c r="K140" s="867"/>
      <c r="L140" s="868"/>
      <c r="M140" s="219"/>
      <c r="N140" s="2"/>
    </row>
    <row r="141" spans="1:14" ht="15.75" customHeight="1" x14ac:dyDescent="0.3">
      <c r="A141" s="110" t="s">
        <v>87</v>
      </c>
      <c r="B141" s="82"/>
      <c r="C141" s="106">
        <v>2006</v>
      </c>
      <c r="D141" s="107">
        <v>-8</v>
      </c>
      <c r="E141" s="108"/>
      <c r="F141" s="105"/>
      <c r="G141" s="727">
        <v>17021.236870816785</v>
      </c>
      <c r="H141" s="728">
        <v>17021.236870816785</v>
      </c>
      <c r="I141" s="85">
        <f t="shared" ref="I141:I195" si="2">H141+$L$150/10^9</f>
        <v>17219.742187385818</v>
      </c>
      <c r="J141" s="867"/>
      <c r="K141" s="867"/>
      <c r="L141" s="868"/>
      <c r="M141" s="219"/>
      <c r="N141" s="2"/>
    </row>
    <row r="142" spans="1:14" ht="14.4" x14ac:dyDescent="0.3">
      <c r="A142" s="82"/>
      <c r="B142" s="82"/>
      <c r="C142" s="106">
        <v>2007</v>
      </c>
      <c r="D142" s="107">
        <v>-7</v>
      </c>
      <c r="E142" s="108"/>
      <c r="F142" s="105"/>
      <c r="G142" s="727">
        <v>18167.430177650538</v>
      </c>
      <c r="H142" s="728">
        <v>18167.430177650538</v>
      </c>
      <c r="I142" s="85">
        <f t="shared" si="2"/>
        <v>18365.935494219571</v>
      </c>
      <c r="J142" s="867"/>
      <c r="K142" s="867"/>
      <c r="L142" s="868"/>
      <c r="M142" s="219"/>
      <c r="N142" s="2"/>
    </row>
    <row r="143" spans="1:14" ht="15.75" customHeight="1" x14ac:dyDescent="0.3">
      <c r="A143" s="29" t="s">
        <v>88</v>
      </c>
      <c r="B143" s="82"/>
      <c r="C143" s="106">
        <v>2008</v>
      </c>
      <c r="D143" s="107">
        <v>-6</v>
      </c>
      <c r="E143" s="108"/>
      <c r="F143" s="105"/>
      <c r="G143" s="727">
        <v>19289.438160604139</v>
      </c>
      <c r="H143" s="728">
        <v>19289.438160604139</v>
      </c>
      <c r="I143" s="85">
        <f t="shared" si="2"/>
        <v>19487.943477173172</v>
      </c>
      <c r="J143" s="867"/>
      <c r="K143" s="869"/>
      <c r="L143" s="870"/>
      <c r="M143" s="219"/>
      <c r="N143" s="2"/>
    </row>
    <row r="144" spans="1:14" ht="14.55" customHeight="1" x14ac:dyDescent="0.3">
      <c r="A144" s="872" t="s">
        <v>61</v>
      </c>
      <c r="B144" s="82"/>
      <c r="C144" s="106">
        <v>2009</v>
      </c>
      <c r="D144" s="107">
        <v>-5</v>
      </c>
      <c r="E144" s="108"/>
      <c r="F144" s="105"/>
      <c r="G144" s="727">
        <v>20387.813239820644</v>
      </c>
      <c r="H144" s="728">
        <v>20387.813239820644</v>
      </c>
      <c r="I144" s="85">
        <f t="shared" si="2"/>
        <v>20586.318556389677</v>
      </c>
      <c r="J144" s="867"/>
      <c r="K144" s="79"/>
      <c r="L144" s="79"/>
      <c r="M144" s="219"/>
      <c r="N144" s="2"/>
    </row>
    <row r="145" spans="1:14" ht="14.4" x14ac:dyDescent="0.3">
      <c r="A145" s="873"/>
      <c r="B145" s="82"/>
      <c r="C145" s="106">
        <v>2010</v>
      </c>
      <c r="D145" s="107">
        <v>-4</v>
      </c>
      <c r="E145" s="108"/>
      <c r="F145" s="105"/>
      <c r="G145" s="727">
        <v>21463.107835443101</v>
      </c>
      <c r="H145" s="728">
        <v>21463.107835443101</v>
      </c>
      <c r="I145" s="85">
        <f t="shared" si="2"/>
        <v>21661.613152012134</v>
      </c>
      <c r="J145" s="867"/>
      <c r="K145" s="79"/>
      <c r="L145" s="79"/>
      <c r="M145" s="219"/>
      <c r="N145" s="2"/>
    </row>
    <row r="146" spans="1:14" ht="14.4" x14ac:dyDescent="0.3">
      <c r="A146" s="873"/>
      <c r="B146" s="82"/>
      <c r="C146" s="106">
        <v>2011</v>
      </c>
      <c r="D146" s="107">
        <v>-3</v>
      </c>
      <c r="E146" s="108"/>
      <c r="F146" s="105"/>
      <c r="G146" s="727">
        <v>22515.874367614571</v>
      </c>
      <c r="H146" s="728">
        <v>22515.874367614571</v>
      </c>
      <c r="I146" s="85">
        <f t="shared" si="2"/>
        <v>22714.379684183605</v>
      </c>
      <c r="J146" s="869"/>
      <c r="K146" s="79"/>
      <c r="L146" s="79"/>
      <c r="M146" s="219"/>
      <c r="N146" s="2"/>
    </row>
    <row r="147" spans="1:14" ht="14.4" x14ac:dyDescent="0.3">
      <c r="A147" s="874"/>
      <c r="B147" s="82"/>
      <c r="C147" s="106">
        <v>2012</v>
      </c>
      <c r="D147" s="107">
        <v>-2</v>
      </c>
      <c r="E147" s="108"/>
      <c r="F147" s="105"/>
      <c r="G147" s="730">
        <v>23546.665256478111</v>
      </c>
      <c r="H147" s="731">
        <v>23546.665256478111</v>
      </c>
      <c r="I147" s="86">
        <f t="shared" si="2"/>
        <v>23745.170573047144</v>
      </c>
      <c r="J147" s="87" t="s">
        <v>90</v>
      </c>
      <c r="K147" s="79"/>
      <c r="L147" s="79"/>
      <c r="M147" s="219"/>
      <c r="N147" s="2"/>
    </row>
    <row r="148" spans="1:14" ht="14.4" x14ac:dyDescent="0.3">
      <c r="A148" s="82"/>
      <c r="B148" s="82"/>
      <c r="C148" s="106">
        <v>2013</v>
      </c>
      <c r="D148" s="107">
        <v>-1</v>
      </c>
      <c r="E148" s="108">
        <v>24604.400919777585</v>
      </c>
      <c r="F148" s="105">
        <v>24604.400919777585</v>
      </c>
      <c r="G148" s="730">
        <v>24556.032922176772</v>
      </c>
      <c r="H148" s="731">
        <v>24556.032922176772</v>
      </c>
      <c r="I148" s="86">
        <f t="shared" si="2"/>
        <v>24754.538238745805</v>
      </c>
      <c r="J148" s="79"/>
      <c r="K148" s="79"/>
      <c r="L148" s="219"/>
      <c r="M148" s="219"/>
      <c r="N148" s="2"/>
    </row>
    <row r="149" spans="1:14" ht="15.75" customHeight="1" x14ac:dyDescent="0.3">
      <c r="A149" s="77" t="s">
        <v>91</v>
      </c>
      <c r="B149" s="82"/>
      <c r="C149" s="106">
        <v>2014</v>
      </c>
      <c r="D149" s="107">
        <v>0</v>
      </c>
      <c r="E149" s="108"/>
      <c r="F149" s="105"/>
      <c r="G149" s="730">
        <v>25544.52978485361</v>
      </c>
      <c r="H149" s="731">
        <v>25704.687693261771</v>
      </c>
      <c r="I149" s="86">
        <f t="shared" si="2"/>
        <v>25903.193009830804</v>
      </c>
      <c r="J149" s="79"/>
      <c r="K149" s="79"/>
      <c r="L149" s="219"/>
      <c r="M149" s="219"/>
      <c r="N149" s="2"/>
    </row>
    <row r="150" spans="1:14" ht="15.75" customHeight="1" x14ac:dyDescent="0.3">
      <c r="A150" s="110">
        <v>2016</v>
      </c>
      <c r="B150" s="80"/>
      <c r="C150" s="106">
        <v>2015</v>
      </c>
      <c r="D150" s="107">
        <v>1</v>
      </c>
      <c r="E150" s="108"/>
      <c r="F150" s="105"/>
      <c r="G150" s="730">
        <v>26512.708264651683</v>
      </c>
      <c r="H150" s="731">
        <v>26681.001365956294</v>
      </c>
      <c r="I150" s="86">
        <f t="shared" si="2"/>
        <v>26879.506682525327</v>
      </c>
      <c r="J150" s="219" t="s">
        <v>233</v>
      </c>
      <c r="K150" s="219"/>
      <c r="L150" s="232">
        <v>198505316569.03406</v>
      </c>
      <c r="M150" s="219" t="s">
        <v>232</v>
      </c>
      <c r="N150" s="2"/>
    </row>
    <row r="151" spans="1:14" ht="14.4" x14ac:dyDescent="0.3">
      <c r="A151" s="79"/>
      <c r="B151" s="80"/>
      <c r="C151" s="106">
        <v>2016</v>
      </c>
      <c r="D151" s="107">
        <v>2</v>
      </c>
      <c r="E151" s="108"/>
      <c r="F151" s="105"/>
      <c r="G151" s="730">
        <v>27461.120781714046</v>
      </c>
      <c r="H151" s="731">
        <v>27638.205837836405</v>
      </c>
      <c r="I151" s="86">
        <f t="shared" si="2"/>
        <v>27836.711154405439</v>
      </c>
      <c r="J151" s="79"/>
      <c r="K151" s="234"/>
      <c r="L151" s="235" t="s">
        <v>237</v>
      </c>
      <c r="M151" s="236"/>
      <c r="N151" s="2"/>
    </row>
    <row r="152" spans="1:14" ht="15.75" customHeight="1" x14ac:dyDescent="0.3">
      <c r="A152" s="77" t="s">
        <v>92</v>
      </c>
      <c r="B152" s="80"/>
      <c r="C152" s="106">
        <v>2017</v>
      </c>
      <c r="D152" s="107">
        <v>3</v>
      </c>
      <c r="E152" s="108"/>
      <c r="F152" s="105"/>
      <c r="G152" s="730">
        <v>28390.319756183751</v>
      </c>
      <c r="H152" s="731">
        <v>28576.90100157111</v>
      </c>
      <c r="I152" s="86">
        <f t="shared" si="2"/>
        <v>28775.406318140143</v>
      </c>
      <c r="J152" s="79"/>
      <c r="K152" s="79"/>
      <c r="L152" s="219"/>
      <c r="M152" s="219"/>
      <c r="N152" s="2"/>
    </row>
    <row r="153" spans="1:14" ht="15.75" customHeight="1" x14ac:dyDescent="0.3">
      <c r="A153" s="110" t="s">
        <v>115</v>
      </c>
      <c r="B153" s="80"/>
      <c r="C153" s="106">
        <v>2018</v>
      </c>
      <c r="D153" s="107">
        <v>4</v>
      </c>
      <c r="E153" s="108"/>
      <c r="F153" s="105"/>
      <c r="G153" s="730">
        <v>29300.857608203856</v>
      </c>
      <c r="H153" s="731">
        <v>29497.459672828507</v>
      </c>
      <c r="I153" s="86">
        <f t="shared" si="2"/>
        <v>29695.96498939754</v>
      </c>
      <c r="J153" s="219"/>
      <c r="K153" s="219"/>
      <c r="L153" s="219"/>
      <c r="M153" s="219"/>
      <c r="N153" s="2"/>
    </row>
    <row r="154" spans="1:14" ht="14.4" x14ac:dyDescent="0.3">
      <c r="A154" s="79"/>
      <c r="B154" s="80"/>
      <c r="C154" s="106">
        <v>2019</v>
      </c>
      <c r="D154" s="107">
        <v>5</v>
      </c>
      <c r="E154" s="108"/>
      <c r="F154" s="105"/>
      <c r="G154" s="730">
        <v>30193.286757917416</v>
      </c>
      <c r="H154" s="731">
        <v>30400.118115069363</v>
      </c>
      <c r="I154" s="86">
        <f t="shared" si="2"/>
        <v>30598.623431638396</v>
      </c>
      <c r="J154" s="219"/>
      <c r="K154" s="219"/>
      <c r="L154" s="219"/>
      <c r="M154" s="219"/>
      <c r="N154" s="2"/>
    </row>
    <row r="155" spans="1:14" ht="15.75" customHeight="1" x14ac:dyDescent="0.3">
      <c r="A155" s="77" t="s">
        <v>93</v>
      </c>
      <c r="B155" s="80"/>
      <c r="C155" s="106">
        <v>2020</v>
      </c>
      <c r="D155" s="107">
        <v>6</v>
      </c>
      <c r="E155" s="108">
        <v>30926.223664189609</v>
      </c>
      <c r="F155" s="105">
        <v>30926.223664189609</v>
      </c>
      <c r="G155" s="730">
        <v>31068.159625467488</v>
      </c>
      <c r="H155" s="731">
        <v>31287.669308210236</v>
      </c>
      <c r="I155" s="86">
        <f t="shared" si="2"/>
        <v>31486.174624779269</v>
      </c>
      <c r="J155" s="219"/>
      <c r="K155" s="219"/>
      <c r="L155" s="219"/>
      <c r="M155" s="219"/>
      <c r="N155" s="2"/>
    </row>
    <row r="156" spans="1:14" ht="15.75" customHeight="1" x14ac:dyDescent="0.3">
      <c r="A156" s="77"/>
      <c r="B156" s="80"/>
      <c r="C156" s="106">
        <v>2021</v>
      </c>
      <c r="D156" s="107">
        <v>7</v>
      </c>
      <c r="E156" s="108"/>
      <c r="F156" s="105"/>
      <c r="G156" s="730">
        <v>31926.028630997123</v>
      </c>
      <c r="H156" s="731">
        <v>32135.082071751058</v>
      </c>
      <c r="I156" s="86">
        <f t="shared" si="2"/>
        <v>32333.587388320091</v>
      </c>
      <c r="J156" s="219"/>
      <c r="K156" s="219"/>
      <c r="L156" s="219"/>
      <c r="M156" s="219"/>
      <c r="N156" s="2"/>
    </row>
    <row r="157" spans="1:14" ht="15.75" customHeight="1" x14ac:dyDescent="0.3">
      <c r="A157" s="88"/>
      <c r="B157" s="80"/>
      <c r="C157" s="106">
        <v>2022</v>
      </c>
      <c r="D157" s="107">
        <v>8</v>
      </c>
      <c r="E157" s="108"/>
      <c r="F157" s="105"/>
      <c r="G157" s="730">
        <v>32767.446194649379</v>
      </c>
      <c r="H157" s="731">
        <v>32963.295906770087</v>
      </c>
      <c r="I157" s="86">
        <f t="shared" si="2"/>
        <v>33161.80122333912</v>
      </c>
      <c r="J157" s="219"/>
      <c r="K157" s="219"/>
      <c r="L157" s="219"/>
      <c r="M157" s="219"/>
      <c r="N157" s="2"/>
    </row>
    <row r="158" spans="1:14" ht="15.75" customHeight="1" x14ac:dyDescent="0.3">
      <c r="A158" s="110"/>
      <c r="B158" s="80"/>
      <c r="C158" s="106">
        <v>2023</v>
      </c>
      <c r="D158" s="107">
        <v>9</v>
      </c>
      <c r="E158" s="108"/>
      <c r="F158" s="105"/>
      <c r="G158" s="730">
        <v>33592.964736567315</v>
      </c>
      <c r="H158" s="731">
        <v>33772.709018558373</v>
      </c>
      <c r="I158" s="86">
        <f t="shared" si="2"/>
        <v>33971.214335127406</v>
      </c>
      <c r="J158" s="219"/>
      <c r="K158" s="219"/>
      <c r="L158" s="219"/>
      <c r="M158" s="219"/>
      <c r="N158" s="2"/>
    </row>
    <row r="159" spans="1:14" ht="14.4" x14ac:dyDescent="0.3">
      <c r="A159" s="79"/>
      <c r="B159" s="80"/>
      <c r="C159" s="106">
        <v>2024</v>
      </c>
      <c r="D159" s="107">
        <v>10</v>
      </c>
      <c r="E159" s="108"/>
      <c r="F159" s="105"/>
      <c r="G159" s="730">
        <v>34403.136676893977</v>
      </c>
      <c r="H159" s="731">
        <v>34563.11402658459</v>
      </c>
      <c r="I159" s="86">
        <f t="shared" si="2"/>
        <v>34761.619343153623</v>
      </c>
      <c r="J159" s="219"/>
      <c r="K159" s="219"/>
      <c r="L159" s="219"/>
      <c r="M159" s="219"/>
      <c r="N159" s="2"/>
    </row>
    <row r="160" spans="1:14" ht="15" customHeight="1" x14ac:dyDescent="0.3">
      <c r="A160" s="219" t="s">
        <v>235</v>
      </c>
      <c r="B160" s="80"/>
      <c r="C160" s="106">
        <v>2025</v>
      </c>
      <c r="D160" s="107">
        <v>11</v>
      </c>
      <c r="E160" s="108">
        <v>35226.779408620314</v>
      </c>
      <c r="F160" s="105">
        <v>35226.779408620314</v>
      </c>
      <c r="G160" s="730">
        <v>35198.514435772435</v>
      </c>
      <c r="H160" s="731">
        <v>35334.476959926324</v>
      </c>
      <c r="I160" s="86">
        <f t="shared" si="2"/>
        <v>35532.982276495357</v>
      </c>
      <c r="J160" s="219"/>
      <c r="K160" s="219"/>
      <c r="L160" s="219"/>
      <c r="M160" s="219"/>
      <c r="N160" s="2"/>
    </row>
    <row r="161" spans="1:14" ht="15" customHeight="1" x14ac:dyDescent="0.3">
      <c r="A161" s="884" t="s">
        <v>236</v>
      </c>
      <c r="B161" s="80"/>
      <c r="C161" s="106">
        <v>2026</v>
      </c>
      <c r="D161" s="107">
        <v>12</v>
      </c>
      <c r="E161" s="108"/>
      <c r="F161" s="105"/>
      <c r="G161" s="730">
        <v>35979.650433345727</v>
      </c>
      <c r="H161" s="731">
        <v>36087.412152804573</v>
      </c>
      <c r="I161" s="86">
        <f t="shared" si="2"/>
        <v>36285.917469373606</v>
      </c>
      <c r="J161" s="219"/>
      <c r="K161" s="219"/>
      <c r="L161" s="219"/>
      <c r="M161" s="219"/>
      <c r="N161" s="2"/>
    </row>
    <row r="162" spans="1:14" ht="14.4" x14ac:dyDescent="0.3">
      <c r="A162" s="884"/>
      <c r="B162" s="80"/>
      <c r="C162" s="106">
        <v>2027</v>
      </c>
      <c r="D162" s="107">
        <v>13</v>
      </c>
      <c r="E162" s="108"/>
      <c r="F162" s="105"/>
      <c r="G162" s="730">
        <v>36747.09708975692</v>
      </c>
      <c r="H162" s="731">
        <v>36822.873048959787</v>
      </c>
      <c r="I162" s="86">
        <f t="shared" si="2"/>
        <v>37021.378365528821</v>
      </c>
      <c r="J162" s="79"/>
      <c r="K162" s="79"/>
      <c r="L162" s="219"/>
      <c r="M162" s="219"/>
      <c r="N162" s="2"/>
    </row>
    <row r="163" spans="1:14" ht="14.4" x14ac:dyDescent="0.3">
      <c r="A163" s="884"/>
      <c r="B163" s="80"/>
      <c r="C163" s="106">
        <v>2028</v>
      </c>
      <c r="D163" s="107">
        <v>14</v>
      </c>
      <c r="E163" s="108"/>
      <c r="F163" s="105"/>
      <c r="G163" s="730">
        <v>37501.406825149061</v>
      </c>
      <c r="H163" s="731">
        <v>37541.440284544602</v>
      </c>
      <c r="I163" s="86">
        <f t="shared" si="2"/>
        <v>37739.945601113635</v>
      </c>
      <c r="J163" s="79"/>
      <c r="K163" s="79"/>
      <c r="L163" s="219"/>
      <c r="M163" s="219"/>
      <c r="N163" s="2"/>
    </row>
    <row r="164" spans="1:14" ht="14.4" x14ac:dyDescent="0.3">
      <c r="A164" s="884"/>
      <c r="B164" s="80"/>
      <c r="C164" s="106">
        <v>2029</v>
      </c>
      <c r="D164" s="107">
        <v>15</v>
      </c>
      <c r="E164" s="108"/>
      <c r="F164" s="105"/>
      <c r="G164" s="730">
        <v>38243.132059665215</v>
      </c>
      <c r="H164" s="731">
        <v>38243.707797077986</v>
      </c>
      <c r="I164" s="86">
        <f t="shared" si="2"/>
        <v>38442.21311364702</v>
      </c>
      <c r="J164" s="79"/>
      <c r="K164" s="79"/>
      <c r="L164" s="219"/>
      <c r="M164" s="219"/>
      <c r="N164" s="2"/>
    </row>
    <row r="165" spans="1:14" ht="14.4" x14ac:dyDescent="0.3">
      <c r="A165" s="884"/>
      <c r="B165" s="80"/>
      <c r="C165" s="106">
        <v>2030</v>
      </c>
      <c r="D165" s="107">
        <v>16</v>
      </c>
      <c r="E165" s="108">
        <v>39085.788590703822</v>
      </c>
      <c r="F165" s="105">
        <v>39085.788590703822</v>
      </c>
      <c r="G165" s="730">
        <v>38972.825213448428</v>
      </c>
      <c r="H165" s="731">
        <v>38930.252369373862</v>
      </c>
      <c r="I165" s="86">
        <f t="shared" si="2"/>
        <v>39128.757685942895</v>
      </c>
      <c r="J165" s="79"/>
      <c r="K165" s="79"/>
      <c r="L165" s="219"/>
      <c r="M165" s="219"/>
      <c r="N165" s="2"/>
    </row>
    <row r="166" spans="1:14" ht="14.4" x14ac:dyDescent="0.3">
      <c r="A166" s="884"/>
      <c r="B166" s="80"/>
      <c r="C166" s="106">
        <v>2031</v>
      </c>
      <c r="D166" s="107">
        <v>17</v>
      </c>
      <c r="E166" s="108"/>
      <c r="F166" s="105"/>
      <c r="G166" s="730">
        <v>39691.038706641768</v>
      </c>
      <c r="H166" s="731">
        <v>39601.657853347831</v>
      </c>
      <c r="I166" s="86">
        <f t="shared" si="2"/>
        <v>39800.163169916865</v>
      </c>
      <c r="J166" s="79"/>
      <c r="K166" s="79"/>
      <c r="L166" s="219"/>
      <c r="M166" s="219"/>
      <c r="N166" s="2"/>
    </row>
    <row r="167" spans="1:14" ht="14.4" x14ac:dyDescent="0.3">
      <c r="A167" s="884"/>
      <c r="B167" s="80"/>
      <c r="C167" s="106">
        <v>2032</v>
      </c>
      <c r="D167" s="107">
        <v>18</v>
      </c>
      <c r="E167" s="108"/>
      <c r="F167" s="105"/>
      <c r="G167" s="730">
        <v>40398.324959388279</v>
      </c>
      <c r="H167" s="731">
        <v>40258.632015495721</v>
      </c>
      <c r="I167" s="86">
        <f t="shared" si="2"/>
        <v>40457.137332064754</v>
      </c>
      <c r="J167" s="79"/>
      <c r="K167" s="79"/>
      <c r="L167" s="219"/>
      <c r="M167" s="219"/>
      <c r="N167" s="2"/>
    </row>
    <row r="168" spans="1:14" ht="14.4" x14ac:dyDescent="0.3">
      <c r="A168" s="884"/>
      <c r="B168" s="80"/>
      <c r="C168" s="106">
        <v>2033</v>
      </c>
      <c r="D168" s="107">
        <v>19</v>
      </c>
      <c r="E168" s="108"/>
      <c r="F168" s="105"/>
      <c r="G168" s="730">
        <v>41095.236391831015</v>
      </c>
      <c r="H168" s="731">
        <v>40902.145656870423</v>
      </c>
      <c r="I168" s="86">
        <f t="shared" si="2"/>
        <v>41100.650973439457</v>
      </c>
      <c r="J168" s="79"/>
      <c r="K168" s="79"/>
      <c r="L168" s="219"/>
      <c r="M168" s="219"/>
      <c r="N168" s="2"/>
    </row>
    <row r="169" spans="1:14" ht="14.4" x14ac:dyDescent="0.3">
      <c r="A169" s="884"/>
      <c r="B169" s="80"/>
      <c r="C169" s="106">
        <v>2034</v>
      </c>
      <c r="D169" s="107">
        <v>20</v>
      </c>
      <c r="E169" s="108"/>
      <c r="F169" s="105"/>
      <c r="G169" s="730">
        <v>41782.325424113042</v>
      </c>
      <c r="H169" s="731">
        <v>41533.298104469031</v>
      </c>
      <c r="I169" s="86">
        <f t="shared" si="2"/>
        <v>41731.803421038065</v>
      </c>
      <c r="J169" s="79"/>
      <c r="K169" s="79"/>
      <c r="L169" s="219"/>
      <c r="M169" s="219"/>
      <c r="N169" s="2"/>
    </row>
    <row r="170" spans="1:14" ht="14.4" x14ac:dyDescent="0.3">
      <c r="A170" s="884"/>
      <c r="B170" s="80"/>
      <c r="C170" s="106">
        <v>2035</v>
      </c>
      <c r="D170" s="107">
        <v>21</v>
      </c>
      <c r="E170" s="108">
        <v>42502.722934697798</v>
      </c>
      <c r="F170" s="105">
        <v>42502.722934697798</v>
      </c>
      <c r="G170" s="730">
        <v>42460.144476377405</v>
      </c>
      <c r="H170" s="731">
        <v>42153.060764318128</v>
      </c>
      <c r="I170" s="86">
        <f t="shared" si="2"/>
        <v>42351.566080887162</v>
      </c>
      <c r="J170" s="79"/>
      <c r="K170" s="79"/>
      <c r="L170" s="219"/>
      <c r="M170" s="219"/>
      <c r="N170" s="2"/>
    </row>
    <row r="171" spans="1:14" ht="14.4" x14ac:dyDescent="0.3">
      <c r="A171" s="884"/>
      <c r="B171" s="80"/>
      <c r="C171" s="106">
        <v>2036</v>
      </c>
      <c r="D171" s="107">
        <v>22</v>
      </c>
      <c r="E171" s="108"/>
      <c r="F171" s="105"/>
      <c r="G171" s="730">
        <v>43129.245968767165</v>
      </c>
      <c r="H171" s="731">
        <v>42762.211567076651</v>
      </c>
      <c r="I171" s="86">
        <f t="shared" si="2"/>
        <v>42960.716883645684</v>
      </c>
      <c r="J171" s="79"/>
      <c r="K171" s="79"/>
      <c r="L171" s="219"/>
      <c r="M171" s="219"/>
      <c r="N171" s="2"/>
    </row>
    <row r="172" spans="1:14" ht="14.4" x14ac:dyDescent="0.3">
      <c r="A172" s="884"/>
      <c r="B172" s="80"/>
      <c r="C172" s="106">
        <v>2037</v>
      </c>
      <c r="D172" s="107">
        <v>23</v>
      </c>
      <c r="E172" s="108"/>
      <c r="F172" s="105"/>
      <c r="G172" s="730">
        <v>43790.182321425382</v>
      </c>
      <c r="H172" s="731">
        <v>43361.279307072109</v>
      </c>
      <c r="I172" s="86">
        <f t="shared" si="2"/>
        <v>43559.784623641142</v>
      </c>
      <c r="J172" s="79"/>
      <c r="K172" s="79"/>
      <c r="L172" s="219"/>
      <c r="M172" s="219"/>
      <c r="N172" s="2"/>
    </row>
    <row r="173" spans="1:14" ht="14.4" x14ac:dyDescent="0.3">
      <c r="A173" s="884"/>
      <c r="B173" s="80"/>
      <c r="C173" s="106">
        <v>2038</v>
      </c>
      <c r="D173" s="107">
        <v>24</v>
      </c>
      <c r="E173" s="108"/>
      <c r="F173" s="105"/>
      <c r="G173" s="730">
        <v>44443.505954495093</v>
      </c>
      <c r="H173" s="731">
        <v>43950.671654028753</v>
      </c>
      <c r="I173" s="86">
        <f t="shared" si="2"/>
        <v>44149.176970597786</v>
      </c>
      <c r="J173" s="79"/>
      <c r="K173" s="79"/>
      <c r="L173" s="219"/>
      <c r="M173" s="219"/>
      <c r="N173" s="2"/>
    </row>
    <row r="174" spans="1:14" ht="14.4" x14ac:dyDescent="0.3">
      <c r="A174" s="884"/>
      <c r="B174" s="80"/>
      <c r="C174" s="106">
        <v>2039</v>
      </c>
      <c r="D174" s="107">
        <v>25</v>
      </c>
      <c r="E174" s="108"/>
      <c r="F174" s="105"/>
      <c r="G174" s="730">
        <v>45089.76928811938</v>
      </c>
      <c r="H174" s="731">
        <v>44530.661606699425</v>
      </c>
      <c r="I174" s="86">
        <f t="shared" si="2"/>
        <v>44729.166923268458</v>
      </c>
      <c r="J174" s="79"/>
      <c r="K174" s="79"/>
      <c r="L174" s="219"/>
      <c r="M174" s="219"/>
      <c r="N174" s="2"/>
    </row>
    <row r="175" spans="1:14" ht="14.4" x14ac:dyDescent="0.3">
      <c r="A175" s="884"/>
      <c r="B175" s="80"/>
      <c r="C175" s="106">
        <v>2040</v>
      </c>
      <c r="D175" s="107">
        <v>26</v>
      </c>
      <c r="E175" s="108">
        <v>45625.044611450117</v>
      </c>
      <c r="F175" s="105">
        <v>45625.044611450117</v>
      </c>
      <c r="G175" s="730">
        <v>45729.524742441274</v>
      </c>
      <c r="H175" s="731">
        <v>45101.58436698703</v>
      </c>
      <c r="I175" s="86">
        <f t="shared" si="2"/>
        <v>45300.089683556063</v>
      </c>
      <c r="J175" s="79"/>
      <c r="K175" s="79"/>
      <c r="L175" s="219"/>
      <c r="M175" s="219"/>
      <c r="N175" s="2"/>
    </row>
    <row r="176" spans="1:14" ht="14.4" x14ac:dyDescent="0.3">
      <c r="A176" s="884"/>
      <c r="B176" s="80"/>
      <c r="C176" s="106">
        <v>2041</v>
      </c>
      <c r="D176" s="107">
        <v>27</v>
      </c>
      <c r="E176" s="108"/>
      <c r="F176" s="105"/>
      <c r="G176" s="730">
        <v>46363.324737603842</v>
      </c>
      <c r="H176" s="731">
        <v>45663.963196867786</v>
      </c>
      <c r="I176" s="86">
        <f t="shared" si="2"/>
        <v>45862.468513436819</v>
      </c>
      <c r="J176" s="79"/>
      <c r="K176" s="79"/>
      <c r="L176" s="219"/>
      <c r="M176" s="219"/>
      <c r="N176" s="2"/>
    </row>
    <row r="177" spans="1:14" ht="14.4" x14ac:dyDescent="0.3">
      <c r="A177" s="884"/>
      <c r="B177" s="80"/>
      <c r="C177" s="106">
        <v>2042</v>
      </c>
      <c r="D177" s="107">
        <v>28</v>
      </c>
      <c r="E177" s="108"/>
      <c r="F177" s="105"/>
      <c r="G177" s="730">
        <v>46991.721693750136</v>
      </c>
      <c r="H177" s="731">
        <v>46218.423196173193</v>
      </c>
      <c r="I177" s="86">
        <f t="shared" si="2"/>
        <v>46416.928512742226</v>
      </c>
      <c r="J177" s="79"/>
      <c r="K177" s="79"/>
      <c r="L177" s="219"/>
      <c r="M177" s="219"/>
      <c r="N177" s="2"/>
    </row>
    <row r="178" spans="1:14" ht="14.4" x14ac:dyDescent="0.3">
      <c r="A178" s="884"/>
      <c r="B178" s="80"/>
      <c r="C178" s="106">
        <v>2043</v>
      </c>
      <c r="D178" s="107">
        <v>29</v>
      </c>
      <c r="E178" s="108"/>
      <c r="F178" s="105"/>
      <c r="G178" s="730">
        <v>47615.268031023224</v>
      </c>
      <c r="H178" s="731">
        <v>46765.495205000254</v>
      </c>
      <c r="I178" s="86">
        <f t="shared" si="2"/>
        <v>46964.000521569287</v>
      </c>
      <c r="J178" s="79"/>
      <c r="K178" s="79"/>
      <c r="L178" s="219"/>
      <c r="M178" s="219"/>
      <c r="N178" s="2"/>
    </row>
    <row r="179" spans="1:14" ht="14.4" x14ac:dyDescent="0.3">
      <c r="A179" s="884"/>
      <c r="B179" s="80"/>
      <c r="C179" s="106">
        <v>2044</v>
      </c>
      <c r="D179" s="107">
        <v>30</v>
      </c>
      <c r="E179" s="108"/>
      <c r="F179" s="105"/>
      <c r="G179" s="730">
        <v>48234.516169566137</v>
      </c>
      <c r="H179" s="731">
        <v>47305.72328489965</v>
      </c>
      <c r="I179" s="86">
        <f t="shared" si="2"/>
        <v>47504.228601468683</v>
      </c>
      <c r="J179" s="79"/>
      <c r="K179" s="79"/>
      <c r="L179" s="219"/>
      <c r="M179" s="219"/>
      <c r="N179" s="2"/>
    </row>
    <row r="180" spans="1:14" ht="14.4" x14ac:dyDescent="0.3">
      <c r="A180" s="884"/>
      <c r="B180" s="80"/>
      <c r="C180" s="106">
        <v>2045</v>
      </c>
      <c r="D180" s="107">
        <v>31</v>
      </c>
      <c r="E180" s="108">
        <v>48831.757628703512</v>
      </c>
      <c r="F180" s="105">
        <v>48831.757628703512</v>
      </c>
      <c r="G180" s="730">
        <v>48850.018529521956</v>
      </c>
      <c r="H180" s="731">
        <v>47839.636042626829</v>
      </c>
      <c r="I180" s="86">
        <f t="shared" si="2"/>
        <v>48038.141359195863</v>
      </c>
      <c r="J180" s="79"/>
      <c r="K180" s="79"/>
      <c r="L180" s="219"/>
      <c r="M180" s="219"/>
      <c r="N180" s="2"/>
    </row>
    <row r="181" spans="1:14" ht="14.4" x14ac:dyDescent="0.3">
      <c r="A181" s="884"/>
      <c r="B181" s="80"/>
      <c r="C181" s="106">
        <v>2046</v>
      </c>
      <c r="D181" s="107">
        <v>32</v>
      </c>
      <c r="E181" s="108"/>
      <c r="F181" s="105"/>
      <c r="G181" s="730">
        <v>49462.327531033712</v>
      </c>
      <c r="H181" s="731">
        <v>48367.754957417434</v>
      </c>
      <c r="I181" s="86">
        <f t="shared" si="2"/>
        <v>48566.260273986467</v>
      </c>
      <c r="J181" s="79"/>
      <c r="K181" s="79"/>
      <c r="L181" s="219"/>
      <c r="M181" s="219"/>
      <c r="N181" s="2"/>
    </row>
    <row r="182" spans="1:14" ht="14.4" x14ac:dyDescent="0.3">
      <c r="A182" s="884"/>
      <c r="B182" s="80"/>
      <c r="C182" s="106">
        <v>2047</v>
      </c>
      <c r="D182" s="107">
        <v>33</v>
      </c>
      <c r="E182" s="108"/>
      <c r="F182" s="105"/>
      <c r="G182" s="730">
        <v>50071.995594244479</v>
      </c>
      <c r="H182" s="731">
        <v>48890.574597937302</v>
      </c>
      <c r="I182" s="86">
        <f t="shared" si="2"/>
        <v>49089.079914506336</v>
      </c>
      <c r="J182" s="79"/>
      <c r="K182" s="79"/>
      <c r="L182" s="219"/>
      <c r="M182" s="219"/>
      <c r="N182" s="2"/>
    </row>
    <row r="183" spans="1:14" ht="14.4" x14ac:dyDescent="0.3">
      <c r="A183" s="884"/>
      <c r="B183" s="80"/>
      <c r="C183" s="106">
        <v>2048</v>
      </c>
      <c r="D183" s="107">
        <v>34</v>
      </c>
      <c r="E183" s="108"/>
      <c r="F183" s="105"/>
      <c r="G183" s="730">
        <v>50679.575139297303</v>
      </c>
      <c r="H183" s="731">
        <v>49408.563071143501</v>
      </c>
      <c r="I183" s="86">
        <f t="shared" si="2"/>
        <v>49607.068387712534</v>
      </c>
      <c r="J183" s="79"/>
      <c r="K183" s="79"/>
      <c r="L183" s="219"/>
      <c r="M183" s="219"/>
      <c r="N183" s="2"/>
    </row>
    <row r="184" spans="1:14" ht="14.4" x14ac:dyDescent="0.3">
      <c r="A184" s="79"/>
      <c r="B184" s="79"/>
      <c r="C184" s="106">
        <v>2049</v>
      </c>
      <c r="D184" s="107">
        <v>35</v>
      </c>
      <c r="E184" s="108"/>
      <c r="F184" s="105"/>
      <c r="G184" s="730">
        <v>51285.618586335244</v>
      </c>
      <c r="H184" s="731">
        <v>49922.173474370349</v>
      </c>
      <c r="I184" s="86">
        <f t="shared" si="2"/>
        <v>50120.678790939382</v>
      </c>
      <c r="J184" s="79"/>
      <c r="K184" s="79"/>
      <c r="L184" s="219"/>
      <c r="M184" s="219"/>
      <c r="N184" s="2"/>
    </row>
    <row r="185" spans="1:14" ht="14.4" x14ac:dyDescent="0.3">
      <c r="A185" s="79"/>
      <c r="B185" s="79"/>
      <c r="C185" s="106">
        <v>2050</v>
      </c>
      <c r="D185" s="111">
        <v>36</v>
      </c>
      <c r="E185" s="108">
        <v>51923.180542564383</v>
      </c>
      <c r="F185" s="105">
        <v>51923.180542564383</v>
      </c>
      <c r="G185" s="740">
        <v>51890.678355501354</v>
      </c>
      <c r="H185" s="741">
        <v>50431.869567112888</v>
      </c>
      <c r="I185" s="86">
        <f t="shared" si="2"/>
        <v>50630.374883681921</v>
      </c>
      <c r="J185" s="79"/>
      <c r="K185" s="79"/>
      <c r="L185" s="219"/>
      <c r="M185" s="219"/>
      <c r="N185" s="2"/>
    </row>
    <row r="186" spans="1:14" ht="14.4" x14ac:dyDescent="0.3">
      <c r="A186" s="79"/>
      <c r="B186" s="79"/>
      <c r="C186" s="106">
        <v>2051</v>
      </c>
      <c r="D186" s="107">
        <v>37</v>
      </c>
      <c r="E186" s="108"/>
      <c r="F186" s="105"/>
      <c r="G186" s="730">
        <v>52495.306866938685</v>
      </c>
      <c r="H186" s="731">
        <v>50938.130813720541</v>
      </c>
      <c r="I186" s="86">
        <f t="shared" si="2"/>
        <v>51136.636130289575</v>
      </c>
      <c r="J186" s="79"/>
      <c r="K186" s="79"/>
      <c r="L186" s="219"/>
      <c r="M186" s="219"/>
      <c r="N186" s="2"/>
    </row>
    <row r="187" spans="1:14" ht="14.4" x14ac:dyDescent="0.3">
      <c r="A187" s="79"/>
      <c r="B187" s="79"/>
      <c r="C187" s="106">
        <v>2052</v>
      </c>
      <c r="D187" s="107">
        <v>38</v>
      </c>
      <c r="E187" s="108"/>
      <c r="F187" s="105"/>
      <c r="G187" s="730">
        <v>53100.056540790312</v>
      </c>
      <c r="H187" s="731">
        <v>51441.472399379643</v>
      </c>
      <c r="I187" s="86">
        <f t="shared" si="2"/>
        <v>51639.977715948677</v>
      </c>
      <c r="J187" s="79"/>
      <c r="K187" s="79"/>
      <c r="L187" s="219"/>
      <c r="M187" s="219"/>
      <c r="N187" s="2"/>
    </row>
    <row r="188" spans="1:14" ht="14.4" x14ac:dyDescent="0.3">
      <c r="A188" s="79"/>
      <c r="B188" s="79"/>
      <c r="C188" s="106">
        <v>2053</v>
      </c>
      <c r="D188" s="107">
        <v>39</v>
      </c>
      <c r="E188" s="108"/>
      <c r="F188" s="105"/>
      <c r="G188" s="730">
        <v>53705.479797199267</v>
      </c>
      <c r="H188" s="731">
        <v>51942.436838911788</v>
      </c>
      <c r="I188" s="86">
        <f t="shared" si="2"/>
        <v>52140.942155480821</v>
      </c>
      <c r="J188" s="79"/>
      <c r="K188" s="79"/>
      <c r="L188" s="219"/>
      <c r="M188" s="219"/>
      <c r="N188" s="2"/>
    </row>
    <row r="189" spans="1:14" ht="14.4" x14ac:dyDescent="0.3">
      <c r="A189" s="79"/>
      <c r="B189" s="79"/>
      <c r="C189" s="106">
        <v>2054</v>
      </c>
      <c r="D189" s="107">
        <v>40</v>
      </c>
      <c r="E189" s="108"/>
      <c r="F189" s="105"/>
      <c r="G189" s="730">
        <v>54312.129056308615</v>
      </c>
      <c r="H189" s="731">
        <v>52441.586903451738</v>
      </c>
      <c r="I189" s="86">
        <f t="shared" si="2"/>
        <v>52640.092220020771</v>
      </c>
      <c r="J189" s="79"/>
      <c r="K189" s="79"/>
      <c r="L189" s="219"/>
      <c r="M189" s="219"/>
      <c r="N189" s="2"/>
    </row>
    <row r="190" spans="1:14" ht="14.4" x14ac:dyDescent="0.3">
      <c r="A190" s="79"/>
      <c r="B190" s="79"/>
      <c r="C190" s="106">
        <v>2055</v>
      </c>
      <c r="D190" s="111">
        <v>41</v>
      </c>
      <c r="E190" s="108"/>
      <c r="F190" s="105"/>
      <c r="G190" s="740">
        <v>54920.556738261403</v>
      </c>
      <c r="H190" s="741">
        <v>52939.465260349214</v>
      </c>
      <c r="I190" s="86">
        <f t="shared" si="2"/>
        <v>53137.970576918247</v>
      </c>
      <c r="J190" s="79"/>
      <c r="K190" s="79"/>
      <c r="L190" s="219"/>
      <c r="M190" s="219"/>
      <c r="N190" s="2"/>
    </row>
    <row r="191" spans="1:14" ht="14.4" x14ac:dyDescent="0.3">
      <c r="A191" s="79"/>
      <c r="B191" s="79"/>
      <c r="C191" s="106">
        <v>2056</v>
      </c>
      <c r="D191" s="107">
        <v>42</v>
      </c>
      <c r="E191" s="108"/>
      <c r="F191" s="105"/>
      <c r="G191" s="730">
        <v>55531.315263200711</v>
      </c>
      <c r="H191" s="731">
        <v>53436.557306256727</v>
      </c>
      <c r="I191" s="86">
        <f t="shared" si="2"/>
        <v>53635.062622825761</v>
      </c>
      <c r="J191" s="79"/>
      <c r="K191" s="79"/>
      <c r="L191" s="219"/>
      <c r="M191" s="219"/>
      <c r="N191" s="2"/>
    </row>
    <row r="192" spans="1:14" ht="14.4" x14ac:dyDescent="0.3">
      <c r="A192" s="79"/>
      <c r="B192" s="79"/>
      <c r="C192" s="106">
        <v>2057</v>
      </c>
      <c r="D192" s="107">
        <v>43</v>
      </c>
      <c r="E192" s="108"/>
      <c r="F192" s="105"/>
      <c r="G192" s="730">
        <v>56144.957051269565</v>
      </c>
      <c r="H192" s="731">
        <v>53933.326621113098</v>
      </c>
      <c r="I192" s="86">
        <f t="shared" si="2"/>
        <v>54131.831937682131</v>
      </c>
      <c r="J192" s="79"/>
      <c r="K192" s="79"/>
      <c r="L192" s="219"/>
      <c r="M192" s="219"/>
      <c r="N192" s="2"/>
    </row>
    <row r="193" spans="1:14" ht="14.4" x14ac:dyDescent="0.3">
      <c r="A193" s="79"/>
      <c r="B193" s="79"/>
      <c r="C193" s="106">
        <v>2058</v>
      </c>
      <c r="D193" s="107">
        <v>44</v>
      </c>
      <c r="E193" s="108"/>
      <c r="F193" s="105"/>
      <c r="G193" s="730">
        <v>56762.034522611022</v>
      </c>
      <c r="H193" s="731">
        <v>54430.266152621742</v>
      </c>
      <c r="I193" s="86">
        <f t="shared" si="2"/>
        <v>54628.771469190775</v>
      </c>
      <c r="J193" s="79"/>
      <c r="K193" s="79"/>
      <c r="L193" s="219"/>
      <c r="M193" s="219"/>
      <c r="N193" s="2"/>
    </row>
    <row r="194" spans="1:14" ht="14.4" x14ac:dyDescent="0.3">
      <c r="A194" s="79"/>
      <c r="B194" s="79"/>
      <c r="C194" s="106">
        <v>2059</v>
      </c>
      <c r="D194" s="107">
        <v>45</v>
      </c>
      <c r="E194" s="108"/>
      <c r="F194" s="105"/>
      <c r="G194" s="730">
        <v>57383.100097368166</v>
      </c>
      <c r="H194" s="731">
        <v>54927.867100686461</v>
      </c>
      <c r="I194" s="86">
        <f t="shared" si="2"/>
        <v>55126.372417255494</v>
      </c>
      <c r="J194" s="79"/>
      <c r="K194" s="79"/>
      <c r="L194" s="219"/>
      <c r="M194" s="219"/>
      <c r="N194" s="2"/>
    </row>
    <row r="195" spans="1:14" ht="14.4" x14ac:dyDescent="0.3">
      <c r="A195" s="79"/>
      <c r="B195" s="79"/>
      <c r="C195" s="112">
        <v>2060</v>
      </c>
      <c r="D195" s="111">
        <v>46</v>
      </c>
      <c r="E195" s="108"/>
      <c r="F195" s="105"/>
      <c r="G195" s="740">
        <v>58008.706195684019</v>
      </c>
      <c r="H195" s="741">
        <v>55426.606517163629</v>
      </c>
      <c r="I195" s="86">
        <f t="shared" si="2"/>
        <v>55625.111833732662</v>
      </c>
      <c r="J195" s="79"/>
      <c r="K195" s="79"/>
      <c r="L195" s="219"/>
      <c r="M195" s="219"/>
      <c r="N195" s="2"/>
    </row>
    <row r="196" spans="1:14" ht="14.4" x14ac:dyDescent="0.3">
      <c r="A196" s="79"/>
      <c r="C196" s="2"/>
      <c r="D196" s="2"/>
      <c r="E196" s="2"/>
      <c r="F196" s="2"/>
      <c r="G196" s="788"/>
      <c r="H196" s="788"/>
      <c r="I196" s="2"/>
      <c r="J196" s="2"/>
      <c r="K196" s="2"/>
      <c r="L196" s="2"/>
      <c r="M196" s="2"/>
      <c r="N196" s="2"/>
    </row>
    <row r="197" spans="1:14" ht="14.4" x14ac:dyDescent="0.3">
      <c r="A197" s="79"/>
      <c r="C197" s="2"/>
      <c r="D197" s="2"/>
      <c r="E197" s="2"/>
      <c r="F197" s="2"/>
      <c r="G197" s="788"/>
      <c r="H197" s="788"/>
      <c r="I197" s="2"/>
      <c r="J197" s="2"/>
      <c r="K197" s="2"/>
      <c r="L197" s="2"/>
      <c r="M197" s="2"/>
      <c r="N197" s="2"/>
    </row>
    <row r="198" spans="1:14" ht="14.4" x14ac:dyDescent="0.3">
      <c r="A198" s="231" t="s">
        <v>190</v>
      </c>
      <c r="C198" s="2"/>
      <c r="D198" s="2"/>
      <c r="E198" s="2"/>
      <c r="F198" s="2"/>
      <c r="G198" s="788"/>
      <c r="H198" s="788"/>
      <c r="I198" s="2"/>
      <c r="J198" s="2"/>
      <c r="K198" s="2"/>
      <c r="L198" s="2"/>
      <c r="M198" s="2"/>
      <c r="N198" s="2"/>
    </row>
    <row r="199" spans="1:14" ht="14.4" x14ac:dyDescent="0.3">
      <c r="A199" s="2"/>
      <c r="C199" s="2"/>
      <c r="D199" s="2"/>
      <c r="E199" s="2"/>
      <c r="F199" s="2"/>
      <c r="G199" s="788"/>
      <c r="H199" s="788"/>
      <c r="I199" s="2"/>
      <c r="J199" s="2"/>
      <c r="K199" s="2"/>
      <c r="L199" s="2"/>
      <c r="M199" s="2"/>
      <c r="N199" s="2"/>
    </row>
    <row r="200" spans="1:14" ht="14.4" x14ac:dyDescent="0.3">
      <c r="A200" s="2"/>
      <c r="C200" s="2"/>
      <c r="D200" s="2"/>
      <c r="E200" s="2"/>
      <c r="F200" s="2"/>
      <c r="G200" s="5"/>
      <c r="H200" s="5"/>
      <c r="I200" s="2"/>
      <c r="J200" s="2"/>
      <c r="K200" s="2"/>
      <c r="L200" s="2"/>
      <c r="M200" s="2"/>
      <c r="N200" s="2"/>
    </row>
    <row r="201" spans="1:14" ht="15.75" customHeight="1" x14ac:dyDescent="0.3">
      <c r="A201" s="71">
        <v>4</v>
      </c>
      <c r="B201" s="72" t="s">
        <v>123</v>
      </c>
      <c r="C201" s="73"/>
      <c r="D201" s="73"/>
      <c r="E201" s="73"/>
      <c r="F201" s="73"/>
      <c r="G201" s="705"/>
      <c r="H201" s="705"/>
      <c r="I201" s="73"/>
      <c r="J201" s="73"/>
      <c r="K201" s="73"/>
      <c r="L201" s="2"/>
      <c r="M201" s="2"/>
      <c r="N201" s="2"/>
    </row>
    <row r="202" spans="1:14" ht="15.75" customHeight="1" x14ac:dyDescent="0.3">
      <c r="A202" s="74" t="s">
        <v>74</v>
      </c>
      <c r="B202" s="75"/>
      <c r="C202" s="75"/>
      <c r="D202" s="76"/>
      <c r="E202" s="77"/>
      <c r="F202" s="862"/>
      <c r="G202" s="710"/>
      <c r="H202" s="711"/>
      <c r="I202" s="79"/>
      <c r="J202" s="79"/>
      <c r="K202" s="79"/>
      <c r="L202" s="2"/>
      <c r="M202" s="2"/>
      <c r="N202" s="2"/>
    </row>
    <row r="203" spans="1:14" ht="16.5" customHeight="1" thickBot="1" x14ac:dyDescent="0.35">
      <c r="A203" s="110" t="s">
        <v>75</v>
      </c>
      <c r="B203" s="80"/>
      <c r="C203" s="80"/>
      <c r="D203" s="81"/>
      <c r="E203" s="109" t="s">
        <v>78</v>
      </c>
      <c r="F203" s="863"/>
      <c r="G203" s="746" t="s">
        <v>107</v>
      </c>
      <c r="H203" s="711"/>
      <c r="I203" s="79"/>
      <c r="J203" s="79"/>
      <c r="K203" s="79"/>
      <c r="L203" s="219"/>
      <c r="M203" s="219"/>
      <c r="N203" s="2"/>
    </row>
    <row r="204" spans="1:14" ht="39" customHeight="1" thickBot="1" x14ac:dyDescent="0.35">
      <c r="A204" s="82"/>
      <c r="B204" s="82"/>
      <c r="C204" s="82"/>
      <c r="D204" s="83"/>
      <c r="E204" s="101" t="s">
        <v>115</v>
      </c>
      <c r="F204" s="101" t="s">
        <v>115</v>
      </c>
      <c r="G204" s="746" t="s">
        <v>81</v>
      </c>
      <c r="H204" s="747" t="s">
        <v>98</v>
      </c>
      <c r="I204" s="101" t="s">
        <v>234</v>
      </c>
      <c r="J204" s="747" t="s">
        <v>754</v>
      </c>
      <c r="K204" s="865" t="s">
        <v>84</v>
      </c>
      <c r="L204" s="866"/>
      <c r="M204" s="219"/>
      <c r="N204" s="2"/>
    </row>
    <row r="205" spans="1:14" ht="15.75" customHeight="1" x14ac:dyDescent="0.3">
      <c r="A205" s="74" t="s">
        <v>85</v>
      </c>
      <c r="B205" s="82"/>
      <c r="C205" s="102">
        <v>2005</v>
      </c>
      <c r="D205" s="103">
        <v>-9</v>
      </c>
      <c r="E205" s="104">
        <v>18480.206287716792</v>
      </c>
      <c r="F205" s="105">
        <v>18480.206287716792</v>
      </c>
      <c r="G205" s="722">
        <v>18143.240569346279</v>
      </c>
      <c r="H205" s="723">
        <v>18143.240569346279</v>
      </c>
      <c r="I205" s="84">
        <f>H205+$L$215/10^9</f>
        <v>18341.745885915312</v>
      </c>
      <c r="J205" s="871" t="s">
        <v>86</v>
      </c>
      <c r="K205" s="867"/>
      <c r="L205" s="868"/>
      <c r="M205" s="219"/>
      <c r="N205" s="2"/>
    </row>
    <row r="206" spans="1:14" ht="15.75" customHeight="1" x14ac:dyDescent="0.3">
      <c r="A206" s="110" t="s">
        <v>87</v>
      </c>
      <c r="B206" s="82"/>
      <c r="C206" s="106">
        <v>2006</v>
      </c>
      <c r="D206" s="107">
        <v>-8</v>
      </c>
      <c r="E206" s="108"/>
      <c r="F206" s="105"/>
      <c r="G206" s="727">
        <v>18893.630952378713</v>
      </c>
      <c r="H206" s="728">
        <v>18893.630952378713</v>
      </c>
      <c r="I206" s="85">
        <f t="shared" ref="I206:I260" si="3">H206+$L$215/10^9</f>
        <v>19092.136268947746</v>
      </c>
      <c r="J206" s="867"/>
      <c r="K206" s="867"/>
      <c r="L206" s="868"/>
      <c r="M206" s="219"/>
      <c r="N206" s="2"/>
    </row>
    <row r="207" spans="1:14" ht="14.4" customHeight="1" x14ac:dyDescent="0.3">
      <c r="A207" s="82"/>
      <c r="B207" s="82"/>
      <c r="C207" s="106">
        <v>2007</v>
      </c>
      <c r="D207" s="107">
        <v>-7</v>
      </c>
      <c r="E207" s="108"/>
      <c r="F207" s="105"/>
      <c r="G207" s="727">
        <v>19644.662488321719</v>
      </c>
      <c r="H207" s="728">
        <v>19644.662488321719</v>
      </c>
      <c r="I207" s="85">
        <f t="shared" si="3"/>
        <v>19843.167804890752</v>
      </c>
      <c r="J207" s="867"/>
      <c r="K207" s="867"/>
      <c r="L207" s="868"/>
      <c r="M207" s="219"/>
      <c r="N207" s="2"/>
    </row>
    <row r="208" spans="1:14" ht="15.75" customHeight="1" x14ac:dyDescent="0.3">
      <c r="A208" s="29" t="s">
        <v>88</v>
      </c>
      <c r="B208" s="82"/>
      <c r="C208" s="106">
        <v>2008</v>
      </c>
      <c r="D208" s="107">
        <v>-6</v>
      </c>
      <c r="E208" s="108"/>
      <c r="F208" s="105"/>
      <c r="G208" s="727">
        <v>20397.671434155269</v>
      </c>
      <c r="H208" s="728">
        <v>20397.671434155269</v>
      </c>
      <c r="I208" s="85">
        <f t="shared" si="3"/>
        <v>20596.176750724302</v>
      </c>
      <c r="J208" s="867"/>
      <c r="K208" s="869"/>
      <c r="L208" s="870"/>
      <c r="M208" s="219"/>
      <c r="N208" s="2"/>
    </row>
    <row r="209" spans="1:14" ht="14.55" customHeight="1" x14ac:dyDescent="0.3">
      <c r="A209" s="872" t="s">
        <v>58</v>
      </c>
      <c r="B209" s="82"/>
      <c r="C209" s="106">
        <v>2009</v>
      </c>
      <c r="D209" s="107">
        <v>-5</v>
      </c>
      <c r="E209" s="108"/>
      <c r="F209" s="105"/>
      <c r="G209" s="727">
        <v>21153.994046859345</v>
      </c>
      <c r="H209" s="728">
        <v>21153.994046859345</v>
      </c>
      <c r="I209" s="85">
        <f t="shared" si="3"/>
        <v>21352.499363428378</v>
      </c>
      <c r="J209" s="867"/>
      <c r="K209" s="79"/>
      <c r="L209" s="79"/>
      <c r="M209" s="219"/>
      <c r="N209" s="2"/>
    </row>
    <row r="210" spans="1:14" ht="14.4" x14ac:dyDescent="0.3">
      <c r="A210" s="873"/>
      <c r="B210" s="82"/>
      <c r="C210" s="106">
        <v>2010</v>
      </c>
      <c r="D210" s="107">
        <v>-4</v>
      </c>
      <c r="E210" s="108">
        <v>21365.212288468778</v>
      </c>
      <c r="F210" s="105">
        <v>21365.212288468778</v>
      </c>
      <c r="G210" s="727">
        <v>21914.966583413923</v>
      </c>
      <c r="H210" s="728">
        <v>21914.966583413923</v>
      </c>
      <c r="I210" s="85">
        <f t="shared" si="3"/>
        <v>22113.471899982957</v>
      </c>
      <c r="J210" s="867"/>
      <c r="K210" s="79"/>
      <c r="L210" s="79"/>
      <c r="M210" s="219"/>
      <c r="N210" s="2"/>
    </row>
    <row r="211" spans="1:14" ht="14.4" x14ac:dyDescent="0.3">
      <c r="A211" s="873"/>
      <c r="B211" s="82"/>
      <c r="C211" s="106">
        <v>2011</v>
      </c>
      <c r="D211" s="107">
        <v>-3</v>
      </c>
      <c r="E211" s="108"/>
      <c r="F211" s="105"/>
      <c r="G211" s="727">
        <v>22681.925300798983</v>
      </c>
      <c r="H211" s="728">
        <v>22681.925300798983</v>
      </c>
      <c r="I211" s="85">
        <f t="shared" si="3"/>
        <v>22880.430617368016</v>
      </c>
      <c r="J211" s="869"/>
      <c r="K211" s="79"/>
      <c r="L211" s="79"/>
      <c r="M211" s="219"/>
      <c r="N211" s="2"/>
    </row>
    <row r="212" spans="1:14" ht="14.4" x14ac:dyDescent="0.3">
      <c r="A212" s="874"/>
      <c r="B212" s="82"/>
      <c r="C212" s="106">
        <v>2012</v>
      </c>
      <c r="D212" s="107">
        <v>-2</v>
      </c>
      <c r="E212" s="108"/>
      <c r="F212" s="105"/>
      <c r="G212" s="730">
        <v>23456.206455994503</v>
      </c>
      <c r="H212" s="731">
        <v>23456.206455994503</v>
      </c>
      <c r="I212" s="86">
        <f t="shared" si="3"/>
        <v>23654.711772563536</v>
      </c>
      <c r="J212" s="87" t="s">
        <v>90</v>
      </c>
      <c r="K212" s="79"/>
      <c r="L212" s="79"/>
      <c r="M212" s="219"/>
      <c r="N212" s="2"/>
    </row>
    <row r="213" spans="1:14" ht="14.4" x14ac:dyDescent="0.3">
      <c r="A213" s="82"/>
      <c r="B213" s="82"/>
      <c r="C213" s="106">
        <v>2013</v>
      </c>
      <c r="D213" s="107">
        <v>-1</v>
      </c>
      <c r="E213" s="108"/>
      <c r="F213" s="105"/>
      <c r="G213" s="730">
        <v>24239.146305980459</v>
      </c>
      <c r="H213" s="731">
        <v>24239.146305980459</v>
      </c>
      <c r="I213" s="86">
        <f t="shared" si="3"/>
        <v>24437.651622549492</v>
      </c>
      <c r="J213" s="79"/>
      <c r="K213" s="79"/>
      <c r="L213" s="219"/>
      <c r="M213" s="219"/>
      <c r="N213" s="2"/>
    </row>
    <row r="214" spans="1:14" ht="15.75" customHeight="1" x14ac:dyDescent="0.3">
      <c r="A214" s="77" t="s">
        <v>91</v>
      </c>
      <c r="B214" s="82"/>
      <c r="C214" s="106">
        <v>2014</v>
      </c>
      <c r="D214" s="107">
        <v>0</v>
      </c>
      <c r="E214" s="108"/>
      <c r="F214" s="105"/>
      <c r="G214" s="730">
        <v>25032.081107736834</v>
      </c>
      <c r="H214" s="731">
        <v>25265.643395801646</v>
      </c>
      <c r="I214" s="86">
        <f t="shared" si="3"/>
        <v>25464.148712370679</v>
      </c>
      <c r="J214" s="79"/>
      <c r="K214" s="79"/>
      <c r="L214" s="219"/>
      <c r="M214" s="219"/>
      <c r="N214" s="2"/>
    </row>
    <row r="215" spans="1:14" ht="15.75" customHeight="1" x14ac:dyDescent="0.3">
      <c r="A215" s="110">
        <v>2012</v>
      </c>
      <c r="B215" s="80"/>
      <c r="C215" s="106">
        <v>2015</v>
      </c>
      <c r="D215" s="107">
        <v>1</v>
      </c>
      <c r="E215" s="108">
        <v>25605.709190079524</v>
      </c>
      <c r="F215" s="105">
        <v>25605.709190079524</v>
      </c>
      <c r="G215" s="730">
        <v>25836.347118243604</v>
      </c>
      <c r="H215" s="731">
        <v>26087.939449541835</v>
      </c>
      <c r="I215" s="86">
        <f t="shared" si="3"/>
        <v>26286.444766110868</v>
      </c>
      <c r="J215" s="219" t="s">
        <v>233</v>
      </c>
      <c r="K215" s="219"/>
      <c r="L215" s="232">
        <v>198505316569.03406</v>
      </c>
      <c r="M215" s="219" t="s">
        <v>232</v>
      </c>
      <c r="N215" s="2"/>
    </row>
    <row r="216" spans="1:14" ht="14.4" x14ac:dyDescent="0.3">
      <c r="A216" s="79"/>
      <c r="B216" s="80"/>
      <c r="C216" s="106">
        <v>2016</v>
      </c>
      <c r="D216" s="107">
        <v>2</v>
      </c>
      <c r="E216" s="108"/>
      <c r="F216" s="105"/>
      <c r="G216" s="730">
        <v>26653.280594480748</v>
      </c>
      <c r="H216" s="731">
        <v>26925.359857257474</v>
      </c>
      <c r="I216" s="86">
        <f t="shared" si="3"/>
        <v>27123.865173826507</v>
      </c>
      <c r="J216" s="79"/>
      <c r="K216" s="234"/>
      <c r="L216" s="235" t="s">
        <v>237</v>
      </c>
      <c r="M216" s="236"/>
      <c r="N216" s="2"/>
    </row>
    <row r="217" spans="1:14" ht="15.75" customHeight="1" x14ac:dyDescent="0.3">
      <c r="A217" s="77" t="s">
        <v>92</v>
      </c>
      <c r="B217" s="80"/>
      <c r="C217" s="106">
        <v>2017</v>
      </c>
      <c r="D217" s="107">
        <v>3</v>
      </c>
      <c r="E217" s="108"/>
      <c r="F217" s="105"/>
      <c r="G217" s="730">
        <v>27484.217793428244</v>
      </c>
      <c r="H217" s="731">
        <v>27779.14035270398</v>
      </c>
      <c r="I217" s="86">
        <f t="shared" si="3"/>
        <v>27977.645669273013</v>
      </c>
      <c r="J217" s="79"/>
      <c r="K217" s="79"/>
      <c r="L217" s="219"/>
      <c r="M217" s="219"/>
      <c r="N217" s="2"/>
    </row>
    <row r="218" spans="1:14" ht="15.75" customHeight="1" x14ac:dyDescent="0.3">
      <c r="A218" s="110" t="s">
        <v>115</v>
      </c>
      <c r="B218" s="80"/>
      <c r="C218" s="106">
        <v>2018</v>
      </c>
      <c r="D218" s="107">
        <v>4</v>
      </c>
      <c r="E218" s="108"/>
      <c r="F218" s="105"/>
      <c r="G218" s="730">
        <v>28330.49497206607</v>
      </c>
      <c r="H218" s="731">
        <v>28650.188839209692</v>
      </c>
      <c r="I218" s="86">
        <f t="shared" si="3"/>
        <v>28848.694155778725</v>
      </c>
      <c r="J218" s="219"/>
      <c r="K218" s="219"/>
      <c r="L218" s="219"/>
      <c r="M218" s="219"/>
      <c r="N218" s="2"/>
    </row>
    <row r="219" spans="1:14" ht="14.4" x14ac:dyDescent="0.3">
      <c r="A219" s="79"/>
      <c r="B219" s="80"/>
      <c r="C219" s="106">
        <v>2019</v>
      </c>
      <c r="D219" s="107">
        <v>5</v>
      </c>
      <c r="E219" s="108"/>
      <c r="F219" s="105"/>
      <c r="G219" s="730">
        <v>29193.448387374203</v>
      </c>
      <c r="H219" s="731">
        <v>29539.121267016602</v>
      </c>
      <c r="I219" s="86">
        <f t="shared" si="3"/>
        <v>29737.626583585636</v>
      </c>
      <c r="J219" s="219"/>
      <c r="K219" s="219"/>
      <c r="L219" s="219"/>
      <c r="M219" s="219"/>
      <c r="N219" s="2"/>
    </row>
    <row r="220" spans="1:14" ht="15.75" customHeight="1" x14ac:dyDescent="0.3">
      <c r="A220" s="77" t="s">
        <v>93</v>
      </c>
      <c r="B220" s="80"/>
      <c r="C220" s="106">
        <v>2020</v>
      </c>
      <c r="D220" s="107">
        <v>6</v>
      </c>
      <c r="E220" s="108">
        <v>30490.004883920781</v>
      </c>
      <c r="F220" s="105">
        <v>30490.004883920781</v>
      </c>
      <c r="G220" s="730">
        <v>30074.414296332623</v>
      </c>
      <c r="H220" s="731">
        <v>30449.138684708272</v>
      </c>
      <c r="I220" s="86">
        <f t="shared" si="3"/>
        <v>30647.644001277306</v>
      </c>
      <c r="J220" s="94"/>
      <c r="K220" s="219"/>
      <c r="L220" s="219"/>
      <c r="M220" s="219"/>
      <c r="N220" s="2"/>
    </row>
    <row r="221" spans="1:14" ht="15.75" customHeight="1" x14ac:dyDescent="0.3">
      <c r="A221" s="77"/>
      <c r="B221" s="80"/>
      <c r="C221" s="106">
        <v>2021</v>
      </c>
      <c r="D221" s="107">
        <v>7</v>
      </c>
      <c r="E221" s="108"/>
      <c r="F221" s="105"/>
      <c r="G221" s="730">
        <v>30974.72895592131</v>
      </c>
      <c r="H221" s="731">
        <v>31356.545245206213</v>
      </c>
      <c r="I221" s="86">
        <f t="shared" si="3"/>
        <v>31555.050561775246</v>
      </c>
      <c r="J221" s="219"/>
      <c r="K221" s="219"/>
      <c r="L221" s="219"/>
      <c r="M221" s="219"/>
      <c r="N221" s="2"/>
    </row>
    <row r="222" spans="1:14" ht="15.75" customHeight="1" x14ac:dyDescent="0.3">
      <c r="A222" s="88"/>
      <c r="B222" s="80"/>
      <c r="C222" s="106">
        <v>2022</v>
      </c>
      <c r="D222" s="107">
        <v>8</v>
      </c>
      <c r="E222" s="108"/>
      <c r="F222" s="105"/>
      <c r="G222" s="730">
        <v>31895.728623120242</v>
      </c>
      <c r="H222" s="731">
        <v>32282.512306346871</v>
      </c>
      <c r="I222" s="86">
        <f t="shared" si="3"/>
        <v>32481.017622915904</v>
      </c>
      <c r="J222" s="219"/>
      <c r="K222" s="219"/>
      <c r="L222" s="219"/>
      <c r="M222" s="219"/>
      <c r="N222" s="2"/>
    </row>
    <row r="223" spans="1:14" ht="15.75" customHeight="1" x14ac:dyDescent="0.3">
      <c r="A223" s="110"/>
      <c r="B223" s="80"/>
      <c r="C223" s="106">
        <v>2023</v>
      </c>
      <c r="D223" s="107">
        <v>9</v>
      </c>
      <c r="E223" s="108"/>
      <c r="F223" s="105"/>
      <c r="G223" s="730">
        <v>32838.749554909395</v>
      </c>
      <c r="H223" s="731">
        <v>33228.236087450139</v>
      </c>
      <c r="I223" s="86">
        <f t="shared" si="3"/>
        <v>33426.741404019172</v>
      </c>
      <c r="J223" s="219"/>
      <c r="K223" s="219"/>
      <c r="L223" s="219"/>
      <c r="M223" s="219"/>
      <c r="N223" s="2"/>
    </row>
    <row r="224" spans="1:14" ht="14.4" x14ac:dyDescent="0.3">
      <c r="A224" s="79"/>
      <c r="B224" s="80"/>
      <c r="C224" s="106">
        <v>2024</v>
      </c>
      <c r="D224" s="107">
        <v>10</v>
      </c>
      <c r="E224" s="108"/>
      <c r="F224" s="105"/>
      <c r="G224" s="730">
        <v>33805.128008268752</v>
      </c>
      <c r="H224" s="731">
        <v>34194.38449663201</v>
      </c>
      <c r="I224" s="86">
        <f t="shared" si="3"/>
        <v>34392.889813201044</v>
      </c>
      <c r="J224" s="219"/>
      <c r="K224" s="219"/>
      <c r="L224" s="219"/>
      <c r="M224" s="219"/>
      <c r="N224" s="2"/>
    </row>
    <row r="225" spans="1:14" ht="15" customHeight="1" x14ac:dyDescent="0.3">
      <c r="A225" s="219" t="s">
        <v>235</v>
      </c>
      <c r="B225" s="80"/>
      <c r="C225" s="106">
        <v>2025</v>
      </c>
      <c r="D225" s="107">
        <v>11</v>
      </c>
      <c r="E225" s="108">
        <v>34974.081381498065</v>
      </c>
      <c r="F225" s="105">
        <v>34974.081381498065</v>
      </c>
      <c r="G225" s="730">
        <v>34796.200240178281</v>
      </c>
      <c r="H225" s="731">
        <v>35181.745228822278</v>
      </c>
      <c r="I225" s="86">
        <f t="shared" si="3"/>
        <v>35380.250545391311</v>
      </c>
      <c r="J225" s="219"/>
      <c r="K225" s="219"/>
      <c r="L225" s="219"/>
      <c r="M225" s="219"/>
      <c r="N225" s="2"/>
    </row>
    <row r="226" spans="1:14" ht="15" customHeight="1" x14ac:dyDescent="0.3">
      <c r="A226" s="884" t="s">
        <v>236</v>
      </c>
      <c r="B226" s="80"/>
      <c r="C226" s="106">
        <v>2026</v>
      </c>
      <c r="D226" s="107">
        <v>12</v>
      </c>
      <c r="E226" s="108"/>
      <c r="F226" s="105"/>
      <c r="G226" s="730">
        <v>35813.302507617977</v>
      </c>
      <c r="H226" s="731">
        <v>36191.618017696048</v>
      </c>
      <c r="I226" s="86">
        <f t="shared" si="3"/>
        <v>36390.123334265081</v>
      </c>
      <c r="J226" s="219"/>
      <c r="K226" s="219"/>
      <c r="L226" s="219"/>
      <c r="M226" s="219"/>
      <c r="N226" s="2"/>
    </row>
    <row r="227" spans="1:14" ht="14.4" x14ac:dyDescent="0.3">
      <c r="A227" s="884"/>
      <c r="B227" s="80"/>
      <c r="C227" s="106">
        <v>2027</v>
      </c>
      <c r="D227" s="107">
        <v>13</v>
      </c>
      <c r="E227" s="108"/>
      <c r="F227" s="105"/>
      <c r="G227" s="730">
        <v>36857.771067567803</v>
      </c>
      <c r="H227" s="731">
        <v>37225.592304300146</v>
      </c>
      <c r="I227" s="86">
        <f t="shared" si="3"/>
        <v>37424.097620869179</v>
      </c>
      <c r="J227" s="79"/>
      <c r="K227" s="79"/>
      <c r="L227" s="219"/>
      <c r="M227" s="219"/>
      <c r="N227" s="2"/>
    </row>
    <row r="228" spans="1:14" ht="14.4" x14ac:dyDescent="0.3">
      <c r="A228" s="884"/>
      <c r="B228" s="80"/>
      <c r="C228" s="106">
        <v>2028</v>
      </c>
      <c r="D228" s="107">
        <v>14</v>
      </c>
      <c r="E228" s="108"/>
      <c r="F228" s="105"/>
      <c r="G228" s="730">
        <v>37930.942177007746</v>
      </c>
      <c r="H228" s="731">
        <v>38284.957073200581</v>
      </c>
      <c r="I228" s="86">
        <f t="shared" si="3"/>
        <v>38483.462389769615</v>
      </c>
      <c r="J228" s="79"/>
      <c r="K228" s="79"/>
      <c r="L228" s="219"/>
      <c r="M228" s="219"/>
      <c r="N228" s="2"/>
    </row>
    <row r="229" spans="1:14" ht="14.4" x14ac:dyDescent="0.3">
      <c r="A229" s="884"/>
      <c r="B229" s="80"/>
      <c r="C229" s="106">
        <v>2029</v>
      </c>
      <c r="D229" s="107">
        <v>15</v>
      </c>
      <c r="E229" s="108"/>
      <c r="F229" s="105"/>
      <c r="G229" s="730">
        <v>39034.152092917779</v>
      </c>
      <c r="H229" s="731">
        <v>39371.016629207043</v>
      </c>
      <c r="I229" s="86">
        <f t="shared" si="3"/>
        <v>39569.521945776076</v>
      </c>
      <c r="J229" s="79"/>
      <c r="K229" s="79"/>
      <c r="L229" s="219"/>
      <c r="M229" s="219"/>
      <c r="N229" s="2"/>
    </row>
    <row r="230" spans="1:14" ht="14.4" x14ac:dyDescent="0.3">
      <c r="A230" s="884"/>
      <c r="B230" s="80"/>
      <c r="C230" s="106">
        <v>2030</v>
      </c>
      <c r="D230" s="107">
        <v>16</v>
      </c>
      <c r="E230" s="108">
        <v>40356.214538277316</v>
      </c>
      <c r="F230" s="105">
        <v>40356.214538277316</v>
      </c>
      <c r="G230" s="730">
        <v>40168.73707227788</v>
      </c>
      <c r="H230" s="731">
        <v>40485.046883124793</v>
      </c>
      <c r="I230" s="86">
        <f t="shared" si="3"/>
        <v>40683.552199693826</v>
      </c>
      <c r="J230" s="79"/>
      <c r="K230" s="79"/>
      <c r="L230" s="219"/>
      <c r="M230" s="219"/>
      <c r="N230" s="2"/>
    </row>
    <row r="231" spans="1:14" ht="14.4" x14ac:dyDescent="0.3">
      <c r="A231" s="884"/>
      <c r="B231" s="80"/>
      <c r="C231" s="106">
        <v>2031</v>
      </c>
      <c r="D231" s="107">
        <v>17</v>
      </c>
      <c r="E231" s="108"/>
      <c r="F231" s="105"/>
      <c r="G231" s="730">
        <v>41336.033372068036</v>
      </c>
      <c r="H231" s="731">
        <v>41628.296695887067</v>
      </c>
      <c r="I231" s="86">
        <f t="shared" si="3"/>
        <v>41826.802012456101</v>
      </c>
      <c r="J231" s="79"/>
      <c r="K231" s="79"/>
      <c r="L231" s="219"/>
      <c r="M231" s="219"/>
      <c r="N231" s="2"/>
    </row>
    <row r="232" spans="1:14" ht="14.4" x14ac:dyDescent="0.3">
      <c r="A232" s="884"/>
      <c r="B232" s="80"/>
      <c r="C232" s="106">
        <v>2032</v>
      </c>
      <c r="D232" s="107">
        <v>18</v>
      </c>
      <c r="E232" s="108"/>
      <c r="F232" s="105"/>
      <c r="G232" s="730">
        <v>42537.377249268218</v>
      </c>
      <c r="H232" s="731">
        <v>42802.145461880638</v>
      </c>
      <c r="I232" s="86">
        <f t="shared" si="3"/>
        <v>43000.650778449672</v>
      </c>
      <c r="J232" s="79"/>
      <c r="K232" s="79"/>
      <c r="L232" s="219"/>
      <c r="M232" s="219"/>
      <c r="N232" s="2"/>
    </row>
    <row r="233" spans="1:14" ht="14.4" x14ac:dyDescent="0.3">
      <c r="A233" s="884"/>
      <c r="B233" s="80"/>
      <c r="C233" s="106">
        <v>2033</v>
      </c>
      <c r="D233" s="107">
        <v>19</v>
      </c>
      <c r="E233" s="108"/>
      <c r="F233" s="105"/>
      <c r="G233" s="730">
        <v>43774.104960858407</v>
      </c>
      <c r="H233" s="731">
        <v>44008.291382100368</v>
      </c>
      <c r="I233" s="86">
        <f t="shared" si="3"/>
        <v>44206.796698669401</v>
      </c>
      <c r="J233" s="79"/>
      <c r="K233" s="79"/>
      <c r="L233" s="219"/>
      <c r="M233" s="219"/>
      <c r="N233" s="2"/>
    </row>
    <row r="234" spans="1:14" ht="14.4" x14ac:dyDescent="0.3">
      <c r="A234" s="884"/>
      <c r="B234" s="80"/>
      <c r="C234" s="106">
        <v>2034</v>
      </c>
      <c r="D234" s="107">
        <v>20</v>
      </c>
      <c r="E234" s="108"/>
      <c r="F234" s="105"/>
      <c r="G234" s="730">
        <v>45047.552763818581</v>
      </c>
      <c r="H234" s="731">
        <v>45248.602121038013</v>
      </c>
      <c r="I234" s="86">
        <f t="shared" si="3"/>
        <v>45447.107437607046</v>
      </c>
      <c r="J234" s="79"/>
      <c r="K234" s="79"/>
      <c r="L234" s="219"/>
      <c r="M234" s="219"/>
      <c r="N234" s="2"/>
    </row>
    <row r="235" spans="1:14" ht="14.4" x14ac:dyDescent="0.3">
      <c r="A235" s="884"/>
      <c r="B235" s="80"/>
      <c r="C235" s="106">
        <v>2035</v>
      </c>
      <c r="D235" s="107">
        <v>21</v>
      </c>
      <c r="E235" s="108">
        <v>46071.971545718879</v>
      </c>
      <c r="F235" s="105">
        <v>46071.971545718879</v>
      </c>
      <c r="G235" s="730">
        <v>46359.05691512872</v>
      </c>
      <c r="H235" s="731">
        <v>46524.815598688481</v>
      </c>
      <c r="I235" s="86">
        <f t="shared" si="3"/>
        <v>46723.320915257515</v>
      </c>
      <c r="J235" s="79"/>
      <c r="K235" s="79"/>
      <c r="L235" s="219"/>
      <c r="M235" s="219"/>
      <c r="N235" s="2"/>
    </row>
    <row r="236" spans="1:14" ht="14.4" x14ac:dyDescent="0.3">
      <c r="A236" s="884"/>
      <c r="B236" s="80"/>
      <c r="C236" s="106">
        <v>2036</v>
      </c>
      <c r="D236" s="107">
        <v>22</v>
      </c>
      <c r="E236" s="108"/>
      <c r="F236" s="105"/>
      <c r="G236" s="730">
        <v>47709.953671768795</v>
      </c>
      <c r="H236" s="731">
        <v>47838.4219157361</v>
      </c>
      <c r="I236" s="86">
        <f t="shared" si="3"/>
        <v>48036.927232305134</v>
      </c>
      <c r="J236" s="79"/>
      <c r="K236" s="79"/>
      <c r="L236" s="219"/>
      <c r="M236" s="219"/>
      <c r="N236" s="2"/>
    </row>
    <row r="237" spans="1:14" ht="14.4" x14ac:dyDescent="0.3">
      <c r="A237" s="884"/>
      <c r="B237" s="80"/>
      <c r="C237" s="106">
        <v>2037</v>
      </c>
      <c r="D237" s="107">
        <v>23</v>
      </c>
      <c r="E237" s="108"/>
      <c r="F237" s="105"/>
      <c r="G237" s="730">
        <v>49101.579290718793</v>
      </c>
      <c r="H237" s="731">
        <v>49190.634548834496</v>
      </c>
      <c r="I237" s="86">
        <f t="shared" si="3"/>
        <v>49389.139865403529</v>
      </c>
      <c r="J237" s="79"/>
      <c r="K237" s="79"/>
      <c r="L237" s="219"/>
      <c r="M237" s="219"/>
      <c r="N237" s="2"/>
    </row>
    <row r="238" spans="1:14" ht="14.4" x14ac:dyDescent="0.3">
      <c r="A238" s="884"/>
      <c r="B238" s="80"/>
      <c r="C238" s="106">
        <v>2038</v>
      </c>
      <c r="D238" s="107">
        <v>24</v>
      </c>
      <c r="E238" s="108"/>
      <c r="F238" s="105"/>
      <c r="G238" s="730">
        <v>50535.270028958694</v>
      </c>
      <c r="H238" s="731">
        <v>50582.570111521192</v>
      </c>
      <c r="I238" s="86">
        <f t="shared" si="3"/>
        <v>50781.075428090226</v>
      </c>
      <c r="J238" s="79"/>
      <c r="K238" s="79"/>
      <c r="L238" s="219"/>
      <c r="M238" s="219"/>
      <c r="N238" s="2"/>
    </row>
    <row r="239" spans="1:14" ht="14.4" x14ac:dyDescent="0.3">
      <c r="A239" s="884"/>
      <c r="B239" s="80"/>
      <c r="C239" s="106">
        <v>2039</v>
      </c>
      <c r="D239" s="107">
        <v>25</v>
      </c>
      <c r="E239" s="108"/>
      <c r="F239" s="105"/>
      <c r="G239" s="730">
        <v>52012.362143468468</v>
      </c>
      <c r="H239" s="731">
        <v>52015.185072464054</v>
      </c>
      <c r="I239" s="86">
        <f t="shared" si="3"/>
        <v>52213.690389033087</v>
      </c>
      <c r="J239" s="79"/>
      <c r="K239" s="79"/>
      <c r="L239" s="219"/>
      <c r="M239" s="219"/>
      <c r="N239" s="2"/>
    </row>
    <row r="240" spans="1:14" ht="14.4" x14ac:dyDescent="0.3">
      <c r="A240" s="884"/>
      <c r="B240" s="80"/>
      <c r="C240" s="106">
        <v>2040</v>
      </c>
      <c r="D240" s="107">
        <v>26</v>
      </c>
      <c r="E240" s="108">
        <v>53363.663865012655</v>
      </c>
      <c r="F240" s="105">
        <v>53363.663865012655</v>
      </c>
      <c r="G240" s="730">
        <v>53534.191891228096</v>
      </c>
      <c r="H240" s="731">
        <v>53489.457972459903</v>
      </c>
      <c r="I240" s="86">
        <f t="shared" si="3"/>
        <v>53687.963289028936</v>
      </c>
      <c r="J240" s="79"/>
      <c r="K240" s="79"/>
      <c r="L240" s="219"/>
      <c r="M240" s="219"/>
      <c r="N240" s="2"/>
    </row>
    <row r="241" spans="1:14" ht="14.4" x14ac:dyDescent="0.3">
      <c r="A241" s="884"/>
      <c r="B241" s="80"/>
      <c r="C241" s="106">
        <v>2041</v>
      </c>
      <c r="D241" s="107">
        <v>27</v>
      </c>
      <c r="E241" s="108"/>
      <c r="F241" s="105"/>
      <c r="G241" s="730">
        <v>55102.095529217557</v>
      </c>
      <c r="H241" s="731">
        <v>55006.545761552312</v>
      </c>
      <c r="I241" s="86">
        <f t="shared" si="3"/>
        <v>55205.051078121345</v>
      </c>
      <c r="J241" s="79"/>
      <c r="K241" s="79"/>
      <c r="L241" s="219"/>
      <c r="M241" s="219"/>
      <c r="N241" s="2"/>
    </row>
    <row r="242" spans="1:14" ht="14.4" x14ac:dyDescent="0.3">
      <c r="A242" s="884"/>
      <c r="B242" s="80"/>
      <c r="C242" s="106">
        <v>2042</v>
      </c>
      <c r="D242" s="107">
        <v>28</v>
      </c>
      <c r="E242" s="108"/>
      <c r="F242" s="105"/>
      <c r="G242" s="730">
        <v>56717.409314416836</v>
      </c>
      <c r="H242" s="731">
        <v>56567.660524730534</v>
      </c>
      <c r="I242" s="86">
        <f t="shared" si="3"/>
        <v>56766.165841299568</v>
      </c>
      <c r="J242" s="79"/>
      <c r="K242" s="79"/>
      <c r="L242" s="219"/>
      <c r="M242" s="219"/>
      <c r="N242" s="2"/>
    </row>
    <row r="243" spans="1:14" ht="14.4" x14ac:dyDescent="0.3">
      <c r="A243" s="884"/>
      <c r="B243" s="80"/>
      <c r="C243" s="106">
        <v>2043</v>
      </c>
      <c r="D243" s="107">
        <v>29</v>
      </c>
      <c r="E243" s="108"/>
      <c r="F243" s="105"/>
      <c r="G243" s="730">
        <v>58381.469503805893</v>
      </c>
      <c r="H243" s="731">
        <v>58173.836979418498</v>
      </c>
      <c r="I243" s="86">
        <f t="shared" si="3"/>
        <v>58372.342295987532</v>
      </c>
      <c r="J243" s="79"/>
      <c r="K243" s="79"/>
      <c r="L243" s="219"/>
      <c r="M243" s="219"/>
      <c r="N243" s="2"/>
    </row>
    <row r="244" spans="1:14" ht="14.4" x14ac:dyDescent="0.3">
      <c r="A244" s="884"/>
      <c r="B244" s="80"/>
      <c r="C244" s="106">
        <v>2044</v>
      </c>
      <c r="D244" s="107">
        <v>30</v>
      </c>
      <c r="E244" s="108"/>
      <c r="F244" s="105"/>
      <c r="G244" s="730">
        <v>60095.612354364734</v>
      </c>
      <c r="H244" s="731">
        <v>59826.068408533785</v>
      </c>
      <c r="I244" s="86">
        <f t="shared" si="3"/>
        <v>60024.573725102819</v>
      </c>
      <c r="J244" s="79"/>
      <c r="K244" s="79"/>
      <c r="L244" s="219"/>
      <c r="M244" s="219"/>
      <c r="N244" s="2"/>
    </row>
    <row r="245" spans="1:14" ht="14.4" x14ac:dyDescent="0.3">
      <c r="A245" s="884"/>
      <c r="B245" s="80"/>
      <c r="C245" s="106">
        <v>2045</v>
      </c>
      <c r="D245" s="107">
        <v>31</v>
      </c>
      <c r="E245" s="108">
        <v>61910.435578983423</v>
      </c>
      <c r="F245" s="105">
        <v>61910.435578983423</v>
      </c>
      <c r="G245" s="730">
        <v>61861.17412307331</v>
      </c>
      <c r="H245" s="731">
        <v>61525.32460617234</v>
      </c>
      <c r="I245" s="86">
        <f t="shared" si="3"/>
        <v>61723.829922741374</v>
      </c>
      <c r="J245" s="79"/>
      <c r="K245" s="79"/>
      <c r="L245" s="219"/>
      <c r="M245" s="219"/>
      <c r="N245" s="2"/>
    </row>
    <row r="246" spans="1:14" ht="14.4" x14ac:dyDescent="0.3">
      <c r="A246" s="884"/>
      <c r="B246" s="80"/>
      <c r="C246" s="106">
        <v>2046</v>
      </c>
      <c r="D246" s="107">
        <v>32</v>
      </c>
      <c r="E246" s="108"/>
      <c r="F246" s="105"/>
      <c r="G246" s="730">
        <v>63679.491066911622</v>
      </c>
      <c r="H246" s="731">
        <v>63272.6016066874</v>
      </c>
      <c r="I246" s="86">
        <f t="shared" si="3"/>
        <v>63471.106923256433</v>
      </c>
      <c r="J246" s="79"/>
      <c r="K246" s="79"/>
      <c r="L246" s="219"/>
      <c r="M246" s="219"/>
      <c r="N246" s="2"/>
    </row>
    <row r="247" spans="1:14" ht="14.4" x14ac:dyDescent="0.3">
      <c r="A247" s="884"/>
      <c r="B247" s="80"/>
      <c r="C247" s="106">
        <v>2047</v>
      </c>
      <c r="D247" s="107">
        <v>33</v>
      </c>
      <c r="E247" s="108"/>
      <c r="F247" s="105"/>
      <c r="G247" s="730">
        <v>65551.899442859634</v>
      </c>
      <c r="H247" s="731">
        <v>65068.865524575587</v>
      </c>
      <c r="I247" s="86">
        <f t="shared" si="3"/>
        <v>65267.37084114462</v>
      </c>
      <c r="J247" s="79"/>
      <c r="K247" s="79"/>
      <c r="L247" s="219"/>
      <c r="M247" s="219"/>
      <c r="N247" s="2"/>
    </row>
    <row r="248" spans="1:14" ht="14.4" x14ac:dyDescent="0.3">
      <c r="A248" s="884"/>
      <c r="B248" s="80"/>
      <c r="C248" s="106">
        <v>2048</v>
      </c>
      <c r="D248" s="107">
        <v>34</v>
      </c>
      <c r="E248" s="108"/>
      <c r="F248" s="105"/>
      <c r="G248" s="730">
        <v>67479.735507897334</v>
      </c>
      <c r="H248" s="731">
        <v>66914.990356668714</v>
      </c>
      <c r="I248" s="86">
        <f t="shared" si="3"/>
        <v>67113.495673237747</v>
      </c>
      <c r="J248" s="79"/>
      <c r="K248" s="79"/>
      <c r="L248" s="219"/>
      <c r="M248" s="219"/>
      <c r="N248" s="2"/>
    </row>
    <row r="249" spans="1:14" ht="14.4" x14ac:dyDescent="0.3">
      <c r="A249" s="79"/>
      <c r="B249" s="79"/>
      <c r="C249" s="106">
        <v>2049</v>
      </c>
      <c r="D249" s="107">
        <v>35</v>
      </c>
      <c r="E249" s="108"/>
      <c r="F249" s="105"/>
      <c r="G249" s="730">
        <v>69464.335519004671</v>
      </c>
      <c r="H249" s="731">
        <v>68811.80091924929</v>
      </c>
      <c r="I249" s="86">
        <f t="shared" si="3"/>
        <v>69010.306235818323</v>
      </c>
      <c r="J249" s="79"/>
      <c r="K249" s="79"/>
      <c r="L249" s="219"/>
      <c r="M249" s="219"/>
      <c r="N249" s="2"/>
    </row>
    <row r="250" spans="1:14" ht="14.4" x14ac:dyDescent="0.3">
      <c r="A250" s="79"/>
      <c r="B250" s="79"/>
      <c r="C250" s="106">
        <v>2050</v>
      </c>
      <c r="D250" s="111">
        <v>36</v>
      </c>
      <c r="E250" s="108">
        <v>71577.864982708226</v>
      </c>
      <c r="F250" s="105">
        <v>71577.864982708226</v>
      </c>
      <c r="G250" s="740">
        <v>71507.035733161669</v>
      </c>
      <c r="H250" s="741">
        <v>70760.104380264354</v>
      </c>
      <c r="I250" s="86">
        <f t="shared" si="3"/>
        <v>70958.609696833388</v>
      </c>
      <c r="J250" s="79"/>
      <c r="K250" s="79"/>
      <c r="L250" s="219"/>
      <c r="M250" s="219"/>
      <c r="N250" s="2"/>
    </row>
    <row r="251" spans="1:14" ht="14.4" x14ac:dyDescent="0.3">
      <c r="A251" s="79"/>
      <c r="B251" s="79"/>
      <c r="C251" s="106">
        <v>2051</v>
      </c>
      <c r="D251" s="107">
        <v>37</v>
      </c>
      <c r="E251" s="108"/>
      <c r="F251" s="105"/>
      <c r="G251" s="730">
        <v>73609.172407348291</v>
      </c>
      <c r="H251" s="731">
        <v>72760.783626909018</v>
      </c>
      <c r="I251" s="86">
        <f t="shared" si="3"/>
        <v>72959.288943478052</v>
      </c>
      <c r="J251" s="79"/>
      <c r="K251" s="79"/>
      <c r="L251" s="219"/>
      <c r="M251" s="219"/>
      <c r="N251" s="2"/>
    </row>
    <row r="252" spans="1:14" ht="14.4" x14ac:dyDescent="0.3">
      <c r="A252" s="79"/>
      <c r="B252" s="79"/>
      <c r="C252" s="106">
        <v>2052</v>
      </c>
      <c r="D252" s="107">
        <v>38</v>
      </c>
      <c r="E252" s="108"/>
      <c r="F252" s="105"/>
      <c r="G252" s="730">
        <v>75772.081798544488</v>
      </c>
      <c r="H252" s="731">
        <v>74814.679086841657</v>
      </c>
      <c r="I252" s="86">
        <f t="shared" si="3"/>
        <v>75013.184403410691</v>
      </c>
      <c r="J252" s="79"/>
      <c r="K252" s="79"/>
      <c r="L252" s="219"/>
      <c r="M252" s="219"/>
      <c r="N252" s="2"/>
    </row>
    <row r="253" spans="1:14" ht="14.4" x14ac:dyDescent="0.3">
      <c r="A253" s="79"/>
      <c r="B253" s="79"/>
      <c r="C253" s="106">
        <v>2053</v>
      </c>
      <c r="D253" s="107">
        <v>39</v>
      </c>
      <c r="E253" s="108"/>
      <c r="F253" s="105"/>
      <c r="G253" s="730">
        <v>77997.100163730269</v>
      </c>
      <c r="H253" s="731">
        <v>76922.478790117297</v>
      </c>
      <c r="I253" s="86">
        <f t="shared" si="3"/>
        <v>77120.98410668633</v>
      </c>
      <c r="J253" s="79"/>
      <c r="K253" s="79"/>
      <c r="L253" s="219"/>
      <c r="M253" s="219"/>
      <c r="N253" s="2"/>
    </row>
    <row r="254" spans="1:14" ht="14.4" x14ac:dyDescent="0.3">
      <c r="A254" s="79"/>
      <c r="B254" s="79"/>
      <c r="C254" s="106">
        <v>2054</v>
      </c>
      <c r="D254" s="107">
        <v>40</v>
      </c>
      <c r="E254" s="108"/>
      <c r="F254" s="105"/>
      <c r="G254" s="730">
        <v>80285.563759885612</v>
      </c>
      <c r="H254" s="731">
        <v>79084.800260807693</v>
      </c>
      <c r="I254" s="86">
        <f t="shared" si="3"/>
        <v>79283.305577376726</v>
      </c>
      <c r="J254" s="79"/>
      <c r="K254" s="79"/>
      <c r="L254" s="219"/>
      <c r="M254" s="219"/>
      <c r="N254" s="2"/>
    </row>
    <row r="255" spans="1:14" ht="14.4" x14ac:dyDescent="0.3">
      <c r="A255" s="79"/>
      <c r="B255" s="79"/>
      <c r="C255" s="106">
        <v>2055</v>
      </c>
      <c r="D255" s="111">
        <v>41</v>
      </c>
      <c r="E255" s="108"/>
      <c r="F255" s="105"/>
      <c r="G255" s="740">
        <v>82638.808843990468</v>
      </c>
      <c r="H255" s="741">
        <v>81302.298609623351</v>
      </c>
      <c r="I255" s="86">
        <f t="shared" si="3"/>
        <v>81500.803926192384</v>
      </c>
      <c r="J255" s="79"/>
      <c r="K255" s="79"/>
      <c r="L255" s="219"/>
      <c r="M255" s="219"/>
      <c r="N255" s="2"/>
    </row>
    <row r="256" spans="1:14" ht="14.4" x14ac:dyDescent="0.3">
      <c r="A256" s="79"/>
      <c r="B256" s="79"/>
      <c r="C256" s="106">
        <v>2056</v>
      </c>
      <c r="D256" s="107">
        <v>42</v>
      </c>
      <c r="E256" s="108"/>
      <c r="F256" s="105"/>
      <c r="G256" s="730">
        <v>85058.171673024844</v>
      </c>
      <c r="H256" s="731">
        <v>83575.693223367416</v>
      </c>
      <c r="I256" s="86">
        <f t="shared" si="3"/>
        <v>83774.198539936449</v>
      </c>
      <c r="J256" s="79"/>
      <c r="K256" s="79"/>
      <c r="L256" s="219"/>
      <c r="M256" s="219"/>
      <c r="N256" s="2"/>
    </row>
    <row r="257" spans="1:18" ht="14.4" x14ac:dyDescent="0.3">
      <c r="A257" s="79"/>
      <c r="B257" s="79"/>
      <c r="C257" s="106">
        <v>2057</v>
      </c>
      <c r="D257" s="107">
        <v>43</v>
      </c>
      <c r="E257" s="108"/>
      <c r="F257" s="105"/>
      <c r="G257" s="730">
        <v>87544.988503968721</v>
      </c>
      <c r="H257" s="731">
        <v>85905.804255504321</v>
      </c>
      <c r="I257" s="86">
        <f t="shared" si="3"/>
        <v>86104.309572073355</v>
      </c>
      <c r="J257" s="79"/>
      <c r="K257" s="79"/>
      <c r="L257" s="219"/>
      <c r="M257" s="219"/>
      <c r="N257" s="2"/>
    </row>
    <row r="258" spans="1:18" ht="14.4" x14ac:dyDescent="0.3">
      <c r="A258" s="79"/>
      <c r="B258" s="79"/>
      <c r="C258" s="106">
        <v>2058</v>
      </c>
      <c r="D258" s="107">
        <v>44</v>
      </c>
      <c r="E258" s="108"/>
      <c r="F258" s="105"/>
      <c r="G258" s="730">
        <v>90100.595593802049</v>
      </c>
      <c r="H258" s="731">
        <v>88293.51248265442</v>
      </c>
      <c r="I258" s="86">
        <f t="shared" si="3"/>
        <v>88492.017799223453</v>
      </c>
      <c r="J258" s="79"/>
      <c r="K258" s="79"/>
      <c r="L258" s="219"/>
      <c r="M258" s="219"/>
      <c r="N258" s="2"/>
    </row>
    <row r="259" spans="1:18" ht="14.4" x14ac:dyDescent="0.3">
      <c r="A259" s="79"/>
      <c r="B259" s="79"/>
      <c r="C259" s="106">
        <v>2059</v>
      </c>
      <c r="D259" s="107">
        <v>45</v>
      </c>
      <c r="E259" s="108"/>
      <c r="F259" s="105"/>
      <c r="G259" s="730">
        <v>92726.329199504806</v>
      </c>
      <c r="H259" s="731">
        <v>90739.769415188377</v>
      </c>
      <c r="I259" s="86">
        <f t="shared" si="3"/>
        <v>90938.27473175741</v>
      </c>
      <c r="J259" s="79"/>
      <c r="K259" s="79"/>
      <c r="L259" s="219"/>
      <c r="M259" s="219"/>
      <c r="N259" s="2"/>
    </row>
    <row r="260" spans="1:18" ht="14.4" x14ac:dyDescent="0.3">
      <c r="A260" s="79"/>
      <c r="B260" s="79"/>
      <c r="C260" s="112">
        <v>2060</v>
      </c>
      <c r="D260" s="111">
        <v>46</v>
      </c>
      <c r="E260" s="108"/>
      <c r="F260" s="105"/>
      <c r="G260" s="740">
        <v>95423.525578057015</v>
      </c>
      <c r="H260" s="741">
        <v>93245.508228502338</v>
      </c>
      <c r="I260" s="86">
        <f t="shared" si="3"/>
        <v>93444.013545071371</v>
      </c>
      <c r="J260" s="79"/>
      <c r="K260" s="79"/>
      <c r="L260" s="219"/>
      <c r="M260" s="219"/>
      <c r="N260" s="2"/>
    </row>
    <row r="261" spans="1:18" ht="14.4" x14ac:dyDescent="0.3">
      <c r="A261" s="79"/>
      <c r="C261" s="2"/>
      <c r="D261" s="2"/>
      <c r="E261" s="2"/>
      <c r="F261" s="2"/>
      <c r="G261" s="2"/>
      <c r="H261" s="2"/>
      <c r="I261" s="5"/>
      <c r="J261" s="5"/>
      <c r="K261" s="5"/>
      <c r="L261" s="5"/>
      <c r="M261" s="5"/>
      <c r="N261" s="2"/>
    </row>
    <row r="262" spans="1:18" ht="14.4" x14ac:dyDescent="0.3">
      <c r="A262" s="2"/>
      <c r="C262" s="2"/>
      <c r="D262" s="2"/>
      <c r="E262" s="2"/>
      <c r="F262" s="2"/>
      <c r="G262" s="2"/>
      <c r="H262" s="2"/>
      <c r="I262" s="2"/>
      <c r="J262" s="2"/>
      <c r="K262" s="2"/>
      <c r="L262" s="2"/>
      <c r="M262" s="2"/>
      <c r="N262" s="2"/>
    </row>
    <row r="263" spans="1:18" ht="15" customHeight="1" x14ac:dyDescent="0.3">
      <c r="A263" s="231" t="s">
        <v>190</v>
      </c>
    </row>
    <row r="265" spans="1:18" ht="15" customHeight="1" x14ac:dyDescent="0.3">
      <c r="C265" s="887" t="s">
        <v>301</v>
      </c>
      <c r="D265" s="887"/>
      <c r="E265" s="887"/>
      <c r="F265" s="887"/>
      <c r="G265" s="887"/>
      <c r="H265" s="887"/>
      <c r="I265" s="887"/>
      <c r="J265" s="887"/>
      <c r="K265" s="887"/>
      <c r="L265" s="887"/>
      <c r="M265" s="887"/>
      <c r="N265" s="887"/>
      <c r="O265" s="887"/>
      <c r="P265" s="887"/>
      <c r="Q265" s="887"/>
      <c r="R265" s="887"/>
    </row>
    <row r="266" spans="1:18" ht="15" customHeight="1" x14ac:dyDescent="0.3">
      <c r="A266" s="71">
        <f>1+A201</f>
        <v>5</v>
      </c>
      <c r="B266" s="72" t="s">
        <v>279</v>
      </c>
      <c r="C266" s="73"/>
      <c r="D266" s="73"/>
      <c r="E266" s="73"/>
      <c r="F266" s="73"/>
      <c r="G266" s="73"/>
      <c r="H266" s="73"/>
      <c r="I266" s="73"/>
      <c r="J266" s="73"/>
      <c r="K266" s="73"/>
    </row>
    <row r="267" spans="1:18" ht="15" customHeight="1" x14ac:dyDescent="0.3">
      <c r="A267" s="74" t="s">
        <v>74</v>
      </c>
      <c r="B267" s="75"/>
      <c r="C267" s="75"/>
      <c r="D267" s="76"/>
      <c r="E267" s="77"/>
      <c r="F267" s="862"/>
      <c r="G267" s="77"/>
      <c r="H267" s="78"/>
      <c r="I267" s="79"/>
      <c r="J267" s="79"/>
      <c r="K267" s="79"/>
    </row>
    <row r="268" spans="1:18" ht="15" customHeight="1" thickBot="1" x14ac:dyDescent="0.35">
      <c r="A268" s="110" t="s">
        <v>75</v>
      </c>
      <c r="B268" s="80"/>
      <c r="C268" s="80"/>
      <c r="D268" s="81"/>
      <c r="E268" s="109" t="s">
        <v>78</v>
      </c>
      <c r="F268" s="863"/>
      <c r="G268" s="789" t="s">
        <v>110</v>
      </c>
      <c r="H268" s="790"/>
      <c r="I268" s="79"/>
      <c r="J268" s="79"/>
      <c r="K268" s="79"/>
    </row>
    <row r="269" spans="1:18" ht="45.6" customHeight="1" thickBot="1" x14ac:dyDescent="0.35">
      <c r="A269" s="82"/>
      <c r="B269" s="82"/>
      <c r="C269" s="82"/>
      <c r="D269" s="83"/>
      <c r="E269" s="101" t="s">
        <v>224</v>
      </c>
      <c r="F269" s="101" t="s">
        <v>225</v>
      </c>
      <c r="G269" s="789" t="s">
        <v>81</v>
      </c>
      <c r="H269" s="791" t="s">
        <v>82</v>
      </c>
      <c r="I269" s="101" t="s">
        <v>234</v>
      </c>
      <c r="J269" s="747" t="s">
        <v>754</v>
      </c>
      <c r="K269" s="865" t="s">
        <v>226</v>
      </c>
      <c r="L269" s="866"/>
    </row>
    <row r="270" spans="1:18" ht="15" customHeight="1" x14ac:dyDescent="0.3">
      <c r="A270" s="74" t="s">
        <v>85</v>
      </c>
      <c r="B270" s="82"/>
      <c r="C270" s="102">
        <v>2005</v>
      </c>
      <c r="D270" s="103">
        <v>-9</v>
      </c>
      <c r="E270" s="226"/>
      <c r="F270" s="226"/>
      <c r="G270" s="792">
        <v>1364196447822.0186</v>
      </c>
      <c r="H270" s="793">
        <v>1364196447822.0186</v>
      </c>
      <c r="I270" s="233">
        <f>H270+$L$280</f>
        <v>1562701764391.0527</v>
      </c>
      <c r="J270" s="871" t="s">
        <v>86</v>
      </c>
      <c r="K270" s="867"/>
      <c r="L270" s="868"/>
    </row>
    <row r="271" spans="1:18" ht="15" customHeight="1" x14ac:dyDescent="0.3">
      <c r="A271" s="110" t="s">
        <v>87</v>
      </c>
      <c r="B271" s="82"/>
      <c r="C271" s="106">
        <v>2006</v>
      </c>
      <c r="D271" s="107">
        <v>-8</v>
      </c>
      <c r="E271" s="228"/>
      <c r="F271" s="226"/>
      <c r="G271" s="794">
        <v>1428856360531.9092</v>
      </c>
      <c r="H271" s="795">
        <v>1428856360531.9092</v>
      </c>
      <c r="I271" s="227">
        <f t="shared" ref="I271:I325" si="4">H271+$L$280</f>
        <v>1627361677100.9434</v>
      </c>
      <c r="J271" s="867"/>
      <c r="K271" s="867"/>
      <c r="L271" s="868"/>
    </row>
    <row r="272" spans="1:18" ht="15" customHeight="1" x14ac:dyDescent="0.3">
      <c r="A272" s="82"/>
      <c r="B272" s="82"/>
      <c r="C272" s="106">
        <v>2007</v>
      </c>
      <c r="D272" s="107">
        <v>-7</v>
      </c>
      <c r="E272" s="228"/>
      <c r="F272" s="226"/>
      <c r="G272" s="794">
        <v>1497725320707.6453</v>
      </c>
      <c r="H272" s="795">
        <v>1497725320707.6453</v>
      </c>
      <c r="I272" s="229">
        <f t="shared" si="4"/>
        <v>1696230637276.6792</v>
      </c>
      <c r="J272" s="867"/>
      <c r="K272" s="867"/>
      <c r="L272" s="868"/>
    </row>
    <row r="273" spans="1:13" ht="15" customHeight="1" x14ac:dyDescent="0.3">
      <c r="A273" s="29" t="s">
        <v>88</v>
      </c>
      <c r="B273" s="82"/>
      <c r="C273" s="106">
        <v>2008</v>
      </c>
      <c r="D273" s="107">
        <v>-6</v>
      </c>
      <c r="E273" s="228"/>
      <c r="F273" s="226"/>
      <c r="G273" s="794">
        <v>1570761925017.6592</v>
      </c>
      <c r="H273" s="795">
        <v>1570761925017.6592</v>
      </c>
      <c r="I273" s="229">
        <f t="shared" si="4"/>
        <v>1769267241586.6934</v>
      </c>
      <c r="J273" s="867"/>
      <c r="K273" s="869"/>
      <c r="L273" s="870"/>
    </row>
    <row r="274" spans="1:13" ht="15" customHeight="1" x14ac:dyDescent="0.3">
      <c r="A274" s="886" t="s">
        <v>280</v>
      </c>
      <c r="B274" s="82"/>
      <c r="C274" s="106">
        <v>2009</v>
      </c>
      <c r="D274" s="107">
        <v>-5</v>
      </c>
      <c r="E274" s="228"/>
      <c r="F274" s="226"/>
      <c r="G274" s="794">
        <v>1647924770130.3838</v>
      </c>
      <c r="H274" s="795">
        <v>1647924770130.3838</v>
      </c>
      <c r="I274" s="229">
        <f t="shared" si="4"/>
        <v>1846430086699.418</v>
      </c>
      <c r="J274" s="867"/>
      <c r="K274" s="79"/>
      <c r="L274" s="79"/>
    </row>
    <row r="275" spans="1:13" ht="15" customHeight="1" x14ac:dyDescent="0.3">
      <c r="A275" s="873"/>
      <c r="B275" s="82"/>
      <c r="C275" s="106">
        <v>2010</v>
      </c>
      <c r="D275" s="107">
        <v>-4</v>
      </c>
      <c r="E275" s="228">
        <v>1709281731148.3171</v>
      </c>
      <c r="F275" s="226">
        <v>1709281731148.3171</v>
      </c>
      <c r="G275" s="794">
        <v>1729172452714.252</v>
      </c>
      <c r="H275" s="795">
        <v>1729172452714.252</v>
      </c>
      <c r="I275" s="229">
        <f t="shared" si="4"/>
        <v>1927677769283.2861</v>
      </c>
      <c r="J275" s="867"/>
      <c r="K275" s="79"/>
      <c r="L275" s="79"/>
    </row>
    <row r="276" spans="1:13" ht="15" customHeight="1" x14ac:dyDescent="0.3">
      <c r="A276" s="873"/>
      <c r="B276" s="82"/>
      <c r="C276" s="106">
        <v>2011</v>
      </c>
      <c r="D276" s="107">
        <v>-3</v>
      </c>
      <c r="E276" s="228"/>
      <c r="F276" s="226"/>
      <c r="G276" s="794">
        <v>1814463569437.6958</v>
      </c>
      <c r="H276" s="795">
        <v>1814463569437.6958</v>
      </c>
      <c r="I276" s="229">
        <f t="shared" si="4"/>
        <v>2012968886006.73</v>
      </c>
      <c r="J276" s="869"/>
      <c r="K276" s="79"/>
      <c r="L276" s="79"/>
    </row>
    <row r="277" spans="1:13" ht="15" customHeight="1" x14ac:dyDescent="0.3">
      <c r="A277" s="874"/>
      <c r="B277" s="82"/>
      <c r="C277" s="106">
        <v>2012</v>
      </c>
      <c r="D277" s="107">
        <v>-2</v>
      </c>
      <c r="E277" s="228"/>
      <c r="F277" s="226"/>
      <c r="G277" s="796">
        <v>1903756716969.1484</v>
      </c>
      <c r="H277" s="797">
        <v>1903756716969.1484</v>
      </c>
      <c r="I277" s="230">
        <f t="shared" si="4"/>
        <v>2102262033538.1826</v>
      </c>
      <c r="J277" s="87" t="s">
        <v>90</v>
      </c>
      <c r="K277" s="79"/>
      <c r="L277" s="79"/>
    </row>
    <row r="278" spans="1:13" ht="15" customHeight="1" x14ac:dyDescent="0.3">
      <c r="A278" s="82"/>
      <c r="B278" s="82"/>
      <c r="C278" s="106">
        <v>2013</v>
      </c>
      <c r="D278" s="107">
        <v>-1</v>
      </c>
      <c r="E278" s="228"/>
      <c r="F278" s="226"/>
      <c r="G278" s="796">
        <v>1997010491977.0427</v>
      </c>
      <c r="H278" s="797">
        <v>1997010491977.0427</v>
      </c>
      <c r="I278" s="230">
        <f t="shared" si="4"/>
        <v>2195515808546.0767</v>
      </c>
      <c r="J278" s="79"/>
      <c r="K278" s="79"/>
      <c r="L278" s="219"/>
      <c r="M278" s="219"/>
    </row>
    <row r="279" spans="1:13" ht="15" customHeight="1" x14ac:dyDescent="0.3">
      <c r="A279" s="77" t="s">
        <v>91</v>
      </c>
      <c r="B279" s="82"/>
      <c r="C279" s="106">
        <v>2014</v>
      </c>
      <c r="D279" s="107">
        <v>0</v>
      </c>
      <c r="E279" s="228"/>
      <c r="F279" s="226"/>
      <c r="G279" s="796">
        <v>2094183491129.8113</v>
      </c>
      <c r="H279" s="797">
        <v>2107313505680.3677</v>
      </c>
      <c r="I279" s="230">
        <f t="shared" si="4"/>
        <v>2305818822249.4019</v>
      </c>
      <c r="J279" s="79"/>
      <c r="K279" s="79"/>
      <c r="L279" s="219"/>
      <c r="M279" s="219"/>
    </row>
    <row r="280" spans="1:13" ht="15" customHeight="1" x14ac:dyDescent="0.3">
      <c r="A280" s="110">
        <v>2016</v>
      </c>
      <c r="B280" s="80"/>
      <c r="C280" s="106">
        <v>2015</v>
      </c>
      <c r="D280" s="107">
        <v>1</v>
      </c>
      <c r="E280" s="228">
        <v>2239046994597.7275</v>
      </c>
      <c r="F280" s="226">
        <v>2239046994597.7275</v>
      </c>
      <c r="G280" s="796">
        <v>2195234311095.8867</v>
      </c>
      <c r="H280" s="797">
        <v>2209168866050.3188</v>
      </c>
      <c r="I280" s="230">
        <f t="shared" si="4"/>
        <v>2407674182619.353</v>
      </c>
      <c r="J280" s="219" t="s">
        <v>233</v>
      </c>
      <c r="K280" s="219"/>
      <c r="L280" s="232">
        <v>198505316569.03406</v>
      </c>
      <c r="M280" s="219" t="s">
        <v>232</v>
      </c>
    </row>
    <row r="281" spans="1:13" ht="15" customHeight="1" x14ac:dyDescent="0.3">
      <c r="A281" s="79"/>
      <c r="B281" s="80"/>
      <c r="C281" s="106">
        <v>2016</v>
      </c>
      <c r="D281" s="107">
        <v>2</v>
      </c>
      <c r="E281" s="228"/>
      <c r="F281" s="226"/>
      <c r="G281" s="796">
        <v>2300121548543.7017</v>
      </c>
      <c r="H281" s="797">
        <v>2314954051439.335</v>
      </c>
      <c r="I281" s="230">
        <f t="shared" si="4"/>
        <v>2513459368008.3691</v>
      </c>
      <c r="J281" s="79"/>
      <c r="K281" s="234"/>
      <c r="L281" s="235" t="s">
        <v>237</v>
      </c>
      <c r="M281" s="236"/>
    </row>
    <row r="282" spans="1:13" ht="15" customHeight="1" x14ac:dyDescent="0.3">
      <c r="A282" s="77" t="s">
        <v>92</v>
      </c>
      <c r="B282" s="80"/>
      <c r="C282" s="106">
        <v>2017</v>
      </c>
      <c r="D282" s="107">
        <v>3</v>
      </c>
      <c r="E282" s="228"/>
      <c r="F282" s="226"/>
      <c r="G282" s="796">
        <v>2408803800141.689</v>
      </c>
      <c r="H282" s="797">
        <v>2424634464142.0952</v>
      </c>
      <c r="I282" s="230">
        <f t="shared" si="4"/>
        <v>2623139780711.1294</v>
      </c>
      <c r="J282" s="79"/>
      <c r="K282" s="79"/>
    </row>
    <row r="283" spans="1:13" ht="15" customHeight="1" x14ac:dyDescent="0.3">
      <c r="A283" s="110" t="s">
        <v>224</v>
      </c>
      <c r="B283" s="80"/>
      <c r="C283" s="106">
        <v>2018</v>
      </c>
      <c r="D283" s="107">
        <v>4</v>
      </c>
      <c r="E283" s="228"/>
      <c r="F283" s="226"/>
      <c r="G283" s="796">
        <v>2521239662558.2813</v>
      </c>
      <c r="H283" s="797">
        <v>2538156605048.5151</v>
      </c>
      <c r="I283" s="230">
        <f t="shared" si="4"/>
        <v>2736661921617.5493</v>
      </c>
      <c r="J283" s="79"/>
      <c r="K283" s="79"/>
    </row>
    <row r="284" spans="1:13" ht="15" customHeight="1" x14ac:dyDescent="0.3">
      <c r="A284" s="79"/>
      <c r="B284" s="80"/>
      <c r="C284" s="106">
        <v>2019</v>
      </c>
      <c r="D284" s="107">
        <v>5</v>
      </c>
      <c r="E284" s="228"/>
      <c r="F284" s="226"/>
      <c r="G284" s="796">
        <v>2637387732461.9116</v>
      </c>
      <c r="H284" s="797">
        <v>2655454479829.1206</v>
      </c>
      <c r="I284" s="230">
        <f t="shared" si="4"/>
        <v>2853959796398.1548</v>
      </c>
      <c r="J284" s="79"/>
      <c r="K284" s="79"/>
    </row>
    <row r="285" spans="1:13" ht="15" customHeight="1" x14ac:dyDescent="0.3">
      <c r="A285" s="77" t="s">
        <v>93</v>
      </c>
      <c r="B285" s="80"/>
      <c r="C285" s="106">
        <v>2020</v>
      </c>
      <c r="D285" s="107">
        <v>6</v>
      </c>
      <c r="E285" s="228">
        <v>2744538004819.3711</v>
      </c>
      <c r="F285" s="226">
        <v>2744538004819.3711</v>
      </c>
      <c r="G285" s="796">
        <v>2757206606521.0122</v>
      </c>
      <c r="H285" s="797">
        <v>2776687436887.2085</v>
      </c>
      <c r="I285" s="230">
        <f t="shared" si="4"/>
        <v>2975192753456.2427</v>
      </c>
      <c r="J285" s="79"/>
      <c r="K285" s="79"/>
    </row>
    <row r="286" spans="1:13" ht="15" customHeight="1" x14ac:dyDescent="0.3">
      <c r="A286" s="77"/>
      <c r="B286" s="80"/>
      <c r="C286" s="106">
        <v>2021</v>
      </c>
      <c r="D286" s="107">
        <v>7</v>
      </c>
      <c r="E286" s="228"/>
      <c r="F286" s="226"/>
      <c r="G286" s="796">
        <v>2880654881404.0156</v>
      </c>
      <c r="H286" s="797">
        <v>2899517572455.9634</v>
      </c>
      <c r="I286" s="230">
        <f t="shared" si="4"/>
        <v>3098022889024.9976</v>
      </c>
      <c r="J286" s="79"/>
      <c r="K286" s="79"/>
    </row>
    <row r="287" spans="1:13" ht="15" customHeight="1" x14ac:dyDescent="0.3">
      <c r="A287" s="88"/>
      <c r="B287" s="80"/>
      <c r="C287" s="106">
        <v>2022</v>
      </c>
      <c r="D287" s="107">
        <v>8</v>
      </c>
      <c r="E287" s="228"/>
      <c r="F287" s="226"/>
      <c r="G287" s="796">
        <v>3007691153779.3555</v>
      </c>
      <c r="H287" s="797">
        <v>3025668003214.5083</v>
      </c>
      <c r="I287" s="230">
        <f t="shared" si="4"/>
        <v>3224173319783.5425</v>
      </c>
      <c r="J287" s="79"/>
      <c r="K287" s="79"/>
    </row>
    <row r="288" spans="1:13" ht="15" customHeight="1" x14ac:dyDescent="0.3">
      <c r="A288" s="110"/>
      <c r="B288" s="80"/>
      <c r="C288" s="106">
        <v>2023</v>
      </c>
      <c r="D288" s="107">
        <v>9</v>
      </c>
      <c r="E288" s="228"/>
      <c r="F288" s="226"/>
      <c r="G288" s="796">
        <v>3138274020315.4639</v>
      </c>
      <c r="H288" s="797">
        <v>3155065834163.8784</v>
      </c>
      <c r="I288" s="230">
        <f t="shared" si="4"/>
        <v>3353571150732.9126</v>
      </c>
      <c r="J288" s="79"/>
      <c r="K288" s="79"/>
    </row>
    <row r="289" spans="1:11" ht="15" customHeight="1" x14ac:dyDescent="0.3">
      <c r="A289" s="79"/>
      <c r="B289" s="80"/>
      <c r="C289" s="106">
        <v>2024</v>
      </c>
      <c r="D289" s="107">
        <v>10</v>
      </c>
      <c r="E289" s="228"/>
      <c r="F289" s="226"/>
      <c r="G289" s="796">
        <v>3272362077680.7734</v>
      </c>
      <c r="H289" s="797">
        <v>3287578824262.1118</v>
      </c>
      <c r="I289" s="230">
        <f t="shared" si="4"/>
        <v>3486084140831.146</v>
      </c>
      <c r="J289" s="79"/>
      <c r="K289" s="79"/>
    </row>
    <row r="290" spans="1:11" ht="15" customHeight="1" x14ac:dyDescent="0.3">
      <c r="A290" s="219" t="s">
        <v>235</v>
      </c>
      <c r="B290" s="80"/>
      <c r="C290" s="106">
        <v>2025</v>
      </c>
      <c r="D290" s="107">
        <v>11</v>
      </c>
      <c r="E290" s="228">
        <v>3396131478503.2734</v>
      </c>
      <c r="F290" s="226">
        <v>3396131478503.2734</v>
      </c>
      <c r="G290" s="796">
        <v>3409913922543.7173</v>
      </c>
      <c r="H290" s="797">
        <v>3423085515478.4844</v>
      </c>
      <c r="I290" s="230">
        <f t="shared" si="4"/>
        <v>3621590832047.5186</v>
      </c>
      <c r="J290" s="79"/>
      <c r="K290" s="79"/>
    </row>
    <row r="291" spans="1:11" ht="15" customHeight="1" x14ac:dyDescent="0.3">
      <c r="A291" s="884" t="s">
        <v>236</v>
      </c>
      <c r="B291" s="80"/>
      <c r="C291" s="106">
        <v>2026</v>
      </c>
      <c r="D291" s="107">
        <v>12</v>
      </c>
      <c r="E291" s="228"/>
      <c r="F291" s="226"/>
      <c r="G291" s="796">
        <v>3550888151572.728</v>
      </c>
      <c r="H291" s="797">
        <v>3561523324738.9707</v>
      </c>
      <c r="I291" s="230">
        <f t="shared" si="4"/>
        <v>3760028641308.0049</v>
      </c>
      <c r="J291" s="79"/>
      <c r="K291" s="79"/>
    </row>
    <row r="292" spans="1:11" ht="15" customHeight="1" x14ac:dyDescent="0.3">
      <c r="A292" s="884"/>
      <c r="B292" s="80"/>
      <c r="C292" s="106">
        <v>2027</v>
      </c>
      <c r="D292" s="107">
        <v>13</v>
      </c>
      <c r="E292" s="228"/>
      <c r="F292" s="226"/>
      <c r="G292" s="796">
        <v>3695243361436.2378</v>
      </c>
      <c r="H292" s="797">
        <v>3702863299672.9077</v>
      </c>
      <c r="I292" s="230">
        <f t="shared" si="4"/>
        <v>3901368616241.9419</v>
      </c>
      <c r="J292" s="79"/>
      <c r="K292" s="79"/>
    </row>
    <row r="293" spans="1:11" ht="15" customHeight="1" x14ac:dyDescent="0.3">
      <c r="A293" s="884"/>
      <c r="B293" s="80"/>
      <c r="C293" s="106">
        <v>2028</v>
      </c>
      <c r="D293" s="107">
        <v>14</v>
      </c>
      <c r="E293" s="228"/>
      <c r="F293" s="226"/>
      <c r="G293" s="796">
        <v>3842938148802.6797</v>
      </c>
      <c r="H293" s="797">
        <v>3847040557788.481</v>
      </c>
      <c r="I293" s="230">
        <f t="shared" si="4"/>
        <v>4045545874357.5151</v>
      </c>
      <c r="J293" s="79"/>
      <c r="K293" s="79"/>
    </row>
    <row r="294" spans="1:11" ht="15" customHeight="1" x14ac:dyDescent="0.3">
      <c r="A294" s="884"/>
      <c r="B294" s="80"/>
      <c r="C294" s="106">
        <v>2029</v>
      </c>
      <c r="D294" s="107">
        <v>15</v>
      </c>
      <c r="E294" s="228"/>
      <c r="F294" s="226"/>
      <c r="G294" s="796">
        <v>3993931110340.4873</v>
      </c>
      <c r="H294" s="797">
        <v>3993991237621.9209</v>
      </c>
      <c r="I294" s="230">
        <f t="shared" si="4"/>
        <v>4192496554190.9551</v>
      </c>
      <c r="J294" s="79"/>
      <c r="K294" s="79"/>
    </row>
    <row r="295" spans="1:11" ht="15" customHeight="1" x14ac:dyDescent="0.3">
      <c r="A295" s="884"/>
      <c r="B295" s="80"/>
      <c r="C295" s="106">
        <v>2030</v>
      </c>
      <c r="D295" s="107">
        <v>16</v>
      </c>
      <c r="E295" s="228">
        <v>4140720579801.438</v>
      </c>
      <c r="F295" s="226">
        <v>4140720579801.438</v>
      </c>
      <c r="G295" s="796">
        <v>4148180842718.0918</v>
      </c>
      <c r="H295" s="797">
        <v>4143649483874.0015</v>
      </c>
      <c r="I295" s="230">
        <f t="shared" si="4"/>
        <v>4342154800443.0356</v>
      </c>
      <c r="J295" s="79"/>
      <c r="K295" s="79"/>
    </row>
    <row r="296" spans="1:11" ht="15" customHeight="1" x14ac:dyDescent="0.3">
      <c r="A296" s="884"/>
      <c r="B296" s="80"/>
      <c r="C296" s="106">
        <v>2031</v>
      </c>
      <c r="D296" s="107">
        <v>17</v>
      </c>
      <c r="E296" s="228"/>
      <c r="F296" s="226"/>
      <c r="G296" s="796">
        <v>4305645942603.9268</v>
      </c>
      <c r="H296" s="797">
        <v>4295949993067.9146</v>
      </c>
      <c r="I296" s="230">
        <f t="shared" si="4"/>
        <v>4494455309636.9482</v>
      </c>
      <c r="J296" s="79"/>
      <c r="K296" s="79"/>
    </row>
    <row r="297" spans="1:11" ht="15" customHeight="1" x14ac:dyDescent="0.3">
      <c r="A297" s="884"/>
      <c r="B297" s="80"/>
      <c r="C297" s="106">
        <v>2032</v>
      </c>
      <c r="D297" s="107">
        <v>18</v>
      </c>
      <c r="E297" s="228"/>
      <c r="F297" s="226"/>
      <c r="G297" s="796">
        <v>4466285006666.4248</v>
      </c>
      <c r="H297" s="797">
        <v>4450841086615.9863</v>
      </c>
      <c r="I297" s="230">
        <f t="shared" si="4"/>
        <v>4649346403185.0205</v>
      </c>
      <c r="J297" s="79"/>
      <c r="K297" s="79"/>
    </row>
    <row r="298" spans="1:11" ht="15" customHeight="1" x14ac:dyDescent="0.3">
      <c r="A298" s="884"/>
      <c r="B298" s="80"/>
      <c r="C298" s="106">
        <v>2033</v>
      </c>
      <c r="D298" s="107">
        <v>19</v>
      </c>
      <c r="E298" s="228"/>
      <c r="F298" s="226"/>
      <c r="G298" s="796">
        <v>4630056631574.0186</v>
      </c>
      <c r="H298" s="797">
        <v>4608301773434.8525</v>
      </c>
      <c r="I298" s="230">
        <f t="shared" si="4"/>
        <v>4806807090003.8867</v>
      </c>
      <c r="J298" s="79"/>
      <c r="K298" s="79"/>
    </row>
    <row r="299" spans="1:11" ht="15" customHeight="1" x14ac:dyDescent="0.3">
      <c r="A299" s="884"/>
      <c r="B299" s="80"/>
      <c r="C299" s="106">
        <v>2034</v>
      </c>
      <c r="D299" s="107">
        <v>20</v>
      </c>
      <c r="E299" s="228"/>
      <c r="F299" s="226"/>
      <c r="G299" s="796">
        <v>4796919413995.1406</v>
      </c>
      <c r="H299" s="797">
        <v>4768329239271.9756</v>
      </c>
      <c r="I299" s="230">
        <f t="shared" si="4"/>
        <v>4966834555841.0098</v>
      </c>
      <c r="J299" s="79"/>
      <c r="K299" s="79"/>
    </row>
    <row r="300" spans="1:11" ht="15" customHeight="1" x14ac:dyDescent="0.3">
      <c r="A300" s="884"/>
      <c r="B300" s="80"/>
      <c r="C300" s="106">
        <v>2035</v>
      </c>
      <c r="D300" s="107">
        <v>21</v>
      </c>
      <c r="E300" s="228">
        <v>4968305961830.0713</v>
      </c>
      <c r="F300" s="226">
        <v>4968305961830.0713</v>
      </c>
      <c r="G300" s="796">
        <v>4966831950598.2246</v>
      </c>
      <c r="H300" s="797">
        <v>4930910424391.1514</v>
      </c>
      <c r="I300" s="230">
        <f t="shared" si="4"/>
        <v>5129415740960.1855</v>
      </c>
      <c r="J300" s="79"/>
      <c r="K300" s="79"/>
    </row>
    <row r="301" spans="1:11" ht="15" customHeight="1" x14ac:dyDescent="0.3">
      <c r="A301" s="884"/>
      <c r="B301" s="80"/>
      <c r="C301" s="106">
        <v>2036</v>
      </c>
      <c r="D301" s="107">
        <v>22</v>
      </c>
      <c r="E301" s="228"/>
      <c r="F301" s="226"/>
      <c r="G301" s="796">
        <v>5139752838051.7021</v>
      </c>
      <c r="H301" s="797">
        <v>5096013002926.4238</v>
      </c>
      <c r="I301" s="230">
        <f t="shared" si="4"/>
        <v>5294518319495.458</v>
      </c>
      <c r="J301" s="79"/>
      <c r="K301" s="79"/>
    </row>
    <row r="302" spans="1:11" ht="15" customHeight="1" x14ac:dyDescent="0.3">
      <c r="A302" s="884"/>
      <c r="B302" s="80"/>
      <c r="C302" s="106">
        <v>2037</v>
      </c>
      <c r="D302" s="107">
        <v>23</v>
      </c>
      <c r="E302" s="228"/>
      <c r="F302" s="226"/>
      <c r="G302" s="796">
        <v>5315640673024.0059</v>
      </c>
      <c r="H302" s="797">
        <v>5263576621517.1143</v>
      </c>
      <c r="I302" s="230">
        <f t="shared" si="4"/>
        <v>5462081938086.1484</v>
      </c>
      <c r="J302" s="79"/>
      <c r="K302" s="79"/>
    </row>
    <row r="303" spans="1:11" ht="15" customHeight="1" x14ac:dyDescent="0.3">
      <c r="A303" s="884"/>
      <c r="B303" s="80"/>
      <c r="C303" s="106">
        <v>2038</v>
      </c>
      <c r="D303" s="107">
        <v>24</v>
      </c>
      <c r="E303" s="228"/>
      <c r="F303" s="226"/>
      <c r="G303" s="796">
        <v>5494454052183.5693</v>
      </c>
      <c r="H303" s="797">
        <v>5433526018692.583</v>
      </c>
      <c r="I303" s="230">
        <f t="shared" si="4"/>
        <v>5632031335261.6172</v>
      </c>
      <c r="J303" s="79"/>
      <c r="K303" s="79"/>
    </row>
    <row r="304" spans="1:11" ht="15" customHeight="1" x14ac:dyDescent="0.3">
      <c r="A304" s="884"/>
      <c r="B304" s="80"/>
      <c r="C304" s="106">
        <v>2039</v>
      </c>
      <c r="D304" s="107">
        <v>25</v>
      </c>
      <c r="E304" s="228"/>
      <c r="F304" s="226"/>
      <c r="G304" s="796">
        <v>5676151572198.8242</v>
      </c>
      <c r="H304" s="797">
        <v>5605767979755.9033</v>
      </c>
      <c r="I304" s="230">
        <f t="shared" si="4"/>
        <v>5804273296324.9375</v>
      </c>
      <c r="J304" s="79"/>
      <c r="K304" s="79"/>
    </row>
    <row r="305" spans="1:11" ht="15" customHeight="1" x14ac:dyDescent="0.3">
      <c r="A305" s="884"/>
      <c r="B305" s="80"/>
      <c r="C305" s="106">
        <v>2040</v>
      </c>
      <c r="D305" s="107">
        <v>26</v>
      </c>
      <c r="E305" s="228">
        <v>5865758689779.1885</v>
      </c>
      <c r="F305" s="226">
        <v>5865758689779.1885</v>
      </c>
      <c r="G305" s="796">
        <v>5860691829738.2051</v>
      </c>
      <c r="H305" s="797">
        <v>5780215046987.5654</v>
      </c>
      <c r="I305" s="230">
        <f t="shared" si="4"/>
        <v>5978720363556.5996</v>
      </c>
      <c r="J305" s="79"/>
      <c r="K305" s="79"/>
    </row>
    <row r="306" spans="1:11" ht="15" customHeight="1" x14ac:dyDescent="0.3">
      <c r="A306" s="884"/>
      <c r="B306" s="80"/>
      <c r="C306" s="106">
        <v>2041</v>
      </c>
      <c r="D306" s="107">
        <v>27</v>
      </c>
      <c r="E306" s="228"/>
      <c r="F306" s="226"/>
      <c r="G306" s="796">
        <v>6048033421470.1426</v>
      </c>
      <c r="H306" s="797">
        <v>5956802648094.8271</v>
      </c>
      <c r="I306" s="230">
        <f t="shared" si="4"/>
        <v>6155307964663.8613</v>
      </c>
      <c r="J306" s="79"/>
      <c r="K306" s="79"/>
    </row>
    <row r="307" spans="1:11" ht="15" customHeight="1" x14ac:dyDescent="0.3">
      <c r="A307" s="884"/>
      <c r="B307" s="80"/>
      <c r="C307" s="106">
        <v>2042</v>
      </c>
      <c r="D307" s="107">
        <v>28</v>
      </c>
      <c r="E307" s="228"/>
      <c r="F307" s="226"/>
      <c r="G307" s="796">
        <v>6238134944063.0703</v>
      </c>
      <c r="H307" s="797">
        <v>6135479833629.6982</v>
      </c>
      <c r="I307" s="230">
        <f t="shared" si="4"/>
        <v>6333985150198.7324</v>
      </c>
      <c r="J307" s="79"/>
      <c r="K307" s="79"/>
    </row>
    <row r="308" spans="1:11" ht="15" customHeight="1" x14ac:dyDescent="0.3">
      <c r="A308" s="884"/>
      <c r="B308" s="80"/>
      <c r="C308" s="106">
        <v>2043</v>
      </c>
      <c r="D308" s="107">
        <v>29</v>
      </c>
      <c r="E308" s="228"/>
      <c r="F308" s="226"/>
      <c r="G308" s="796">
        <v>6430954994185.4209</v>
      </c>
      <c r="H308" s="797">
        <v>6316184017870.1152</v>
      </c>
      <c r="I308" s="230">
        <f t="shared" si="4"/>
        <v>6514689334439.1494</v>
      </c>
      <c r="J308" s="79"/>
      <c r="K308" s="79"/>
    </row>
    <row r="309" spans="1:11" ht="15" customHeight="1" x14ac:dyDescent="0.3">
      <c r="A309" s="884"/>
      <c r="B309" s="80"/>
      <c r="C309" s="106">
        <v>2044</v>
      </c>
      <c r="D309" s="107">
        <v>30</v>
      </c>
      <c r="E309" s="228"/>
      <c r="F309" s="226"/>
      <c r="G309" s="796">
        <v>6626452168505.627</v>
      </c>
      <c r="H309" s="797">
        <v>6498854711053.0703</v>
      </c>
      <c r="I309" s="230">
        <f t="shared" si="4"/>
        <v>6697360027622.1045</v>
      </c>
      <c r="J309" s="79"/>
      <c r="K309" s="79"/>
    </row>
    <row r="310" spans="1:11" ht="15" customHeight="1" x14ac:dyDescent="0.3">
      <c r="A310" s="884"/>
      <c r="B310" s="80"/>
      <c r="C310" s="106">
        <v>2045</v>
      </c>
      <c r="D310" s="107">
        <v>31</v>
      </c>
      <c r="E310" s="228">
        <v>6837231180007.8936</v>
      </c>
      <c r="F310" s="226">
        <v>6837231180007.8936</v>
      </c>
      <c r="G310" s="796">
        <v>6824585063692.1221</v>
      </c>
      <c r="H310" s="797">
        <v>6683429718489.6748</v>
      </c>
      <c r="I310" s="230">
        <f t="shared" si="4"/>
        <v>6881935035058.709</v>
      </c>
      <c r="J310" s="79"/>
      <c r="K310" s="79"/>
    </row>
    <row r="311" spans="1:11" ht="15" customHeight="1" x14ac:dyDescent="0.3">
      <c r="A311" s="884"/>
      <c r="B311" s="80"/>
      <c r="C311" s="106">
        <v>2046</v>
      </c>
      <c r="D311" s="107">
        <v>32</v>
      </c>
      <c r="E311" s="228"/>
      <c r="F311" s="226"/>
      <c r="G311" s="796">
        <v>7025312276413.3369</v>
      </c>
      <c r="H311" s="797">
        <v>6869846197021.3574</v>
      </c>
      <c r="I311" s="230">
        <f t="shared" si="4"/>
        <v>7068351513590.3916</v>
      </c>
      <c r="J311" s="79"/>
      <c r="K311" s="79"/>
    </row>
    <row r="312" spans="1:11" ht="15" customHeight="1" x14ac:dyDescent="0.3">
      <c r="A312" s="884"/>
      <c r="B312" s="80"/>
      <c r="C312" s="106">
        <v>2047</v>
      </c>
      <c r="D312" s="107">
        <v>33</v>
      </c>
      <c r="E312" s="228"/>
      <c r="F312" s="226"/>
      <c r="G312" s="796">
        <v>7228592403337.7061</v>
      </c>
      <c r="H312" s="797">
        <v>7058037770199.9893</v>
      </c>
      <c r="I312" s="230">
        <f t="shared" si="4"/>
        <v>7256543086769.0234</v>
      </c>
      <c r="J312" s="79"/>
      <c r="K312" s="79"/>
    </row>
    <row r="313" spans="1:11" ht="15" customHeight="1" x14ac:dyDescent="0.3">
      <c r="A313" s="884"/>
      <c r="B313" s="80"/>
      <c r="C313" s="106">
        <v>2048</v>
      </c>
      <c r="D313" s="107">
        <v>34</v>
      </c>
      <c r="E313" s="228"/>
      <c r="F313" s="226"/>
      <c r="G313" s="796">
        <v>7434384041133.6621</v>
      </c>
      <c r="H313" s="797">
        <v>7247934336107.5449</v>
      </c>
      <c r="I313" s="230">
        <f t="shared" si="4"/>
        <v>7446439652676.5791</v>
      </c>
      <c r="J313" s="79"/>
      <c r="K313" s="79"/>
    </row>
    <row r="314" spans="1:11" ht="15" customHeight="1" x14ac:dyDescent="0.3">
      <c r="A314" s="79"/>
      <c r="B314" s="79"/>
      <c r="C314" s="106">
        <v>2049</v>
      </c>
      <c r="D314" s="107">
        <v>35</v>
      </c>
      <c r="E314" s="228"/>
      <c r="F314" s="226"/>
      <c r="G314" s="796">
        <v>7642645786469.6377</v>
      </c>
      <c r="H314" s="797">
        <v>7439463523541.4971</v>
      </c>
      <c r="I314" s="230">
        <f t="shared" si="4"/>
        <v>7637968840110.5313</v>
      </c>
      <c r="J314" s="79"/>
      <c r="K314" s="79"/>
    </row>
    <row r="315" spans="1:11" ht="15" customHeight="1" x14ac:dyDescent="0.3">
      <c r="A315" s="79"/>
      <c r="B315" s="79"/>
      <c r="C315" s="106">
        <v>2050</v>
      </c>
      <c r="D315" s="111">
        <v>36</v>
      </c>
      <c r="E315" s="228">
        <v>7844138595148.291</v>
      </c>
      <c r="F315" s="226">
        <v>7844138595148.291</v>
      </c>
      <c r="G315" s="798">
        <v>7853336236014.0645</v>
      </c>
      <c r="H315" s="799">
        <v>7632554463982.126</v>
      </c>
      <c r="I315" s="230">
        <f t="shared" si="4"/>
        <v>7831059780551.1602</v>
      </c>
      <c r="J315" s="79"/>
      <c r="K315" s="79"/>
    </row>
    <row r="316" spans="1:11" ht="15" customHeight="1" x14ac:dyDescent="0.3">
      <c r="A316" s="79"/>
      <c r="B316" s="79"/>
      <c r="C316" s="106">
        <v>2051</v>
      </c>
      <c r="D316" s="107">
        <v>37</v>
      </c>
      <c r="E316" s="228"/>
      <c r="F316" s="226"/>
      <c r="G316" s="796">
        <v>8066413986435.376</v>
      </c>
      <c r="H316" s="797">
        <v>7827138755092.1367</v>
      </c>
      <c r="I316" s="230">
        <f t="shared" si="4"/>
        <v>8025644071661.1709</v>
      </c>
      <c r="J316" s="79"/>
      <c r="K316" s="79"/>
    </row>
    <row r="317" spans="1:11" ht="15" customHeight="1" x14ac:dyDescent="0.3">
      <c r="A317" s="79"/>
      <c r="B317" s="79"/>
      <c r="C317" s="106">
        <v>2052</v>
      </c>
      <c r="D317" s="107">
        <v>38</v>
      </c>
      <c r="E317" s="228"/>
      <c r="F317" s="226"/>
      <c r="G317" s="796">
        <v>8281837634402.0049</v>
      </c>
      <c r="H317" s="797">
        <v>8023153831464.707</v>
      </c>
      <c r="I317" s="230">
        <f t="shared" si="4"/>
        <v>8221659148033.7412</v>
      </c>
      <c r="J317" s="79"/>
      <c r="K317" s="79"/>
    </row>
    <row r="318" spans="1:11" ht="15" customHeight="1" x14ac:dyDescent="0.3">
      <c r="A318" s="79"/>
      <c r="B318" s="79"/>
      <c r="C318" s="106">
        <v>2053</v>
      </c>
      <c r="D318" s="107">
        <v>39</v>
      </c>
      <c r="E318" s="228"/>
      <c r="F318" s="226"/>
      <c r="G318" s="796">
        <v>8499565776582.3838</v>
      </c>
      <c r="H318" s="797">
        <v>8220542115542.7471</v>
      </c>
      <c r="I318" s="230">
        <f t="shared" si="4"/>
        <v>8419047432111.7813</v>
      </c>
      <c r="J318" s="79"/>
      <c r="K318" s="79"/>
    </row>
    <row r="319" spans="1:11" ht="15" customHeight="1" x14ac:dyDescent="0.3">
      <c r="A319" s="79"/>
      <c r="B319" s="79"/>
      <c r="C319" s="106">
        <v>2054</v>
      </c>
      <c r="D319" s="107">
        <v>40</v>
      </c>
      <c r="E319" s="228"/>
      <c r="F319" s="226"/>
      <c r="G319" s="796">
        <v>8719557009644.9443</v>
      </c>
      <c r="H319" s="797">
        <v>8419250260044.5068</v>
      </c>
      <c r="I319" s="230">
        <f t="shared" si="4"/>
        <v>8617755576613.541</v>
      </c>
      <c r="J319" s="79"/>
      <c r="K319" s="79"/>
    </row>
    <row r="320" spans="1:11" ht="15" customHeight="1" x14ac:dyDescent="0.3">
      <c r="A320" s="79"/>
      <c r="B320" s="79"/>
      <c r="C320" s="106">
        <v>2055</v>
      </c>
      <c r="D320" s="111">
        <v>41</v>
      </c>
      <c r="E320" s="228"/>
      <c r="F320" s="226"/>
      <c r="G320" s="798">
        <v>8941769930258.1211</v>
      </c>
      <c r="H320" s="799">
        <v>8619222868495.6406</v>
      </c>
      <c r="I320" s="230">
        <f t="shared" si="4"/>
        <v>8817728185064.6738</v>
      </c>
      <c r="J320" s="79"/>
      <c r="K320" s="79"/>
    </row>
    <row r="321" spans="1:12" ht="15" customHeight="1" x14ac:dyDescent="0.3">
      <c r="A321" s="79"/>
      <c r="B321" s="79"/>
      <c r="C321" s="106">
        <v>2056</v>
      </c>
      <c r="D321" s="107">
        <v>42</v>
      </c>
      <c r="E321" s="228"/>
      <c r="F321" s="226"/>
      <c r="G321" s="796">
        <v>9166163135090.3457</v>
      </c>
      <c r="H321" s="797">
        <v>8820396191324.0938</v>
      </c>
      <c r="I321" s="230">
        <f t="shared" si="4"/>
        <v>9018901507893.127</v>
      </c>
      <c r="J321" s="79"/>
      <c r="K321" s="79"/>
    </row>
    <row r="322" spans="1:12" ht="15" customHeight="1" x14ac:dyDescent="0.3">
      <c r="A322" s="79"/>
      <c r="B322" s="79"/>
      <c r="C322" s="106">
        <v>2057</v>
      </c>
      <c r="D322" s="107">
        <v>43</v>
      </c>
      <c r="E322" s="228"/>
      <c r="F322" s="226"/>
      <c r="G322" s="796">
        <v>9392695220810.0527</v>
      </c>
      <c r="H322" s="797">
        <v>9022703476893.3301</v>
      </c>
      <c r="I322" s="230">
        <f t="shared" si="4"/>
        <v>9221208793462.3633</v>
      </c>
      <c r="J322" s="79"/>
      <c r="K322" s="79"/>
    </row>
    <row r="323" spans="1:12" ht="15" customHeight="1" x14ac:dyDescent="0.3">
      <c r="A323" s="79"/>
      <c r="B323" s="79"/>
      <c r="C323" s="106">
        <v>2058</v>
      </c>
      <c r="D323" s="107">
        <v>44</v>
      </c>
      <c r="E323" s="228"/>
      <c r="F323" s="226"/>
      <c r="G323" s="796">
        <v>9621324784085.6719</v>
      </c>
      <c r="H323" s="797">
        <v>9226083475390.3652</v>
      </c>
      <c r="I323" s="230">
        <f t="shared" si="4"/>
        <v>9424588791959.3984</v>
      </c>
      <c r="J323" s="79"/>
      <c r="K323" s="79"/>
    </row>
    <row r="324" spans="1:12" ht="15" customHeight="1" x14ac:dyDescent="0.3">
      <c r="A324" s="79"/>
      <c r="B324" s="79"/>
      <c r="C324" s="106">
        <v>2059</v>
      </c>
      <c r="D324" s="107">
        <v>45</v>
      </c>
      <c r="E324" s="228"/>
      <c r="F324" s="226"/>
      <c r="G324" s="796">
        <v>9852010421585.6387</v>
      </c>
      <c r="H324" s="797">
        <v>9430475491794.7246</v>
      </c>
      <c r="I324" s="230">
        <f t="shared" si="4"/>
        <v>9628980808363.7578</v>
      </c>
      <c r="J324" s="79"/>
      <c r="K324" s="79"/>
    </row>
    <row r="325" spans="1:12" ht="15" customHeight="1" x14ac:dyDescent="0.3">
      <c r="A325" s="79"/>
      <c r="B325" s="79"/>
      <c r="C325" s="112">
        <v>2060</v>
      </c>
      <c r="D325" s="111">
        <v>46</v>
      </c>
      <c r="E325" s="228"/>
      <c r="F325" s="226"/>
      <c r="G325" s="798">
        <v>10084710729978.385</v>
      </c>
      <c r="H325" s="799">
        <v>9635817278605.6367</v>
      </c>
      <c r="I325" s="230">
        <f t="shared" si="4"/>
        <v>9834322595174.6699</v>
      </c>
      <c r="J325" s="79"/>
      <c r="K325" s="79"/>
    </row>
    <row r="326" spans="1:12" ht="15" customHeight="1" x14ac:dyDescent="0.3">
      <c r="A326" s="79"/>
      <c r="B326" s="219"/>
      <c r="C326" s="5"/>
      <c r="D326" s="5"/>
      <c r="E326" s="5"/>
      <c r="F326" s="5"/>
      <c r="G326" s="800"/>
      <c r="H326" s="800"/>
      <c r="I326" s="5"/>
      <c r="J326" s="5"/>
      <c r="K326" s="5"/>
    </row>
    <row r="327" spans="1:12" ht="15" customHeight="1" x14ac:dyDescent="0.3">
      <c r="A327" s="79"/>
      <c r="B327" s="219"/>
      <c r="C327" s="5"/>
      <c r="D327" s="5"/>
      <c r="E327" s="5"/>
      <c r="F327" s="5"/>
      <c r="G327" s="800"/>
      <c r="H327" s="800"/>
      <c r="I327" s="5"/>
      <c r="J327" s="5"/>
      <c r="K327" s="5"/>
    </row>
    <row r="328" spans="1:12" ht="15" customHeight="1" x14ac:dyDescent="0.3">
      <c r="A328" s="231" t="s">
        <v>190</v>
      </c>
      <c r="B328" s="219"/>
      <c r="C328" s="5"/>
      <c r="D328" s="5"/>
      <c r="E328" s="5"/>
      <c r="F328" s="5"/>
      <c r="G328" s="800"/>
      <c r="H328" s="800"/>
      <c r="I328" s="5"/>
      <c r="J328" s="5"/>
      <c r="K328" s="5"/>
    </row>
    <row r="329" spans="1:12" ht="15" customHeight="1" x14ac:dyDescent="0.3">
      <c r="A329" s="5"/>
      <c r="B329" s="219"/>
      <c r="C329" s="5"/>
      <c r="D329" s="5"/>
      <c r="E329" s="5"/>
      <c r="F329" s="5"/>
      <c r="G329" s="800"/>
      <c r="H329" s="800"/>
      <c r="I329" s="5"/>
      <c r="J329" s="5"/>
      <c r="K329" s="5"/>
    </row>
    <row r="330" spans="1:12" ht="15" customHeight="1" x14ac:dyDescent="0.3">
      <c r="A330" s="5"/>
      <c r="B330" s="219"/>
      <c r="C330" s="5"/>
      <c r="D330" s="5"/>
      <c r="E330" s="5"/>
      <c r="F330" s="5"/>
      <c r="G330" s="801"/>
      <c r="H330" s="801"/>
      <c r="I330" s="5"/>
      <c r="J330" s="5"/>
      <c r="K330" s="5"/>
    </row>
    <row r="331" spans="1:12" ht="15" customHeight="1" x14ac:dyDescent="0.3">
      <c r="A331" s="71">
        <f>1+A266</f>
        <v>6</v>
      </c>
      <c r="B331" s="72" t="s">
        <v>282</v>
      </c>
      <c r="C331" s="73"/>
      <c r="D331" s="73"/>
      <c r="E331" s="73"/>
      <c r="F331" s="73"/>
      <c r="G331" s="802"/>
      <c r="H331" s="802"/>
      <c r="I331" s="73"/>
      <c r="J331" s="73"/>
      <c r="K331" s="73"/>
    </row>
    <row r="332" spans="1:12" ht="15" customHeight="1" x14ac:dyDescent="0.3">
      <c r="A332" s="74" t="s">
        <v>74</v>
      </c>
      <c r="B332" s="75"/>
      <c r="C332" s="75"/>
      <c r="D332" s="76"/>
      <c r="E332" s="77"/>
      <c r="F332" s="862"/>
      <c r="G332" s="803"/>
      <c r="H332" s="790"/>
      <c r="I332" s="79"/>
      <c r="J332" s="79"/>
      <c r="K332" s="79"/>
    </row>
    <row r="333" spans="1:12" ht="15" customHeight="1" thickBot="1" x14ac:dyDescent="0.35">
      <c r="A333" s="110" t="s">
        <v>75</v>
      </c>
      <c r="B333" s="80"/>
      <c r="C333" s="80"/>
      <c r="D333" s="81"/>
      <c r="E333" s="109" t="s">
        <v>78</v>
      </c>
      <c r="F333" s="863"/>
      <c r="G333" s="789" t="s">
        <v>227</v>
      </c>
      <c r="H333" s="790"/>
      <c r="I333" s="79"/>
      <c r="J333" s="79"/>
      <c r="K333" s="79"/>
    </row>
    <row r="334" spans="1:12" ht="42.6" customHeight="1" thickBot="1" x14ac:dyDescent="0.35">
      <c r="A334" s="82"/>
      <c r="B334" s="82"/>
      <c r="C334" s="82"/>
      <c r="D334" s="83"/>
      <c r="E334" s="101" t="s">
        <v>224</v>
      </c>
      <c r="F334" s="101" t="s">
        <v>225</v>
      </c>
      <c r="G334" s="789" t="s">
        <v>119</v>
      </c>
      <c r="H334" s="791" t="s">
        <v>82</v>
      </c>
      <c r="I334" s="101" t="s">
        <v>234</v>
      </c>
      <c r="J334" s="747" t="s">
        <v>754</v>
      </c>
      <c r="K334" s="865" t="s">
        <v>226</v>
      </c>
      <c r="L334" s="866"/>
    </row>
    <row r="335" spans="1:12" ht="15" customHeight="1" x14ac:dyDescent="0.3">
      <c r="A335" s="74" t="s">
        <v>85</v>
      </c>
      <c r="B335" s="82"/>
      <c r="C335" s="102">
        <v>2005</v>
      </c>
      <c r="D335" s="103">
        <v>-9</v>
      </c>
      <c r="E335" s="226">
        <v>1356286384560.0576</v>
      </c>
      <c r="F335" s="226">
        <v>1356286384560.0576</v>
      </c>
      <c r="G335" s="792">
        <v>1446495450042.0371</v>
      </c>
      <c r="H335" s="793">
        <v>1446495450042.0371</v>
      </c>
      <c r="I335" s="233">
        <f>H335+$L$345</f>
        <v>1645000766611.0713</v>
      </c>
      <c r="J335" s="871" t="s">
        <v>86</v>
      </c>
      <c r="K335" s="867"/>
      <c r="L335" s="868"/>
    </row>
    <row r="336" spans="1:12" ht="15" customHeight="1" x14ac:dyDescent="0.3">
      <c r="A336" s="110" t="s">
        <v>87</v>
      </c>
      <c r="B336" s="82"/>
      <c r="C336" s="106">
        <v>2006</v>
      </c>
      <c r="D336" s="107">
        <v>-8</v>
      </c>
      <c r="E336" s="228">
        <v>1420871450491.4885</v>
      </c>
      <c r="F336" s="226">
        <v>1420871450491.4885</v>
      </c>
      <c r="G336" s="794">
        <v>1468375786530.0835</v>
      </c>
      <c r="H336" s="795">
        <v>1468375786530.0835</v>
      </c>
      <c r="I336" s="227">
        <f t="shared" ref="I336:I390" si="5">H336+$L$345</f>
        <v>1666881103099.1177</v>
      </c>
      <c r="J336" s="867"/>
      <c r="K336" s="867"/>
      <c r="L336" s="868"/>
    </row>
    <row r="337" spans="1:13" ht="15" customHeight="1" x14ac:dyDescent="0.3">
      <c r="A337" s="82"/>
      <c r="B337" s="82"/>
      <c r="C337" s="106">
        <v>2007</v>
      </c>
      <c r="D337" s="107">
        <v>-7</v>
      </c>
      <c r="E337" s="228">
        <v>1517749049388.6355</v>
      </c>
      <c r="F337" s="226">
        <v>1517749049388.6355</v>
      </c>
      <c r="G337" s="794">
        <v>1497772478523.5845</v>
      </c>
      <c r="H337" s="795">
        <v>1497772478523.5845</v>
      </c>
      <c r="I337" s="229">
        <f t="shared" si="5"/>
        <v>1696277795092.6187</v>
      </c>
      <c r="J337" s="867"/>
      <c r="K337" s="867"/>
      <c r="L337" s="868"/>
    </row>
    <row r="338" spans="1:13" ht="15" customHeight="1" x14ac:dyDescent="0.3">
      <c r="A338" s="29" t="s">
        <v>88</v>
      </c>
      <c r="B338" s="82"/>
      <c r="C338" s="106">
        <v>2008</v>
      </c>
      <c r="D338" s="107">
        <v>-6</v>
      </c>
      <c r="E338" s="228">
        <v>1550041582354.3511</v>
      </c>
      <c r="F338" s="226">
        <v>1550041582354.3511</v>
      </c>
      <c r="G338" s="794">
        <v>1534685526022.5403</v>
      </c>
      <c r="H338" s="795">
        <v>1534685526022.5403</v>
      </c>
      <c r="I338" s="229">
        <f t="shared" si="5"/>
        <v>1733190842591.5742</v>
      </c>
      <c r="J338" s="867"/>
      <c r="K338" s="869"/>
      <c r="L338" s="870"/>
    </row>
    <row r="339" spans="1:13" ht="15" customHeight="1" x14ac:dyDescent="0.3">
      <c r="A339" s="886" t="s">
        <v>281</v>
      </c>
      <c r="B339" s="82"/>
      <c r="C339" s="106">
        <v>2009</v>
      </c>
      <c r="D339" s="107">
        <v>-5</v>
      </c>
      <c r="E339" s="228">
        <v>1517749049388.6355</v>
      </c>
      <c r="F339" s="226">
        <v>1517749049388.6355</v>
      </c>
      <c r="G339" s="794">
        <v>1579114929026.9507</v>
      </c>
      <c r="H339" s="795">
        <v>1579114929026.9507</v>
      </c>
      <c r="I339" s="229">
        <f t="shared" si="5"/>
        <v>1777620245595.9849</v>
      </c>
      <c r="J339" s="867"/>
      <c r="K339" s="79"/>
      <c r="L339" s="79"/>
    </row>
    <row r="340" spans="1:13" ht="15" customHeight="1" x14ac:dyDescent="0.3">
      <c r="A340" s="873"/>
      <c r="B340" s="82"/>
      <c r="C340" s="106">
        <v>2010</v>
      </c>
      <c r="D340" s="107">
        <v>-4</v>
      </c>
      <c r="E340" s="228">
        <v>1614626648285.7825</v>
      </c>
      <c r="F340" s="226">
        <v>1614626648285.7825</v>
      </c>
      <c r="G340" s="794">
        <v>1631060687536.8157</v>
      </c>
      <c r="H340" s="795">
        <v>1631060687536.8157</v>
      </c>
      <c r="I340" s="229">
        <f t="shared" si="5"/>
        <v>1829566004105.8496</v>
      </c>
      <c r="J340" s="867"/>
      <c r="K340" s="79"/>
      <c r="L340" s="79"/>
    </row>
    <row r="341" spans="1:13" ht="15" customHeight="1" x14ac:dyDescent="0.3">
      <c r="A341" s="873"/>
      <c r="B341" s="82"/>
      <c r="C341" s="106">
        <v>2011</v>
      </c>
      <c r="D341" s="107">
        <v>-3</v>
      </c>
      <c r="E341" s="228">
        <v>1679211714217.2136</v>
      </c>
      <c r="F341" s="226">
        <v>1679211714217.2136</v>
      </c>
      <c r="G341" s="794">
        <v>1690522801552.1355</v>
      </c>
      <c r="H341" s="795">
        <v>1690522801552.1355</v>
      </c>
      <c r="I341" s="229">
        <f t="shared" si="5"/>
        <v>1889028118121.1694</v>
      </c>
      <c r="J341" s="869"/>
      <c r="K341" s="79"/>
      <c r="L341" s="79"/>
    </row>
    <row r="342" spans="1:13" ht="15" customHeight="1" x14ac:dyDescent="0.3">
      <c r="A342" s="874"/>
      <c r="B342" s="82"/>
      <c r="C342" s="106">
        <v>2012</v>
      </c>
      <c r="D342" s="107">
        <v>-2</v>
      </c>
      <c r="E342" s="228">
        <v>1776089313114.3608</v>
      </c>
      <c r="F342" s="226">
        <v>1776089313114.3608</v>
      </c>
      <c r="G342" s="796">
        <v>1757501271072.9099</v>
      </c>
      <c r="H342" s="797">
        <v>1757501271072.9099</v>
      </c>
      <c r="I342" s="230">
        <f t="shared" si="5"/>
        <v>1956006587641.9438</v>
      </c>
      <c r="J342" s="87" t="s">
        <v>90</v>
      </c>
      <c r="K342" s="79"/>
      <c r="L342" s="79"/>
    </row>
    <row r="343" spans="1:13" ht="15" customHeight="1" x14ac:dyDescent="0.3">
      <c r="A343" s="82"/>
      <c r="B343" s="82"/>
      <c r="C343" s="106">
        <v>2013</v>
      </c>
      <c r="D343" s="107">
        <v>-1</v>
      </c>
      <c r="E343" s="228">
        <v>1905259444977.2234</v>
      </c>
      <c r="F343" s="226">
        <v>1905259444977.2234</v>
      </c>
      <c r="G343" s="796">
        <v>1831996096099.1389</v>
      </c>
      <c r="H343" s="797">
        <v>1831996096099.1389</v>
      </c>
      <c r="I343" s="230">
        <f t="shared" si="5"/>
        <v>2030501412668.1729</v>
      </c>
      <c r="J343" s="79"/>
      <c r="K343" s="79"/>
      <c r="L343" s="219"/>
      <c r="M343" s="219"/>
    </row>
    <row r="344" spans="1:13" ht="15" customHeight="1" x14ac:dyDescent="0.3">
      <c r="A344" s="77" t="s">
        <v>91</v>
      </c>
      <c r="B344" s="82"/>
      <c r="C344" s="106">
        <v>2014</v>
      </c>
      <c r="D344" s="107">
        <v>0</v>
      </c>
      <c r="E344" s="228">
        <v>2002137043874.3701</v>
      </c>
      <c r="F344" s="226">
        <v>2002137043874.3701</v>
      </c>
      <c r="G344" s="796">
        <v>1914007276630.8228</v>
      </c>
      <c r="H344" s="797">
        <v>1926007630706.0408</v>
      </c>
      <c r="I344" s="230">
        <f t="shared" si="5"/>
        <v>2124512947275.0747</v>
      </c>
      <c r="J344" s="79"/>
      <c r="K344" s="79"/>
      <c r="L344" s="219"/>
      <c r="M344" s="219"/>
    </row>
    <row r="345" spans="1:13" ht="15" customHeight="1" x14ac:dyDescent="0.3">
      <c r="A345" s="110">
        <v>2015</v>
      </c>
      <c r="B345" s="80"/>
      <c r="C345" s="106">
        <v>2015</v>
      </c>
      <c r="D345" s="107">
        <v>1</v>
      </c>
      <c r="E345" s="228">
        <v>2131307175737.2327</v>
      </c>
      <c r="F345" s="226">
        <v>2131307175737.2327</v>
      </c>
      <c r="G345" s="796">
        <v>2003534812667.9612</v>
      </c>
      <c r="H345" s="797">
        <v>2016252528407.5183</v>
      </c>
      <c r="I345" s="230">
        <f t="shared" si="5"/>
        <v>2214757844976.5522</v>
      </c>
      <c r="J345" s="219" t="s">
        <v>233</v>
      </c>
      <c r="K345" s="219"/>
      <c r="L345" s="232">
        <v>198505316569.03406</v>
      </c>
      <c r="M345" s="219" t="s">
        <v>232</v>
      </c>
    </row>
    <row r="346" spans="1:13" ht="15" customHeight="1" x14ac:dyDescent="0.3">
      <c r="A346" s="79"/>
      <c r="B346" s="80"/>
      <c r="C346" s="106">
        <v>2016</v>
      </c>
      <c r="D346" s="107">
        <v>2</v>
      </c>
      <c r="E346" s="228"/>
      <c r="F346" s="226"/>
      <c r="G346" s="796">
        <v>2100578704210.5544</v>
      </c>
      <c r="H346" s="797">
        <v>2114124440405.4243</v>
      </c>
      <c r="I346" s="230">
        <f t="shared" si="5"/>
        <v>2312629756974.4585</v>
      </c>
      <c r="J346" s="79"/>
      <c r="K346" s="234"/>
      <c r="L346" s="235" t="s">
        <v>237</v>
      </c>
      <c r="M346" s="236"/>
    </row>
    <row r="347" spans="1:13" ht="15" customHeight="1" x14ac:dyDescent="0.3">
      <c r="A347" s="77" t="s">
        <v>92</v>
      </c>
      <c r="B347" s="80"/>
      <c r="C347" s="106">
        <v>2017</v>
      </c>
      <c r="D347" s="107">
        <v>3</v>
      </c>
      <c r="E347" s="228"/>
      <c r="F347" s="226"/>
      <c r="G347" s="796">
        <v>2205138951258.6021</v>
      </c>
      <c r="H347" s="797">
        <v>2219631129413.3896</v>
      </c>
      <c r="I347" s="230">
        <f t="shared" si="5"/>
        <v>2418136445982.4238</v>
      </c>
      <c r="J347" s="79"/>
      <c r="K347" s="79"/>
    </row>
    <row r="348" spans="1:13" ht="15" customHeight="1" x14ac:dyDescent="0.3">
      <c r="A348" s="110" t="s">
        <v>224</v>
      </c>
      <c r="B348" s="80"/>
      <c r="C348" s="106">
        <v>2018</v>
      </c>
      <c r="D348" s="107">
        <v>4</v>
      </c>
      <c r="E348" s="228"/>
      <c r="F348" s="226"/>
      <c r="G348" s="796">
        <v>2317215553812.1045</v>
      </c>
      <c r="H348" s="797">
        <v>2332763541115.1196</v>
      </c>
      <c r="I348" s="230">
        <f t="shared" si="5"/>
        <v>2531268857684.1538</v>
      </c>
      <c r="J348" s="79"/>
      <c r="K348" s="79"/>
    </row>
    <row r="349" spans="1:13" ht="15" customHeight="1" x14ac:dyDescent="0.3">
      <c r="A349" s="79"/>
      <c r="B349" s="80"/>
      <c r="C349" s="106">
        <v>2019</v>
      </c>
      <c r="D349" s="107">
        <v>5</v>
      </c>
      <c r="E349" s="228"/>
      <c r="F349" s="226"/>
      <c r="G349" s="796">
        <v>2436808511871.062</v>
      </c>
      <c r="H349" s="797">
        <v>2453501242797.335</v>
      </c>
      <c r="I349" s="230">
        <f t="shared" si="5"/>
        <v>2652006559366.3691</v>
      </c>
      <c r="J349" s="79"/>
      <c r="K349" s="79"/>
    </row>
    <row r="350" spans="1:13" ht="15" customHeight="1" x14ac:dyDescent="0.3">
      <c r="A350" s="77" t="s">
        <v>93</v>
      </c>
      <c r="B350" s="80"/>
      <c r="C350" s="106">
        <v>2020</v>
      </c>
      <c r="D350" s="107">
        <v>6</v>
      </c>
      <c r="E350" s="228"/>
      <c r="F350" s="226"/>
      <c r="G350" s="796">
        <v>2563917825435.4736</v>
      </c>
      <c r="H350" s="797">
        <v>2582032988844.7178</v>
      </c>
      <c r="I350" s="230">
        <f t="shared" si="5"/>
        <v>2780538305413.752</v>
      </c>
    </row>
    <row r="351" spans="1:13" ht="15" customHeight="1" x14ac:dyDescent="0.3">
      <c r="A351" s="77"/>
      <c r="B351" s="80"/>
      <c r="C351" s="106">
        <v>2021</v>
      </c>
      <c r="D351" s="107">
        <v>7</v>
      </c>
      <c r="E351" s="228"/>
      <c r="F351" s="226"/>
      <c r="G351" s="796">
        <v>2698543494505.3403</v>
      </c>
      <c r="H351" s="797">
        <v>2716213709898.2681</v>
      </c>
      <c r="I351" s="230">
        <f t="shared" si="5"/>
        <v>2914719026467.3022</v>
      </c>
    </row>
    <row r="352" spans="1:13" ht="15" customHeight="1" x14ac:dyDescent="0.3">
      <c r="A352" s="88"/>
      <c r="B352" s="80"/>
      <c r="C352" s="106">
        <v>2022</v>
      </c>
      <c r="D352" s="107">
        <v>8</v>
      </c>
      <c r="E352" s="228"/>
      <c r="F352" s="226"/>
      <c r="G352" s="796">
        <v>2840685519080.6611</v>
      </c>
      <c r="H352" s="797">
        <v>2857664182533.1782</v>
      </c>
      <c r="I352" s="230">
        <f t="shared" si="5"/>
        <v>3056169499102.2124</v>
      </c>
    </row>
    <row r="353" spans="1:11" ht="15" customHeight="1" x14ac:dyDescent="0.3">
      <c r="A353" s="110"/>
      <c r="B353" s="80"/>
      <c r="C353" s="106">
        <v>2023</v>
      </c>
      <c r="D353" s="107">
        <v>9</v>
      </c>
      <c r="E353" s="228"/>
      <c r="F353" s="226"/>
      <c r="G353" s="796">
        <v>2990343899161.4375</v>
      </c>
      <c r="H353" s="797">
        <v>3006344190331.8096</v>
      </c>
      <c r="I353" s="230">
        <f t="shared" si="5"/>
        <v>3204849506900.8438</v>
      </c>
    </row>
    <row r="354" spans="1:11" ht="15" customHeight="1" x14ac:dyDescent="0.3">
      <c r="A354" s="79"/>
      <c r="B354" s="80"/>
      <c r="C354" s="106">
        <v>2024</v>
      </c>
      <c r="D354" s="107">
        <v>10</v>
      </c>
      <c r="E354" s="228"/>
      <c r="F354" s="226"/>
      <c r="G354" s="796">
        <v>3147518634747.668</v>
      </c>
      <c r="H354" s="797">
        <v>3162154849288.7373</v>
      </c>
      <c r="I354" s="230">
        <f t="shared" si="5"/>
        <v>3360660165857.7715</v>
      </c>
    </row>
    <row r="355" spans="1:11" ht="15" customHeight="1" x14ac:dyDescent="0.3">
      <c r="A355" s="219" t="s">
        <v>235</v>
      </c>
      <c r="B355" s="80"/>
      <c r="C355" s="106">
        <v>2025</v>
      </c>
      <c r="D355" s="107">
        <v>11</v>
      </c>
      <c r="E355" s="228"/>
      <c r="F355" s="226"/>
      <c r="G355" s="796">
        <v>3312209725839.3535</v>
      </c>
      <c r="H355" s="797">
        <v>3325003913380.2485</v>
      </c>
      <c r="I355" s="230">
        <f t="shared" si="5"/>
        <v>3523509229949.2827</v>
      </c>
    </row>
    <row r="356" spans="1:11" ht="15" customHeight="1" x14ac:dyDescent="0.3">
      <c r="A356" s="884" t="s">
        <v>236</v>
      </c>
      <c r="B356" s="80"/>
      <c r="C356" s="106">
        <v>2026</v>
      </c>
      <c r="D356" s="107">
        <v>12</v>
      </c>
      <c r="E356" s="228"/>
      <c r="F356" s="226"/>
      <c r="G356" s="796">
        <v>3484417172436.4932</v>
      </c>
      <c r="H356" s="797">
        <v>3494853260094.1343</v>
      </c>
      <c r="I356" s="230">
        <f t="shared" si="5"/>
        <v>3693358576663.1685</v>
      </c>
    </row>
    <row r="357" spans="1:11" ht="15" customHeight="1" x14ac:dyDescent="0.3">
      <c r="A357" s="884"/>
      <c r="B357" s="80"/>
      <c r="C357" s="106">
        <v>2027</v>
      </c>
      <c r="D357" s="107">
        <v>13</v>
      </c>
      <c r="E357" s="228"/>
      <c r="F357" s="226"/>
      <c r="G357" s="796">
        <v>3664140974539.0879</v>
      </c>
      <c r="H357" s="797">
        <v>3671696776738.1582</v>
      </c>
      <c r="I357" s="230">
        <f t="shared" si="5"/>
        <v>3870202093307.1924</v>
      </c>
    </row>
    <row r="358" spans="1:11" ht="15" customHeight="1" x14ac:dyDescent="0.3">
      <c r="A358" s="884"/>
      <c r="B358" s="80"/>
      <c r="C358" s="106">
        <v>2028</v>
      </c>
      <c r="D358" s="107">
        <v>14</v>
      </c>
      <c r="E358" s="228"/>
      <c r="F358" s="226"/>
      <c r="G358" s="796">
        <v>3851381132147.1367</v>
      </c>
      <c r="H358" s="797">
        <v>3855492554176.9678</v>
      </c>
      <c r="I358" s="230">
        <f t="shared" si="5"/>
        <v>4053997870746.002</v>
      </c>
    </row>
    <row r="359" spans="1:11" ht="15" customHeight="1" x14ac:dyDescent="0.3">
      <c r="A359" s="884"/>
      <c r="B359" s="80"/>
      <c r="C359" s="106">
        <v>2029</v>
      </c>
      <c r="D359" s="107">
        <v>15</v>
      </c>
      <c r="E359" s="228"/>
      <c r="F359" s="226"/>
      <c r="G359" s="796">
        <v>4046137645260.6411</v>
      </c>
      <c r="H359" s="797">
        <v>4046198558493.7925</v>
      </c>
      <c r="I359" s="230">
        <f t="shared" si="5"/>
        <v>4244703875062.8267</v>
      </c>
      <c r="J359" s="79"/>
      <c r="K359" s="79"/>
    </row>
    <row r="360" spans="1:11" ht="15" customHeight="1" x14ac:dyDescent="0.3">
      <c r="A360" s="884"/>
      <c r="B360" s="80"/>
      <c r="C360" s="106">
        <v>2030</v>
      </c>
      <c r="D360" s="107">
        <v>16</v>
      </c>
      <c r="E360" s="228">
        <v>4262614351474.4653</v>
      </c>
      <c r="F360" s="226">
        <v>4262614351474.4653</v>
      </c>
      <c r="G360" s="796">
        <v>4248410513879.5996</v>
      </c>
      <c r="H360" s="797">
        <v>4243769666895.0259</v>
      </c>
      <c r="I360" s="230">
        <f t="shared" si="5"/>
        <v>4442274983464.0596</v>
      </c>
      <c r="J360" s="79"/>
      <c r="K360" s="79"/>
    </row>
    <row r="361" spans="1:11" ht="15" customHeight="1" x14ac:dyDescent="0.3">
      <c r="A361" s="884"/>
      <c r="B361" s="80"/>
      <c r="C361" s="106">
        <v>2031</v>
      </c>
      <c r="D361" s="107">
        <v>17</v>
      </c>
      <c r="E361" s="228"/>
      <c r="F361" s="226"/>
      <c r="G361" s="796">
        <v>4458199738004.0137</v>
      </c>
      <c r="H361" s="797">
        <v>4448160250257.6035</v>
      </c>
      <c r="I361" s="230">
        <f t="shared" si="5"/>
        <v>4646665566826.6377</v>
      </c>
      <c r="J361" s="79"/>
      <c r="K361" s="79"/>
    </row>
    <row r="362" spans="1:11" ht="15" customHeight="1" x14ac:dyDescent="0.3">
      <c r="A362" s="884"/>
      <c r="B362" s="80"/>
      <c r="C362" s="106">
        <v>2032</v>
      </c>
      <c r="D362" s="107">
        <v>18</v>
      </c>
      <c r="E362" s="228"/>
      <c r="F362" s="226"/>
      <c r="G362" s="796">
        <v>4675505317633.8809</v>
      </c>
      <c r="H362" s="797">
        <v>4659337936865.9365</v>
      </c>
      <c r="I362" s="230">
        <f t="shared" si="5"/>
        <v>4857843253434.9707</v>
      </c>
      <c r="J362" s="79"/>
      <c r="K362" s="79"/>
    </row>
    <row r="363" spans="1:11" ht="15" customHeight="1" x14ac:dyDescent="0.3">
      <c r="A363" s="884"/>
      <c r="B363" s="80"/>
      <c r="C363" s="106">
        <v>2033</v>
      </c>
      <c r="D363" s="107">
        <v>19</v>
      </c>
      <c r="E363" s="228"/>
      <c r="F363" s="226"/>
      <c r="G363" s="796">
        <v>4900327252769.2031</v>
      </c>
      <c r="H363" s="797">
        <v>4877302496766.7607</v>
      </c>
      <c r="I363" s="230">
        <f t="shared" si="5"/>
        <v>5075807813335.7949</v>
      </c>
      <c r="J363" s="79"/>
      <c r="K363" s="79"/>
    </row>
    <row r="364" spans="1:11" ht="15" customHeight="1" x14ac:dyDescent="0.3">
      <c r="A364" s="884"/>
      <c r="B364" s="80"/>
      <c r="C364" s="106">
        <v>2034</v>
      </c>
      <c r="D364" s="107">
        <v>20</v>
      </c>
      <c r="E364" s="228"/>
      <c r="F364" s="226"/>
      <c r="G364" s="796">
        <v>5132665543409.9805</v>
      </c>
      <c r="H364" s="797">
        <v>5102074284308.6641</v>
      </c>
      <c r="I364" s="230">
        <f t="shared" si="5"/>
        <v>5300579600877.6982</v>
      </c>
      <c r="J364" s="79"/>
      <c r="K364" s="79"/>
    </row>
    <row r="365" spans="1:11" ht="15" customHeight="1" x14ac:dyDescent="0.3">
      <c r="A365" s="884"/>
      <c r="B365" s="80"/>
      <c r="C365" s="106">
        <v>2035</v>
      </c>
      <c r="D365" s="107">
        <v>21</v>
      </c>
      <c r="E365" s="228">
        <v>5166805274514.5039</v>
      </c>
      <c r="F365" s="226">
        <v>5166805274514.5039</v>
      </c>
      <c r="G365" s="796">
        <v>5372520189556.2129</v>
      </c>
      <c r="H365" s="797">
        <v>5333664611854.6299</v>
      </c>
      <c r="I365" s="230">
        <f t="shared" si="5"/>
        <v>5532169928423.6641</v>
      </c>
      <c r="J365" s="79"/>
      <c r="K365" s="79"/>
    </row>
    <row r="366" spans="1:11" ht="15" customHeight="1" x14ac:dyDescent="0.3">
      <c r="A366" s="884"/>
      <c r="B366" s="80"/>
      <c r="C366" s="106">
        <v>2036</v>
      </c>
      <c r="D366" s="107">
        <v>22</v>
      </c>
      <c r="E366" s="228"/>
      <c r="F366" s="226"/>
      <c r="G366" s="796">
        <v>5619891191207.9004</v>
      </c>
      <c r="H366" s="797">
        <v>5572065328394.8906</v>
      </c>
      <c r="I366" s="230">
        <f t="shared" si="5"/>
        <v>5770570644963.9248</v>
      </c>
      <c r="J366" s="79"/>
      <c r="K366" s="79"/>
    </row>
    <row r="367" spans="1:11" ht="15" customHeight="1" x14ac:dyDescent="0.3">
      <c r="A367" s="884"/>
      <c r="B367" s="80"/>
      <c r="C367" s="106">
        <v>2037</v>
      </c>
      <c r="D367" s="107">
        <v>23</v>
      </c>
      <c r="E367" s="228"/>
      <c r="F367" s="226"/>
      <c r="G367" s="796">
        <v>5874778548365.041</v>
      </c>
      <c r="H367" s="797">
        <v>5817238019998.2773</v>
      </c>
      <c r="I367" s="230">
        <f t="shared" si="5"/>
        <v>6015743336567.3115</v>
      </c>
      <c r="J367" s="79"/>
      <c r="K367" s="79"/>
    </row>
    <row r="368" spans="1:11" ht="15" customHeight="1" x14ac:dyDescent="0.3">
      <c r="A368" s="884"/>
      <c r="B368" s="80"/>
      <c r="C368" s="106">
        <v>2038</v>
      </c>
      <c r="D368" s="107">
        <v>24</v>
      </c>
      <c r="E368" s="228"/>
      <c r="F368" s="226"/>
      <c r="G368" s="796">
        <v>6137182261027.6367</v>
      </c>
      <c r="H368" s="797">
        <v>6069127010626.2666</v>
      </c>
      <c r="I368" s="230">
        <f t="shared" si="5"/>
        <v>6267632327195.3008</v>
      </c>
      <c r="J368" s="79"/>
      <c r="K368" s="79"/>
    </row>
    <row r="369" spans="1:11" ht="15" customHeight="1" x14ac:dyDescent="0.3">
      <c r="A369" s="884"/>
      <c r="B369" s="80"/>
      <c r="C369" s="106">
        <v>2039</v>
      </c>
      <c r="D369" s="107">
        <v>25</v>
      </c>
      <c r="E369" s="228"/>
      <c r="F369" s="226"/>
      <c r="G369" s="796">
        <v>6407102329195.6875</v>
      </c>
      <c r="H369" s="797">
        <v>6327655035841.6963</v>
      </c>
      <c r="I369" s="230">
        <f t="shared" si="5"/>
        <v>6526160352410.7305</v>
      </c>
      <c r="J369" s="79"/>
      <c r="K369" s="79"/>
    </row>
    <row r="370" spans="1:11" ht="15" customHeight="1" x14ac:dyDescent="0.3">
      <c r="A370" s="884"/>
      <c r="B370" s="80"/>
      <c r="C370" s="106">
        <v>2040</v>
      </c>
      <c r="D370" s="107">
        <v>26</v>
      </c>
      <c r="E370" s="228"/>
      <c r="F370" s="226"/>
      <c r="G370" s="796">
        <v>6684538752869.1934</v>
      </c>
      <c r="H370" s="797">
        <v>6592749218692.8311</v>
      </c>
      <c r="I370" s="230">
        <f t="shared" si="5"/>
        <v>6791254535261.8652</v>
      </c>
      <c r="J370" s="79"/>
      <c r="K370" s="79"/>
    </row>
    <row r="371" spans="1:11" ht="15" customHeight="1" x14ac:dyDescent="0.3">
      <c r="A371" s="884"/>
      <c r="B371" s="80"/>
      <c r="C371" s="106">
        <v>2041</v>
      </c>
      <c r="D371" s="107">
        <v>27</v>
      </c>
      <c r="E371" s="228"/>
      <c r="F371" s="226"/>
      <c r="G371" s="796">
        <v>6969491532048.1523</v>
      </c>
      <c r="H371" s="797">
        <v>6864361143673.5938</v>
      </c>
      <c r="I371" s="230">
        <f t="shared" si="5"/>
        <v>7062866460242.6279</v>
      </c>
      <c r="J371" s="79"/>
      <c r="K371" s="79"/>
    </row>
    <row r="372" spans="1:11" ht="15" customHeight="1" x14ac:dyDescent="0.3">
      <c r="A372" s="884"/>
      <c r="B372" s="80"/>
      <c r="C372" s="106">
        <v>2042</v>
      </c>
      <c r="D372" s="107">
        <v>28</v>
      </c>
      <c r="E372" s="228"/>
      <c r="F372" s="226"/>
      <c r="G372" s="796">
        <v>7261960666732.5684</v>
      </c>
      <c r="H372" s="797">
        <v>7142457420828.002</v>
      </c>
      <c r="I372" s="230">
        <f t="shared" si="5"/>
        <v>7340962737397.0361</v>
      </c>
      <c r="J372" s="79"/>
      <c r="K372" s="79"/>
    </row>
    <row r="373" spans="1:11" ht="15" customHeight="1" x14ac:dyDescent="0.3">
      <c r="A373" s="884"/>
      <c r="B373" s="80"/>
      <c r="C373" s="106">
        <v>2043</v>
      </c>
      <c r="D373" s="107">
        <v>29</v>
      </c>
      <c r="E373" s="228"/>
      <c r="F373" s="226"/>
      <c r="G373" s="796">
        <v>7561946156922.4375</v>
      </c>
      <c r="H373" s="797">
        <v>7426990781856.2969</v>
      </c>
      <c r="I373" s="230">
        <f t="shared" si="5"/>
        <v>7625496098425.3311</v>
      </c>
      <c r="J373" s="79"/>
      <c r="K373" s="79"/>
    </row>
    <row r="374" spans="1:11" ht="15" customHeight="1" x14ac:dyDescent="0.3">
      <c r="A374" s="884"/>
      <c r="B374" s="80"/>
      <c r="C374" s="106">
        <v>2044</v>
      </c>
      <c r="D374" s="107">
        <v>30</v>
      </c>
      <c r="E374" s="228"/>
      <c r="F374" s="226"/>
      <c r="G374" s="796">
        <v>7869448002617.7617</v>
      </c>
      <c r="H374" s="797">
        <v>7717915699787.3662</v>
      </c>
      <c r="I374" s="230">
        <f t="shared" si="5"/>
        <v>7916421016356.4004</v>
      </c>
      <c r="J374" s="79"/>
      <c r="K374" s="79"/>
    </row>
    <row r="375" spans="1:11" ht="15" customHeight="1" x14ac:dyDescent="0.3">
      <c r="A375" s="884"/>
      <c r="B375" s="80"/>
      <c r="C375" s="106">
        <v>2045</v>
      </c>
      <c r="D375" s="107">
        <v>31</v>
      </c>
      <c r="E375" s="228"/>
      <c r="F375" s="226"/>
      <c r="G375" s="796">
        <v>8184466203818.541</v>
      </c>
      <c r="H375" s="797">
        <v>8015183948338.417</v>
      </c>
      <c r="I375" s="230">
        <f t="shared" si="5"/>
        <v>8213689264907.4512</v>
      </c>
      <c r="J375" s="79"/>
      <c r="K375" s="79"/>
    </row>
    <row r="376" spans="1:11" ht="15" customHeight="1" x14ac:dyDescent="0.3">
      <c r="A376" s="884"/>
      <c r="B376" s="80"/>
      <c r="C376" s="106">
        <v>2046</v>
      </c>
      <c r="D376" s="107">
        <v>32</v>
      </c>
      <c r="E376" s="228"/>
      <c r="F376" s="226"/>
      <c r="G376" s="796">
        <v>8507000760524.7734</v>
      </c>
      <c r="H376" s="797">
        <v>8318745775751.5439</v>
      </c>
      <c r="I376" s="230">
        <f t="shared" si="5"/>
        <v>8517251092320.5781</v>
      </c>
      <c r="J376" s="79"/>
      <c r="K376" s="79"/>
    </row>
    <row r="377" spans="1:11" ht="15" customHeight="1" x14ac:dyDescent="0.3">
      <c r="A377" s="884"/>
      <c r="B377" s="80"/>
      <c r="C377" s="106">
        <v>2047</v>
      </c>
      <c r="D377" s="107">
        <v>33</v>
      </c>
      <c r="E377" s="228"/>
      <c r="F377" s="226"/>
      <c r="G377" s="796">
        <v>8837051672736.4629</v>
      </c>
      <c r="H377" s="797">
        <v>8628546334219.0107</v>
      </c>
      <c r="I377" s="230">
        <f t="shared" si="5"/>
        <v>8827051650788.0449</v>
      </c>
      <c r="J377" s="79"/>
      <c r="K377" s="79"/>
    </row>
    <row r="378" spans="1:11" ht="15" customHeight="1" x14ac:dyDescent="0.3">
      <c r="A378" s="884"/>
      <c r="B378" s="80"/>
      <c r="C378" s="106">
        <v>2048</v>
      </c>
      <c r="D378" s="107">
        <v>34</v>
      </c>
      <c r="E378" s="228"/>
      <c r="F378" s="226"/>
      <c r="G378" s="796">
        <v>9174618940453.6055</v>
      </c>
      <c r="H378" s="797">
        <v>8944525231854.4805</v>
      </c>
      <c r="I378" s="230">
        <f t="shared" si="5"/>
        <v>9143030548423.5137</v>
      </c>
      <c r="J378" s="79"/>
      <c r="K378" s="79"/>
    </row>
    <row r="379" spans="1:11" ht="15" customHeight="1" x14ac:dyDescent="0.3">
      <c r="A379" s="79"/>
      <c r="B379" s="79"/>
      <c r="C379" s="106">
        <v>2049</v>
      </c>
      <c r="D379" s="107">
        <v>35</v>
      </c>
      <c r="E379" s="228"/>
      <c r="F379" s="226"/>
      <c r="G379" s="796">
        <v>9519702563676.2031</v>
      </c>
      <c r="H379" s="797">
        <v>9266618126253.3828</v>
      </c>
      <c r="I379" s="230">
        <f t="shared" si="5"/>
        <v>9465123442822.416</v>
      </c>
      <c r="J379" s="79"/>
      <c r="K379" s="79"/>
    </row>
    <row r="380" spans="1:11" ht="15" customHeight="1" x14ac:dyDescent="0.3">
      <c r="A380" s="79"/>
      <c r="B380" s="79"/>
      <c r="C380" s="106">
        <v>2050</v>
      </c>
      <c r="D380" s="111">
        <v>36</v>
      </c>
      <c r="E380" s="228">
        <v>9947551879166.7266</v>
      </c>
      <c r="F380" s="226">
        <v>9947551879166.7266</v>
      </c>
      <c r="G380" s="798">
        <v>9872302542404.2539</v>
      </c>
      <c r="H380" s="799">
        <v>9594761331402.4844</v>
      </c>
      <c r="I380" s="230">
        <f t="shared" si="5"/>
        <v>9793266647971.5176</v>
      </c>
      <c r="J380" s="79"/>
      <c r="K380" s="79"/>
    </row>
    <row r="381" spans="1:11" ht="15" customHeight="1" x14ac:dyDescent="0.3">
      <c r="A381" s="79"/>
      <c r="B381" s="79"/>
      <c r="C381" s="106">
        <v>2051</v>
      </c>
      <c r="D381" s="107">
        <v>37</v>
      </c>
      <c r="E381" s="228"/>
      <c r="F381" s="226"/>
      <c r="G381" s="796">
        <v>10232418876637.762</v>
      </c>
      <c r="H381" s="797">
        <v>9928893121819.6191</v>
      </c>
      <c r="I381" s="230">
        <f t="shared" si="5"/>
        <v>10127398438388.652</v>
      </c>
      <c r="J381" s="79"/>
      <c r="K381" s="79"/>
    </row>
    <row r="382" spans="1:11" ht="15" customHeight="1" x14ac:dyDescent="0.3">
      <c r="A382" s="79"/>
      <c r="B382" s="79"/>
      <c r="C382" s="106">
        <v>2052</v>
      </c>
      <c r="D382" s="107">
        <v>38</v>
      </c>
      <c r="E382" s="228"/>
      <c r="F382" s="226"/>
      <c r="G382" s="796">
        <v>10600051566376.723</v>
      </c>
      <c r="H382" s="797">
        <v>10268958182085.836</v>
      </c>
      <c r="I382" s="230">
        <f t="shared" si="5"/>
        <v>10467463498654.869</v>
      </c>
      <c r="J382" s="79"/>
      <c r="K382" s="79"/>
    </row>
    <row r="383" spans="1:11" ht="15" customHeight="1" x14ac:dyDescent="0.3">
      <c r="A383" s="79"/>
      <c r="B383" s="79"/>
      <c r="C383" s="106">
        <v>2053</v>
      </c>
      <c r="D383" s="107">
        <v>39</v>
      </c>
      <c r="E383" s="228"/>
      <c r="F383" s="226"/>
      <c r="G383" s="796">
        <v>10975200611621.141</v>
      </c>
      <c r="H383" s="797">
        <v>10614906834763.008</v>
      </c>
      <c r="I383" s="230">
        <f t="shared" si="5"/>
        <v>10813412151332.041</v>
      </c>
      <c r="J383" s="79"/>
      <c r="K383" s="79"/>
    </row>
    <row r="384" spans="1:11" ht="15" customHeight="1" x14ac:dyDescent="0.3">
      <c r="A384" s="79"/>
      <c r="B384" s="79"/>
      <c r="C384" s="106">
        <v>2054</v>
      </c>
      <c r="D384" s="107">
        <v>40</v>
      </c>
      <c r="E384" s="228"/>
      <c r="F384" s="226"/>
      <c r="G384" s="796">
        <v>11357866012371.01</v>
      </c>
      <c r="H384" s="797">
        <v>10966694325460.814</v>
      </c>
      <c r="I384" s="230">
        <f t="shared" si="5"/>
        <v>11165199642029.848</v>
      </c>
      <c r="J384" s="79"/>
      <c r="K384" s="79"/>
    </row>
    <row r="385" spans="1:12" ht="15" customHeight="1" x14ac:dyDescent="0.3">
      <c r="A385" s="79"/>
      <c r="B385" s="79"/>
      <c r="C385" s="106">
        <v>2055</v>
      </c>
      <c r="D385" s="111">
        <v>41</v>
      </c>
      <c r="E385" s="228"/>
      <c r="F385" s="226"/>
      <c r="G385" s="798">
        <v>11748047768626.336</v>
      </c>
      <c r="H385" s="799">
        <v>11324272798036.559</v>
      </c>
      <c r="I385" s="230">
        <f t="shared" si="5"/>
        <v>11522778114605.592</v>
      </c>
      <c r="J385" s="79"/>
      <c r="K385" s="79"/>
    </row>
    <row r="386" spans="1:12" ht="15" customHeight="1" x14ac:dyDescent="0.3">
      <c r="A386" s="79"/>
      <c r="B386" s="79"/>
      <c r="C386" s="106">
        <v>2056</v>
      </c>
      <c r="D386" s="107">
        <v>42</v>
      </c>
      <c r="E386" s="228"/>
      <c r="F386" s="226"/>
      <c r="G386" s="796">
        <v>12145745880387.117</v>
      </c>
      <c r="H386" s="797">
        <v>11687582811398.535</v>
      </c>
      <c r="I386" s="230">
        <f t="shared" si="5"/>
        <v>11886088127967.568</v>
      </c>
      <c r="J386" s="79"/>
      <c r="K386" s="79"/>
    </row>
    <row r="387" spans="1:12" ht="15" customHeight="1" x14ac:dyDescent="0.3">
      <c r="A387" s="79"/>
      <c r="B387" s="79"/>
      <c r="C387" s="106">
        <v>2057</v>
      </c>
      <c r="D387" s="107">
        <v>43</v>
      </c>
      <c r="E387" s="228"/>
      <c r="F387" s="226"/>
      <c r="G387" s="796">
        <v>12550960347653.352</v>
      </c>
      <c r="H387" s="797">
        <v>12056560008060.793</v>
      </c>
      <c r="I387" s="230">
        <f t="shared" si="5"/>
        <v>12255065324629.826</v>
      </c>
      <c r="J387" s="79"/>
      <c r="K387" s="79"/>
    </row>
    <row r="388" spans="1:12" ht="15" customHeight="1" x14ac:dyDescent="0.3">
      <c r="A388" s="79"/>
      <c r="B388" s="79"/>
      <c r="C388" s="106">
        <v>2058</v>
      </c>
      <c r="D388" s="107">
        <v>44</v>
      </c>
      <c r="E388" s="228"/>
      <c r="F388" s="226"/>
      <c r="G388" s="796">
        <v>12963691170425.041</v>
      </c>
      <c r="H388" s="797">
        <v>12431146393203.129</v>
      </c>
      <c r="I388" s="230">
        <f t="shared" si="5"/>
        <v>12629651709772.162</v>
      </c>
      <c r="J388" s="79"/>
      <c r="K388" s="79"/>
    </row>
    <row r="389" spans="1:12" ht="15" customHeight="1" x14ac:dyDescent="0.3">
      <c r="A389" s="79"/>
      <c r="B389" s="79"/>
      <c r="C389" s="106">
        <v>2059</v>
      </c>
      <c r="D389" s="107">
        <v>45</v>
      </c>
      <c r="E389" s="228"/>
      <c r="F389" s="226"/>
      <c r="G389" s="796">
        <v>13383938348702.186</v>
      </c>
      <c r="H389" s="797">
        <v>12811283908570.354</v>
      </c>
      <c r="I389" s="230">
        <f t="shared" si="5"/>
        <v>13009789225139.387</v>
      </c>
      <c r="J389" s="79"/>
      <c r="K389" s="79"/>
    </row>
    <row r="390" spans="1:12" ht="15" customHeight="1" x14ac:dyDescent="0.3">
      <c r="A390" s="79"/>
      <c r="B390" s="79"/>
      <c r="C390" s="112">
        <v>2060</v>
      </c>
      <c r="D390" s="111">
        <v>46</v>
      </c>
      <c r="E390" s="228"/>
      <c r="F390" s="226"/>
      <c r="G390" s="798">
        <v>13811701882484.785</v>
      </c>
      <c r="H390" s="799">
        <v>13196911563419.941</v>
      </c>
      <c r="I390" s="230">
        <f t="shared" si="5"/>
        <v>13395416879988.975</v>
      </c>
      <c r="J390" s="79"/>
      <c r="K390" s="79"/>
    </row>
    <row r="391" spans="1:12" ht="15" customHeight="1" x14ac:dyDescent="0.3">
      <c r="A391" s="79"/>
      <c r="B391" s="219"/>
      <c r="C391" s="5"/>
      <c r="D391" s="5"/>
      <c r="E391" s="5"/>
      <c r="F391" s="5"/>
      <c r="G391" s="800"/>
      <c r="H391" s="800"/>
      <c r="I391" s="5"/>
      <c r="J391" s="5"/>
      <c r="K391" s="5"/>
    </row>
    <row r="392" spans="1:12" ht="15" customHeight="1" x14ac:dyDescent="0.3">
      <c r="A392" s="79"/>
      <c r="B392" s="219"/>
      <c r="C392" s="5"/>
      <c r="D392" s="5"/>
      <c r="E392" s="5"/>
      <c r="F392" s="5"/>
      <c r="G392" s="800"/>
      <c r="H392" s="800"/>
      <c r="I392" s="5"/>
      <c r="J392" s="5"/>
      <c r="K392" s="5"/>
    </row>
    <row r="393" spans="1:12" ht="15" customHeight="1" x14ac:dyDescent="0.3">
      <c r="A393" s="231" t="s">
        <v>190</v>
      </c>
      <c r="B393" s="219"/>
      <c r="C393" s="5"/>
      <c r="D393" s="5"/>
      <c r="E393" s="5"/>
      <c r="F393" s="5"/>
      <c r="G393" s="800"/>
      <c r="H393" s="800"/>
      <c r="I393" s="5"/>
      <c r="J393" s="5"/>
      <c r="K393" s="5"/>
    </row>
    <row r="394" spans="1:12" ht="15" customHeight="1" x14ac:dyDescent="0.3">
      <c r="A394" s="5"/>
      <c r="B394" s="219"/>
      <c r="C394" s="5"/>
      <c r="D394" s="5"/>
      <c r="E394" s="5"/>
      <c r="F394" s="5"/>
      <c r="G394" s="800"/>
      <c r="H394" s="800"/>
      <c r="I394" s="5"/>
      <c r="J394" s="5"/>
      <c r="K394" s="5"/>
    </row>
    <row r="395" spans="1:12" ht="15" customHeight="1" x14ac:dyDescent="0.3">
      <c r="A395" s="5"/>
      <c r="B395" s="219"/>
      <c r="C395" s="5"/>
      <c r="D395" s="5"/>
      <c r="E395" s="5"/>
      <c r="F395" s="5"/>
      <c r="G395" s="801"/>
      <c r="H395" s="801"/>
      <c r="I395" s="5"/>
      <c r="J395" s="5"/>
      <c r="K395" s="5"/>
    </row>
    <row r="396" spans="1:12" ht="15" customHeight="1" x14ac:dyDescent="0.3">
      <c r="A396" s="71">
        <f>1+A331</f>
        <v>7</v>
      </c>
      <c r="B396" s="72" t="s">
        <v>278</v>
      </c>
      <c r="C396" s="73"/>
      <c r="D396" s="73"/>
      <c r="E396" s="73"/>
      <c r="F396" s="73"/>
      <c r="G396" s="802"/>
      <c r="H396" s="802"/>
      <c r="I396" s="73"/>
      <c r="J396" s="73"/>
      <c r="K396" s="73"/>
    </row>
    <row r="397" spans="1:12" ht="15" customHeight="1" x14ac:dyDescent="0.3">
      <c r="A397" s="74" t="s">
        <v>74</v>
      </c>
      <c r="B397" s="75"/>
      <c r="C397" s="75"/>
      <c r="D397" s="76"/>
      <c r="E397" s="77"/>
      <c r="F397" s="862"/>
      <c r="G397" s="803"/>
      <c r="H397" s="790"/>
      <c r="I397" s="79"/>
      <c r="J397" s="79"/>
      <c r="K397" s="79"/>
    </row>
    <row r="398" spans="1:12" ht="15" customHeight="1" thickBot="1" x14ac:dyDescent="0.35">
      <c r="A398" s="110" t="s">
        <v>75</v>
      </c>
      <c r="B398" s="80"/>
      <c r="C398" s="80"/>
      <c r="D398" s="81"/>
      <c r="E398" s="109" t="s">
        <v>78</v>
      </c>
      <c r="F398" s="863"/>
      <c r="G398" s="789" t="s">
        <v>228</v>
      </c>
      <c r="H398" s="790"/>
      <c r="I398" s="79"/>
      <c r="J398" s="79"/>
      <c r="K398" s="79"/>
    </row>
    <row r="399" spans="1:12" ht="44.4" customHeight="1" thickBot="1" x14ac:dyDescent="0.35">
      <c r="A399" s="82"/>
      <c r="B399" s="82"/>
      <c r="C399" s="82"/>
      <c r="D399" s="83"/>
      <c r="E399" s="101" t="s">
        <v>229</v>
      </c>
      <c r="F399" s="101" t="s">
        <v>230</v>
      </c>
      <c r="G399" s="789" t="s">
        <v>81</v>
      </c>
      <c r="H399" s="791" t="s">
        <v>82</v>
      </c>
      <c r="I399" s="101" t="s">
        <v>234</v>
      </c>
      <c r="J399" s="747" t="s">
        <v>754</v>
      </c>
      <c r="K399" s="865" t="s">
        <v>84</v>
      </c>
      <c r="L399" s="866"/>
    </row>
    <row r="400" spans="1:12" ht="15" customHeight="1" x14ac:dyDescent="0.3">
      <c r="A400" s="74" t="s">
        <v>85</v>
      </c>
      <c r="B400" s="82"/>
      <c r="C400" s="102">
        <v>2005</v>
      </c>
      <c r="D400" s="103">
        <v>-9</v>
      </c>
      <c r="E400" s="226"/>
      <c r="F400" s="226"/>
      <c r="G400" s="792">
        <v>1220345170187.075</v>
      </c>
      <c r="H400" s="793">
        <v>1220345170187.075</v>
      </c>
      <c r="I400" s="233">
        <f>H400+$L$410</f>
        <v>1418850486756.1089</v>
      </c>
      <c r="J400" s="871" t="s">
        <v>86</v>
      </c>
      <c r="K400" s="867"/>
      <c r="L400" s="868"/>
    </row>
    <row r="401" spans="1:13" ht="15" customHeight="1" x14ac:dyDescent="0.3">
      <c r="A401" s="110" t="s">
        <v>87</v>
      </c>
      <c r="B401" s="82"/>
      <c r="C401" s="106">
        <v>2006</v>
      </c>
      <c r="D401" s="107">
        <v>-8</v>
      </c>
      <c r="E401" s="228"/>
      <c r="F401" s="226"/>
      <c r="G401" s="794">
        <v>1326309137056.6899</v>
      </c>
      <c r="H401" s="795">
        <v>1326309137056.6899</v>
      </c>
      <c r="I401" s="227">
        <f t="shared" ref="I401:I455" si="6">H401+$L$410</f>
        <v>1524814453625.7241</v>
      </c>
      <c r="J401" s="867"/>
      <c r="K401" s="867"/>
      <c r="L401" s="868"/>
    </row>
    <row r="402" spans="1:13" ht="15" customHeight="1" x14ac:dyDescent="0.3">
      <c r="A402" s="82"/>
      <c r="B402" s="82"/>
      <c r="C402" s="106">
        <v>2007</v>
      </c>
      <c r="D402" s="107">
        <v>-7</v>
      </c>
      <c r="E402" s="228"/>
      <c r="F402" s="226"/>
      <c r="G402" s="794">
        <v>1430183975568.8276</v>
      </c>
      <c r="H402" s="795">
        <v>1430183975568.8276</v>
      </c>
      <c r="I402" s="229">
        <f t="shared" si="6"/>
        <v>1628689292137.8618</v>
      </c>
      <c r="J402" s="867"/>
      <c r="K402" s="867"/>
      <c r="L402" s="868"/>
    </row>
    <row r="403" spans="1:13" ht="15" customHeight="1" x14ac:dyDescent="0.3">
      <c r="A403" s="29" t="s">
        <v>88</v>
      </c>
      <c r="B403" s="82"/>
      <c r="C403" s="106">
        <v>2008</v>
      </c>
      <c r="D403" s="107">
        <v>-6</v>
      </c>
      <c r="E403" s="228"/>
      <c r="F403" s="226"/>
      <c r="G403" s="794">
        <v>1532032614492.7305</v>
      </c>
      <c r="H403" s="795">
        <v>1532032614492.7305</v>
      </c>
      <c r="I403" s="229">
        <f t="shared" si="6"/>
        <v>1730537931061.7646</v>
      </c>
      <c r="J403" s="867"/>
      <c r="K403" s="869"/>
      <c r="L403" s="870"/>
    </row>
    <row r="404" spans="1:13" ht="15" customHeight="1" x14ac:dyDescent="0.3">
      <c r="A404" s="886" t="s">
        <v>277</v>
      </c>
      <c r="B404" s="82"/>
      <c r="C404" s="106">
        <v>2009</v>
      </c>
      <c r="D404" s="107">
        <v>-5</v>
      </c>
      <c r="E404" s="228"/>
      <c r="F404" s="226"/>
      <c r="G404" s="794">
        <v>1631917982597.6426</v>
      </c>
      <c r="H404" s="795">
        <v>1631917982597.6426</v>
      </c>
      <c r="I404" s="229">
        <f t="shared" si="6"/>
        <v>1830423299166.6768</v>
      </c>
      <c r="J404" s="867"/>
      <c r="K404" s="79"/>
      <c r="L404" s="79"/>
    </row>
    <row r="405" spans="1:13" ht="15" customHeight="1" x14ac:dyDescent="0.3">
      <c r="A405" s="873"/>
      <c r="B405" s="82"/>
      <c r="C405" s="106">
        <v>2010</v>
      </c>
      <c r="D405" s="107">
        <v>-4</v>
      </c>
      <c r="E405" s="228">
        <v>1709281731148.3171</v>
      </c>
      <c r="F405" s="226">
        <v>1709281731148.3171</v>
      </c>
      <c r="G405" s="794">
        <v>1729903008652.8069</v>
      </c>
      <c r="H405" s="795">
        <v>1729903008652.8069</v>
      </c>
      <c r="I405" s="229">
        <f t="shared" si="6"/>
        <v>1928408325221.8408</v>
      </c>
      <c r="J405" s="867"/>
      <c r="K405" s="79"/>
      <c r="L405" s="79"/>
    </row>
    <row r="406" spans="1:13" ht="15" customHeight="1" x14ac:dyDescent="0.3">
      <c r="A406" s="873"/>
      <c r="B406" s="82"/>
      <c r="C406" s="106">
        <v>2011</v>
      </c>
      <c r="D406" s="107">
        <v>-3</v>
      </c>
      <c r="E406" s="228"/>
      <c r="F406" s="226"/>
      <c r="G406" s="794">
        <v>1826050621427.4668</v>
      </c>
      <c r="H406" s="795">
        <v>1826050621427.4668</v>
      </c>
      <c r="I406" s="229">
        <f t="shared" si="6"/>
        <v>2024555937996.501</v>
      </c>
      <c r="J406" s="869"/>
      <c r="K406" s="79"/>
      <c r="L406" s="79"/>
    </row>
    <row r="407" spans="1:13" ht="15" customHeight="1" x14ac:dyDescent="0.3">
      <c r="A407" s="874"/>
      <c r="B407" s="82"/>
      <c r="C407" s="106">
        <v>2012</v>
      </c>
      <c r="D407" s="107">
        <v>-2</v>
      </c>
      <c r="E407" s="228"/>
      <c r="F407" s="226"/>
      <c r="G407" s="796">
        <v>1920423749690.8655</v>
      </c>
      <c r="H407" s="797">
        <v>1920423749690.8655</v>
      </c>
      <c r="I407" s="230">
        <f t="shared" si="6"/>
        <v>2118929066259.8994</v>
      </c>
      <c r="J407" s="87" t="s">
        <v>90</v>
      </c>
      <c r="K407" s="79"/>
      <c r="L407" s="79"/>
    </row>
    <row r="408" spans="1:13" ht="15" customHeight="1" x14ac:dyDescent="0.3">
      <c r="A408" s="82"/>
      <c r="B408" s="82"/>
      <c r="C408" s="106">
        <v>2013</v>
      </c>
      <c r="D408" s="107">
        <v>-1</v>
      </c>
      <c r="E408" s="228"/>
      <c r="F408" s="226"/>
      <c r="G408" s="796">
        <v>2013085322212.2461</v>
      </c>
      <c r="H408" s="797">
        <v>2013085322212.2461</v>
      </c>
      <c r="I408" s="230">
        <f t="shared" si="6"/>
        <v>2211590638781.2803</v>
      </c>
      <c r="J408" s="79"/>
      <c r="K408" s="79"/>
      <c r="L408" s="219"/>
      <c r="M408" s="219"/>
    </row>
    <row r="409" spans="1:13" ht="15" customHeight="1" x14ac:dyDescent="0.3">
      <c r="A409" s="77" t="s">
        <v>91</v>
      </c>
      <c r="B409" s="82"/>
      <c r="C409" s="106">
        <v>2014</v>
      </c>
      <c r="D409" s="107">
        <v>0</v>
      </c>
      <c r="E409" s="228"/>
      <c r="F409" s="226"/>
      <c r="G409" s="796">
        <v>2104098267760.8525</v>
      </c>
      <c r="H409" s="797">
        <v>2117290445518.2065</v>
      </c>
      <c r="I409" s="230">
        <f t="shared" si="6"/>
        <v>2315795762087.2407</v>
      </c>
      <c r="J409" s="79"/>
      <c r="K409" s="79"/>
      <c r="L409" s="219"/>
      <c r="M409" s="219"/>
    </row>
    <row r="410" spans="1:13" ht="15" customHeight="1" x14ac:dyDescent="0.3">
      <c r="A410" s="110">
        <v>2016</v>
      </c>
      <c r="B410" s="80"/>
      <c r="C410" s="106">
        <v>2015</v>
      </c>
      <c r="D410" s="107">
        <v>1</v>
      </c>
      <c r="E410" s="228">
        <v>2239046994597.7275</v>
      </c>
      <c r="F410" s="226">
        <v>2239046994597.7275</v>
      </c>
      <c r="G410" s="796">
        <v>2193525515105.9277</v>
      </c>
      <c r="H410" s="797">
        <v>2207449223240.27</v>
      </c>
      <c r="I410" s="230">
        <f t="shared" si="6"/>
        <v>2405954539809.3042</v>
      </c>
      <c r="J410" s="219" t="s">
        <v>233</v>
      </c>
      <c r="K410" s="219"/>
      <c r="L410" s="232">
        <v>198505316569.03406</v>
      </c>
      <c r="M410" s="219" t="s">
        <v>232</v>
      </c>
    </row>
    <row r="411" spans="1:13" ht="15" customHeight="1" x14ac:dyDescent="0.3">
      <c r="A411" s="79"/>
      <c r="B411" s="80"/>
      <c r="C411" s="106">
        <v>2016</v>
      </c>
      <c r="D411" s="107">
        <v>2</v>
      </c>
      <c r="E411" s="228"/>
      <c r="F411" s="226"/>
      <c r="G411" s="796">
        <v>2281429993016.7148</v>
      </c>
      <c r="H411" s="797">
        <v>2296141962042.4517</v>
      </c>
      <c r="I411" s="230">
        <f t="shared" si="6"/>
        <v>2494647278611.4858</v>
      </c>
      <c r="J411" s="79"/>
      <c r="K411" s="234"/>
      <c r="L411" s="235" t="s">
        <v>237</v>
      </c>
      <c r="M411" s="236"/>
    </row>
    <row r="412" spans="1:13" ht="15" customHeight="1" x14ac:dyDescent="0.3">
      <c r="A412" s="77" t="s">
        <v>92</v>
      </c>
      <c r="B412" s="80"/>
      <c r="C412" s="106">
        <v>2017</v>
      </c>
      <c r="D412" s="107">
        <v>3</v>
      </c>
      <c r="E412" s="228"/>
      <c r="F412" s="226"/>
      <c r="G412" s="796">
        <v>2367874630262.4575</v>
      </c>
      <c r="H412" s="797">
        <v>2383436307666.2236</v>
      </c>
      <c r="I412" s="230">
        <f t="shared" si="6"/>
        <v>2581941624235.2578</v>
      </c>
      <c r="J412" s="79"/>
      <c r="K412" s="79"/>
    </row>
    <row r="413" spans="1:13" ht="15" customHeight="1" x14ac:dyDescent="0.3">
      <c r="A413" s="110" t="s">
        <v>229</v>
      </c>
      <c r="B413" s="80"/>
      <c r="C413" s="106">
        <v>2018</v>
      </c>
      <c r="D413" s="107">
        <v>4</v>
      </c>
      <c r="E413" s="228"/>
      <c r="F413" s="226"/>
      <c r="G413" s="796">
        <v>2452922355612.3989</v>
      </c>
      <c r="H413" s="797">
        <v>2469380904571.1274</v>
      </c>
      <c r="I413" s="230">
        <f t="shared" si="6"/>
        <v>2667886221140.1616</v>
      </c>
    </row>
    <row r="414" spans="1:13" ht="15" customHeight="1" x14ac:dyDescent="0.3">
      <c r="A414" s="79"/>
      <c r="B414" s="80"/>
      <c r="C414" s="106">
        <v>2019</v>
      </c>
      <c r="D414" s="107">
        <v>5</v>
      </c>
      <c r="E414" s="228"/>
      <c r="F414" s="226"/>
      <c r="G414" s="796">
        <v>2536636097835.7822</v>
      </c>
      <c r="H414" s="797">
        <v>2554012672003.4956</v>
      </c>
      <c r="I414" s="230">
        <f t="shared" si="6"/>
        <v>2752517988572.5298</v>
      </c>
    </row>
    <row r="415" spans="1:13" ht="15" customHeight="1" x14ac:dyDescent="0.3">
      <c r="A415" s="77" t="s">
        <v>93</v>
      </c>
      <c r="B415" s="80"/>
      <c r="C415" s="106">
        <v>2020</v>
      </c>
      <c r="D415" s="107">
        <v>6</v>
      </c>
      <c r="E415" s="228">
        <v>2608833287283.0103</v>
      </c>
      <c r="F415" s="226">
        <v>2608833287283.0103</v>
      </c>
      <c r="G415" s="796">
        <v>2619078785701.8511</v>
      </c>
      <c r="H415" s="797">
        <v>2637583684616.314</v>
      </c>
      <c r="I415" s="230">
        <f t="shared" si="6"/>
        <v>2836089001185.3481</v>
      </c>
    </row>
    <row r="416" spans="1:13" ht="15" customHeight="1" x14ac:dyDescent="0.3">
      <c r="A416" s="77"/>
      <c r="B416" s="80"/>
      <c r="C416" s="106">
        <v>2021</v>
      </c>
      <c r="D416" s="107">
        <v>7</v>
      </c>
      <c r="E416" s="228"/>
      <c r="F416" s="226"/>
      <c r="G416" s="796">
        <v>2700313347979.8486</v>
      </c>
      <c r="H416" s="797">
        <v>2717995152473.4048</v>
      </c>
      <c r="I416" s="230">
        <f t="shared" si="6"/>
        <v>2916500469042.439</v>
      </c>
    </row>
    <row r="417" spans="1:11" ht="15" customHeight="1" x14ac:dyDescent="0.3">
      <c r="A417" s="88"/>
      <c r="B417" s="80"/>
      <c r="C417" s="106">
        <v>2022</v>
      </c>
      <c r="D417" s="107">
        <v>8</v>
      </c>
      <c r="E417" s="228"/>
      <c r="F417" s="226"/>
      <c r="G417" s="796">
        <v>2780402713439.0181</v>
      </c>
      <c r="H417" s="797">
        <v>2797021068979.2061</v>
      </c>
      <c r="I417" s="230">
        <f t="shared" si="6"/>
        <v>2995526385548.2402</v>
      </c>
    </row>
    <row r="418" spans="1:11" ht="15" customHeight="1" x14ac:dyDescent="0.3">
      <c r="A418" s="110"/>
      <c r="B418" s="80"/>
      <c r="C418" s="106">
        <v>2023</v>
      </c>
      <c r="D418" s="107">
        <v>9</v>
      </c>
      <c r="E418" s="228"/>
      <c r="F418" s="226"/>
      <c r="G418" s="796">
        <v>2859409810848.6025</v>
      </c>
      <c r="H418" s="797">
        <v>2874709519207.1714</v>
      </c>
      <c r="I418" s="230">
        <f t="shared" si="6"/>
        <v>3073214835776.2056</v>
      </c>
    </row>
    <row r="419" spans="1:11" ht="15" customHeight="1" x14ac:dyDescent="0.3">
      <c r="A419" s="79"/>
      <c r="B419" s="80"/>
      <c r="C419" s="106">
        <v>2024</v>
      </c>
      <c r="D419" s="107">
        <v>10</v>
      </c>
      <c r="E419" s="228"/>
      <c r="F419" s="226"/>
      <c r="G419" s="796">
        <v>2937397568977.8457</v>
      </c>
      <c r="H419" s="797">
        <v>2951056703680.7676</v>
      </c>
      <c r="I419" s="230">
        <f t="shared" si="6"/>
        <v>3149562020249.8018</v>
      </c>
    </row>
    <row r="420" spans="1:11" ht="15" customHeight="1" x14ac:dyDescent="0.3">
      <c r="A420" s="219" t="s">
        <v>235</v>
      </c>
      <c r="B420" s="80"/>
      <c r="C420" s="106">
        <v>2025</v>
      </c>
      <c r="D420" s="107">
        <v>11</v>
      </c>
      <c r="E420" s="228">
        <v>2991607431280.8584</v>
      </c>
      <c r="F420" s="226">
        <v>2991607431280.8584</v>
      </c>
      <c r="G420" s="796">
        <v>3014428916595.9912</v>
      </c>
      <c r="H420" s="797">
        <v>3026072855863.1074</v>
      </c>
      <c r="I420" s="230">
        <f t="shared" si="6"/>
        <v>3224578172432.1416</v>
      </c>
    </row>
    <row r="421" spans="1:11" ht="15" customHeight="1" x14ac:dyDescent="0.3">
      <c r="A421" s="884" t="s">
        <v>236</v>
      </c>
      <c r="B421" s="80"/>
      <c r="C421" s="106">
        <v>2026</v>
      </c>
      <c r="D421" s="107">
        <v>12</v>
      </c>
      <c r="E421" s="228"/>
      <c r="F421" s="226"/>
      <c r="G421" s="796">
        <v>3090566782472.2813</v>
      </c>
      <c r="H421" s="797">
        <v>3099823259024.1748</v>
      </c>
      <c r="I421" s="230">
        <f t="shared" si="6"/>
        <v>3298328575593.209</v>
      </c>
    </row>
    <row r="422" spans="1:11" ht="15" customHeight="1" x14ac:dyDescent="0.3">
      <c r="A422" s="884"/>
      <c r="B422" s="80"/>
      <c r="C422" s="106">
        <v>2027</v>
      </c>
      <c r="D422" s="107">
        <v>13</v>
      </c>
      <c r="E422" s="228"/>
      <c r="F422" s="226"/>
      <c r="G422" s="796">
        <v>3165874095375.9604</v>
      </c>
      <c r="H422" s="797">
        <v>3172402424558.1719</v>
      </c>
      <c r="I422" s="230">
        <f t="shared" si="6"/>
        <v>3370907741127.2061</v>
      </c>
      <c r="J422" s="79"/>
      <c r="K422" s="79"/>
    </row>
    <row r="423" spans="1:11" ht="15" customHeight="1" x14ac:dyDescent="0.3">
      <c r="A423" s="884"/>
      <c r="B423" s="80"/>
      <c r="C423" s="106">
        <v>2028</v>
      </c>
      <c r="D423" s="107">
        <v>14</v>
      </c>
      <c r="E423" s="228"/>
      <c r="F423" s="226"/>
      <c r="G423" s="796">
        <v>3240413784076.271</v>
      </c>
      <c r="H423" s="797">
        <v>3243872986933.7642</v>
      </c>
      <c r="I423" s="230">
        <f t="shared" si="6"/>
        <v>3442378303502.7983</v>
      </c>
      <c r="J423" s="79"/>
      <c r="K423" s="79"/>
    </row>
    <row r="424" spans="1:11" ht="15" customHeight="1" x14ac:dyDescent="0.3">
      <c r="A424" s="884"/>
      <c r="B424" s="80"/>
      <c r="C424" s="106">
        <v>2029</v>
      </c>
      <c r="D424" s="107">
        <v>15</v>
      </c>
      <c r="E424" s="228"/>
      <c r="F424" s="226"/>
      <c r="G424" s="796">
        <v>3314248777342.457</v>
      </c>
      <c r="H424" s="797">
        <v>3314298672236.3525</v>
      </c>
      <c r="I424" s="230">
        <f t="shared" si="6"/>
        <v>3512803988805.3867</v>
      </c>
      <c r="J424" s="79"/>
      <c r="K424" s="79"/>
    </row>
    <row r="425" spans="1:11" ht="15" customHeight="1" x14ac:dyDescent="0.3">
      <c r="A425" s="884"/>
      <c r="B425" s="80"/>
      <c r="C425" s="106">
        <v>2030</v>
      </c>
      <c r="D425" s="107">
        <v>16</v>
      </c>
      <c r="E425" s="228">
        <v>3385113106605.8296</v>
      </c>
      <c r="F425" s="226">
        <v>3385113106605.8296</v>
      </c>
      <c r="G425" s="796">
        <v>3387442003943.7617</v>
      </c>
      <c r="H425" s="797">
        <v>3383741655317.3608</v>
      </c>
      <c r="I425" s="230">
        <f t="shared" si="6"/>
        <v>3582246971886.395</v>
      </c>
      <c r="J425" s="79"/>
      <c r="K425" s="79"/>
    </row>
    <row r="426" spans="1:11" ht="15" customHeight="1" x14ac:dyDescent="0.3">
      <c r="A426" s="884"/>
      <c r="B426" s="80"/>
      <c r="C426" s="106">
        <v>2031</v>
      </c>
      <c r="D426" s="107">
        <v>17</v>
      </c>
      <c r="E426" s="228"/>
      <c r="F426" s="226"/>
      <c r="G426" s="796">
        <v>3460056392649.4277</v>
      </c>
      <c r="H426" s="797">
        <v>3452264639072.3564</v>
      </c>
      <c r="I426" s="230">
        <f t="shared" si="6"/>
        <v>3650769955641.3906</v>
      </c>
      <c r="J426" s="79"/>
      <c r="K426" s="79"/>
    </row>
    <row r="427" spans="1:11" ht="15" customHeight="1" x14ac:dyDescent="0.3">
      <c r="A427" s="884"/>
      <c r="B427" s="80"/>
      <c r="C427" s="106">
        <v>2032</v>
      </c>
      <c r="D427" s="107">
        <v>18</v>
      </c>
      <c r="E427" s="228"/>
      <c r="F427" s="226"/>
      <c r="G427" s="796">
        <v>3532154872228.6992</v>
      </c>
      <c r="H427" s="797">
        <v>3519941070966.3428</v>
      </c>
      <c r="I427" s="230">
        <f t="shared" si="6"/>
        <v>3718446387535.377</v>
      </c>
      <c r="J427" s="79"/>
      <c r="K427" s="79"/>
    </row>
    <row r="428" spans="1:11" ht="15" customHeight="1" x14ac:dyDescent="0.3">
      <c r="A428" s="884"/>
      <c r="B428" s="80"/>
      <c r="C428" s="106">
        <v>2033</v>
      </c>
      <c r="D428" s="107">
        <v>19</v>
      </c>
      <c r="E428" s="228"/>
      <c r="F428" s="226"/>
      <c r="G428" s="796">
        <v>3603800371450.8184</v>
      </c>
      <c r="H428" s="797">
        <v>3586867497388.7285</v>
      </c>
      <c r="I428" s="230">
        <f t="shared" si="6"/>
        <v>3785372813957.7627</v>
      </c>
      <c r="J428" s="79"/>
      <c r="K428" s="79"/>
    </row>
    <row r="429" spans="1:11" ht="15" customHeight="1" x14ac:dyDescent="0.3">
      <c r="A429" s="884"/>
      <c r="B429" s="80"/>
      <c r="C429" s="106">
        <v>2034</v>
      </c>
      <c r="D429" s="107">
        <v>20</v>
      </c>
      <c r="E429" s="228"/>
      <c r="F429" s="226"/>
      <c r="G429" s="796">
        <v>3675055819085.0303</v>
      </c>
      <c r="H429" s="797">
        <v>3653152076512.562</v>
      </c>
      <c r="I429" s="230">
        <f t="shared" si="6"/>
        <v>3851657393081.5962</v>
      </c>
      <c r="J429" s="79"/>
      <c r="K429" s="79"/>
    </row>
    <row r="430" spans="1:11" ht="15" customHeight="1" x14ac:dyDescent="0.3">
      <c r="A430" s="884"/>
      <c r="B430" s="80"/>
      <c r="C430" s="106">
        <v>2035</v>
      </c>
      <c r="D430" s="107">
        <v>21</v>
      </c>
      <c r="E430" s="228">
        <v>3749964312818.8945</v>
      </c>
      <c r="F430" s="226">
        <v>3749964312818.8945</v>
      </c>
      <c r="G430" s="796">
        <v>3745984143900.5762</v>
      </c>
      <c r="H430" s="797">
        <v>3718892132547.1016</v>
      </c>
      <c r="I430" s="230">
        <f t="shared" si="6"/>
        <v>3917397449116.1357</v>
      </c>
      <c r="J430" s="79"/>
      <c r="K430" s="79"/>
    </row>
    <row r="431" spans="1:11" ht="15" customHeight="1" x14ac:dyDescent="0.3">
      <c r="A431" s="884"/>
      <c r="B431" s="80"/>
      <c r="C431" s="106">
        <v>2036</v>
      </c>
      <c r="D431" s="107">
        <v>22</v>
      </c>
      <c r="E431" s="228"/>
      <c r="F431" s="226"/>
      <c r="G431" s="796">
        <v>3816648274666.7012</v>
      </c>
      <c r="H431" s="797">
        <v>3784168197992.7456</v>
      </c>
      <c r="I431" s="230">
        <f t="shared" si="6"/>
        <v>3982673514561.7798</v>
      </c>
      <c r="J431" s="79"/>
      <c r="K431" s="79"/>
    </row>
    <row r="432" spans="1:11" ht="15" customHeight="1" x14ac:dyDescent="0.3">
      <c r="A432" s="884"/>
      <c r="B432" s="80"/>
      <c r="C432" s="106">
        <v>2037</v>
      </c>
      <c r="D432" s="107">
        <v>23</v>
      </c>
      <c r="E432" s="228"/>
      <c r="F432" s="226"/>
      <c r="G432" s="796">
        <v>3887111140152.6475</v>
      </c>
      <c r="H432" s="797">
        <v>3849038823556.6523</v>
      </c>
      <c r="I432" s="230">
        <f t="shared" si="6"/>
        <v>4047544140125.6865</v>
      </c>
      <c r="J432" s="79"/>
      <c r="K432" s="79"/>
    </row>
    <row r="433" spans="1:11" ht="15" customHeight="1" x14ac:dyDescent="0.3">
      <c r="A433" s="884"/>
      <c r="B433" s="80"/>
      <c r="C433" s="106">
        <v>2038</v>
      </c>
      <c r="D433" s="107">
        <v>24</v>
      </c>
      <c r="E433" s="228"/>
      <c r="F433" s="226"/>
      <c r="G433" s="796">
        <v>3957435669127.6592</v>
      </c>
      <c r="H433" s="797">
        <v>3913551641579.6978</v>
      </c>
      <c r="I433" s="230">
        <f t="shared" si="6"/>
        <v>4112056958148.7319</v>
      </c>
      <c r="J433" s="79"/>
      <c r="K433" s="79"/>
    </row>
    <row r="434" spans="1:11" ht="15" customHeight="1" x14ac:dyDescent="0.3">
      <c r="A434" s="884"/>
      <c r="B434" s="80"/>
      <c r="C434" s="106">
        <v>2039</v>
      </c>
      <c r="D434" s="107">
        <v>25</v>
      </c>
      <c r="E434" s="228"/>
      <c r="F434" s="226"/>
      <c r="G434" s="796">
        <v>4027684790360.9785</v>
      </c>
      <c r="H434" s="797">
        <v>3977741986479.2451</v>
      </c>
      <c r="I434" s="230">
        <f t="shared" si="6"/>
        <v>4176247303048.2793</v>
      </c>
      <c r="J434" s="79"/>
      <c r="K434" s="79"/>
    </row>
    <row r="435" spans="1:11" ht="15" customHeight="1" x14ac:dyDescent="0.3">
      <c r="A435" s="884"/>
      <c r="B435" s="80"/>
      <c r="C435" s="106">
        <v>2040</v>
      </c>
      <c r="D435" s="107">
        <v>26</v>
      </c>
      <c r="E435" s="228">
        <v>4103296340126.354</v>
      </c>
      <c r="F435" s="226">
        <v>4103296340126.354</v>
      </c>
      <c r="G435" s="796">
        <v>4097921432621.8496</v>
      </c>
      <c r="H435" s="797">
        <v>4041650339985.8408</v>
      </c>
      <c r="I435" s="230">
        <f t="shared" si="6"/>
        <v>4240155656554.875</v>
      </c>
      <c r="J435" s="79"/>
      <c r="K435" s="79"/>
    </row>
    <row r="436" spans="1:11" ht="15" customHeight="1" x14ac:dyDescent="0.3">
      <c r="A436" s="884"/>
      <c r="B436" s="80"/>
      <c r="C436" s="106">
        <v>2041</v>
      </c>
      <c r="D436" s="107">
        <v>27</v>
      </c>
      <c r="E436" s="228"/>
      <c r="F436" s="226"/>
      <c r="G436" s="796">
        <v>4168208524679.5156</v>
      </c>
      <c r="H436" s="797">
        <v>4105333725418.9551</v>
      </c>
      <c r="I436" s="230">
        <f t="shared" si="6"/>
        <v>4303839041987.9893</v>
      </c>
      <c r="J436" s="79"/>
      <c r="K436" s="79"/>
    </row>
    <row r="437" spans="1:11" ht="15" customHeight="1" x14ac:dyDescent="0.3">
      <c r="A437" s="884"/>
      <c r="B437" s="80"/>
      <c r="C437" s="106">
        <v>2042</v>
      </c>
      <c r="D437" s="107">
        <v>28</v>
      </c>
      <c r="E437" s="228"/>
      <c r="F437" s="226"/>
      <c r="G437" s="796">
        <v>4238608995303.2197</v>
      </c>
      <c r="H437" s="797">
        <v>4168858199849.3892</v>
      </c>
      <c r="I437" s="230">
        <f t="shared" si="6"/>
        <v>4367363516418.4233</v>
      </c>
      <c r="J437" s="79"/>
      <c r="K437" s="79"/>
    </row>
    <row r="438" spans="1:11" ht="15" customHeight="1" x14ac:dyDescent="0.3">
      <c r="A438" s="884"/>
      <c r="B438" s="80"/>
      <c r="C438" s="106">
        <v>2043</v>
      </c>
      <c r="D438" s="107">
        <v>29</v>
      </c>
      <c r="E438" s="228"/>
      <c r="F438" s="226"/>
      <c r="G438" s="796">
        <v>4309185773262.2061</v>
      </c>
      <c r="H438" s="797">
        <v>4232281260826.8843</v>
      </c>
      <c r="I438" s="230">
        <f t="shared" si="6"/>
        <v>4430786577395.918</v>
      </c>
      <c r="J438" s="79"/>
      <c r="K438" s="79"/>
    </row>
    <row r="439" spans="1:11" ht="15" customHeight="1" x14ac:dyDescent="0.3">
      <c r="A439" s="884"/>
      <c r="B439" s="80"/>
      <c r="C439" s="106">
        <v>2044</v>
      </c>
      <c r="D439" s="107">
        <v>30</v>
      </c>
      <c r="E439" s="228"/>
      <c r="F439" s="226"/>
      <c r="G439" s="796">
        <v>4380001787325.7163</v>
      </c>
      <c r="H439" s="797">
        <v>4295661468028.3613</v>
      </c>
      <c r="I439" s="230">
        <f t="shared" si="6"/>
        <v>4494166784597.3955</v>
      </c>
      <c r="J439" s="79"/>
      <c r="K439" s="79"/>
    </row>
    <row r="440" spans="1:11" ht="15" customHeight="1" x14ac:dyDescent="0.3">
      <c r="A440" s="884"/>
      <c r="B440" s="80"/>
      <c r="C440" s="106">
        <v>2045</v>
      </c>
      <c r="D440" s="107">
        <v>31</v>
      </c>
      <c r="E440" s="228">
        <v>4459645514532.792</v>
      </c>
      <c r="F440" s="226">
        <v>4459645514532.792</v>
      </c>
      <c r="G440" s="796">
        <v>4451119966262.9951</v>
      </c>
      <c r="H440" s="797">
        <v>4359055852545.9561</v>
      </c>
      <c r="I440" s="230">
        <f t="shared" si="6"/>
        <v>4557561169114.9902</v>
      </c>
      <c r="J440" s="79"/>
      <c r="K440" s="79"/>
    </row>
    <row r="441" spans="1:11" ht="15" customHeight="1" x14ac:dyDescent="0.3">
      <c r="A441" s="884"/>
      <c r="B441" s="80"/>
      <c r="C441" s="106">
        <v>2046</v>
      </c>
      <c r="D441" s="107">
        <v>32</v>
      </c>
      <c r="E441" s="228"/>
      <c r="F441" s="226"/>
      <c r="G441" s="796">
        <v>4522603238843.2852</v>
      </c>
      <c r="H441" s="797">
        <v>4422520656528.8945</v>
      </c>
      <c r="I441" s="230">
        <f t="shared" si="6"/>
        <v>4621025973097.9287</v>
      </c>
      <c r="J441" s="79"/>
      <c r="K441" s="79"/>
    </row>
    <row r="442" spans="1:11" ht="15" customHeight="1" x14ac:dyDescent="0.3">
      <c r="A442" s="884"/>
      <c r="B442" s="80"/>
      <c r="C442" s="106">
        <v>2047</v>
      </c>
      <c r="D442" s="107">
        <v>33</v>
      </c>
      <c r="E442" s="228"/>
      <c r="F442" s="226"/>
      <c r="G442" s="796">
        <v>4594514533835.8301</v>
      </c>
      <c r="H442" s="797">
        <v>4486109508757.5791</v>
      </c>
      <c r="I442" s="230">
        <f t="shared" si="6"/>
        <v>4684614825326.6133</v>
      </c>
      <c r="J442" s="79"/>
      <c r="K442" s="79"/>
    </row>
    <row r="443" spans="1:11" ht="15" customHeight="1" x14ac:dyDescent="0.3">
      <c r="A443" s="884"/>
      <c r="B443" s="80"/>
      <c r="C443" s="106">
        <v>2048</v>
      </c>
      <c r="D443" s="107">
        <v>34</v>
      </c>
      <c r="E443" s="228"/>
      <c r="F443" s="226"/>
      <c r="G443" s="796">
        <v>4666916780009.873</v>
      </c>
      <c r="H443" s="797">
        <v>4549873424138.041</v>
      </c>
      <c r="I443" s="230">
        <f t="shared" si="6"/>
        <v>4748378740707.0752</v>
      </c>
      <c r="J443" s="79"/>
      <c r="K443" s="79"/>
    </row>
    <row r="444" spans="1:11" ht="15" customHeight="1" x14ac:dyDescent="0.3">
      <c r="A444" s="79"/>
      <c r="B444" s="79"/>
      <c r="C444" s="106">
        <v>2049</v>
      </c>
      <c r="D444" s="107">
        <v>35</v>
      </c>
      <c r="E444" s="228"/>
      <c r="F444" s="226"/>
      <c r="G444" s="796">
        <v>4739872906134.6572</v>
      </c>
      <c r="H444" s="797">
        <v>4613861819141.041</v>
      </c>
      <c r="I444" s="230">
        <f t="shared" si="6"/>
        <v>4812367135710.0752</v>
      </c>
      <c r="J444" s="79"/>
      <c r="K444" s="79"/>
    </row>
    <row r="445" spans="1:11" ht="15" customHeight="1" x14ac:dyDescent="0.3">
      <c r="A445" s="79"/>
      <c r="B445" s="79"/>
      <c r="C445" s="106">
        <v>2050</v>
      </c>
      <c r="D445" s="111">
        <v>36</v>
      </c>
      <c r="E445" s="228">
        <v>4806060895371.4033</v>
      </c>
      <c r="F445" s="226">
        <v>4806060895371.4033</v>
      </c>
      <c r="G445" s="798">
        <v>4813445840979.4268</v>
      </c>
      <c r="H445" s="799">
        <v>4678124867775.9951</v>
      </c>
      <c r="I445" s="230">
        <f t="shared" si="6"/>
        <v>4876630184345.0293</v>
      </c>
      <c r="J445" s="79"/>
      <c r="K445" s="79"/>
    </row>
    <row r="446" spans="1:11" ht="15" customHeight="1" x14ac:dyDescent="0.3">
      <c r="A446" s="79"/>
      <c r="B446" s="79"/>
      <c r="C446" s="106">
        <v>2051</v>
      </c>
      <c r="D446" s="107">
        <v>37</v>
      </c>
      <c r="E446" s="228"/>
      <c r="F446" s="226"/>
      <c r="G446" s="796">
        <v>4887698513313.4238</v>
      </c>
      <c r="H446" s="797">
        <v>4742713989276.3818</v>
      </c>
      <c r="I446" s="230">
        <f t="shared" si="6"/>
        <v>4941219305845.416</v>
      </c>
      <c r="J446" s="79"/>
      <c r="K446" s="79"/>
    </row>
    <row r="447" spans="1:11" ht="15" customHeight="1" x14ac:dyDescent="0.3">
      <c r="A447" s="79"/>
      <c r="B447" s="79"/>
      <c r="C447" s="106">
        <v>2052</v>
      </c>
      <c r="D447" s="107">
        <v>38</v>
      </c>
      <c r="E447" s="228"/>
      <c r="F447" s="226"/>
      <c r="G447" s="796">
        <v>4962693851905.8916</v>
      </c>
      <c r="H447" s="797">
        <v>4807683747253.2832</v>
      </c>
      <c r="I447" s="230">
        <f t="shared" si="6"/>
        <v>5006189063822.3174</v>
      </c>
      <c r="J447" s="79"/>
      <c r="K447" s="79"/>
    </row>
    <row r="448" spans="1:11" ht="15" customHeight="1" x14ac:dyDescent="0.3">
      <c r="A448" s="79"/>
      <c r="B448" s="79"/>
      <c r="C448" s="106">
        <v>2053</v>
      </c>
      <c r="D448" s="107">
        <v>39</v>
      </c>
      <c r="E448" s="228"/>
      <c r="F448" s="226"/>
      <c r="G448" s="796">
        <v>5038494785526.0752</v>
      </c>
      <c r="H448" s="797">
        <v>4873091128663.9844</v>
      </c>
      <c r="I448" s="230">
        <f t="shared" si="6"/>
        <v>5071596445233.0186</v>
      </c>
      <c r="J448" s="79"/>
      <c r="K448" s="79"/>
    </row>
    <row r="449" spans="1:12" ht="15" customHeight="1" x14ac:dyDescent="0.3">
      <c r="A449" s="79"/>
      <c r="B449" s="79"/>
      <c r="C449" s="106">
        <v>2054</v>
      </c>
      <c r="D449" s="107">
        <v>40</v>
      </c>
      <c r="E449" s="228"/>
      <c r="F449" s="226"/>
      <c r="G449" s="796">
        <v>5115164242943.2158</v>
      </c>
      <c r="H449" s="797">
        <v>4938994932303.751</v>
      </c>
      <c r="I449" s="230">
        <f t="shared" si="6"/>
        <v>5137500248872.7852</v>
      </c>
      <c r="J449" s="79"/>
      <c r="K449" s="79"/>
    </row>
    <row r="450" spans="1:12" ht="15" customHeight="1" x14ac:dyDescent="0.3">
      <c r="A450" s="79"/>
      <c r="B450" s="79"/>
      <c r="C450" s="106">
        <v>2055</v>
      </c>
      <c r="D450" s="111">
        <v>41</v>
      </c>
      <c r="E450" s="228"/>
      <c r="F450" s="226"/>
      <c r="G450" s="798">
        <v>5192765152926.5586</v>
      </c>
      <c r="H450" s="799">
        <v>5005451997302.7129</v>
      </c>
      <c r="I450" s="230">
        <f t="shared" si="6"/>
        <v>5203957313871.7471</v>
      </c>
      <c r="J450" s="79"/>
      <c r="K450" s="79"/>
    </row>
    <row r="451" spans="1:12" ht="15" customHeight="1" x14ac:dyDescent="0.3">
      <c r="A451" s="79"/>
      <c r="B451" s="79"/>
      <c r="C451" s="106">
        <v>2056</v>
      </c>
      <c r="D451" s="107">
        <v>42</v>
      </c>
      <c r="E451" s="228"/>
      <c r="F451" s="226"/>
      <c r="G451" s="796">
        <v>5271360444245.3447</v>
      </c>
      <c r="H451" s="797">
        <v>5072513646142.9395</v>
      </c>
      <c r="I451" s="230">
        <f t="shared" si="6"/>
        <v>5271018962711.9736</v>
      </c>
      <c r="J451" s="79"/>
      <c r="K451" s="79"/>
    </row>
    <row r="452" spans="1:12" ht="15" customHeight="1" x14ac:dyDescent="0.3">
      <c r="A452" s="79"/>
      <c r="B452" s="79"/>
      <c r="C452" s="106">
        <v>2057</v>
      </c>
      <c r="D452" s="107">
        <v>43</v>
      </c>
      <c r="E452" s="228"/>
      <c r="F452" s="226"/>
      <c r="G452" s="796">
        <v>5351013045668.8193</v>
      </c>
      <c r="H452" s="797">
        <v>5140228962725.1172</v>
      </c>
      <c r="I452" s="230">
        <f t="shared" si="6"/>
        <v>5338734279294.1514</v>
      </c>
      <c r="J452" s="79"/>
      <c r="K452" s="79"/>
    </row>
    <row r="453" spans="1:12" ht="15" customHeight="1" x14ac:dyDescent="0.3">
      <c r="A453" s="79"/>
      <c r="B453" s="79"/>
      <c r="C453" s="106">
        <v>2058</v>
      </c>
      <c r="D453" s="107">
        <v>44</v>
      </c>
      <c r="E453" s="228"/>
      <c r="F453" s="226"/>
      <c r="G453" s="796">
        <v>5431785885966.2256</v>
      </c>
      <c r="H453" s="797">
        <v>5208649653659.3145</v>
      </c>
      <c r="I453" s="230">
        <f t="shared" si="6"/>
        <v>5407154970228.3486</v>
      </c>
      <c r="J453" s="79"/>
      <c r="K453" s="79"/>
    </row>
    <row r="454" spans="1:12" ht="15" customHeight="1" x14ac:dyDescent="0.3">
      <c r="A454" s="79"/>
      <c r="B454" s="79"/>
      <c r="C454" s="106">
        <v>2059</v>
      </c>
      <c r="D454" s="107">
        <v>45</v>
      </c>
      <c r="E454" s="228"/>
      <c r="F454" s="226"/>
      <c r="G454" s="796">
        <v>5513741893906.8057</v>
      </c>
      <c r="H454" s="797">
        <v>5277827120913.7871</v>
      </c>
      <c r="I454" s="230">
        <f t="shared" si="6"/>
        <v>5476332437482.8213</v>
      </c>
      <c r="J454" s="79"/>
      <c r="K454" s="79"/>
    </row>
    <row r="455" spans="1:12" ht="15" customHeight="1" x14ac:dyDescent="0.3">
      <c r="A455" s="79"/>
      <c r="B455" s="79"/>
      <c r="C455" s="112">
        <v>2060</v>
      </c>
      <c r="D455" s="111">
        <v>46</v>
      </c>
      <c r="E455" s="228"/>
      <c r="F455" s="226"/>
      <c r="G455" s="798">
        <v>5596943998259.8037</v>
      </c>
      <c r="H455" s="799">
        <v>5347811268944.1045</v>
      </c>
      <c r="I455" s="230">
        <f t="shared" si="6"/>
        <v>5546316585513.1387</v>
      </c>
      <c r="J455" s="79"/>
      <c r="K455" s="79"/>
    </row>
    <row r="456" spans="1:12" ht="15" customHeight="1" x14ac:dyDescent="0.3">
      <c r="A456" s="79"/>
      <c r="B456" s="219"/>
      <c r="C456" s="5"/>
      <c r="D456" s="5"/>
      <c r="E456" s="5"/>
      <c r="F456" s="5"/>
      <c r="G456" s="800"/>
      <c r="H456" s="800"/>
      <c r="I456" s="5"/>
      <c r="J456" s="5"/>
      <c r="K456" s="5"/>
    </row>
    <row r="457" spans="1:12" ht="15" customHeight="1" x14ac:dyDescent="0.3">
      <c r="A457" s="79"/>
      <c r="B457" s="219"/>
      <c r="C457" s="5"/>
      <c r="D457" s="5"/>
      <c r="E457" s="5"/>
      <c r="F457" s="5"/>
      <c r="G457" s="800"/>
      <c r="H457" s="800"/>
      <c r="I457" s="5"/>
      <c r="J457" s="5"/>
      <c r="K457" s="5"/>
    </row>
    <row r="458" spans="1:12" ht="15" customHeight="1" x14ac:dyDescent="0.3">
      <c r="A458" s="231" t="s">
        <v>190</v>
      </c>
      <c r="B458" s="219"/>
      <c r="C458" s="5"/>
      <c r="D458" s="5"/>
      <c r="E458" s="5"/>
      <c r="F458" s="5"/>
      <c r="G458" s="800"/>
      <c r="H458" s="800"/>
      <c r="I458" s="5"/>
      <c r="J458" s="5"/>
      <c r="K458" s="5"/>
    </row>
    <row r="459" spans="1:12" ht="15" customHeight="1" x14ac:dyDescent="0.3">
      <c r="A459" s="5"/>
      <c r="B459" s="219"/>
      <c r="C459" s="5"/>
      <c r="D459" s="5"/>
      <c r="E459" s="5"/>
      <c r="F459" s="5"/>
      <c r="G459" s="800"/>
      <c r="H459" s="800"/>
      <c r="I459" s="5"/>
      <c r="J459" s="5"/>
      <c r="K459" s="5"/>
    </row>
    <row r="460" spans="1:12" ht="15" customHeight="1" x14ac:dyDescent="0.3">
      <c r="A460" s="5"/>
      <c r="B460" s="219"/>
      <c r="C460" s="5"/>
      <c r="D460" s="5"/>
      <c r="E460" s="5"/>
      <c r="F460" s="5"/>
      <c r="G460" s="801"/>
      <c r="H460" s="801"/>
      <c r="I460" s="5"/>
      <c r="J460" s="5"/>
      <c r="K460" s="5"/>
    </row>
    <row r="461" spans="1:12" ht="15" customHeight="1" x14ac:dyDescent="0.3">
      <c r="A461" s="71">
        <f>1+A396</f>
        <v>8</v>
      </c>
      <c r="B461" s="72" t="s">
        <v>284</v>
      </c>
      <c r="C461" s="73"/>
      <c r="D461" s="73"/>
      <c r="E461" s="73"/>
      <c r="F461" s="73"/>
      <c r="G461" s="802"/>
      <c r="H461" s="802"/>
      <c r="I461" s="73"/>
      <c r="J461" s="73"/>
      <c r="K461" s="73"/>
    </row>
    <row r="462" spans="1:12" ht="15" customHeight="1" x14ac:dyDescent="0.3">
      <c r="A462" s="74" t="s">
        <v>74</v>
      </c>
      <c r="B462" s="75"/>
      <c r="C462" s="75"/>
      <c r="D462" s="76"/>
      <c r="E462" s="77"/>
      <c r="F462" s="862"/>
      <c r="G462" s="803"/>
      <c r="H462" s="790"/>
      <c r="I462" s="79"/>
      <c r="J462" s="79"/>
      <c r="K462" s="79"/>
    </row>
    <row r="463" spans="1:12" ht="15" customHeight="1" thickBot="1" x14ac:dyDescent="0.35">
      <c r="A463" s="110" t="s">
        <v>75</v>
      </c>
      <c r="B463" s="80"/>
      <c r="C463" s="80"/>
      <c r="D463" s="81"/>
      <c r="E463" s="109" t="s">
        <v>78</v>
      </c>
      <c r="F463" s="863"/>
      <c r="G463" s="789" t="s">
        <v>231</v>
      </c>
      <c r="H463" s="790"/>
      <c r="I463" s="79"/>
      <c r="J463" s="79"/>
      <c r="K463" s="79"/>
    </row>
    <row r="464" spans="1:12" ht="50.4" customHeight="1" thickBot="1" x14ac:dyDescent="0.35">
      <c r="A464" s="82"/>
      <c r="B464" s="82"/>
      <c r="C464" s="82"/>
      <c r="D464" s="83"/>
      <c r="E464" s="101" t="s">
        <v>229</v>
      </c>
      <c r="F464" s="101" t="s">
        <v>230</v>
      </c>
      <c r="G464" s="789" t="s">
        <v>81</v>
      </c>
      <c r="H464" s="791" t="s">
        <v>753</v>
      </c>
      <c r="I464" s="101" t="s">
        <v>234</v>
      </c>
      <c r="J464" s="747" t="s">
        <v>754</v>
      </c>
      <c r="K464" s="865" t="s">
        <v>84</v>
      </c>
      <c r="L464" s="866"/>
    </row>
    <row r="465" spans="1:13" ht="15" customHeight="1" x14ac:dyDescent="0.3">
      <c r="A465" s="74" t="s">
        <v>85</v>
      </c>
      <c r="B465" s="82"/>
      <c r="C465" s="102">
        <v>2005</v>
      </c>
      <c r="D465" s="103">
        <v>-9</v>
      </c>
      <c r="E465" s="226"/>
      <c r="F465" s="226"/>
      <c r="G465" s="792">
        <v>1202208419664.2708</v>
      </c>
      <c r="H465" s="793">
        <v>1202208419664.2708</v>
      </c>
      <c r="I465" s="233">
        <f t="shared" ref="I465:I496" si="7">H465+$L$475</f>
        <v>1400713736233.3047</v>
      </c>
      <c r="J465" s="885" t="s">
        <v>86</v>
      </c>
      <c r="K465" s="867"/>
      <c r="L465" s="868"/>
    </row>
    <row r="466" spans="1:13" ht="15" customHeight="1" x14ac:dyDescent="0.3">
      <c r="A466" s="110" t="s">
        <v>87</v>
      </c>
      <c r="B466" s="82"/>
      <c r="C466" s="106">
        <v>2006</v>
      </c>
      <c r="D466" s="107">
        <v>-8</v>
      </c>
      <c r="E466" s="228"/>
      <c r="F466" s="226"/>
      <c r="G466" s="794">
        <v>1283896894114.3269</v>
      </c>
      <c r="H466" s="795">
        <v>1283896894114.3269</v>
      </c>
      <c r="I466" s="227">
        <f t="shared" si="7"/>
        <v>1482402210683.3608</v>
      </c>
      <c r="J466" s="867"/>
      <c r="K466" s="867"/>
      <c r="L466" s="868"/>
    </row>
    <row r="467" spans="1:13" ht="15" customHeight="1" x14ac:dyDescent="0.3">
      <c r="A467" s="82"/>
      <c r="B467" s="82"/>
      <c r="C467" s="106">
        <v>2007</v>
      </c>
      <c r="D467" s="107">
        <v>-7</v>
      </c>
      <c r="E467" s="228">
        <v>1457393013574.3945</v>
      </c>
      <c r="F467" s="226">
        <v>1457393013574.3945</v>
      </c>
      <c r="G467" s="794">
        <v>1367529177273.0215</v>
      </c>
      <c r="H467" s="795">
        <v>1367529177273.0215</v>
      </c>
      <c r="I467" s="229">
        <f t="shared" si="7"/>
        <v>1566034493842.0557</v>
      </c>
      <c r="J467" s="867"/>
      <c r="K467" s="867"/>
      <c r="L467" s="868"/>
    </row>
    <row r="468" spans="1:13" ht="15" customHeight="1" x14ac:dyDescent="0.3">
      <c r="A468" s="29" t="s">
        <v>88</v>
      </c>
      <c r="B468" s="82"/>
      <c r="C468" s="106">
        <v>2008</v>
      </c>
      <c r="D468" s="107">
        <v>-6</v>
      </c>
      <c r="E468" s="228">
        <v>1486508284221.6133</v>
      </c>
      <c r="F468" s="226">
        <v>1486508284221.6133</v>
      </c>
      <c r="G468" s="794">
        <v>1453350552969.6563</v>
      </c>
      <c r="H468" s="795">
        <v>1453350552969.6563</v>
      </c>
      <c r="I468" s="229">
        <f t="shared" si="7"/>
        <v>1651855869538.6904</v>
      </c>
      <c r="J468" s="867"/>
      <c r="K468" s="869"/>
      <c r="L468" s="870"/>
    </row>
    <row r="469" spans="1:13" ht="15" customHeight="1" x14ac:dyDescent="0.3">
      <c r="A469" s="886" t="s">
        <v>283</v>
      </c>
      <c r="B469" s="82"/>
      <c r="C469" s="106">
        <v>2009</v>
      </c>
      <c r="D469" s="107">
        <v>-5</v>
      </c>
      <c r="E469" s="228">
        <v>1470854155941.1499</v>
      </c>
      <c r="F469" s="226">
        <v>1470854155941.1528</v>
      </c>
      <c r="G469" s="794">
        <v>1541606305033.5332</v>
      </c>
      <c r="H469" s="795">
        <v>1541606305033.5332</v>
      </c>
      <c r="I469" s="229">
        <f t="shared" si="7"/>
        <v>1740111621602.5674</v>
      </c>
      <c r="J469" s="867"/>
      <c r="K469" s="79"/>
      <c r="L469" s="79"/>
    </row>
    <row r="470" spans="1:13" ht="15" customHeight="1" x14ac:dyDescent="0.3">
      <c r="A470" s="873"/>
      <c r="B470" s="82"/>
      <c r="C470" s="106">
        <v>2010</v>
      </c>
      <c r="D470" s="107">
        <v>-4</v>
      </c>
      <c r="E470" s="228">
        <v>1587846450697.3145</v>
      </c>
      <c r="F470" s="226">
        <v>1587846450697.3145</v>
      </c>
      <c r="G470" s="794">
        <v>1632541717293.9541</v>
      </c>
      <c r="H470" s="795">
        <v>1632541717293.9541</v>
      </c>
      <c r="I470" s="229">
        <f t="shared" si="7"/>
        <v>1831047033862.9883</v>
      </c>
      <c r="J470" s="867"/>
      <c r="K470" s="79"/>
      <c r="L470" s="79"/>
    </row>
    <row r="471" spans="1:13" ht="15" customHeight="1" x14ac:dyDescent="0.3">
      <c r="A471" s="873"/>
      <c r="B471" s="82"/>
      <c r="C471" s="106">
        <v>2011</v>
      </c>
      <c r="D471" s="107">
        <v>-3</v>
      </c>
      <c r="E471" s="228">
        <v>1692293419321.6252</v>
      </c>
      <c r="F471" s="226">
        <v>1692293419321.6252</v>
      </c>
      <c r="G471" s="794">
        <v>1726402073580.2207</v>
      </c>
      <c r="H471" s="795">
        <v>1726402073580.2207</v>
      </c>
      <c r="I471" s="229">
        <f t="shared" si="7"/>
        <v>1924907390149.2549</v>
      </c>
      <c r="J471" s="869"/>
      <c r="K471" s="79"/>
    </row>
    <row r="472" spans="1:13" ht="15" customHeight="1" x14ac:dyDescent="0.3">
      <c r="A472" s="874"/>
      <c r="B472" s="82"/>
      <c r="C472" s="106">
        <v>2012</v>
      </c>
      <c r="D472" s="107">
        <v>-2</v>
      </c>
      <c r="E472" s="228">
        <v>1782819722835.0752</v>
      </c>
      <c r="F472" s="226">
        <v>1782819722835.0752</v>
      </c>
      <c r="G472" s="796">
        <v>1823432657721.635</v>
      </c>
      <c r="H472" s="797">
        <v>1823432657721.635</v>
      </c>
      <c r="I472" s="230">
        <f t="shared" si="7"/>
        <v>2021937974290.6689</v>
      </c>
      <c r="J472" s="87" t="s">
        <v>90</v>
      </c>
      <c r="K472" s="79"/>
      <c r="L472" s="79"/>
    </row>
    <row r="473" spans="1:13" ht="15" customHeight="1" x14ac:dyDescent="0.3">
      <c r="A473" s="82"/>
      <c r="B473" s="82"/>
      <c r="C473" s="106">
        <v>2013</v>
      </c>
      <c r="D473" s="107">
        <v>-1</v>
      </c>
      <c r="E473" s="228">
        <v>1880744245650.9707</v>
      </c>
      <c r="F473" s="226">
        <v>1880744245650.9707</v>
      </c>
      <c r="G473" s="796">
        <v>1923878753547.499</v>
      </c>
      <c r="H473" s="797">
        <v>1923878753547.499</v>
      </c>
      <c r="I473" s="230">
        <f t="shared" si="7"/>
        <v>2122384070116.5332</v>
      </c>
      <c r="J473" s="79"/>
      <c r="K473" s="79"/>
    </row>
    <row r="474" spans="1:13" ht="15" customHeight="1" x14ac:dyDescent="0.3">
      <c r="A474" s="77" t="s">
        <v>91</v>
      </c>
      <c r="B474" s="82"/>
      <c r="C474" s="106">
        <v>2014</v>
      </c>
      <c r="D474" s="107">
        <v>0</v>
      </c>
      <c r="E474" s="228">
        <v>1993156813381.9346</v>
      </c>
      <c r="F474" s="226">
        <v>1993156813381.9346</v>
      </c>
      <c r="G474" s="796">
        <v>2027985644887.1143</v>
      </c>
      <c r="H474" s="797">
        <v>2040700615250.7292</v>
      </c>
      <c r="I474" s="230">
        <f t="shared" si="7"/>
        <v>2239205931819.7632</v>
      </c>
      <c r="J474" s="79"/>
      <c r="K474" s="79"/>
      <c r="L474" s="219"/>
    </row>
    <row r="475" spans="1:13" ht="15" customHeight="1" x14ac:dyDescent="0.3">
      <c r="A475" s="110">
        <v>2017</v>
      </c>
      <c r="B475" s="80"/>
      <c r="C475" s="106">
        <v>2015</v>
      </c>
      <c r="D475" s="107">
        <v>1</v>
      </c>
      <c r="E475" s="228">
        <v>2142611499827.2119</v>
      </c>
      <c r="F475" s="226">
        <v>2142611499827.2119</v>
      </c>
      <c r="G475" s="796">
        <v>2135998615569.7827</v>
      </c>
      <c r="H475" s="797">
        <v>2134896018693.4976</v>
      </c>
      <c r="I475" s="230">
        <f t="shared" si="7"/>
        <v>2333401335262.5317</v>
      </c>
      <c r="J475" t="s">
        <v>233</v>
      </c>
      <c r="L475" s="232">
        <v>198505316569.03406</v>
      </c>
      <c r="M475" t="s">
        <v>232</v>
      </c>
    </row>
    <row r="476" spans="1:13" ht="15" customHeight="1" x14ac:dyDescent="0.3">
      <c r="A476" s="79"/>
      <c r="B476" s="80"/>
      <c r="C476" s="106">
        <v>2016</v>
      </c>
      <c r="D476" s="107">
        <v>2</v>
      </c>
      <c r="E476" s="228">
        <v>2300633072342.9629</v>
      </c>
      <c r="F476" s="226">
        <v>2300633072342.9629</v>
      </c>
      <c r="G476" s="796">
        <v>2248162949424.8062</v>
      </c>
      <c r="H476" s="797">
        <v>2247096266373.3848</v>
      </c>
      <c r="I476" s="230">
        <f t="shared" si="7"/>
        <v>2445601582942.4189</v>
      </c>
      <c r="J476" s="79"/>
      <c r="K476" s="234"/>
      <c r="L476" s="235" t="s">
        <v>237</v>
      </c>
      <c r="M476" s="236"/>
    </row>
    <row r="477" spans="1:13" ht="15" customHeight="1" x14ac:dyDescent="0.3">
      <c r="A477" s="77" t="s">
        <v>92</v>
      </c>
      <c r="B477" s="80"/>
      <c r="C477" s="106">
        <v>2017</v>
      </c>
      <c r="D477" s="107">
        <v>3</v>
      </c>
      <c r="E477" s="228">
        <v>2408762826743.082</v>
      </c>
      <c r="F477" s="226">
        <v>2408762826743.082</v>
      </c>
      <c r="G477" s="796">
        <v>2364723930281.4868</v>
      </c>
      <c r="H477" s="797">
        <v>2363782950694.0371</v>
      </c>
      <c r="I477" s="230">
        <f t="shared" si="7"/>
        <v>2562288267263.0713</v>
      </c>
      <c r="J477" s="79"/>
      <c r="K477" s="79"/>
      <c r="L477" s="219"/>
    </row>
    <row r="478" spans="1:13" ht="15" customHeight="1" x14ac:dyDescent="0.3">
      <c r="A478" s="110" t="s">
        <v>229</v>
      </c>
      <c r="B478" s="80"/>
      <c r="C478" s="106">
        <v>2018</v>
      </c>
      <c r="D478" s="107">
        <v>4</v>
      </c>
      <c r="E478" s="228">
        <v>2521974679600.0068</v>
      </c>
      <c r="F478" s="226">
        <v>2521974679600.0068</v>
      </c>
      <c r="G478" s="796">
        <v>2485926841969.126</v>
      </c>
      <c r="H478" s="797">
        <v>2485168036507.9302</v>
      </c>
      <c r="I478" s="230">
        <f t="shared" si="7"/>
        <v>2683673353076.9644</v>
      </c>
      <c r="J478" s="79"/>
      <c r="K478" s="79"/>
      <c r="L478" s="219"/>
    </row>
    <row r="479" spans="1:13" ht="15" customHeight="1" x14ac:dyDescent="0.3">
      <c r="A479" s="79"/>
      <c r="B479" s="80"/>
      <c r="C479" s="106">
        <v>2019</v>
      </c>
      <c r="D479" s="107">
        <v>5</v>
      </c>
      <c r="E479" s="228">
        <v>2640507489541.207</v>
      </c>
      <c r="F479" s="226">
        <v>2640507489541.207</v>
      </c>
      <c r="G479" s="796">
        <v>2612016968317.0264</v>
      </c>
      <c r="H479" s="797">
        <v>2611437766563.4683</v>
      </c>
      <c r="I479" s="230">
        <f t="shared" si="7"/>
        <v>2809943083132.5024</v>
      </c>
      <c r="J479" s="79"/>
      <c r="K479" s="79"/>
      <c r="L479" s="219"/>
    </row>
    <row r="480" spans="1:13" ht="15" customHeight="1" x14ac:dyDescent="0.3">
      <c r="A480" s="77" t="s">
        <v>93</v>
      </c>
      <c r="B480" s="80"/>
      <c r="C480" s="106">
        <v>2020</v>
      </c>
      <c r="D480" s="107">
        <v>6</v>
      </c>
      <c r="E480" s="228">
        <v>2764611341549.6436</v>
      </c>
      <c r="F480" s="226">
        <v>2764611341549.6436</v>
      </c>
      <c r="G480" s="796">
        <v>2743239593154.4883</v>
      </c>
      <c r="H480" s="797">
        <v>2743006341678.3789</v>
      </c>
      <c r="I480" s="230">
        <f t="shared" si="7"/>
        <v>2941511658247.4131</v>
      </c>
      <c r="J480" s="79"/>
      <c r="K480" s="79"/>
      <c r="L480" s="219"/>
    </row>
    <row r="481" spans="1:12" ht="15" customHeight="1" x14ac:dyDescent="0.3">
      <c r="A481" s="77"/>
      <c r="B481" s="80"/>
      <c r="C481" s="106">
        <v>2021</v>
      </c>
      <c r="D481" s="107">
        <v>7</v>
      </c>
      <c r="E481" s="228">
        <v>2894548074602.4766</v>
      </c>
      <c r="F481" s="226">
        <v>2894548074602.4766</v>
      </c>
      <c r="G481" s="796">
        <v>2879840000310.8154</v>
      </c>
      <c r="H481" s="797">
        <v>2877827452684.6777</v>
      </c>
      <c r="I481" s="230">
        <f t="shared" si="7"/>
        <v>3076332769253.7119</v>
      </c>
      <c r="J481" s="79"/>
      <c r="K481" s="79"/>
      <c r="L481" s="219"/>
    </row>
    <row r="482" spans="1:12" ht="15" customHeight="1" x14ac:dyDescent="0.3">
      <c r="A482" s="88"/>
      <c r="B482" s="80"/>
      <c r="C482" s="106">
        <v>2022</v>
      </c>
      <c r="D482" s="107">
        <v>8</v>
      </c>
      <c r="E482" s="228">
        <v>3030591834108.793</v>
      </c>
      <c r="F482" s="226">
        <v>3030591834108.793</v>
      </c>
      <c r="G482" s="796">
        <v>3022063473615.3081</v>
      </c>
      <c r="H482" s="797">
        <v>3017878626627.6768</v>
      </c>
      <c r="I482" s="230">
        <f t="shared" si="7"/>
        <v>3216383943196.7109</v>
      </c>
    </row>
    <row r="483" spans="1:12" ht="15" customHeight="1" x14ac:dyDescent="0.3">
      <c r="A483" s="110"/>
      <c r="B483" s="80"/>
      <c r="C483" s="106">
        <v>2023</v>
      </c>
      <c r="D483" s="107">
        <v>9</v>
      </c>
      <c r="E483" s="228">
        <v>3173029650311.9063</v>
      </c>
      <c r="F483" s="226">
        <v>3173029650311.9063</v>
      </c>
      <c r="G483" s="796">
        <v>3170155296897.2695</v>
      </c>
      <c r="H483" s="797">
        <v>3163376533913.8789</v>
      </c>
      <c r="I483" s="230">
        <f t="shared" si="7"/>
        <v>3361881850482.9131</v>
      </c>
    </row>
    <row r="484" spans="1:12" ht="15" customHeight="1" x14ac:dyDescent="0.3">
      <c r="A484" s="79"/>
      <c r="B484" s="80"/>
      <c r="C484" s="106">
        <v>2024</v>
      </c>
      <c r="D484" s="107">
        <v>10</v>
      </c>
      <c r="E484" s="228">
        <v>3322162043876.5654</v>
      </c>
      <c r="F484" s="226">
        <v>3322162043876.5654</v>
      </c>
      <c r="G484" s="796">
        <v>3324360753986</v>
      </c>
      <c r="H484" s="797">
        <v>3314488556044.4121</v>
      </c>
      <c r="I484" s="230">
        <f t="shared" si="7"/>
        <v>3512993872613.4463</v>
      </c>
    </row>
    <row r="485" spans="1:12" ht="15" customHeight="1" x14ac:dyDescent="0.3">
      <c r="A485" t="s">
        <v>235</v>
      </c>
      <c r="B485" s="80"/>
      <c r="C485" s="106">
        <v>2025</v>
      </c>
      <c r="D485" s="107">
        <v>11</v>
      </c>
      <c r="E485" s="228">
        <v>3478303659938.7637</v>
      </c>
      <c r="F485" s="226">
        <v>3478303659938.7637</v>
      </c>
      <c r="G485" s="796">
        <v>3484925128710.8027</v>
      </c>
      <c r="H485" s="797">
        <v>3471388282721.5459</v>
      </c>
      <c r="I485" s="230">
        <f t="shared" si="7"/>
        <v>3669893599290.5801</v>
      </c>
    </row>
    <row r="486" spans="1:12" ht="15" customHeight="1" x14ac:dyDescent="0.3">
      <c r="A486" s="884" t="s">
        <v>236</v>
      </c>
      <c r="B486" s="80"/>
      <c r="C486" s="106">
        <v>2026</v>
      </c>
      <c r="D486" s="107">
        <v>12</v>
      </c>
      <c r="E486" s="228">
        <v>3641783931955.8853</v>
      </c>
      <c r="F486" s="226">
        <v>3641783931955.8853</v>
      </c>
      <c r="G486" s="796">
        <v>3652093704900.979</v>
      </c>
      <c r="H486" s="797">
        <v>3634291587079.9644</v>
      </c>
      <c r="I486" s="230">
        <f t="shared" si="7"/>
        <v>3832796903648.9985</v>
      </c>
    </row>
    <row r="487" spans="1:12" ht="15" customHeight="1" x14ac:dyDescent="0.3">
      <c r="A487" s="884"/>
      <c r="B487" s="80"/>
      <c r="C487" s="106">
        <v>2027</v>
      </c>
      <c r="D487" s="107">
        <v>13</v>
      </c>
      <c r="E487" s="228">
        <v>3812947776757.8115</v>
      </c>
      <c r="F487" s="226">
        <v>3812947776757.8115</v>
      </c>
      <c r="G487" s="796">
        <v>3826111766385.8311</v>
      </c>
      <c r="H487" s="797">
        <v>3803442786585.2603</v>
      </c>
      <c r="I487" s="230">
        <f t="shared" si="7"/>
        <v>4001948103154.2944</v>
      </c>
      <c r="J487" s="79"/>
      <c r="K487" s="79"/>
    </row>
    <row r="488" spans="1:12" ht="15" customHeight="1" x14ac:dyDescent="0.3">
      <c r="A488" s="884"/>
      <c r="B488" s="80"/>
      <c r="C488" s="106">
        <v>2028</v>
      </c>
      <c r="D488" s="107">
        <v>14</v>
      </c>
      <c r="E488" s="228">
        <v>3992156322265.4282</v>
      </c>
      <c r="F488" s="226">
        <v>3992156322265.4282</v>
      </c>
      <c r="G488" s="796">
        <v>4007224596994.6597</v>
      </c>
      <c r="H488" s="797">
        <v>3979062325915.9492</v>
      </c>
      <c r="I488" s="230">
        <f t="shared" si="7"/>
        <v>4177567642484.9834</v>
      </c>
      <c r="J488" s="79"/>
      <c r="K488" s="79"/>
    </row>
    <row r="489" spans="1:12" ht="15" customHeight="1" x14ac:dyDescent="0.3">
      <c r="A489" s="884"/>
      <c r="B489" s="80"/>
      <c r="C489" s="106">
        <v>2029</v>
      </c>
      <c r="D489" s="107">
        <v>15</v>
      </c>
      <c r="E489" s="228">
        <v>4179787669411.9028</v>
      </c>
      <c r="F489" s="226">
        <v>4179787669411.9028</v>
      </c>
      <c r="G489" s="796">
        <v>4195677480556.7681</v>
      </c>
      <c r="H489" s="797">
        <v>4161373747869.1284</v>
      </c>
      <c r="I489" s="230">
        <f t="shared" si="7"/>
        <v>4359879064438.1626</v>
      </c>
      <c r="J489" s="79"/>
      <c r="K489" s="79"/>
    </row>
    <row r="490" spans="1:12" ht="15" customHeight="1" x14ac:dyDescent="0.3">
      <c r="A490" s="884"/>
      <c r="B490" s="80"/>
      <c r="C490" s="106">
        <v>2030</v>
      </c>
      <c r="D490" s="107">
        <v>16</v>
      </c>
      <c r="E490" s="228">
        <v>4376237689874.2622</v>
      </c>
      <c r="F490" s="226">
        <v>4376237689874.2622</v>
      </c>
      <c r="G490" s="796">
        <v>4391715700901.457</v>
      </c>
      <c r="H490" s="797">
        <v>4350595602287.9526</v>
      </c>
      <c r="I490" s="230">
        <f t="shared" si="7"/>
        <v>4549100918856.9863</v>
      </c>
      <c r="J490" s="79"/>
      <c r="K490" s="79"/>
    </row>
    <row r="491" spans="1:12" ht="15" customHeight="1" x14ac:dyDescent="0.3">
      <c r="A491" s="884"/>
      <c r="B491" s="80"/>
      <c r="C491" s="106">
        <v>2031</v>
      </c>
      <c r="D491" s="107">
        <v>17</v>
      </c>
      <c r="E491" s="228">
        <v>4581920861298.3525</v>
      </c>
      <c r="F491" s="226">
        <v>4581920861298.3525</v>
      </c>
      <c r="G491" s="796">
        <v>4595584541858.0293</v>
      </c>
      <c r="H491" s="797">
        <v>4546938887306.2588</v>
      </c>
      <c r="I491" s="230">
        <f t="shared" si="7"/>
        <v>4745444203875.293</v>
      </c>
      <c r="J491" s="79"/>
      <c r="K491" s="79"/>
    </row>
    <row r="492" spans="1:12" ht="15" customHeight="1" x14ac:dyDescent="0.3">
      <c r="A492" s="884"/>
      <c r="B492" s="80"/>
      <c r="C492" s="106">
        <v>2032</v>
      </c>
      <c r="D492" s="107">
        <v>18</v>
      </c>
      <c r="E492" s="228">
        <v>4797271141779.375</v>
      </c>
      <c r="F492" s="226">
        <v>4797271141779.375</v>
      </c>
      <c r="G492" s="796">
        <v>4807529287255.7861</v>
      </c>
      <c r="H492" s="797">
        <v>4750625047259.3711</v>
      </c>
      <c r="I492" s="230">
        <f t="shared" si="7"/>
        <v>4949130363828.4053</v>
      </c>
      <c r="J492" s="79"/>
      <c r="K492" s="79"/>
    </row>
    <row r="493" spans="1:12" ht="15" customHeight="1" x14ac:dyDescent="0.3">
      <c r="A493" s="884"/>
      <c r="B493" s="80"/>
      <c r="C493" s="106">
        <v>2033</v>
      </c>
      <c r="D493" s="107">
        <v>19</v>
      </c>
      <c r="E493" s="228">
        <v>5022742885443.0049</v>
      </c>
      <c r="F493" s="226">
        <v>5022742885443.0049</v>
      </c>
      <c r="G493" s="796">
        <v>5027795220924.0293</v>
      </c>
      <c r="H493" s="797">
        <v>4961911667461.8418</v>
      </c>
      <c r="I493" s="230">
        <f t="shared" si="7"/>
        <v>5160416984030.876</v>
      </c>
      <c r="J493" s="79"/>
      <c r="K493" s="79"/>
    </row>
    <row r="494" spans="1:12" ht="15" customHeight="1" x14ac:dyDescent="0.3">
      <c r="A494" s="884"/>
      <c r="B494" s="80"/>
      <c r="C494" s="106">
        <v>2034</v>
      </c>
      <c r="D494" s="107">
        <v>20</v>
      </c>
      <c r="E494" s="228">
        <v>5258811801058.8262</v>
      </c>
      <c r="F494" s="226">
        <v>5258811801058.8262</v>
      </c>
      <c r="G494" s="796">
        <v>5256627626692.0605</v>
      </c>
      <c r="H494" s="797">
        <v>5181075759951.1719</v>
      </c>
      <c r="I494" s="230">
        <f t="shared" si="7"/>
        <v>5379581076520.2061</v>
      </c>
      <c r="J494" s="79"/>
      <c r="K494" s="79"/>
    </row>
    <row r="495" spans="1:12" ht="15" customHeight="1" x14ac:dyDescent="0.3">
      <c r="A495" s="884"/>
      <c r="B495" s="80"/>
      <c r="C495" s="106">
        <v>2035</v>
      </c>
      <c r="D495" s="107">
        <v>21</v>
      </c>
      <c r="E495" s="228">
        <v>5505975955708.5908</v>
      </c>
      <c r="F495" s="226">
        <v>5505975955708.5908</v>
      </c>
      <c r="G495" s="796">
        <v>5494271788389.1836</v>
      </c>
      <c r="H495" s="797">
        <v>5408381360332.3652</v>
      </c>
      <c r="I495" s="230">
        <f t="shared" si="7"/>
        <v>5606886676901.3994</v>
      </c>
      <c r="J495" s="79"/>
      <c r="K495" s="79"/>
    </row>
    <row r="496" spans="1:12" ht="15" customHeight="1" x14ac:dyDescent="0.3">
      <c r="A496" s="884"/>
      <c r="B496" s="80"/>
      <c r="C496" s="106">
        <v>2036</v>
      </c>
      <c r="D496" s="107">
        <v>22</v>
      </c>
      <c r="E496" s="228">
        <v>5764756825626.8945</v>
      </c>
      <c r="F496" s="226">
        <v>5764756825626.8945</v>
      </c>
      <c r="G496" s="796">
        <v>5740972989844.6973</v>
      </c>
      <c r="H496" s="797">
        <v>5644073047239.3213</v>
      </c>
      <c r="I496" s="230">
        <f t="shared" si="7"/>
        <v>5842578363808.3555</v>
      </c>
      <c r="J496" s="79"/>
      <c r="K496" s="79"/>
    </row>
    <row r="497" spans="1:11" ht="15" customHeight="1" x14ac:dyDescent="0.3">
      <c r="A497" s="884"/>
      <c r="B497" s="80"/>
      <c r="C497" s="106">
        <v>2037</v>
      </c>
      <c r="D497" s="107">
        <v>23</v>
      </c>
      <c r="E497" s="228"/>
      <c r="F497" s="226"/>
      <c r="G497" s="796">
        <v>5996976514887.9053</v>
      </c>
      <c r="H497" s="797">
        <v>5888355316791.4072</v>
      </c>
      <c r="I497" s="230">
        <f t="shared" ref="I497:I520" si="8">H497+$L$475</f>
        <v>6086860633360.4414</v>
      </c>
      <c r="J497" s="79"/>
      <c r="K497" s="79"/>
    </row>
    <row r="498" spans="1:11" ht="15" customHeight="1" x14ac:dyDescent="0.3">
      <c r="A498" s="884"/>
      <c r="B498" s="80"/>
      <c r="C498" s="106">
        <v>2038</v>
      </c>
      <c r="D498" s="107">
        <v>24</v>
      </c>
      <c r="E498" s="228"/>
      <c r="F498" s="226"/>
      <c r="G498" s="796">
        <v>6262527647348.1094</v>
      </c>
      <c r="H498" s="797">
        <v>6141400381278.5254</v>
      </c>
      <c r="I498" s="230">
        <f t="shared" si="8"/>
        <v>6339905697847.5596</v>
      </c>
      <c r="J498" s="79"/>
      <c r="K498" s="79"/>
    </row>
    <row r="499" spans="1:11" ht="15" customHeight="1" x14ac:dyDescent="0.3">
      <c r="A499" s="884"/>
      <c r="B499" s="80"/>
      <c r="C499" s="106">
        <v>2039</v>
      </c>
      <c r="D499" s="107">
        <v>25</v>
      </c>
      <c r="E499" s="228"/>
      <c r="F499" s="226"/>
      <c r="G499" s="796">
        <v>6537871671054.6104</v>
      </c>
      <c r="H499" s="797">
        <v>6403347758224.4541</v>
      </c>
      <c r="I499" s="230">
        <f t="shared" si="8"/>
        <v>6601853074793.4883</v>
      </c>
      <c r="J499" s="79"/>
      <c r="K499" s="79"/>
    </row>
    <row r="500" spans="1:11" ht="15" customHeight="1" x14ac:dyDescent="0.3">
      <c r="A500" s="884"/>
      <c r="B500" s="80"/>
      <c r="C500" s="106">
        <v>2040</v>
      </c>
      <c r="D500" s="107">
        <v>26</v>
      </c>
      <c r="E500" s="228"/>
      <c r="F500" s="226"/>
      <c r="G500" s="796">
        <v>6823253869836.7119</v>
      </c>
      <c r="H500" s="797">
        <v>6674342242855.8652</v>
      </c>
      <c r="I500" s="230">
        <f t="shared" si="8"/>
        <v>6872847559424.8994</v>
      </c>
      <c r="J500" s="79"/>
      <c r="K500" s="79"/>
    </row>
    <row r="501" spans="1:11" ht="15" customHeight="1" x14ac:dyDescent="0.3">
      <c r="A501" s="884"/>
      <c r="B501" s="80"/>
      <c r="C501" s="106">
        <v>2041</v>
      </c>
      <c r="D501" s="107">
        <v>27</v>
      </c>
      <c r="E501" s="228"/>
      <c r="F501" s="226"/>
      <c r="G501" s="796">
        <v>7118919527523.7139</v>
      </c>
      <c r="H501" s="797">
        <v>6954564227429.8135</v>
      </c>
      <c r="I501" s="230">
        <f t="shared" si="8"/>
        <v>7153069543998.8477</v>
      </c>
      <c r="J501" s="79"/>
      <c r="K501" s="79"/>
    </row>
    <row r="502" spans="1:11" ht="15" customHeight="1" x14ac:dyDescent="0.3">
      <c r="A502" s="884"/>
      <c r="B502" s="80"/>
      <c r="C502" s="106">
        <v>2042</v>
      </c>
      <c r="D502" s="107">
        <v>28</v>
      </c>
      <c r="E502" s="228"/>
      <c r="F502" s="226"/>
      <c r="G502" s="796">
        <v>7425113927944.9199</v>
      </c>
      <c r="H502" s="797">
        <v>7244213323064.0186</v>
      </c>
      <c r="I502" s="230">
        <f t="shared" si="8"/>
        <v>7442718639633.0527</v>
      </c>
      <c r="J502" s="79"/>
      <c r="K502" s="79"/>
    </row>
    <row r="503" spans="1:11" ht="15" customHeight="1" x14ac:dyDescent="0.3">
      <c r="A503" s="884"/>
      <c r="B503" s="80"/>
      <c r="C503" s="106">
        <v>2043</v>
      </c>
      <c r="D503" s="107">
        <v>29</v>
      </c>
      <c r="E503" s="228"/>
      <c r="F503" s="226"/>
      <c r="G503" s="796">
        <v>7742082354929.6309</v>
      </c>
      <c r="H503" s="797">
        <v>7543464862188.666</v>
      </c>
      <c r="I503" s="230">
        <f t="shared" si="8"/>
        <v>7741970178757.7002</v>
      </c>
      <c r="J503" s="79"/>
      <c r="K503" s="79"/>
    </row>
    <row r="504" spans="1:11" ht="15" customHeight="1" x14ac:dyDescent="0.3">
      <c r="A504" s="884"/>
      <c r="B504" s="80"/>
      <c r="C504" s="106">
        <v>2044</v>
      </c>
      <c r="D504" s="107">
        <v>30</v>
      </c>
      <c r="E504" s="228"/>
      <c r="F504" s="226"/>
      <c r="G504" s="796">
        <v>8070070092307.1494</v>
      </c>
      <c r="H504" s="797">
        <v>7852493955342.7373</v>
      </c>
      <c r="I504" s="230">
        <f t="shared" si="8"/>
        <v>8050999271911.7715</v>
      </c>
      <c r="J504" s="79"/>
      <c r="K504" s="79"/>
    </row>
    <row r="505" spans="1:11" ht="15" customHeight="1" x14ac:dyDescent="0.3">
      <c r="A505" s="884"/>
      <c r="B505" s="80"/>
      <c r="C505" s="106">
        <v>2045</v>
      </c>
      <c r="D505" s="107">
        <v>31</v>
      </c>
      <c r="E505" s="228"/>
      <c r="F505" s="226"/>
      <c r="G505" s="796">
        <v>8409322423906.7754</v>
      </c>
      <c r="H505" s="797">
        <v>8171471999284.5391</v>
      </c>
      <c r="I505" s="230">
        <f t="shared" si="8"/>
        <v>8369977315853.5732</v>
      </c>
      <c r="J505" s="79"/>
      <c r="K505" s="79"/>
    </row>
    <row r="506" spans="1:11" ht="15" customHeight="1" x14ac:dyDescent="0.3">
      <c r="A506" s="884"/>
      <c r="B506" s="80"/>
      <c r="C506" s="106">
        <v>2046</v>
      </c>
      <c r="D506" s="107">
        <v>32</v>
      </c>
      <c r="E506" s="228"/>
      <c r="F506" s="226"/>
      <c r="G506" s="796">
        <v>8760084633557.8135</v>
      </c>
      <c r="H506" s="797">
        <v>8500564858082.5176</v>
      </c>
      <c r="I506" s="230">
        <f t="shared" si="8"/>
        <v>8699070174651.5518</v>
      </c>
      <c r="J506" s="79"/>
      <c r="K506" s="79"/>
    </row>
    <row r="507" spans="1:11" ht="15" customHeight="1" x14ac:dyDescent="0.3">
      <c r="A507" s="884"/>
      <c r="B507" s="80"/>
      <c r="C507" s="106">
        <v>2047</v>
      </c>
      <c r="D507" s="107">
        <v>33</v>
      </c>
      <c r="E507" s="228"/>
      <c r="F507" s="226"/>
      <c r="G507" s="796">
        <v>9122602005089.5625</v>
      </c>
      <c r="H507" s="797">
        <v>8839936045069.9473</v>
      </c>
      <c r="I507" s="230">
        <f t="shared" si="8"/>
        <v>9038441361638.9805</v>
      </c>
      <c r="J507" s="79"/>
      <c r="K507" s="79"/>
    </row>
    <row r="508" spans="1:11" ht="15" customHeight="1" x14ac:dyDescent="0.3">
      <c r="A508" s="884"/>
      <c r="B508" s="80"/>
      <c r="C508" s="106">
        <v>2048</v>
      </c>
      <c r="D508" s="107">
        <v>34</v>
      </c>
      <c r="E508" s="228"/>
      <c r="F508" s="226"/>
      <c r="G508" s="796">
        <v>9497119822331.3281</v>
      </c>
      <c r="H508" s="797">
        <v>9189750302639.9883</v>
      </c>
      <c r="I508" s="230">
        <f t="shared" si="8"/>
        <v>9388255619209.0215</v>
      </c>
      <c r="J508" s="79"/>
      <c r="K508" s="79"/>
    </row>
    <row r="509" spans="1:11" ht="15" customHeight="1" x14ac:dyDescent="0.3">
      <c r="A509" s="79"/>
      <c r="B509" s="79"/>
      <c r="C509" s="106">
        <v>2049</v>
      </c>
      <c r="D509" s="107">
        <v>35</v>
      </c>
      <c r="E509" s="228"/>
      <c r="F509" s="226"/>
      <c r="G509" s="796">
        <v>9883883369112.4063</v>
      </c>
      <c r="H509" s="797">
        <v>9550171824427.8086</v>
      </c>
      <c r="I509" s="230">
        <f t="shared" si="8"/>
        <v>9748677140996.8418</v>
      </c>
      <c r="J509" s="79"/>
      <c r="K509" s="79"/>
    </row>
    <row r="510" spans="1:11" ht="15" customHeight="1" x14ac:dyDescent="0.3">
      <c r="A510" s="79"/>
      <c r="B510" s="79"/>
      <c r="C510" s="106">
        <v>2050</v>
      </c>
      <c r="D510" s="111">
        <v>36</v>
      </c>
      <c r="E510" s="228"/>
      <c r="F510" s="226"/>
      <c r="G510" s="798">
        <v>10283137929262.105</v>
      </c>
      <c r="H510" s="799">
        <v>9921360362136.0332</v>
      </c>
      <c r="I510" s="230">
        <f t="shared" si="8"/>
        <v>10119865678705.066</v>
      </c>
      <c r="J510" s="79"/>
      <c r="K510" s="79"/>
    </row>
    <row r="511" spans="1:11" ht="15" customHeight="1" x14ac:dyDescent="0.3">
      <c r="A511" s="79"/>
      <c r="B511" s="79"/>
      <c r="C511" s="106">
        <v>2051</v>
      </c>
      <c r="D511" s="107">
        <v>37</v>
      </c>
      <c r="E511" s="228"/>
      <c r="F511" s="226"/>
      <c r="G511" s="796">
        <v>10695128786609.723</v>
      </c>
      <c r="H511" s="797">
        <v>10303471606028.281</v>
      </c>
      <c r="I511" s="230">
        <f t="shared" si="8"/>
        <v>10501976922597.314</v>
      </c>
      <c r="J511" s="79"/>
      <c r="K511" s="79"/>
    </row>
    <row r="512" spans="1:11" ht="15" customHeight="1" x14ac:dyDescent="0.3">
      <c r="A512" s="79"/>
      <c r="B512" s="79"/>
      <c r="C512" s="106">
        <v>2052</v>
      </c>
      <c r="D512" s="107">
        <v>38</v>
      </c>
      <c r="E512" s="228"/>
      <c r="F512" s="226"/>
      <c r="G512" s="796">
        <v>11120101224984.563</v>
      </c>
      <c r="H512" s="797">
        <v>10696656008074.73</v>
      </c>
      <c r="I512" s="230">
        <f t="shared" si="8"/>
        <v>10895161324643.764</v>
      </c>
      <c r="J512" s="79"/>
      <c r="K512" s="79"/>
    </row>
    <row r="513" spans="1:18" ht="15" customHeight="1" x14ac:dyDescent="0.3">
      <c r="A513" s="79"/>
      <c r="B513" s="79"/>
      <c r="C513" s="106">
        <v>2053</v>
      </c>
      <c r="D513" s="107">
        <v>39</v>
      </c>
      <c r="E513" s="228"/>
      <c r="F513" s="226"/>
      <c r="G513" s="796">
        <v>11558300528215.926</v>
      </c>
      <c r="H513" s="797">
        <v>11101059310909.928</v>
      </c>
      <c r="I513" s="230">
        <f t="shared" si="8"/>
        <v>11299564627478.961</v>
      </c>
      <c r="J513" s="79"/>
      <c r="K513" s="79"/>
    </row>
    <row r="514" spans="1:18" ht="15" customHeight="1" x14ac:dyDescent="0.3">
      <c r="A514" s="79"/>
      <c r="B514" s="79"/>
      <c r="C514" s="106">
        <v>2054</v>
      </c>
      <c r="D514" s="107">
        <v>40</v>
      </c>
      <c r="E514" s="228"/>
      <c r="F514" s="226"/>
      <c r="G514" s="796">
        <v>12009971980133.117</v>
      </c>
      <c r="H514" s="797">
        <v>11516823039012.535</v>
      </c>
      <c r="I514" s="230">
        <f t="shared" si="8"/>
        <v>11715328355581.568</v>
      </c>
      <c r="J514" s="79"/>
      <c r="K514" s="79"/>
    </row>
    <row r="515" spans="1:18" ht="15" customHeight="1" x14ac:dyDescent="0.3">
      <c r="A515" s="79"/>
      <c r="B515" s="79"/>
      <c r="C515" s="106">
        <v>2055</v>
      </c>
      <c r="D515" s="111">
        <v>41</v>
      </c>
      <c r="E515" s="228"/>
      <c r="F515" s="226"/>
      <c r="G515" s="798">
        <v>12475360864565.434</v>
      </c>
      <c r="H515" s="799">
        <v>11944087078570.611</v>
      </c>
      <c r="I515" s="230">
        <f t="shared" si="8"/>
        <v>12142592395139.645</v>
      </c>
      <c r="J515" s="79"/>
      <c r="K515" s="79"/>
    </row>
    <row r="516" spans="1:18" ht="15" customHeight="1" x14ac:dyDescent="0.3">
      <c r="A516" s="79"/>
      <c r="B516" s="79"/>
      <c r="C516" s="106">
        <v>2056</v>
      </c>
      <c r="D516" s="107">
        <v>42</v>
      </c>
      <c r="E516" s="228"/>
      <c r="F516" s="226"/>
      <c r="G516" s="796">
        <v>12954712465342.18</v>
      </c>
      <c r="H516" s="797">
        <v>12382990999556.074</v>
      </c>
      <c r="I516" s="230">
        <f t="shared" si="8"/>
        <v>12581496316125.107</v>
      </c>
      <c r="J516" s="79"/>
      <c r="K516" s="79"/>
    </row>
    <row r="517" spans="1:18" ht="15" customHeight="1" x14ac:dyDescent="0.3">
      <c r="A517" s="79"/>
      <c r="B517" s="79"/>
      <c r="C517" s="106">
        <v>2057</v>
      </c>
      <c r="D517" s="107">
        <v>43</v>
      </c>
      <c r="E517" s="228"/>
      <c r="F517" s="226"/>
      <c r="G517" s="796">
        <v>13448272066292.656</v>
      </c>
      <c r="H517" s="797">
        <v>12833674318990.08</v>
      </c>
      <c r="I517" s="230">
        <f t="shared" si="8"/>
        <v>13032179635559.113</v>
      </c>
      <c r="J517" s="79"/>
      <c r="K517" s="79"/>
    </row>
    <row r="518" spans="1:18" ht="15" customHeight="1" x14ac:dyDescent="0.3">
      <c r="A518" s="79"/>
      <c r="B518" s="79"/>
      <c r="C518" s="106">
        <v>2058</v>
      </c>
      <c r="D518" s="107">
        <v>44</v>
      </c>
      <c r="E518" s="228"/>
      <c r="F518" s="226"/>
      <c r="G518" s="796">
        <v>13956284951246.164</v>
      </c>
      <c r="H518" s="797">
        <v>13296276971479.715</v>
      </c>
      <c r="I518" s="230">
        <f t="shared" si="8"/>
        <v>13494782288048.748</v>
      </c>
      <c r="J518" s="79"/>
      <c r="K518" s="79"/>
    </row>
    <row r="519" spans="1:18" ht="15" customHeight="1" x14ac:dyDescent="0.3">
      <c r="A519" s="79"/>
      <c r="B519" s="79"/>
      <c r="C519" s="106">
        <v>2059</v>
      </c>
      <c r="D519" s="107">
        <v>45</v>
      </c>
      <c r="E519" s="228"/>
      <c r="F519" s="226"/>
      <c r="G519" s="796">
        <v>14478996404032.008</v>
      </c>
      <c r="H519" s="797">
        <v>13770939518114.463</v>
      </c>
      <c r="I519" s="230">
        <f t="shared" si="8"/>
        <v>13969444834683.496</v>
      </c>
      <c r="J519" s="79"/>
      <c r="K519" s="79"/>
    </row>
    <row r="520" spans="1:18" ht="15" customHeight="1" x14ac:dyDescent="0.3">
      <c r="A520" s="79"/>
      <c r="B520" s="79"/>
      <c r="C520" s="112">
        <v>2060</v>
      </c>
      <c r="D520" s="111">
        <v>46</v>
      </c>
      <c r="E520" s="228"/>
      <c r="F520" s="226"/>
      <c r="G520" s="798">
        <v>15016651708479.488</v>
      </c>
      <c r="H520" s="799">
        <v>14257800618363.791</v>
      </c>
      <c r="I520" s="230">
        <f t="shared" si="8"/>
        <v>14456305934932.824</v>
      </c>
      <c r="J520" s="79"/>
      <c r="K520" s="79"/>
    </row>
    <row r="521" spans="1:18" ht="15" customHeight="1" x14ac:dyDescent="0.3">
      <c r="A521" s="79"/>
      <c r="B521" s="219"/>
      <c r="C521" s="5"/>
      <c r="D521" s="5"/>
      <c r="E521" s="5"/>
      <c r="F521" s="5"/>
      <c r="G521" s="5"/>
      <c r="H521" s="5"/>
      <c r="I521" s="5"/>
      <c r="J521" s="5"/>
      <c r="K521" s="5"/>
    </row>
    <row r="522" spans="1:18" ht="15" customHeight="1" x14ac:dyDescent="0.3">
      <c r="A522" s="5"/>
      <c r="B522" s="219"/>
      <c r="C522" s="5"/>
      <c r="D522" s="5"/>
      <c r="E522" s="5"/>
      <c r="F522" s="5"/>
      <c r="G522" s="5"/>
      <c r="H522" s="5"/>
      <c r="I522" s="5"/>
      <c r="J522" s="5"/>
      <c r="K522" s="5"/>
    </row>
    <row r="523" spans="1:18" ht="15" customHeight="1" x14ac:dyDescent="0.3">
      <c r="A523" s="231" t="s">
        <v>190</v>
      </c>
    </row>
    <row r="525" spans="1:18" ht="15" customHeight="1" x14ac:dyDescent="0.3">
      <c r="C525" s="887" t="s">
        <v>302</v>
      </c>
      <c r="D525" s="887"/>
      <c r="E525" s="887"/>
      <c r="F525" s="887"/>
      <c r="G525" s="887"/>
      <c r="H525" s="887"/>
      <c r="I525" s="887"/>
      <c r="J525" s="887"/>
      <c r="K525" s="887"/>
      <c r="L525" s="887"/>
      <c r="M525" s="887"/>
      <c r="N525" s="887"/>
      <c r="O525" s="887"/>
      <c r="P525" s="887"/>
      <c r="Q525" s="887"/>
      <c r="R525" s="887"/>
    </row>
    <row r="526" spans="1:18" ht="15" customHeight="1" x14ac:dyDescent="0.3">
      <c r="A526" s="71">
        <f>1+A461</f>
        <v>9</v>
      </c>
      <c r="B526" s="72" t="s">
        <v>294</v>
      </c>
      <c r="C526" s="73"/>
      <c r="D526" s="73"/>
      <c r="E526" s="73"/>
      <c r="F526" s="73"/>
      <c r="G526" s="73"/>
      <c r="H526" s="73"/>
      <c r="J526" s="73"/>
      <c r="K526" s="73"/>
      <c r="L526" s="73"/>
    </row>
    <row r="527" spans="1:18" ht="15" customHeight="1" x14ac:dyDescent="0.3">
      <c r="A527" s="74" t="s">
        <v>74</v>
      </c>
      <c r="B527" s="75"/>
      <c r="C527" s="75"/>
      <c r="D527" s="76"/>
      <c r="E527" s="77"/>
      <c r="F527" s="862"/>
      <c r="G527" s="77"/>
      <c r="H527" s="78"/>
      <c r="J527" s="79"/>
      <c r="K527" s="79"/>
      <c r="L527" s="79"/>
    </row>
    <row r="528" spans="1:18" ht="15" customHeight="1" thickBot="1" x14ac:dyDescent="0.35">
      <c r="A528" s="110" t="s">
        <v>75</v>
      </c>
      <c r="B528" s="80"/>
      <c r="C528" s="80"/>
      <c r="D528" s="81"/>
      <c r="E528" s="109" t="s">
        <v>78</v>
      </c>
      <c r="F528" s="863"/>
      <c r="G528" s="746" t="s">
        <v>79</v>
      </c>
      <c r="H528" s="711"/>
      <c r="J528" s="79"/>
      <c r="K528" s="79"/>
      <c r="L528" s="79"/>
      <c r="M528" s="249"/>
    </row>
    <row r="529" spans="1:14" ht="45.6" customHeight="1" thickBot="1" x14ac:dyDescent="0.35">
      <c r="A529" s="82"/>
      <c r="B529" s="82"/>
      <c r="C529" s="82"/>
      <c r="D529" s="83"/>
      <c r="E529" s="101" t="s">
        <v>292</v>
      </c>
      <c r="F529" s="101" t="s">
        <v>293</v>
      </c>
      <c r="G529" s="746" t="s">
        <v>81</v>
      </c>
      <c r="H529" s="747" t="s">
        <v>82</v>
      </c>
      <c r="I529" s="101" t="s">
        <v>234</v>
      </c>
      <c r="J529" s="747" t="s">
        <v>754</v>
      </c>
      <c r="K529" s="865" t="s">
        <v>84</v>
      </c>
      <c r="L529" s="875"/>
      <c r="M529" s="249"/>
    </row>
    <row r="530" spans="1:14" ht="15" customHeight="1" x14ac:dyDescent="0.3">
      <c r="A530" s="74" t="s">
        <v>85</v>
      </c>
      <c r="B530" s="82"/>
      <c r="C530" s="102">
        <v>2005</v>
      </c>
      <c r="D530" s="103">
        <v>-9</v>
      </c>
      <c r="E530" s="226"/>
      <c r="F530" s="226"/>
      <c r="G530" s="722">
        <v>4169.503452277012</v>
      </c>
      <c r="H530" s="723">
        <v>4169.503452277012</v>
      </c>
      <c r="I530" s="233">
        <f>H530+$L$540/10^9</f>
        <v>4368.0087688460462</v>
      </c>
      <c r="J530" s="871" t="s">
        <v>86</v>
      </c>
      <c r="K530" s="876"/>
      <c r="L530" s="877"/>
      <c r="M530" s="249"/>
    </row>
    <row r="531" spans="1:14" ht="15" customHeight="1" x14ac:dyDescent="0.3">
      <c r="A531" s="110" t="s">
        <v>87</v>
      </c>
      <c r="B531" s="82"/>
      <c r="C531" s="106">
        <v>2006</v>
      </c>
      <c r="D531" s="107">
        <v>-8</v>
      </c>
      <c r="E531" s="228"/>
      <c r="F531" s="226"/>
      <c r="G531" s="727">
        <v>4295.742792766654</v>
      </c>
      <c r="H531" s="728">
        <v>4295.742792766654</v>
      </c>
      <c r="I531" s="227">
        <f t="shared" ref="I531:I585" si="9">H531+$L$540/10^9</f>
        <v>4494.2481093356882</v>
      </c>
      <c r="J531" s="882"/>
      <c r="K531" s="876"/>
      <c r="L531" s="877"/>
      <c r="M531" s="249"/>
    </row>
    <row r="532" spans="1:14" ht="15" customHeight="1" x14ac:dyDescent="0.3">
      <c r="A532" s="82"/>
      <c r="B532" s="82"/>
      <c r="C532" s="106">
        <v>2007</v>
      </c>
      <c r="D532" s="107">
        <v>-7</v>
      </c>
      <c r="E532" s="228"/>
      <c r="F532" s="226"/>
      <c r="G532" s="727">
        <v>4437.778487575185</v>
      </c>
      <c r="H532" s="728">
        <v>4437.778487575185</v>
      </c>
      <c r="I532" s="229">
        <f t="shared" si="9"/>
        <v>4636.2838041442192</v>
      </c>
      <c r="J532" s="882"/>
      <c r="K532" s="876"/>
      <c r="L532" s="877"/>
      <c r="M532" s="249"/>
    </row>
    <row r="533" spans="1:14" ht="15" customHeight="1" x14ac:dyDescent="0.3">
      <c r="A533" s="29" t="s">
        <v>88</v>
      </c>
      <c r="B533" s="82"/>
      <c r="C533" s="106">
        <v>2008</v>
      </c>
      <c r="D533" s="107">
        <v>-6</v>
      </c>
      <c r="E533" s="228"/>
      <c r="F533" s="226"/>
      <c r="G533" s="727">
        <v>4595.3439106903761</v>
      </c>
      <c r="H533" s="728">
        <v>4595.3439106903761</v>
      </c>
      <c r="I533" s="229">
        <f t="shared" si="9"/>
        <v>4793.8492272594103</v>
      </c>
      <c r="J533" s="882"/>
      <c r="K533" s="878"/>
      <c r="L533" s="879"/>
      <c r="M533" s="249"/>
    </row>
    <row r="534" spans="1:14" ht="15" customHeight="1" x14ac:dyDescent="0.3">
      <c r="A534" s="886" t="s">
        <v>303</v>
      </c>
      <c r="B534" s="82"/>
      <c r="C534" s="106">
        <v>2009</v>
      </c>
      <c r="D534" s="107">
        <v>-5</v>
      </c>
      <c r="E534" s="228"/>
      <c r="F534" s="226"/>
      <c r="G534" s="727">
        <v>4768.1724360999979</v>
      </c>
      <c r="H534" s="728">
        <v>4768.1724360999979</v>
      </c>
      <c r="I534" s="229">
        <f t="shared" si="9"/>
        <v>4966.6777526690321</v>
      </c>
      <c r="J534" s="882"/>
      <c r="K534" s="79"/>
      <c r="L534" s="79"/>
      <c r="M534" s="249"/>
    </row>
    <row r="535" spans="1:14" ht="15" customHeight="1" x14ac:dyDescent="0.3">
      <c r="A535" s="873"/>
      <c r="B535" s="82"/>
      <c r="C535" s="106">
        <v>2010</v>
      </c>
      <c r="D535" s="107">
        <v>-4</v>
      </c>
      <c r="E535" s="228"/>
      <c r="F535" s="226"/>
      <c r="G535" s="727">
        <v>4955.9974377918206</v>
      </c>
      <c r="H535" s="728">
        <v>4955.9974377918206</v>
      </c>
      <c r="I535" s="229">
        <f t="shared" si="9"/>
        <v>5154.5027543608549</v>
      </c>
      <c r="J535" s="882"/>
      <c r="K535" s="79"/>
      <c r="L535" s="79"/>
      <c r="M535" s="249"/>
    </row>
    <row r="536" spans="1:14" ht="15" customHeight="1" x14ac:dyDescent="0.3">
      <c r="A536" s="873"/>
      <c r="B536" s="82"/>
      <c r="C536" s="106">
        <v>2011</v>
      </c>
      <c r="D536" s="107">
        <v>-3</v>
      </c>
      <c r="E536" s="228"/>
      <c r="F536" s="226"/>
      <c r="G536" s="727">
        <v>5158.5522897536157</v>
      </c>
      <c r="H536" s="728">
        <v>5158.5522897536157</v>
      </c>
      <c r="I536" s="229">
        <f t="shared" si="9"/>
        <v>5357.0576063226499</v>
      </c>
      <c r="J536" s="883"/>
      <c r="K536" s="79"/>
      <c r="L536" s="79"/>
      <c r="M536" s="249"/>
    </row>
    <row r="537" spans="1:14" ht="15" customHeight="1" x14ac:dyDescent="0.3">
      <c r="A537" s="874"/>
      <c r="B537" s="82"/>
      <c r="C537" s="106">
        <v>2012</v>
      </c>
      <c r="D537" s="107">
        <v>-2</v>
      </c>
      <c r="E537" s="228"/>
      <c r="F537" s="226"/>
      <c r="G537" s="730">
        <v>5375.5703659731535</v>
      </c>
      <c r="H537" s="731">
        <v>5375.5703659731535</v>
      </c>
      <c r="I537" s="230">
        <f t="shared" si="9"/>
        <v>5574.0756825421877</v>
      </c>
      <c r="J537" s="87" t="s">
        <v>90</v>
      </c>
      <c r="K537" s="79"/>
      <c r="L537" s="79"/>
      <c r="M537" s="249"/>
      <c r="N537" s="249"/>
    </row>
    <row r="538" spans="1:14" ht="15" customHeight="1" x14ac:dyDescent="0.3">
      <c r="A538" s="82"/>
      <c r="B538" s="82"/>
      <c r="C538" s="106">
        <v>2013</v>
      </c>
      <c r="D538" s="107">
        <v>-1</v>
      </c>
      <c r="E538" s="228">
        <v>5608.5369668198482</v>
      </c>
      <c r="F538" s="226">
        <v>5608.5369668198482</v>
      </c>
      <c r="G538" s="730">
        <v>5606.7850404382052</v>
      </c>
      <c r="H538" s="731">
        <v>5606.7850404382052</v>
      </c>
      <c r="I538" s="230">
        <f t="shared" si="9"/>
        <v>5805.2903570072394</v>
      </c>
      <c r="J538" s="79"/>
      <c r="K538" s="79"/>
      <c r="L538" s="249"/>
      <c r="M538" s="249"/>
      <c r="N538" s="249"/>
    </row>
    <row r="539" spans="1:14" ht="15" customHeight="1" x14ac:dyDescent="0.3">
      <c r="A539" s="77" t="s">
        <v>91</v>
      </c>
      <c r="B539" s="82"/>
      <c r="C539" s="106">
        <v>2014</v>
      </c>
      <c r="D539" s="107">
        <v>0</v>
      </c>
      <c r="E539" s="228"/>
      <c r="F539" s="226"/>
      <c r="G539" s="730">
        <v>5851.9296871365414</v>
      </c>
      <c r="H539" s="731">
        <v>5888.6198445493874</v>
      </c>
      <c r="I539" s="230">
        <f t="shared" si="9"/>
        <v>6087.1251611184216</v>
      </c>
      <c r="J539" s="79"/>
      <c r="K539" s="79"/>
      <c r="L539" s="249"/>
      <c r="M539" s="249"/>
      <c r="N539" s="249"/>
    </row>
    <row r="540" spans="1:14" ht="15" customHeight="1" x14ac:dyDescent="0.3">
      <c r="A540" s="110">
        <v>2016</v>
      </c>
      <c r="B540" s="80"/>
      <c r="C540" s="106">
        <v>2015</v>
      </c>
      <c r="D540" s="107">
        <v>1</v>
      </c>
      <c r="E540" s="228"/>
      <c r="F540" s="226"/>
      <c r="G540" s="730">
        <v>6110.7376800559323</v>
      </c>
      <c r="H540" s="731">
        <v>6149.5264369482893</v>
      </c>
      <c r="I540" s="230">
        <f t="shared" si="9"/>
        <v>6348.0317535173235</v>
      </c>
      <c r="J540" s="249" t="s">
        <v>233</v>
      </c>
      <c r="K540" s="249"/>
      <c r="L540" s="232">
        <v>198505316569.03406</v>
      </c>
      <c r="M540" s="249" t="s">
        <v>232</v>
      </c>
      <c r="N540" s="249"/>
    </row>
    <row r="541" spans="1:14" ht="15" customHeight="1" x14ac:dyDescent="0.3">
      <c r="A541" s="79"/>
      <c r="B541" s="80"/>
      <c r="C541" s="106">
        <v>2016</v>
      </c>
      <c r="D541" s="107">
        <v>2</v>
      </c>
      <c r="E541" s="228"/>
      <c r="F541" s="226"/>
      <c r="G541" s="730">
        <v>6382.9423931841493</v>
      </c>
      <c r="H541" s="731">
        <v>6424.1032664386548</v>
      </c>
      <c r="I541" s="230">
        <f t="shared" si="9"/>
        <v>6622.608583007689</v>
      </c>
      <c r="J541" s="79"/>
      <c r="K541" s="234"/>
      <c r="L541" s="235" t="s">
        <v>237</v>
      </c>
      <c r="M541" s="236"/>
      <c r="N541" s="249"/>
    </row>
    <row r="542" spans="1:14" ht="15" customHeight="1" x14ac:dyDescent="0.3">
      <c r="A542" s="77" t="s">
        <v>92</v>
      </c>
      <c r="B542" s="80"/>
      <c r="C542" s="106">
        <v>2017</v>
      </c>
      <c r="D542" s="107">
        <v>3</v>
      </c>
      <c r="E542" s="228"/>
      <c r="F542" s="226"/>
      <c r="G542" s="730">
        <v>6668.2772005089628</v>
      </c>
      <c r="H542" s="731">
        <v>6712.1011332911248</v>
      </c>
      <c r="I542" s="230">
        <f t="shared" si="9"/>
        <v>6910.606449860159</v>
      </c>
      <c r="J542" s="79"/>
      <c r="K542" s="79"/>
      <c r="L542" s="249"/>
      <c r="M542" s="249"/>
      <c r="N542" s="249"/>
    </row>
    <row r="543" spans="1:14" ht="15" customHeight="1" x14ac:dyDescent="0.3">
      <c r="A543" s="110" t="s">
        <v>292</v>
      </c>
      <c r="B543" s="80"/>
      <c r="C543" s="106">
        <v>2018</v>
      </c>
      <c r="D543" s="107">
        <v>4</v>
      </c>
      <c r="E543" s="228"/>
      <c r="F543" s="226"/>
      <c r="G543" s="730">
        <v>6966.4754760181422</v>
      </c>
      <c r="H543" s="731">
        <v>7013.2189358873402</v>
      </c>
      <c r="I543" s="230">
        <f t="shared" si="9"/>
        <v>7211.7242524563744</v>
      </c>
      <c r="J543" s="79"/>
      <c r="K543" s="79"/>
      <c r="L543" s="249"/>
      <c r="M543" s="249"/>
      <c r="N543" s="249"/>
    </row>
    <row r="544" spans="1:14" ht="15" customHeight="1" x14ac:dyDescent="0.3">
      <c r="A544" s="79"/>
      <c r="B544" s="80"/>
      <c r="C544" s="106">
        <v>2019</v>
      </c>
      <c r="D544" s="107">
        <v>5</v>
      </c>
      <c r="E544" s="228"/>
      <c r="F544" s="226"/>
      <c r="G544" s="730">
        <v>7277.2705936994607</v>
      </c>
      <c r="H544" s="731">
        <v>7327.1216670630492</v>
      </c>
      <c r="I544" s="230">
        <f t="shared" si="9"/>
        <v>7525.6269836320835</v>
      </c>
      <c r="J544" s="79"/>
      <c r="K544" s="79"/>
      <c r="L544" s="249"/>
      <c r="M544" s="249"/>
      <c r="N544" s="249"/>
    </row>
    <row r="545" spans="1:13" ht="15" customHeight="1" x14ac:dyDescent="0.3">
      <c r="A545" s="77" t="s">
        <v>93</v>
      </c>
      <c r="B545" s="80"/>
      <c r="C545" s="106">
        <v>2020</v>
      </c>
      <c r="D545" s="107">
        <v>6</v>
      </c>
      <c r="E545" s="228">
        <v>7593.3759408354363</v>
      </c>
      <c r="F545" s="226">
        <v>7593.3759408354363</v>
      </c>
      <c r="G545" s="730">
        <v>7600.3959275406887</v>
      </c>
      <c r="H545" s="731">
        <v>7654.0959380622689</v>
      </c>
      <c r="I545" s="230">
        <f t="shared" si="9"/>
        <v>7852.6012546313032</v>
      </c>
      <c r="J545" s="79"/>
      <c r="K545" s="79"/>
      <c r="L545" s="79"/>
      <c r="M545" s="249"/>
    </row>
    <row r="546" spans="1:13" ht="15" customHeight="1" x14ac:dyDescent="0.3">
      <c r="A546" s="77"/>
      <c r="B546" s="80"/>
      <c r="C546" s="106">
        <v>2021</v>
      </c>
      <c r="D546" s="107">
        <v>7</v>
      </c>
      <c r="E546" s="228"/>
      <c r="F546" s="226"/>
      <c r="G546" s="730">
        <v>7935.5848515295947</v>
      </c>
      <c r="H546" s="731">
        <v>7987.5475098602456</v>
      </c>
      <c r="I546" s="230">
        <f t="shared" si="9"/>
        <v>8186.0528264292798</v>
      </c>
      <c r="J546" s="79"/>
      <c r="K546" s="79"/>
      <c r="L546" s="79"/>
      <c r="M546" s="249"/>
    </row>
    <row r="547" spans="1:13" ht="15" customHeight="1" x14ac:dyDescent="0.3">
      <c r="A547" s="88"/>
      <c r="B547" s="80"/>
      <c r="C547" s="106">
        <v>2022</v>
      </c>
      <c r="D547" s="107">
        <v>8</v>
      </c>
      <c r="E547" s="228"/>
      <c r="F547" s="226"/>
      <c r="G547" s="730">
        <v>8282.570739653951</v>
      </c>
      <c r="H547" s="731">
        <v>8332.0753328817718</v>
      </c>
      <c r="I547" s="230">
        <f t="shared" si="9"/>
        <v>8530.5806494508051</v>
      </c>
      <c r="J547" s="79"/>
      <c r="K547" s="79"/>
      <c r="L547" s="79"/>
      <c r="M547" s="249"/>
    </row>
    <row r="548" spans="1:13" ht="15" customHeight="1" x14ac:dyDescent="0.3">
      <c r="A548" s="110"/>
      <c r="B548" s="80"/>
      <c r="C548" s="106">
        <v>2023</v>
      </c>
      <c r="D548" s="107">
        <v>9</v>
      </c>
      <c r="E548" s="228"/>
      <c r="F548" s="226"/>
      <c r="G548" s="730">
        <v>8641.0869659015298</v>
      </c>
      <c r="H548" s="731">
        <v>8687.3224197975524</v>
      </c>
      <c r="I548" s="230">
        <f t="shared" si="9"/>
        <v>8885.8277363665857</v>
      </c>
      <c r="J548" s="79"/>
      <c r="K548" s="79"/>
      <c r="L548" s="79"/>
      <c r="M548" s="249"/>
    </row>
    <row r="549" spans="1:13" ht="15" customHeight="1" x14ac:dyDescent="0.3">
      <c r="A549" s="79"/>
      <c r="B549" s="80"/>
      <c r="C549" s="106">
        <v>2024</v>
      </c>
      <c r="D549" s="107">
        <v>10</v>
      </c>
      <c r="E549" s="228"/>
      <c r="F549" s="226"/>
      <c r="G549" s="730">
        <v>9010.8669042600995</v>
      </c>
      <c r="H549" s="731">
        <v>9052.7681593490452</v>
      </c>
      <c r="I549" s="230">
        <f t="shared" si="9"/>
        <v>9251.2734759180785</v>
      </c>
      <c r="J549" s="79"/>
      <c r="K549" s="79"/>
      <c r="L549" s="79"/>
      <c r="M549" s="249"/>
    </row>
    <row r="550" spans="1:13" ht="15" customHeight="1" x14ac:dyDescent="0.3">
      <c r="A550" s="249"/>
      <c r="B550" s="80"/>
      <c r="C550" s="106">
        <v>2025</v>
      </c>
      <c r="D550" s="107">
        <v>11</v>
      </c>
      <c r="E550" s="228">
        <v>9396.1544768179847</v>
      </c>
      <c r="F550" s="226">
        <v>9396.1544768179847</v>
      </c>
      <c r="G550" s="730">
        <v>9391.6439287174289</v>
      </c>
      <c r="H550" s="731">
        <v>9427.9213578922572</v>
      </c>
      <c r="I550" s="230">
        <f t="shared" si="9"/>
        <v>9626.4266744612905</v>
      </c>
      <c r="J550" s="79"/>
      <c r="K550" s="79"/>
      <c r="L550" s="79"/>
      <c r="M550" s="249"/>
    </row>
    <row r="551" spans="1:13" ht="15" customHeight="1" x14ac:dyDescent="0.3">
      <c r="A551" s="884" t="s">
        <v>236</v>
      </c>
      <c r="B551" s="80"/>
      <c r="C551" s="106">
        <v>2026</v>
      </c>
      <c r="D551" s="107">
        <v>12</v>
      </c>
      <c r="E551" s="228"/>
      <c r="F551" s="226"/>
      <c r="G551" s="730">
        <v>9783.1514132612938</v>
      </c>
      <c r="H551" s="731">
        <v>9812.4526767622356</v>
      </c>
      <c r="I551" s="230">
        <f t="shared" si="9"/>
        <v>10010.957993331269</v>
      </c>
      <c r="J551" s="79"/>
      <c r="K551" s="79"/>
      <c r="L551" s="79"/>
      <c r="M551" s="249"/>
    </row>
    <row r="552" spans="1:13" ht="15" customHeight="1" x14ac:dyDescent="0.3">
      <c r="A552" s="884"/>
      <c r="B552" s="80"/>
      <c r="C552" s="106">
        <v>2027</v>
      </c>
      <c r="D552" s="107">
        <v>13</v>
      </c>
      <c r="E552" s="228"/>
      <c r="F552" s="226"/>
      <c r="G552" s="730">
        <v>10185.122731879463</v>
      </c>
      <c r="H552" s="731">
        <v>10206.12540979772</v>
      </c>
      <c r="I552" s="230">
        <f t="shared" si="9"/>
        <v>10404.630726366753</v>
      </c>
      <c r="J552" s="79"/>
      <c r="K552" s="79"/>
      <c r="L552" s="79"/>
      <c r="M552" s="249"/>
    </row>
    <row r="553" spans="1:13" ht="15" customHeight="1" x14ac:dyDescent="0.3">
      <c r="A553" s="884"/>
      <c r="B553" s="80"/>
      <c r="C553" s="106">
        <v>2028</v>
      </c>
      <c r="D553" s="107">
        <v>14</v>
      </c>
      <c r="E553" s="228"/>
      <c r="F553" s="226"/>
      <c r="G553" s="730">
        <v>10597.291258559706</v>
      </c>
      <c r="H553" s="731">
        <v>10608.604066937278</v>
      </c>
      <c r="I553" s="230">
        <f t="shared" si="9"/>
        <v>10807.109383506311</v>
      </c>
      <c r="J553" s="79"/>
      <c r="K553" s="79"/>
      <c r="L553" s="79"/>
      <c r="M553" s="249"/>
    </row>
    <row r="554" spans="1:13" ht="15" customHeight="1" x14ac:dyDescent="0.3">
      <c r="A554" s="884"/>
      <c r="B554" s="80"/>
      <c r="C554" s="106">
        <v>2029</v>
      </c>
      <c r="D554" s="107">
        <v>15</v>
      </c>
      <c r="E554" s="228"/>
      <c r="F554" s="226"/>
      <c r="G554" s="730">
        <v>11019.390367289794</v>
      </c>
      <c r="H554" s="731">
        <v>11019.556260483125</v>
      </c>
      <c r="I554" s="230">
        <f t="shared" si="9"/>
        <v>11218.061577052158</v>
      </c>
      <c r="J554" s="79"/>
      <c r="K554" s="79"/>
      <c r="L554" s="79"/>
      <c r="M554" s="249"/>
    </row>
    <row r="555" spans="1:13" ht="15" customHeight="1" x14ac:dyDescent="0.3">
      <c r="A555" s="884"/>
      <c r="B555" s="80"/>
      <c r="C555" s="106">
        <v>2030</v>
      </c>
      <c r="D555" s="107">
        <v>16</v>
      </c>
      <c r="E555" s="228">
        <v>11456.226138306189</v>
      </c>
      <c r="F555" s="226">
        <v>11456.226138306189</v>
      </c>
      <c r="G555" s="730">
        <v>11451.153432057499</v>
      </c>
      <c r="H555" s="731">
        <v>11438.644506495471</v>
      </c>
      <c r="I555" s="230">
        <f t="shared" si="9"/>
        <v>11637.149823064505</v>
      </c>
      <c r="J555" s="79"/>
      <c r="K555" s="79"/>
      <c r="L555" s="79"/>
      <c r="M555" s="249"/>
    </row>
    <row r="556" spans="1:13" ht="15" customHeight="1" x14ac:dyDescent="0.3">
      <c r="A556" s="884"/>
      <c r="B556" s="80"/>
      <c r="C556" s="106">
        <v>2031</v>
      </c>
      <c r="D556" s="107">
        <v>17</v>
      </c>
      <c r="E556" s="228"/>
      <c r="F556" s="226"/>
      <c r="G556" s="730">
        <v>11892.31382685059</v>
      </c>
      <c r="H556" s="731">
        <v>11865.533344602709</v>
      </c>
      <c r="I556" s="230">
        <f t="shared" si="9"/>
        <v>12064.038661171742</v>
      </c>
      <c r="J556" s="79"/>
      <c r="K556" s="79"/>
      <c r="L556" s="79"/>
      <c r="M556" s="249"/>
    </row>
    <row r="557" spans="1:13" ht="15" customHeight="1" x14ac:dyDescent="0.3">
      <c r="A557" s="884"/>
      <c r="B557" s="80"/>
      <c r="C557" s="106">
        <v>2032</v>
      </c>
      <c r="D557" s="107">
        <v>18</v>
      </c>
      <c r="E557" s="228"/>
      <c r="F557" s="226"/>
      <c r="G557" s="730">
        <v>12342.604925656839</v>
      </c>
      <c r="H557" s="731">
        <v>12299.925561621299</v>
      </c>
      <c r="I557" s="230">
        <f t="shared" si="9"/>
        <v>12498.430878190333</v>
      </c>
      <c r="J557" s="79"/>
      <c r="K557" s="79"/>
      <c r="L557" s="79"/>
      <c r="M557" s="249"/>
    </row>
    <row r="558" spans="1:13" ht="15" customHeight="1" x14ac:dyDescent="0.3">
      <c r="A558" s="884"/>
      <c r="B558" s="80"/>
      <c r="C558" s="106">
        <v>2033</v>
      </c>
      <c r="D558" s="107">
        <v>19</v>
      </c>
      <c r="E558" s="228"/>
      <c r="F558" s="226"/>
      <c r="G558" s="730">
        <v>12801.760102464013</v>
      </c>
      <c r="H558" s="731">
        <v>12741.609547703723</v>
      </c>
      <c r="I558" s="230">
        <f t="shared" si="9"/>
        <v>12940.114864272757</v>
      </c>
      <c r="J558" s="79"/>
      <c r="K558" s="79"/>
      <c r="L558" s="79"/>
      <c r="M558" s="249"/>
    </row>
    <row r="559" spans="1:13" ht="15" customHeight="1" x14ac:dyDescent="0.3">
      <c r="A559" s="884"/>
      <c r="B559" s="80"/>
      <c r="C559" s="106">
        <v>2034</v>
      </c>
      <c r="D559" s="107">
        <v>20</v>
      </c>
      <c r="E559" s="228"/>
      <c r="F559" s="226"/>
      <c r="G559" s="730">
        <v>13269.512731259891</v>
      </c>
      <c r="H559" s="731">
        <v>13190.424955390416</v>
      </c>
      <c r="I559" s="230">
        <f t="shared" si="9"/>
        <v>13388.930271959449</v>
      </c>
      <c r="J559" s="79"/>
      <c r="K559" s="79"/>
      <c r="L559" s="79"/>
      <c r="M559" s="249"/>
    </row>
    <row r="560" spans="1:13" ht="15" customHeight="1" x14ac:dyDescent="0.3">
      <c r="A560" s="884"/>
      <c r="B560" s="80"/>
      <c r="C560" s="106">
        <v>2035</v>
      </c>
      <c r="D560" s="107">
        <v>21</v>
      </c>
      <c r="E560" s="228">
        <v>13745.925504045856</v>
      </c>
      <c r="F560" s="226">
        <v>13745.925504045856</v>
      </c>
      <c r="G560" s="730">
        <v>13745.596186032235</v>
      </c>
      <c r="H560" s="731">
        <v>13646.184166753239</v>
      </c>
      <c r="I560" s="230">
        <f t="shared" si="9"/>
        <v>13844.689483322272</v>
      </c>
      <c r="J560" s="79"/>
      <c r="K560" s="79"/>
      <c r="L560" s="79"/>
      <c r="M560" s="249"/>
    </row>
    <row r="561" spans="1:13" ht="15" customHeight="1" x14ac:dyDescent="0.3">
      <c r="A561" s="884"/>
      <c r="B561" s="80"/>
      <c r="C561" s="106">
        <v>2036</v>
      </c>
      <c r="D561" s="107">
        <v>22</v>
      </c>
      <c r="E561" s="228"/>
      <c r="F561" s="226"/>
      <c r="G561" s="730">
        <v>14229.743840768821</v>
      </c>
      <c r="H561" s="731">
        <v>14108.647229884686</v>
      </c>
      <c r="I561" s="230">
        <f t="shared" si="9"/>
        <v>14307.152546453719</v>
      </c>
      <c r="J561" s="79"/>
      <c r="K561" s="79"/>
      <c r="L561" s="79"/>
      <c r="M561" s="249"/>
    </row>
    <row r="562" spans="1:13" ht="15" customHeight="1" x14ac:dyDescent="0.3">
      <c r="A562" s="884"/>
      <c r="B562" s="80"/>
      <c r="C562" s="106">
        <v>2037</v>
      </c>
      <c r="D562" s="107">
        <v>23</v>
      </c>
      <c r="E562" s="228"/>
      <c r="F562" s="226"/>
      <c r="G562" s="730">
        <v>14721.689069457418</v>
      </c>
      <c r="H562" s="731">
        <v>14577.497461121215</v>
      </c>
      <c r="I562" s="230">
        <f t="shared" si="9"/>
        <v>14776.002777690248</v>
      </c>
      <c r="J562" s="79"/>
      <c r="K562" s="79"/>
      <c r="L562" s="79"/>
      <c r="M562" s="249"/>
    </row>
    <row r="563" spans="1:13" ht="15" customHeight="1" x14ac:dyDescent="0.3">
      <c r="A563" s="884"/>
      <c r="B563" s="80"/>
      <c r="C563" s="106">
        <v>2038</v>
      </c>
      <c r="D563" s="107">
        <v>24</v>
      </c>
      <c r="E563" s="228"/>
      <c r="F563" s="226"/>
      <c r="G563" s="730">
        <v>15221.165246085799</v>
      </c>
      <c r="H563" s="731">
        <v>15052.377654620403</v>
      </c>
      <c r="I563" s="230">
        <f t="shared" si="9"/>
        <v>15250.882971189436</v>
      </c>
      <c r="J563" s="79"/>
      <c r="K563" s="79"/>
      <c r="L563" s="79"/>
      <c r="M563" s="249"/>
    </row>
    <row r="564" spans="1:13" ht="15" customHeight="1" x14ac:dyDescent="0.3">
      <c r="A564" s="884"/>
      <c r="B564" s="80"/>
      <c r="C564" s="106">
        <v>2039</v>
      </c>
      <c r="D564" s="107">
        <v>25</v>
      </c>
      <c r="E564" s="228"/>
      <c r="F564" s="226"/>
      <c r="G564" s="730">
        <v>15727.905744641728</v>
      </c>
      <c r="H564" s="731">
        <v>15532.881617144247</v>
      </c>
      <c r="I564" s="230">
        <f t="shared" si="9"/>
        <v>15731.38693371328</v>
      </c>
      <c r="J564" s="79"/>
      <c r="K564" s="79"/>
      <c r="L564" s="79"/>
      <c r="M564" s="249"/>
    </row>
    <row r="565" spans="1:13" ht="15" customHeight="1" x14ac:dyDescent="0.3">
      <c r="A565" s="884"/>
      <c r="B565" s="80"/>
      <c r="C565" s="106">
        <v>2040</v>
      </c>
      <c r="D565" s="107">
        <v>26</v>
      </c>
      <c r="E565" s="228">
        <v>16228.928450435902</v>
      </c>
      <c r="F565" s="226">
        <v>16228.928450435902</v>
      </c>
      <c r="G565" s="730">
        <v>16241.643939112982</v>
      </c>
      <c r="H565" s="731">
        <v>16018.619885166161</v>
      </c>
      <c r="I565" s="230">
        <f t="shared" si="9"/>
        <v>16217.125201735194</v>
      </c>
      <c r="J565" s="79"/>
      <c r="K565" s="79"/>
      <c r="L565" s="79"/>
      <c r="M565" s="249"/>
    </row>
    <row r="566" spans="1:13" ht="15" customHeight="1" x14ac:dyDescent="0.3">
      <c r="A566" s="884"/>
      <c r="B566" s="80"/>
      <c r="C566" s="106">
        <v>2041</v>
      </c>
      <c r="D566" s="107">
        <v>27</v>
      </c>
      <c r="E566" s="228"/>
      <c r="F566" s="226"/>
      <c r="G566" s="730">
        <v>16762.11320348733</v>
      </c>
      <c r="H566" s="731">
        <v>16509.267287403251</v>
      </c>
      <c r="I566" s="230">
        <f t="shared" si="9"/>
        <v>16707.772603972284</v>
      </c>
      <c r="J566" s="79"/>
      <c r="K566" s="79"/>
      <c r="L566" s="79"/>
      <c r="M566" s="249"/>
    </row>
    <row r="567" spans="1:13" ht="15" customHeight="1" x14ac:dyDescent="0.3">
      <c r="A567" s="884"/>
      <c r="B567" s="80"/>
      <c r="C567" s="106">
        <v>2042</v>
      </c>
      <c r="D567" s="107">
        <v>28</v>
      </c>
      <c r="E567" s="228"/>
      <c r="F567" s="226"/>
      <c r="G567" s="730">
        <v>17289.046911752543</v>
      </c>
      <c r="H567" s="731">
        <v>17004.537353057789</v>
      </c>
      <c r="I567" s="230">
        <f t="shared" si="9"/>
        <v>17203.042669626822</v>
      </c>
      <c r="J567" s="79"/>
      <c r="K567" s="79"/>
      <c r="L567" s="79"/>
      <c r="M567" s="249"/>
    </row>
    <row r="568" spans="1:13" ht="15" customHeight="1" x14ac:dyDescent="0.3">
      <c r="A568" s="884"/>
      <c r="B568" s="80"/>
      <c r="C568" s="106">
        <v>2043</v>
      </c>
      <c r="D568" s="107">
        <v>29</v>
      </c>
      <c r="E568" s="228"/>
      <c r="F568" s="226"/>
      <c r="G568" s="730">
        <v>17822.178437896393</v>
      </c>
      <c r="H568" s="731">
        <v>17504.11233088237</v>
      </c>
      <c r="I568" s="230">
        <f t="shared" si="9"/>
        <v>17702.617647451403</v>
      </c>
      <c r="J568" s="79"/>
      <c r="K568" s="79"/>
      <c r="L568" s="79"/>
      <c r="M568" s="249"/>
    </row>
    <row r="569" spans="1:13" ht="15" customHeight="1" x14ac:dyDescent="0.3">
      <c r="A569" s="884"/>
      <c r="B569" s="80"/>
      <c r="C569" s="106">
        <v>2044</v>
      </c>
      <c r="D569" s="107">
        <v>30</v>
      </c>
      <c r="E569" s="228"/>
      <c r="F569" s="226"/>
      <c r="G569" s="730">
        <v>18361.24115590665</v>
      </c>
      <c r="H569" s="731">
        <v>18007.681267811167</v>
      </c>
      <c r="I569" s="230">
        <f t="shared" si="9"/>
        <v>18206.186584380201</v>
      </c>
      <c r="J569" s="79"/>
      <c r="K569" s="79"/>
      <c r="L569" s="79"/>
      <c r="M569" s="249"/>
    </row>
    <row r="570" spans="1:13" ht="15" customHeight="1" x14ac:dyDescent="0.3">
      <c r="A570" s="884"/>
      <c r="B570" s="80"/>
      <c r="C570" s="106">
        <v>2045</v>
      </c>
      <c r="D570" s="107">
        <v>31</v>
      </c>
      <c r="E570" s="228">
        <v>18916.723562594179</v>
      </c>
      <c r="F570" s="226">
        <v>18916.723562594179</v>
      </c>
      <c r="G570" s="730">
        <v>18905.968439771081</v>
      </c>
      <c r="H570" s="731">
        <v>18514.929500905735</v>
      </c>
      <c r="I570" s="230">
        <f t="shared" si="9"/>
        <v>18713.434817474768</v>
      </c>
      <c r="J570" s="79"/>
      <c r="K570" s="79"/>
      <c r="L570" s="79"/>
      <c r="M570" s="249"/>
    </row>
    <row r="571" spans="1:13" ht="15" customHeight="1" x14ac:dyDescent="0.3">
      <c r="A571" s="884"/>
      <c r="B571" s="80"/>
      <c r="C571" s="106">
        <v>2046</v>
      </c>
      <c r="D571" s="107">
        <v>32</v>
      </c>
      <c r="E571" s="228"/>
      <c r="F571" s="226"/>
      <c r="G571" s="730">
        <v>19456.093663477459</v>
      </c>
      <c r="H571" s="731">
        <v>19025.541613528127</v>
      </c>
      <c r="I571" s="230">
        <f t="shared" si="9"/>
        <v>19224.04693009716</v>
      </c>
      <c r="J571" s="79"/>
      <c r="K571" s="79"/>
      <c r="L571" s="79"/>
      <c r="M571" s="249"/>
    </row>
    <row r="572" spans="1:13" ht="15" customHeight="1" x14ac:dyDescent="0.3">
      <c r="A572" s="884"/>
      <c r="B572" s="80"/>
      <c r="C572" s="106">
        <v>2047</v>
      </c>
      <c r="D572" s="107">
        <v>33</v>
      </c>
      <c r="E572" s="228"/>
      <c r="F572" s="226"/>
      <c r="G572" s="730">
        <v>20011.350201013556</v>
      </c>
      <c r="H572" s="731">
        <v>19539.193479250087</v>
      </c>
      <c r="I572" s="230">
        <f t="shared" si="9"/>
        <v>19737.69879581912</v>
      </c>
      <c r="J572" s="79"/>
      <c r="K572" s="79"/>
      <c r="L572" s="79"/>
      <c r="M572" s="249"/>
    </row>
    <row r="573" spans="1:13" ht="15" customHeight="1" x14ac:dyDescent="0.3">
      <c r="A573" s="884"/>
      <c r="B573" s="80"/>
      <c r="C573" s="106">
        <v>2048</v>
      </c>
      <c r="D573" s="107">
        <v>34</v>
      </c>
      <c r="E573" s="228"/>
      <c r="F573" s="226"/>
      <c r="G573" s="730">
        <v>20571.471426367145</v>
      </c>
      <c r="H573" s="731">
        <v>20055.551780815116</v>
      </c>
      <c r="I573" s="230">
        <f t="shared" si="9"/>
        <v>20254.05709738415</v>
      </c>
      <c r="J573" s="79"/>
      <c r="K573" s="79"/>
      <c r="L573" s="79"/>
      <c r="M573" s="249"/>
    </row>
    <row r="574" spans="1:13" ht="15" customHeight="1" x14ac:dyDescent="0.3">
      <c r="A574" s="79"/>
      <c r="B574" s="79"/>
      <c r="C574" s="106">
        <v>2049</v>
      </c>
      <c r="D574" s="107">
        <v>35</v>
      </c>
      <c r="E574" s="228"/>
      <c r="F574" s="226"/>
      <c r="G574" s="730">
        <v>21136.190713525993</v>
      </c>
      <c r="H574" s="731">
        <v>20574.278101213404</v>
      </c>
      <c r="I574" s="230">
        <f t="shared" si="9"/>
        <v>20772.783417782437</v>
      </c>
      <c r="J574" s="79"/>
      <c r="K574" s="79"/>
      <c r="L574" s="79"/>
      <c r="M574" s="249"/>
    </row>
    <row r="575" spans="1:13" ht="15" customHeight="1" x14ac:dyDescent="0.3">
      <c r="A575" s="79"/>
      <c r="B575" s="79"/>
      <c r="C575" s="106">
        <v>2050</v>
      </c>
      <c r="D575" s="111">
        <v>36</v>
      </c>
      <c r="E575" s="228">
        <v>21702.557290292585</v>
      </c>
      <c r="F575" s="226">
        <v>21702.557290292585</v>
      </c>
      <c r="G575" s="740">
        <v>21705.241436477871</v>
      </c>
      <c r="H575" s="741">
        <v>21095.039412432245</v>
      </c>
      <c r="I575" s="230">
        <f t="shared" si="9"/>
        <v>21293.544729001278</v>
      </c>
      <c r="J575" s="79"/>
      <c r="K575" s="79"/>
      <c r="L575" s="79"/>
      <c r="M575" s="249"/>
    </row>
    <row r="576" spans="1:13" ht="15" customHeight="1" x14ac:dyDescent="0.3">
      <c r="A576" s="79"/>
      <c r="B576" s="79"/>
      <c r="C576" s="106">
        <v>2051</v>
      </c>
      <c r="D576" s="107">
        <v>37</v>
      </c>
      <c r="E576" s="228"/>
      <c r="F576" s="226"/>
      <c r="G576" s="730">
        <v>22278.356969210548</v>
      </c>
      <c r="H576" s="731">
        <v>21617.510770798312</v>
      </c>
      <c r="I576" s="230">
        <f t="shared" si="9"/>
        <v>21816.016087367345</v>
      </c>
      <c r="J576" s="79"/>
      <c r="K576" s="79"/>
      <c r="L576" s="79"/>
      <c r="M576" s="249"/>
    </row>
    <row r="577" spans="1:13" ht="15" customHeight="1" x14ac:dyDescent="0.3">
      <c r="A577" s="79"/>
      <c r="B577" s="79"/>
      <c r="C577" s="106">
        <v>2052</v>
      </c>
      <c r="D577" s="107">
        <v>38</v>
      </c>
      <c r="E577" s="228"/>
      <c r="F577" s="226"/>
      <c r="G577" s="730">
        <v>22855.270685711799</v>
      </c>
      <c r="H577" s="731">
        <v>22141.384637815598</v>
      </c>
      <c r="I577" s="230">
        <f t="shared" si="9"/>
        <v>22339.889954384631</v>
      </c>
      <c r="J577" s="79"/>
      <c r="K577" s="79"/>
      <c r="L577" s="79"/>
      <c r="M577" s="249"/>
    </row>
    <row r="578" spans="1:13" ht="15" customHeight="1" x14ac:dyDescent="0.3">
      <c r="A578" s="79"/>
      <c r="B578" s="79"/>
      <c r="C578" s="106">
        <v>2053</v>
      </c>
      <c r="D578" s="107">
        <v>39</v>
      </c>
      <c r="E578" s="228"/>
      <c r="F578" s="226"/>
      <c r="G578" s="730">
        <v>23435.715959969395</v>
      </c>
      <c r="H578" s="731">
        <v>22666.368508802891</v>
      </c>
      <c r="I578" s="230">
        <f t="shared" si="9"/>
        <v>22864.873825371924</v>
      </c>
      <c r="J578" s="79"/>
      <c r="K578" s="79"/>
      <c r="L578" s="79"/>
      <c r="M578" s="249"/>
    </row>
    <row r="579" spans="1:13" ht="15" customHeight="1" x14ac:dyDescent="0.3">
      <c r="A579" s="79"/>
      <c r="B579" s="79"/>
      <c r="C579" s="106">
        <v>2054</v>
      </c>
      <c r="D579" s="107">
        <v>40</v>
      </c>
      <c r="E579" s="228"/>
      <c r="F579" s="226"/>
      <c r="G579" s="730">
        <v>24019.426165971101</v>
      </c>
      <c r="H579" s="731">
        <v>23192.182787529768</v>
      </c>
      <c r="I579" s="230">
        <f t="shared" si="9"/>
        <v>23390.688104098801</v>
      </c>
      <c r="J579" s="79"/>
      <c r="K579" s="79"/>
      <c r="L579" s="79"/>
      <c r="M579" s="249"/>
    </row>
    <row r="580" spans="1:13" ht="15" customHeight="1" x14ac:dyDescent="0.3">
      <c r="A580" s="79"/>
      <c r="B580" s="79"/>
      <c r="C580" s="106">
        <v>2055</v>
      </c>
      <c r="D580" s="111">
        <v>41</v>
      </c>
      <c r="E580" s="228"/>
      <c r="F580" s="226"/>
      <c r="G580" s="740">
        <v>24606.134677704693</v>
      </c>
      <c r="H580" s="741">
        <v>23718.543462148064</v>
      </c>
      <c r="I580" s="230">
        <f t="shared" si="9"/>
        <v>23917.048778717097</v>
      </c>
      <c r="J580" s="79"/>
      <c r="K580" s="79"/>
      <c r="L580" s="79"/>
      <c r="M580" s="249"/>
    </row>
    <row r="581" spans="1:13" ht="15" customHeight="1" x14ac:dyDescent="0.3">
      <c r="A581" s="79"/>
      <c r="B581" s="79"/>
      <c r="C581" s="106">
        <v>2056</v>
      </c>
      <c r="D581" s="107">
        <v>42</v>
      </c>
      <c r="E581" s="228"/>
      <c r="F581" s="226"/>
      <c r="G581" s="730">
        <v>25195.574869157939</v>
      </c>
      <c r="H581" s="731">
        <v>24245.144815650427</v>
      </c>
      <c r="I581" s="230">
        <f t="shared" si="9"/>
        <v>24443.65013221946</v>
      </c>
      <c r="J581" s="79"/>
      <c r="K581" s="79"/>
      <c r="L581" s="79"/>
      <c r="M581" s="249"/>
    </row>
    <row r="582" spans="1:13" ht="15" customHeight="1" x14ac:dyDescent="0.3">
      <c r="A582" s="79"/>
      <c r="B582" s="79"/>
      <c r="C582" s="106">
        <v>2057</v>
      </c>
      <c r="D582" s="107">
        <v>43</v>
      </c>
      <c r="E582" s="228"/>
      <c r="F582" s="226"/>
      <c r="G582" s="730">
        <v>25787.480114318612</v>
      </c>
      <c r="H582" s="731">
        <v>24771.674265793306</v>
      </c>
      <c r="I582" s="230">
        <f t="shared" si="9"/>
        <v>24970.17958236234</v>
      </c>
      <c r="J582" s="79"/>
      <c r="K582" s="79"/>
      <c r="L582" s="79"/>
      <c r="M582" s="249"/>
    </row>
    <row r="583" spans="1:13" ht="15" customHeight="1" x14ac:dyDescent="0.3">
      <c r="A583" s="79"/>
      <c r="B583" s="79"/>
      <c r="C583" s="106">
        <v>2058</v>
      </c>
      <c r="D583" s="107">
        <v>44</v>
      </c>
      <c r="E583" s="228"/>
      <c r="F583" s="226"/>
      <c r="G583" s="730">
        <v>26381.583787174481</v>
      </c>
      <c r="H583" s="731">
        <v>25297.835765410906</v>
      </c>
      <c r="I583" s="230">
        <f t="shared" si="9"/>
        <v>25496.341081979939</v>
      </c>
      <c r="J583" s="79"/>
      <c r="K583" s="79"/>
      <c r="L583" s="79"/>
      <c r="M583" s="249"/>
    </row>
    <row r="584" spans="1:13" ht="15" customHeight="1" x14ac:dyDescent="0.3">
      <c r="A584" s="79"/>
      <c r="B584" s="79"/>
      <c r="C584" s="106">
        <v>2059</v>
      </c>
      <c r="D584" s="107">
        <v>45</v>
      </c>
      <c r="E584" s="228"/>
      <c r="F584" s="226"/>
      <c r="G584" s="730">
        <v>26977.619261713317</v>
      </c>
      <c r="H584" s="731">
        <v>25823.336191072587</v>
      </c>
      <c r="I584" s="230">
        <f t="shared" si="9"/>
        <v>26021.84150764162</v>
      </c>
      <c r="J584" s="79"/>
      <c r="K584" s="79"/>
      <c r="L584" s="79"/>
      <c r="M584" s="249"/>
    </row>
    <row r="585" spans="1:13" ht="15" customHeight="1" x14ac:dyDescent="0.3">
      <c r="A585" s="79"/>
      <c r="B585" s="79"/>
      <c r="C585" s="112">
        <v>2060</v>
      </c>
      <c r="D585" s="111">
        <v>46</v>
      </c>
      <c r="E585" s="228"/>
      <c r="F585" s="226"/>
      <c r="G585" s="740">
        <v>27575.319911922892</v>
      </c>
      <c r="H585" s="741">
        <v>26347.879595645496</v>
      </c>
      <c r="I585" s="230">
        <f t="shared" si="9"/>
        <v>26546.384912214529</v>
      </c>
      <c r="J585" s="79"/>
      <c r="K585" s="79"/>
      <c r="L585" s="79"/>
      <c r="M585" s="249"/>
    </row>
    <row r="586" spans="1:13" ht="15" customHeight="1" x14ac:dyDescent="0.3">
      <c r="A586" s="79"/>
      <c r="B586" s="249"/>
      <c r="C586" s="5"/>
      <c r="D586" s="5"/>
      <c r="E586" s="5"/>
      <c r="F586" s="5"/>
      <c r="G586" s="788"/>
      <c r="H586" s="788"/>
      <c r="J586" s="5"/>
      <c r="K586" s="5"/>
      <c r="L586" s="5"/>
    </row>
    <row r="587" spans="1:13" ht="15" customHeight="1" x14ac:dyDescent="0.3">
      <c r="A587" s="5"/>
      <c r="B587" s="249"/>
      <c r="C587" s="5"/>
      <c r="D587" s="5"/>
      <c r="E587" s="5"/>
      <c r="F587" s="5"/>
      <c r="G587" s="788"/>
      <c r="H587" s="788"/>
      <c r="J587" s="5"/>
      <c r="K587" s="5"/>
      <c r="L587" s="5"/>
    </row>
    <row r="588" spans="1:13" ht="15" customHeight="1" x14ac:dyDescent="0.3">
      <c r="A588" s="231" t="s">
        <v>190</v>
      </c>
      <c r="B588" s="249"/>
      <c r="C588" s="249"/>
      <c r="D588" s="249"/>
      <c r="E588" s="249"/>
      <c r="F588" s="249"/>
      <c r="G588" s="788"/>
      <c r="H588" s="788"/>
      <c r="J588" s="249"/>
      <c r="K588" s="249"/>
      <c r="L588" s="249"/>
    </row>
    <row r="589" spans="1:13" ht="15" customHeight="1" x14ac:dyDescent="0.3">
      <c r="G589" s="788"/>
      <c r="H589" s="788"/>
    </row>
    <row r="590" spans="1:13" ht="15" customHeight="1" x14ac:dyDescent="0.3">
      <c r="G590" s="760"/>
      <c r="H590" s="760"/>
    </row>
    <row r="591" spans="1:13" ht="15" customHeight="1" x14ac:dyDescent="0.3">
      <c r="A591" s="71">
        <f>1+A526</f>
        <v>10</v>
      </c>
      <c r="B591" s="72" t="s">
        <v>295</v>
      </c>
      <c r="C591" s="73"/>
      <c r="D591" s="73"/>
      <c r="E591" s="73"/>
      <c r="F591" s="73"/>
      <c r="G591" s="705"/>
      <c r="H591" s="705"/>
      <c r="J591" s="73"/>
      <c r="K591" s="73"/>
      <c r="L591" s="73"/>
    </row>
    <row r="592" spans="1:13" ht="15" customHeight="1" x14ac:dyDescent="0.3">
      <c r="A592" s="74" t="s">
        <v>74</v>
      </c>
      <c r="B592" s="75"/>
      <c r="C592" s="75"/>
      <c r="D592" s="76"/>
      <c r="E592" s="77"/>
      <c r="F592" s="862"/>
      <c r="G592" s="710"/>
      <c r="H592" s="711"/>
      <c r="J592" s="79"/>
      <c r="K592" s="79"/>
      <c r="L592" s="79"/>
    </row>
    <row r="593" spans="1:14" ht="15" customHeight="1" thickBot="1" x14ac:dyDescent="0.35">
      <c r="A593" s="110" t="s">
        <v>75</v>
      </c>
      <c r="B593" s="80"/>
      <c r="C593" s="80"/>
      <c r="D593" s="81"/>
      <c r="E593" s="109" t="s">
        <v>78</v>
      </c>
      <c r="F593" s="863"/>
      <c r="G593" s="746" t="s">
        <v>79</v>
      </c>
      <c r="H593" s="711"/>
      <c r="J593" s="79"/>
      <c r="K593" s="79"/>
      <c r="L593" s="79"/>
      <c r="M593" s="249"/>
    </row>
    <row r="594" spans="1:14" ht="48.6" customHeight="1" thickBot="1" x14ac:dyDescent="0.35">
      <c r="A594" s="82"/>
      <c r="B594" s="82"/>
      <c r="C594" s="82"/>
      <c r="D594" s="83"/>
      <c r="E594" s="101" t="s">
        <v>292</v>
      </c>
      <c r="F594" s="101" t="s">
        <v>293</v>
      </c>
      <c r="G594" s="746" t="s">
        <v>81</v>
      </c>
      <c r="H594" s="747" t="s">
        <v>82</v>
      </c>
      <c r="I594" s="101" t="s">
        <v>234</v>
      </c>
      <c r="J594" s="747" t="s">
        <v>754</v>
      </c>
      <c r="K594" s="865" t="s">
        <v>84</v>
      </c>
      <c r="L594" s="875"/>
      <c r="M594" s="249"/>
    </row>
    <row r="595" spans="1:14" ht="15" customHeight="1" x14ac:dyDescent="0.3">
      <c r="A595" s="74" t="s">
        <v>85</v>
      </c>
      <c r="B595" s="82"/>
      <c r="C595" s="102">
        <v>2005</v>
      </c>
      <c r="D595" s="103">
        <v>-9</v>
      </c>
      <c r="E595" s="226"/>
      <c r="F595" s="226"/>
      <c r="G595" s="722">
        <v>3654.1044361461959</v>
      </c>
      <c r="H595" s="723">
        <v>3654.1044361461959</v>
      </c>
      <c r="I595" s="233">
        <f>H595+$L$605/10^9</f>
        <v>3852.6097527152301</v>
      </c>
      <c r="J595" s="871" t="s">
        <v>86</v>
      </c>
      <c r="K595" s="876"/>
      <c r="L595" s="877"/>
      <c r="M595" s="249"/>
    </row>
    <row r="596" spans="1:14" ht="15" customHeight="1" x14ac:dyDescent="0.3">
      <c r="A596" s="110" t="s">
        <v>87</v>
      </c>
      <c r="B596" s="82"/>
      <c r="C596" s="106">
        <v>2006</v>
      </c>
      <c r="D596" s="107">
        <v>-8</v>
      </c>
      <c r="E596" s="228"/>
      <c r="F596" s="226"/>
      <c r="G596" s="727">
        <v>3906.6327525278921</v>
      </c>
      <c r="H596" s="728">
        <v>3906.6327525278921</v>
      </c>
      <c r="I596" s="227">
        <f t="shared" ref="I596:I650" si="10">H596+$L$605/10^9</f>
        <v>4105.1380690969263</v>
      </c>
      <c r="J596" s="882"/>
      <c r="K596" s="876"/>
      <c r="L596" s="877"/>
      <c r="M596" s="249"/>
    </row>
    <row r="597" spans="1:14" ht="15" customHeight="1" x14ac:dyDescent="0.3">
      <c r="A597" s="82"/>
      <c r="B597" s="82"/>
      <c r="C597" s="106">
        <v>2007</v>
      </c>
      <c r="D597" s="107">
        <v>-7</v>
      </c>
      <c r="E597" s="228"/>
      <c r="F597" s="226"/>
      <c r="G597" s="727">
        <v>4156.7369532995544</v>
      </c>
      <c r="H597" s="728">
        <v>4156.7369532995544</v>
      </c>
      <c r="I597" s="229">
        <f t="shared" si="10"/>
        <v>4355.2422698685887</v>
      </c>
      <c r="J597" s="882"/>
      <c r="K597" s="876"/>
      <c r="L597" s="877"/>
      <c r="M597" s="249"/>
    </row>
    <row r="598" spans="1:14" ht="15" customHeight="1" x14ac:dyDescent="0.3">
      <c r="A598" s="29" t="s">
        <v>88</v>
      </c>
      <c r="B598" s="82"/>
      <c r="C598" s="106">
        <v>2008</v>
      </c>
      <c r="D598" s="107">
        <v>-6</v>
      </c>
      <c r="E598" s="228"/>
      <c r="F598" s="226"/>
      <c r="G598" s="727">
        <v>4404.4648365765725</v>
      </c>
      <c r="H598" s="728">
        <v>4404.4648365765725</v>
      </c>
      <c r="I598" s="229">
        <f t="shared" si="10"/>
        <v>4602.9701531456067</v>
      </c>
      <c r="J598" s="882"/>
      <c r="K598" s="878"/>
      <c r="L598" s="879"/>
      <c r="M598" s="249"/>
    </row>
    <row r="599" spans="1:14" ht="15" customHeight="1" x14ac:dyDescent="0.3">
      <c r="A599" s="886" t="s">
        <v>296</v>
      </c>
      <c r="B599" s="82"/>
      <c r="C599" s="106">
        <v>2009</v>
      </c>
      <c r="D599" s="107">
        <v>-5</v>
      </c>
      <c r="E599" s="228"/>
      <c r="F599" s="226"/>
      <c r="G599" s="727">
        <v>4649.8642004743306</v>
      </c>
      <c r="H599" s="728">
        <v>4649.8642004743306</v>
      </c>
      <c r="I599" s="229">
        <f t="shared" si="10"/>
        <v>4848.3695170433648</v>
      </c>
      <c r="J599" s="882"/>
      <c r="K599" s="79"/>
      <c r="L599" s="79"/>
      <c r="M599" s="249"/>
    </row>
    <row r="600" spans="1:14" ht="15" customHeight="1" x14ac:dyDescent="0.3">
      <c r="A600" s="873"/>
      <c r="B600" s="82"/>
      <c r="C600" s="106">
        <v>2010</v>
      </c>
      <c r="D600" s="107">
        <v>-4</v>
      </c>
      <c r="E600" s="228"/>
      <c r="F600" s="226"/>
      <c r="G600" s="727">
        <v>4892.9828431082178</v>
      </c>
      <c r="H600" s="728">
        <v>4892.9828431082178</v>
      </c>
      <c r="I600" s="229">
        <f t="shared" si="10"/>
        <v>5091.488159677252</v>
      </c>
      <c r="J600" s="882"/>
      <c r="K600" s="79"/>
      <c r="L600" s="79"/>
      <c r="M600" s="249"/>
    </row>
    <row r="601" spans="1:14" ht="15" customHeight="1" x14ac:dyDescent="0.3">
      <c r="A601" s="873"/>
      <c r="B601" s="82"/>
      <c r="C601" s="106">
        <v>2011</v>
      </c>
      <c r="D601" s="107">
        <v>-3</v>
      </c>
      <c r="E601" s="228"/>
      <c r="F601" s="226"/>
      <c r="G601" s="727">
        <v>5133.8685625936214</v>
      </c>
      <c r="H601" s="728">
        <v>5133.8685625936214</v>
      </c>
      <c r="I601" s="229">
        <f t="shared" si="10"/>
        <v>5332.3738791626556</v>
      </c>
      <c r="J601" s="883"/>
      <c r="K601" s="79"/>
      <c r="L601" s="79"/>
      <c r="M601" s="249"/>
    </row>
    <row r="602" spans="1:14" ht="15" customHeight="1" x14ac:dyDescent="0.3">
      <c r="A602" s="874"/>
      <c r="B602" s="82"/>
      <c r="C602" s="106">
        <v>2012</v>
      </c>
      <c r="D602" s="107">
        <v>-2</v>
      </c>
      <c r="E602" s="228"/>
      <c r="F602" s="226"/>
      <c r="G602" s="730">
        <v>5372.5691570459276</v>
      </c>
      <c r="H602" s="731">
        <v>5372.5691570459276</v>
      </c>
      <c r="I602" s="230">
        <f t="shared" si="10"/>
        <v>5571.0744736149618</v>
      </c>
      <c r="J602" s="87" t="s">
        <v>90</v>
      </c>
      <c r="K602" s="79"/>
      <c r="L602" s="79"/>
      <c r="M602" s="249"/>
      <c r="N602" s="249"/>
    </row>
    <row r="603" spans="1:14" ht="15" customHeight="1" x14ac:dyDescent="0.3">
      <c r="A603" s="82"/>
      <c r="B603" s="82"/>
      <c r="C603" s="106">
        <v>2013</v>
      </c>
      <c r="D603" s="107">
        <v>-1</v>
      </c>
      <c r="E603" s="228">
        <v>5608.5369668198482</v>
      </c>
      <c r="F603" s="226">
        <v>5608.5369668198482</v>
      </c>
      <c r="G603" s="730">
        <v>5609.1324245805245</v>
      </c>
      <c r="H603" s="731">
        <v>5609.1324245805245</v>
      </c>
      <c r="I603" s="230">
        <f t="shared" si="10"/>
        <v>5807.6377411495587</v>
      </c>
      <c r="J603" s="79"/>
      <c r="K603" s="79"/>
      <c r="L603" s="249"/>
      <c r="M603" s="249"/>
      <c r="N603" s="249"/>
    </row>
    <row r="604" spans="1:14" ht="15" customHeight="1" x14ac:dyDescent="0.3">
      <c r="A604" s="77" t="s">
        <v>91</v>
      </c>
      <c r="B604" s="82"/>
      <c r="C604" s="106">
        <v>2014</v>
      </c>
      <c r="D604" s="107">
        <v>0</v>
      </c>
      <c r="E604" s="228"/>
      <c r="F604" s="226"/>
      <c r="G604" s="730">
        <v>5843.6061633127993</v>
      </c>
      <c r="H604" s="731">
        <v>5880.2441342819166</v>
      </c>
      <c r="I604" s="230">
        <f t="shared" si="10"/>
        <v>6078.7494508509508</v>
      </c>
      <c r="J604" s="79"/>
      <c r="K604" s="79"/>
      <c r="L604" s="249"/>
      <c r="M604" s="249"/>
      <c r="N604" s="249"/>
    </row>
    <row r="605" spans="1:14" ht="15" customHeight="1" x14ac:dyDescent="0.3">
      <c r="A605" s="110">
        <v>2016</v>
      </c>
      <c r="B605" s="80"/>
      <c r="C605" s="106">
        <v>2015</v>
      </c>
      <c r="D605" s="107">
        <v>1</v>
      </c>
      <c r="E605" s="228"/>
      <c r="F605" s="226"/>
      <c r="G605" s="730">
        <v>6076.0381713581392</v>
      </c>
      <c r="H605" s="731">
        <v>6114.606668295376</v>
      </c>
      <c r="I605" s="230">
        <f t="shared" si="10"/>
        <v>6313.1119848644103</v>
      </c>
      <c r="J605" s="249" t="s">
        <v>233</v>
      </c>
      <c r="K605" s="249"/>
      <c r="L605" s="232">
        <v>198505316569.03406</v>
      </c>
      <c r="M605" s="249" t="s">
        <v>232</v>
      </c>
      <c r="N605" s="249"/>
    </row>
    <row r="606" spans="1:14" ht="15" customHeight="1" x14ac:dyDescent="0.3">
      <c r="A606" s="79"/>
      <c r="B606" s="80"/>
      <c r="C606" s="106">
        <v>2016</v>
      </c>
      <c r="D606" s="107">
        <v>2</v>
      </c>
      <c r="E606" s="228"/>
      <c r="F606" s="226"/>
      <c r="G606" s="730">
        <v>6306.4762468319304</v>
      </c>
      <c r="H606" s="731">
        <v>6347.1440225203942</v>
      </c>
      <c r="I606" s="230">
        <f t="shared" si="10"/>
        <v>6545.6493390894284</v>
      </c>
      <c r="J606" s="79"/>
      <c r="K606" s="234"/>
      <c r="L606" s="235" t="s">
        <v>237</v>
      </c>
      <c r="M606" s="236"/>
      <c r="N606" s="249"/>
    </row>
    <row r="607" spans="1:14" ht="15" customHeight="1" x14ac:dyDescent="0.3">
      <c r="A607" s="77" t="s">
        <v>92</v>
      </c>
      <c r="B607" s="80"/>
      <c r="C607" s="106">
        <v>2017</v>
      </c>
      <c r="D607" s="107">
        <v>3</v>
      </c>
      <c r="E607" s="228"/>
      <c r="F607" s="226"/>
      <c r="G607" s="730">
        <v>6534.9681878495621</v>
      </c>
      <c r="H607" s="731">
        <v>6577.9160135002458</v>
      </c>
      <c r="I607" s="230">
        <f t="shared" si="10"/>
        <v>6776.42133006928</v>
      </c>
      <c r="J607" s="79"/>
      <c r="K607" s="79"/>
      <c r="L607" s="249"/>
      <c r="M607" s="249"/>
      <c r="N607" s="249"/>
    </row>
    <row r="608" spans="1:14" ht="15" customHeight="1" x14ac:dyDescent="0.3">
      <c r="A608" s="110" t="s">
        <v>292</v>
      </c>
      <c r="B608" s="80"/>
      <c r="C608" s="106">
        <v>2018</v>
      </c>
      <c r="D608" s="107">
        <v>4</v>
      </c>
      <c r="E608" s="228"/>
      <c r="F608" s="226"/>
      <c r="G608" s="730">
        <v>6761.5617925264205</v>
      </c>
      <c r="H608" s="731">
        <v>6806.9303283649633</v>
      </c>
      <c r="I608" s="230">
        <f t="shared" si="10"/>
        <v>7005.4356449339975</v>
      </c>
      <c r="J608" s="79"/>
      <c r="K608" s="79"/>
      <c r="L608" s="249"/>
      <c r="M608" s="249"/>
      <c r="N608" s="249"/>
    </row>
    <row r="609" spans="1:14" ht="15" customHeight="1" x14ac:dyDescent="0.3">
      <c r="A609" s="79"/>
      <c r="B609" s="80"/>
      <c r="C609" s="106">
        <v>2019</v>
      </c>
      <c r="D609" s="107">
        <v>5</v>
      </c>
      <c r="E609" s="228"/>
      <c r="F609" s="226"/>
      <c r="G609" s="730">
        <v>6986.3048589778928</v>
      </c>
      <c r="H609" s="731">
        <v>7034.1627462971901</v>
      </c>
      <c r="I609" s="230">
        <f t="shared" si="10"/>
        <v>7232.6680628662243</v>
      </c>
      <c r="J609" s="79"/>
      <c r="K609" s="79"/>
      <c r="L609" s="249"/>
      <c r="M609" s="249"/>
      <c r="N609" s="249"/>
    </row>
    <row r="610" spans="1:14" ht="15" customHeight="1" x14ac:dyDescent="0.3">
      <c r="A610" s="77" t="s">
        <v>93</v>
      </c>
      <c r="B610" s="80"/>
      <c r="C610" s="106">
        <v>2020</v>
      </c>
      <c r="D610" s="107">
        <v>6</v>
      </c>
      <c r="E610" s="228">
        <v>7217.9186014256684</v>
      </c>
      <c r="F610" s="226">
        <v>7217.9186014256684</v>
      </c>
      <c r="G610" s="730">
        <v>7209.245185319367</v>
      </c>
      <c r="H610" s="731">
        <v>7260.18155047654</v>
      </c>
      <c r="I610" s="230">
        <f t="shared" si="10"/>
        <v>7458.6868670455742</v>
      </c>
      <c r="J610" s="79"/>
      <c r="K610" s="79"/>
      <c r="L610" s="249"/>
      <c r="M610" s="249"/>
    </row>
    <row r="611" spans="1:14" ht="15" customHeight="1" x14ac:dyDescent="0.3">
      <c r="A611" s="77"/>
      <c r="B611" s="80"/>
      <c r="C611" s="106">
        <v>2021</v>
      </c>
      <c r="D611" s="107">
        <v>7</v>
      </c>
      <c r="E611" s="228"/>
      <c r="F611" s="226"/>
      <c r="G611" s="730">
        <v>7430.4305696662286</v>
      </c>
      <c r="H611" s="731">
        <v>7479.0854491949585</v>
      </c>
      <c r="I611" s="230">
        <f t="shared" si="10"/>
        <v>7677.5907657639927</v>
      </c>
      <c r="J611" s="79"/>
      <c r="K611" s="79"/>
      <c r="L611" s="249"/>
      <c r="M611" s="249"/>
    </row>
    <row r="612" spans="1:14" ht="15" customHeight="1" x14ac:dyDescent="0.3">
      <c r="A612" s="88"/>
      <c r="B612" s="80"/>
      <c r="C612" s="106">
        <v>2022</v>
      </c>
      <c r="D612" s="107">
        <v>8</v>
      </c>
      <c r="E612" s="228"/>
      <c r="F612" s="226"/>
      <c r="G612" s="730">
        <v>7649.9088101338675</v>
      </c>
      <c r="H612" s="731">
        <v>7695.6320083750243</v>
      </c>
      <c r="I612" s="230">
        <f t="shared" si="10"/>
        <v>7894.1373249440585</v>
      </c>
      <c r="J612" s="79"/>
      <c r="K612" s="79"/>
      <c r="L612" s="249"/>
      <c r="M612" s="249"/>
    </row>
    <row r="613" spans="1:14" ht="15" customHeight="1" x14ac:dyDescent="0.3">
      <c r="A613" s="110"/>
      <c r="B613" s="80"/>
      <c r="C613" s="106">
        <v>2023</v>
      </c>
      <c r="D613" s="107">
        <v>9</v>
      </c>
      <c r="E613" s="228"/>
      <c r="F613" s="226"/>
      <c r="G613" s="730">
        <v>7867.7277048376682</v>
      </c>
      <c r="H613" s="731">
        <v>7909.8251820415126</v>
      </c>
      <c r="I613" s="230">
        <f t="shared" si="10"/>
        <v>8108.3304986105468</v>
      </c>
      <c r="J613" s="79"/>
      <c r="K613" s="79"/>
      <c r="L613" s="249"/>
      <c r="M613" s="249"/>
    </row>
    <row r="614" spans="1:14" ht="15" customHeight="1" x14ac:dyDescent="0.3">
      <c r="A614" s="79"/>
      <c r="B614" s="80"/>
      <c r="C614" s="106">
        <v>2024</v>
      </c>
      <c r="D614" s="107">
        <v>10</v>
      </c>
      <c r="E614" s="228"/>
      <c r="F614" s="226"/>
      <c r="G614" s="730">
        <v>8083.9350518930205</v>
      </c>
      <c r="H614" s="731">
        <v>8121.5259993934988</v>
      </c>
      <c r="I614" s="230">
        <f t="shared" si="10"/>
        <v>8320.031315962533</v>
      </c>
      <c r="J614" s="79"/>
      <c r="K614" s="79"/>
      <c r="L614" s="249"/>
      <c r="M614" s="249"/>
    </row>
    <row r="615" spans="1:14" ht="15" customHeight="1" x14ac:dyDescent="0.3">
      <c r="A615" s="249"/>
      <c r="B615" s="80"/>
      <c r="C615" s="106">
        <v>2025</v>
      </c>
      <c r="D615" s="107">
        <v>11</v>
      </c>
      <c r="E615" s="228">
        <v>8276.9485622800203</v>
      </c>
      <c r="F615" s="226">
        <v>8276.9485622800203</v>
      </c>
      <c r="G615" s="730">
        <v>8298.578649415309</v>
      </c>
      <c r="H615" s="731">
        <v>8330.6338573736703</v>
      </c>
      <c r="I615" s="230">
        <f t="shared" si="10"/>
        <v>8529.1391739427036</v>
      </c>
      <c r="J615" s="79"/>
      <c r="K615" s="79"/>
      <c r="L615" s="249"/>
      <c r="M615" s="249"/>
    </row>
    <row r="616" spans="1:14" ht="15" customHeight="1" x14ac:dyDescent="0.3">
      <c r="A616" s="884" t="s">
        <v>236</v>
      </c>
      <c r="B616" s="80"/>
      <c r="C616" s="106">
        <v>2026</v>
      </c>
      <c r="D616" s="107">
        <v>12</v>
      </c>
      <c r="E616" s="228"/>
      <c r="F616" s="226"/>
      <c r="G616" s="730">
        <v>8511.7062955199253</v>
      </c>
      <c r="H616" s="731">
        <v>8537.1994866678797</v>
      </c>
      <c r="I616" s="230">
        <f t="shared" si="10"/>
        <v>8735.704803236913</v>
      </c>
      <c r="J616" s="79"/>
      <c r="K616" s="79"/>
      <c r="L616" s="249"/>
      <c r="M616" s="249"/>
    </row>
    <row r="617" spans="1:14" ht="15" customHeight="1" x14ac:dyDescent="0.3">
      <c r="A617" s="884"/>
      <c r="B617" s="80"/>
      <c r="C617" s="106">
        <v>2027</v>
      </c>
      <c r="D617" s="107">
        <v>13</v>
      </c>
      <c r="E617" s="228"/>
      <c r="F617" s="226"/>
      <c r="G617" s="730">
        <v>8723.3657883222513</v>
      </c>
      <c r="H617" s="731">
        <v>8741.3541863846349</v>
      </c>
      <c r="I617" s="230">
        <f t="shared" si="10"/>
        <v>8939.8595029536682</v>
      </c>
      <c r="J617" s="79"/>
      <c r="K617" s="79"/>
      <c r="L617" s="249"/>
      <c r="M617" s="249"/>
    </row>
    <row r="618" spans="1:14" ht="15" customHeight="1" x14ac:dyDescent="0.3">
      <c r="A618" s="884"/>
      <c r="B618" s="80"/>
      <c r="C618" s="106">
        <v>2028</v>
      </c>
      <c r="D618" s="107">
        <v>14</v>
      </c>
      <c r="E618" s="228"/>
      <c r="F618" s="226"/>
      <c r="G618" s="730">
        <v>8933.6049259376778</v>
      </c>
      <c r="H618" s="731">
        <v>8943.141717763272</v>
      </c>
      <c r="I618" s="230">
        <f t="shared" si="10"/>
        <v>9141.6470343323053</v>
      </c>
      <c r="J618" s="79"/>
      <c r="K618" s="79"/>
      <c r="L618" s="249"/>
      <c r="M618" s="249"/>
    </row>
    <row r="619" spans="1:14" ht="15" customHeight="1" x14ac:dyDescent="0.3">
      <c r="A619" s="884"/>
      <c r="B619" s="80"/>
      <c r="C619" s="106">
        <v>2029</v>
      </c>
      <c r="D619" s="107">
        <v>15</v>
      </c>
      <c r="E619" s="228"/>
      <c r="F619" s="226"/>
      <c r="G619" s="730">
        <v>9142.47150648159</v>
      </c>
      <c r="H619" s="731">
        <v>9142.6091432965677</v>
      </c>
      <c r="I619" s="230">
        <f t="shared" si="10"/>
        <v>9341.114459865601</v>
      </c>
      <c r="J619" s="79"/>
      <c r="K619" s="79"/>
      <c r="L619" s="249"/>
      <c r="M619" s="249"/>
    </row>
    <row r="620" spans="1:14" ht="15" customHeight="1" x14ac:dyDescent="0.3">
      <c r="A620" s="884"/>
      <c r="B620" s="80"/>
      <c r="C620" s="106">
        <v>2030</v>
      </c>
      <c r="D620" s="107">
        <v>16</v>
      </c>
      <c r="E620" s="228">
        <v>9365.6696957997192</v>
      </c>
      <c r="F620" s="226">
        <v>9365.6696957997192</v>
      </c>
      <c r="G620" s="730">
        <v>9350.0133280693772</v>
      </c>
      <c r="H620" s="731">
        <v>9339.7996302599186</v>
      </c>
      <c r="I620" s="230">
        <f t="shared" si="10"/>
        <v>9538.3049468289519</v>
      </c>
      <c r="J620" s="79"/>
      <c r="K620" s="79"/>
      <c r="L620" s="249"/>
      <c r="M620" s="249"/>
    </row>
    <row r="621" spans="1:14" ht="15" customHeight="1" x14ac:dyDescent="0.3">
      <c r="A621" s="884"/>
      <c r="B621" s="80"/>
      <c r="C621" s="106">
        <v>2031</v>
      </c>
      <c r="D621" s="107">
        <v>17</v>
      </c>
      <c r="E621" s="228"/>
      <c r="F621" s="226"/>
      <c r="G621" s="730">
        <v>9556.2781888164263</v>
      </c>
      <c r="H621" s="731">
        <v>9534.7582607252589</v>
      </c>
      <c r="I621" s="230">
        <f t="shared" si="10"/>
        <v>9733.2635772942922</v>
      </c>
      <c r="J621" s="79"/>
      <c r="K621" s="79"/>
      <c r="L621" s="249"/>
      <c r="M621" s="249"/>
    </row>
    <row r="622" spans="1:14" ht="15" customHeight="1" x14ac:dyDescent="0.3">
      <c r="A622" s="884"/>
      <c r="B622" s="80"/>
      <c r="C622" s="106">
        <v>2032</v>
      </c>
      <c r="D622" s="107">
        <v>18</v>
      </c>
      <c r="E622" s="228"/>
      <c r="F622" s="226"/>
      <c r="G622" s="730">
        <v>9761.3138868381229</v>
      </c>
      <c r="H622" s="731">
        <v>9727.5603419948038</v>
      </c>
      <c r="I622" s="230">
        <f t="shared" si="10"/>
        <v>9926.0656585638371</v>
      </c>
      <c r="J622" s="79"/>
      <c r="K622" s="79"/>
      <c r="L622" s="249"/>
      <c r="M622" s="249"/>
    </row>
    <row r="623" spans="1:14" ht="15" customHeight="1" x14ac:dyDescent="0.3">
      <c r="A623" s="884"/>
      <c r="B623" s="80"/>
      <c r="C623" s="106">
        <v>2033</v>
      </c>
      <c r="D623" s="107">
        <v>19</v>
      </c>
      <c r="E623" s="228"/>
      <c r="F623" s="226"/>
      <c r="G623" s="730">
        <v>9965.1682202498559</v>
      </c>
      <c r="H623" s="731">
        <v>9918.3457214739046</v>
      </c>
      <c r="I623" s="230">
        <f t="shared" si="10"/>
        <v>10116.851038042938</v>
      </c>
      <c r="J623" s="79"/>
      <c r="K623" s="79"/>
      <c r="L623" s="249"/>
      <c r="M623" s="249"/>
    </row>
    <row r="624" spans="1:14" ht="15" customHeight="1" x14ac:dyDescent="0.3">
      <c r="A624" s="884"/>
      <c r="B624" s="80"/>
      <c r="C624" s="106">
        <v>2034</v>
      </c>
      <c r="D624" s="107">
        <v>20</v>
      </c>
      <c r="E624" s="228"/>
      <c r="F624" s="226"/>
      <c r="G624" s="730">
        <v>10167.888987167011</v>
      </c>
      <c r="H624" s="731">
        <v>10107.287234746338</v>
      </c>
      <c r="I624" s="230">
        <f t="shared" si="10"/>
        <v>10305.792551315371</v>
      </c>
      <c r="J624" s="79"/>
      <c r="K624" s="79"/>
      <c r="L624" s="249"/>
      <c r="M624" s="249"/>
    </row>
    <row r="625" spans="1:13" ht="15" customHeight="1" x14ac:dyDescent="0.3">
      <c r="A625" s="884"/>
      <c r="B625" s="80"/>
      <c r="C625" s="106">
        <v>2035</v>
      </c>
      <c r="D625" s="107">
        <v>21</v>
      </c>
      <c r="E625" s="228">
        <v>10375.11185560155</v>
      </c>
      <c r="F625" s="226">
        <v>10375.11185560155</v>
      </c>
      <c r="G625" s="730">
        <v>10369.523985704978</v>
      </c>
      <c r="H625" s="731">
        <v>10294.528670519709</v>
      </c>
      <c r="I625" s="230">
        <f t="shared" si="10"/>
        <v>10493.033987088742</v>
      </c>
      <c r="J625" s="79"/>
      <c r="K625" s="79"/>
      <c r="L625" s="249"/>
      <c r="M625" s="249"/>
    </row>
    <row r="626" spans="1:13" ht="15" customHeight="1" x14ac:dyDescent="0.3">
      <c r="A626" s="884"/>
      <c r="B626" s="80"/>
      <c r="C626" s="106">
        <v>2036</v>
      </c>
      <c r="D626" s="107">
        <v>22</v>
      </c>
      <c r="E626" s="228"/>
      <c r="F626" s="226"/>
      <c r="G626" s="730">
        <v>10570.121013979142</v>
      </c>
      <c r="H626" s="731">
        <v>10480.168176756537</v>
      </c>
      <c r="I626" s="230">
        <f t="shared" si="10"/>
        <v>10678.67349332557</v>
      </c>
      <c r="J626" s="79"/>
      <c r="K626" s="79"/>
      <c r="L626" s="249"/>
      <c r="M626" s="249"/>
    </row>
    <row r="627" spans="1:13" ht="15" customHeight="1" x14ac:dyDescent="0.3">
      <c r="A627" s="884"/>
      <c r="B627" s="80"/>
      <c r="C627" s="106">
        <v>2037</v>
      </c>
      <c r="D627" s="107">
        <v>23</v>
      </c>
      <c r="E627" s="228"/>
      <c r="F627" s="226"/>
      <c r="G627" s="730">
        <v>10769.727870104891</v>
      </c>
      <c r="H627" s="731">
        <v>10664.243752378521</v>
      </c>
      <c r="I627" s="230">
        <f t="shared" si="10"/>
        <v>10862.749068947554</v>
      </c>
      <c r="J627" s="79"/>
      <c r="K627" s="79"/>
      <c r="L627" s="249"/>
      <c r="M627" s="249"/>
    </row>
    <row r="628" spans="1:13" ht="15" customHeight="1" x14ac:dyDescent="0.3">
      <c r="A628" s="884"/>
      <c r="B628" s="80"/>
      <c r="C628" s="106">
        <v>2038</v>
      </c>
      <c r="D628" s="107">
        <v>24</v>
      </c>
      <c r="E628" s="228"/>
      <c r="F628" s="226"/>
      <c r="G628" s="730">
        <v>10968.392352197614</v>
      </c>
      <c r="H628" s="731">
        <v>10846.763784512825</v>
      </c>
      <c r="I628" s="230">
        <f t="shared" si="10"/>
        <v>11045.269101081858</v>
      </c>
      <c r="J628" s="79"/>
      <c r="K628" s="79"/>
      <c r="L628" s="249"/>
      <c r="M628" s="249"/>
    </row>
    <row r="629" spans="1:13" ht="15" customHeight="1" x14ac:dyDescent="0.3">
      <c r="A629" s="884"/>
      <c r="B629" s="80"/>
      <c r="C629" s="106">
        <v>2039</v>
      </c>
      <c r="D629" s="107">
        <v>25</v>
      </c>
      <c r="E629" s="228"/>
      <c r="F629" s="226"/>
      <c r="G629" s="730">
        <v>11166.162258372693</v>
      </c>
      <c r="H629" s="731">
        <v>11027.703197942708</v>
      </c>
      <c r="I629" s="230">
        <f t="shared" si="10"/>
        <v>11226.208514511742</v>
      </c>
      <c r="J629" s="79"/>
      <c r="K629" s="79"/>
      <c r="L629" s="249"/>
      <c r="M629" s="249"/>
    </row>
    <row r="630" spans="1:13" ht="15" customHeight="1" x14ac:dyDescent="0.3">
      <c r="A630" s="884"/>
      <c r="B630" s="80"/>
      <c r="C630" s="106">
        <v>2040</v>
      </c>
      <c r="D630" s="107">
        <v>26</v>
      </c>
      <c r="E630" s="228">
        <v>11352.68364020493</v>
      </c>
      <c r="F630" s="226">
        <v>11352.68364020493</v>
      </c>
      <c r="G630" s="730">
        <v>11363.085386745523</v>
      </c>
      <c r="H630" s="731">
        <v>11207.051836336692</v>
      </c>
      <c r="I630" s="230">
        <f t="shared" si="10"/>
        <v>11405.557152905725</v>
      </c>
      <c r="J630" s="79"/>
      <c r="K630" s="79"/>
      <c r="L630" s="249"/>
      <c r="M630" s="249"/>
    </row>
    <row r="631" spans="1:13" ht="15" customHeight="1" x14ac:dyDescent="0.3">
      <c r="A631" s="884"/>
      <c r="B631" s="80"/>
      <c r="C631" s="106">
        <v>2041</v>
      </c>
      <c r="D631" s="107">
        <v>27</v>
      </c>
      <c r="E631" s="228"/>
      <c r="F631" s="226"/>
      <c r="G631" s="730">
        <v>11559.209535431482</v>
      </c>
      <c r="H631" s="731">
        <v>11384.846142897783</v>
      </c>
      <c r="I631" s="230">
        <f t="shared" si="10"/>
        <v>11583.351459466816</v>
      </c>
      <c r="J631" s="79"/>
      <c r="K631" s="79"/>
      <c r="L631" s="249"/>
      <c r="M631" s="249"/>
    </row>
    <row r="632" spans="1:13" ht="15" customHeight="1" x14ac:dyDescent="0.3">
      <c r="A632" s="884"/>
      <c r="B632" s="80"/>
      <c r="C632" s="106">
        <v>2042</v>
      </c>
      <c r="D632" s="107">
        <v>28</v>
      </c>
      <c r="E632" s="228"/>
      <c r="F632" s="226"/>
      <c r="G632" s="730">
        <v>11754.582502545965</v>
      </c>
      <c r="H632" s="731">
        <v>11561.14841115212</v>
      </c>
      <c r="I632" s="230">
        <f t="shared" si="10"/>
        <v>11759.653727721154</v>
      </c>
      <c r="J632" s="79"/>
      <c r="K632" s="79"/>
      <c r="L632" s="249"/>
      <c r="M632" s="249"/>
    </row>
    <row r="633" spans="1:13" ht="15" customHeight="1" x14ac:dyDescent="0.3">
      <c r="A633" s="884"/>
      <c r="B633" s="80"/>
      <c r="C633" s="106">
        <v>2043</v>
      </c>
      <c r="D633" s="107">
        <v>29</v>
      </c>
      <c r="E633" s="228"/>
      <c r="F633" s="226"/>
      <c r="G633" s="730">
        <v>11949.252086204357</v>
      </c>
      <c r="H633" s="731">
        <v>11735.998015943975</v>
      </c>
      <c r="I633" s="230">
        <f t="shared" si="10"/>
        <v>11934.503332513008</v>
      </c>
      <c r="J633" s="79"/>
      <c r="K633" s="79"/>
      <c r="L633" s="249"/>
      <c r="M633" s="249"/>
    </row>
    <row r="634" spans="1:13" ht="15" customHeight="1" x14ac:dyDescent="0.3">
      <c r="A634" s="884"/>
      <c r="B634" s="80"/>
      <c r="C634" s="106">
        <v>2044</v>
      </c>
      <c r="D634" s="107">
        <v>30</v>
      </c>
      <c r="E634" s="228"/>
      <c r="F634" s="226"/>
      <c r="G634" s="730">
        <v>12143.266084522045</v>
      </c>
      <c r="H634" s="731">
        <v>11909.438111701365</v>
      </c>
      <c r="I634" s="230">
        <f t="shared" si="10"/>
        <v>12107.943428270399</v>
      </c>
      <c r="J634" s="79"/>
      <c r="K634" s="79"/>
      <c r="L634" s="249"/>
      <c r="M634" s="249"/>
    </row>
    <row r="635" spans="1:13" ht="15" customHeight="1" x14ac:dyDescent="0.3">
      <c r="A635" s="884"/>
      <c r="B635" s="80"/>
      <c r="C635" s="106">
        <v>2045</v>
      </c>
      <c r="D635" s="107">
        <v>31</v>
      </c>
      <c r="E635" s="228">
        <v>12338.603034552141</v>
      </c>
      <c r="F635" s="226">
        <v>12338.603034552141</v>
      </c>
      <c r="G635" s="730">
        <v>12336.672295614415</v>
      </c>
      <c r="H635" s="731">
        <v>12081.508469493854</v>
      </c>
      <c r="I635" s="230">
        <f t="shared" si="10"/>
        <v>12280.013786062887</v>
      </c>
      <c r="J635" s="79"/>
      <c r="K635" s="79"/>
      <c r="L635" s="249"/>
      <c r="M635" s="249"/>
    </row>
    <row r="636" spans="1:13" ht="15" customHeight="1" x14ac:dyDescent="0.3">
      <c r="A636" s="884"/>
      <c r="B636" s="80"/>
      <c r="C636" s="106">
        <v>2046</v>
      </c>
      <c r="D636" s="107">
        <v>32</v>
      </c>
      <c r="E636" s="228"/>
      <c r="F636" s="226"/>
      <c r="G636" s="730">
        <v>12529.518517596855</v>
      </c>
      <c r="H636" s="731">
        <v>12252.247551701163</v>
      </c>
      <c r="I636" s="230">
        <f t="shared" si="10"/>
        <v>12450.752868270196</v>
      </c>
      <c r="J636" s="79"/>
      <c r="K636" s="79"/>
      <c r="L636" s="249"/>
      <c r="M636" s="249"/>
    </row>
    <row r="637" spans="1:13" ht="15" customHeight="1" x14ac:dyDescent="0.3">
      <c r="A637" s="884"/>
      <c r="B637" s="80"/>
      <c r="C637" s="106">
        <v>2047</v>
      </c>
      <c r="D637" s="107">
        <v>33</v>
      </c>
      <c r="E637" s="228"/>
      <c r="F637" s="226"/>
      <c r="G637" s="730">
        <v>12721.852548584753</v>
      </c>
      <c r="H637" s="731">
        <v>12421.687485569975</v>
      </c>
      <c r="I637" s="230">
        <f t="shared" si="10"/>
        <v>12620.192802139009</v>
      </c>
      <c r="J637" s="79"/>
      <c r="K637" s="79"/>
      <c r="L637" s="249"/>
      <c r="M637" s="249"/>
    </row>
    <row r="638" spans="1:13" ht="15" customHeight="1" x14ac:dyDescent="0.3">
      <c r="A638" s="884"/>
      <c r="B638" s="80"/>
      <c r="C638" s="106">
        <v>2048</v>
      </c>
      <c r="D638" s="107">
        <v>34</v>
      </c>
      <c r="E638" s="228"/>
      <c r="F638" s="226"/>
      <c r="G638" s="730">
        <v>12913.722186693496</v>
      </c>
      <c r="H638" s="731">
        <v>12589.854105736642</v>
      </c>
      <c r="I638" s="230">
        <f t="shared" si="10"/>
        <v>12788.359422305675</v>
      </c>
      <c r="J638" s="79"/>
      <c r="K638" s="79"/>
      <c r="L638" s="249"/>
      <c r="M638" s="249"/>
    </row>
    <row r="639" spans="1:13" ht="15" customHeight="1" x14ac:dyDescent="0.3">
      <c r="A639" s="79"/>
      <c r="B639" s="79"/>
      <c r="C639" s="106">
        <v>2049</v>
      </c>
      <c r="D639" s="107">
        <v>35</v>
      </c>
      <c r="E639" s="228"/>
      <c r="F639" s="226"/>
      <c r="G639" s="730">
        <v>13105.175230038472</v>
      </c>
      <c r="H639" s="731">
        <v>12756.76981734447</v>
      </c>
      <c r="I639" s="230">
        <f t="shared" si="10"/>
        <v>12955.275133913503</v>
      </c>
      <c r="J639" s="79"/>
      <c r="K639" s="79"/>
      <c r="L639" s="249"/>
      <c r="M639" s="249"/>
    </row>
    <row r="640" spans="1:13" ht="15" customHeight="1" x14ac:dyDescent="0.3">
      <c r="A640" s="79"/>
      <c r="B640" s="79"/>
      <c r="C640" s="106">
        <v>2050</v>
      </c>
      <c r="D640" s="111">
        <v>36</v>
      </c>
      <c r="E640" s="228">
        <v>13297.038375500673</v>
      </c>
      <c r="F640" s="226">
        <v>13297.038375500673</v>
      </c>
      <c r="G640" s="740">
        <v>13296.259476735067</v>
      </c>
      <c r="H640" s="741">
        <v>12922.460158783038</v>
      </c>
      <c r="I640" s="230">
        <f t="shared" si="10"/>
        <v>13120.965475352072</v>
      </c>
      <c r="J640" s="79"/>
      <c r="K640" s="79"/>
      <c r="L640" s="249"/>
      <c r="M640" s="249"/>
    </row>
    <row r="641" spans="1:13" ht="15" customHeight="1" x14ac:dyDescent="0.3">
      <c r="A641" s="79"/>
      <c r="B641" s="79"/>
      <c r="C641" s="106">
        <v>2051</v>
      </c>
      <c r="D641" s="107">
        <v>37</v>
      </c>
      <c r="E641" s="228"/>
      <c r="F641" s="226"/>
      <c r="G641" s="730">
        <v>13487.022724898668</v>
      </c>
      <c r="H641" s="731">
        <v>13086.955174676425</v>
      </c>
      <c r="I641" s="230">
        <f t="shared" si="10"/>
        <v>13285.460491245458</v>
      </c>
      <c r="J641" s="79"/>
      <c r="K641" s="79"/>
      <c r="L641" s="249"/>
      <c r="M641" s="249"/>
    </row>
    <row r="642" spans="1:13" ht="15" customHeight="1" x14ac:dyDescent="0.3">
      <c r="A642" s="79"/>
      <c r="B642" s="79"/>
      <c r="C642" s="106">
        <v>2052</v>
      </c>
      <c r="D642" s="107">
        <v>38</v>
      </c>
      <c r="E642" s="228"/>
      <c r="F642" s="226"/>
      <c r="G642" s="730">
        <v>13677.512772644664</v>
      </c>
      <c r="H642" s="731">
        <v>13250.294662976101</v>
      </c>
      <c r="I642" s="230">
        <f t="shared" si="10"/>
        <v>13448.799979545134</v>
      </c>
      <c r="J642" s="79"/>
      <c r="K642" s="79"/>
      <c r="L642" s="249"/>
      <c r="M642" s="249"/>
    </row>
    <row r="643" spans="1:13" ht="15" customHeight="1" x14ac:dyDescent="0.3">
      <c r="A643" s="79"/>
      <c r="B643" s="79"/>
      <c r="C643" s="106">
        <v>2053</v>
      </c>
      <c r="D643" s="107">
        <v>39</v>
      </c>
      <c r="E643" s="228"/>
      <c r="F643" s="226"/>
      <c r="G643" s="730">
        <v>13867.777418088441</v>
      </c>
      <c r="H643" s="731">
        <v>13412.526158507777</v>
      </c>
      <c r="I643" s="230">
        <f t="shared" si="10"/>
        <v>13611.03147507681</v>
      </c>
      <c r="J643" s="79"/>
      <c r="K643" s="79"/>
      <c r="L643" s="249"/>
      <c r="M643" s="249"/>
    </row>
    <row r="644" spans="1:13" ht="15" customHeight="1" x14ac:dyDescent="0.3">
      <c r="A644" s="79"/>
      <c r="B644" s="79"/>
      <c r="C644" s="106">
        <v>2054</v>
      </c>
      <c r="D644" s="107">
        <v>40</v>
      </c>
      <c r="E644" s="228"/>
      <c r="F644" s="226"/>
      <c r="G644" s="730">
        <v>14057.864459345386</v>
      </c>
      <c r="H644" s="731">
        <v>13573.70321383259</v>
      </c>
      <c r="I644" s="230">
        <f t="shared" si="10"/>
        <v>13772.208530401624</v>
      </c>
      <c r="J644" s="79"/>
      <c r="K644" s="79"/>
      <c r="L644" s="249"/>
      <c r="M644" s="249"/>
    </row>
    <row r="645" spans="1:13" ht="15" customHeight="1" x14ac:dyDescent="0.3">
      <c r="A645" s="79"/>
      <c r="B645" s="79"/>
      <c r="C645" s="106">
        <v>2055</v>
      </c>
      <c r="D645" s="111">
        <v>41</v>
      </c>
      <c r="E645" s="228"/>
      <c r="F645" s="226"/>
      <c r="G645" s="740">
        <v>14247.821694530887</v>
      </c>
      <c r="H645" s="741">
        <v>13733.87500836805</v>
      </c>
      <c r="I645" s="230">
        <f t="shared" si="10"/>
        <v>13932.380324937083</v>
      </c>
      <c r="J645" s="79"/>
      <c r="K645" s="79"/>
      <c r="L645" s="249"/>
      <c r="M645" s="249"/>
    </row>
    <row r="646" spans="1:13" ht="15" customHeight="1" x14ac:dyDescent="0.3">
      <c r="A646" s="79"/>
      <c r="B646" s="79"/>
      <c r="C646" s="106">
        <v>2056</v>
      </c>
      <c r="D646" s="107">
        <v>42</v>
      </c>
      <c r="E646" s="228"/>
      <c r="F646" s="226"/>
      <c r="G646" s="730">
        <v>14437.696921760331</v>
      </c>
      <c r="H646" s="731">
        <v>13893.076641050993</v>
      </c>
      <c r="I646" s="230">
        <f t="shared" si="10"/>
        <v>14091.581957620027</v>
      </c>
      <c r="J646" s="79"/>
      <c r="K646" s="79"/>
      <c r="L646" s="249"/>
      <c r="M646" s="249"/>
    </row>
    <row r="647" spans="1:13" ht="15" customHeight="1" x14ac:dyDescent="0.3">
      <c r="A647" s="79"/>
      <c r="B647" s="79"/>
      <c r="C647" s="106">
        <v>2057</v>
      </c>
      <c r="D647" s="107">
        <v>43</v>
      </c>
      <c r="E647" s="228"/>
      <c r="F647" s="226"/>
      <c r="G647" s="730">
        <v>14627.537939149106</v>
      </c>
      <c r="H647" s="731">
        <v>14051.338228194678</v>
      </c>
      <c r="I647" s="230">
        <f t="shared" si="10"/>
        <v>14249.843544763711</v>
      </c>
      <c r="J647" s="79"/>
      <c r="K647" s="79"/>
      <c r="L647" s="249"/>
      <c r="M647" s="249"/>
    </row>
    <row r="648" spans="1:13" ht="15" customHeight="1" x14ac:dyDescent="0.3">
      <c r="A648" s="79"/>
      <c r="B648" s="79"/>
      <c r="C648" s="106">
        <v>2058</v>
      </c>
      <c r="D648" s="107">
        <v>44</v>
      </c>
      <c r="E648" s="228"/>
      <c r="F648" s="226"/>
      <c r="G648" s="730">
        <v>14817.392544812597</v>
      </c>
      <c r="H648" s="731">
        <v>14208.698237917277</v>
      </c>
      <c r="I648" s="230">
        <f t="shared" si="10"/>
        <v>14407.20355448631</v>
      </c>
      <c r="J648" s="79"/>
      <c r="K648" s="79"/>
      <c r="L648" s="249"/>
      <c r="M648" s="249"/>
    </row>
    <row r="649" spans="1:13" ht="15" customHeight="1" x14ac:dyDescent="0.3">
      <c r="A649" s="79"/>
      <c r="B649" s="79"/>
      <c r="C649" s="106">
        <v>2059</v>
      </c>
      <c r="D649" s="107">
        <v>45</v>
      </c>
      <c r="E649" s="228"/>
      <c r="F649" s="226"/>
      <c r="G649" s="730">
        <v>15007.308536866194</v>
      </c>
      <c r="H649" s="731">
        <v>14365.19545743034</v>
      </c>
      <c r="I649" s="230">
        <f t="shared" si="10"/>
        <v>14563.700773999373</v>
      </c>
      <c r="J649" s="79"/>
      <c r="K649" s="79"/>
      <c r="L649" s="249"/>
      <c r="M649" s="249"/>
    </row>
    <row r="650" spans="1:13" ht="15" customHeight="1" x14ac:dyDescent="0.3">
      <c r="A650" s="79"/>
      <c r="B650" s="79"/>
      <c r="C650" s="112">
        <v>2060</v>
      </c>
      <c r="D650" s="111">
        <v>46</v>
      </c>
      <c r="E650" s="228"/>
      <c r="F650" s="226"/>
      <c r="G650" s="740">
        <v>15197.333713425285</v>
      </c>
      <c r="H650" s="741">
        <v>14520.865764572427</v>
      </c>
      <c r="I650" s="230">
        <f t="shared" si="10"/>
        <v>14719.37108114146</v>
      </c>
      <c r="J650" s="79"/>
      <c r="K650" s="79"/>
      <c r="L650" s="249"/>
      <c r="M650" s="249"/>
    </row>
    <row r="651" spans="1:13" ht="15" customHeight="1" x14ac:dyDescent="0.3">
      <c r="A651" s="79"/>
      <c r="B651" s="249"/>
      <c r="C651" s="5"/>
      <c r="D651" s="5"/>
      <c r="E651" s="5"/>
      <c r="F651" s="5"/>
      <c r="G651" s="788"/>
      <c r="H651" s="788"/>
      <c r="I651" s="5"/>
      <c r="J651" s="5"/>
      <c r="K651" s="5"/>
      <c r="L651" s="249"/>
    </row>
    <row r="652" spans="1:13" ht="15" customHeight="1" x14ac:dyDescent="0.3">
      <c r="A652" s="5"/>
      <c r="B652" s="249"/>
      <c r="C652" s="5"/>
      <c r="D652" s="5"/>
      <c r="E652" s="5"/>
      <c r="F652" s="5"/>
      <c r="G652" s="788"/>
      <c r="H652" s="788"/>
      <c r="I652" s="5"/>
      <c r="J652" s="5"/>
      <c r="K652" s="5"/>
      <c r="L652" s="249"/>
    </row>
    <row r="653" spans="1:13" ht="15" customHeight="1" x14ac:dyDescent="0.3">
      <c r="A653" s="231" t="s">
        <v>190</v>
      </c>
      <c r="B653" s="249"/>
      <c r="C653" s="249"/>
      <c r="D653" s="249"/>
      <c r="E653" s="249"/>
      <c r="F653" s="249"/>
      <c r="G653" s="788"/>
      <c r="H653" s="788"/>
      <c r="I653" s="249"/>
      <c r="J653" s="249"/>
      <c r="K653" s="249"/>
      <c r="L653" s="249"/>
    </row>
    <row r="654" spans="1:13" ht="15" customHeight="1" x14ac:dyDescent="0.3">
      <c r="G654" s="788"/>
      <c r="H654" s="788"/>
    </row>
    <row r="655" spans="1:13" ht="15" customHeight="1" x14ac:dyDescent="0.3">
      <c r="G655" s="760"/>
      <c r="H655" s="760"/>
    </row>
    <row r="656" spans="1:13" s="249" customFormat="1" ht="15" customHeight="1" x14ac:dyDescent="0.3">
      <c r="A656" s="71">
        <f>1+A591</f>
        <v>11</v>
      </c>
      <c r="B656" s="72" t="s">
        <v>297</v>
      </c>
      <c r="C656" s="73"/>
      <c r="D656" s="73"/>
      <c r="E656" s="73"/>
      <c r="F656" s="73"/>
      <c r="G656" s="705"/>
      <c r="H656" s="705"/>
      <c r="I656"/>
      <c r="J656" s="73"/>
      <c r="K656" s="73"/>
      <c r="L656" s="73"/>
    </row>
    <row r="657" spans="1:18" s="249" customFormat="1" ht="15" customHeight="1" x14ac:dyDescent="0.3">
      <c r="A657" s="74" t="s">
        <v>74</v>
      </c>
      <c r="B657" s="75"/>
      <c r="C657" s="75"/>
      <c r="D657" s="76"/>
      <c r="E657" s="77"/>
      <c r="F657" s="862"/>
      <c r="G657" s="710"/>
      <c r="H657" s="711"/>
      <c r="I657"/>
      <c r="J657" s="79"/>
      <c r="K657" s="79"/>
      <c r="L657" s="79"/>
    </row>
    <row r="658" spans="1:18" s="249" customFormat="1" ht="15" customHeight="1" thickBot="1" x14ac:dyDescent="0.35">
      <c r="A658" s="110" t="s">
        <v>75</v>
      </c>
      <c r="B658" s="80"/>
      <c r="C658" s="80"/>
      <c r="D658" s="81"/>
      <c r="E658" s="109" t="s">
        <v>78</v>
      </c>
      <c r="F658" s="863"/>
      <c r="G658" s="746" t="s">
        <v>298</v>
      </c>
      <c r="H658" s="711"/>
      <c r="I658"/>
      <c r="J658" s="79"/>
      <c r="K658" s="79"/>
      <c r="L658" s="79"/>
    </row>
    <row r="659" spans="1:18" s="249" customFormat="1" ht="42.6" customHeight="1" thickBot="1" x14ac:dyDescent="0.35">
      <c r="A659" s="82"/>
      <c r="B659" s="82"/>
      <c r="C659" s="82"/>
      <c r="D659" s="83"/>
      <c r="E659" s="101" t="s">
        <v>292</v>
      </c>
      <c r="F659" s="101" t="s">
        <v>293</v>
      </c>
      <c r="G659" s="746" t="s">
        <v>299</v>
      </c>
      <c r="H659" s="747" t="s">
        <v>98</v>
      </c>
      <c r="I659" s="101" t="s">
        <v>234</v>
      </c>
      <c r="J659" s="747" t="s">
        <v>754</v>
      </c>
      <c r="K659" s="865" t="s">
        <v>84</v>
      </c>
      <c r="L659" s="875"/>
    </row>
    <row r="660" spans="1:18" s="249" customFormat="1" ht="15" customHeight="1" x14ac:dyDescent="0.3">
      <c r="A660" s="74" t="s">
        <v>85</v>
      </c>
      <c r="B660" s="82"/>
      <c r="C660" s="102">
        <v>2005</v>
      </c>
      <c r="D660" s="103">
        <v>-9</v>
      </c>
      <c r="E660" s="226">
        <v>3923.5947661978053</v>
      </c>
      <c r="F660" s="226">
        <v>3923.5947661978053</v>
      </c>
      <c r="G660" s="722">
        <v>3696.5089076308632</v>
      </c>
      <c r="H660" s="723">
        <v>3696.5089076308632</v>
      </c>
      <c r="I660" s="233">
        <f>H660+$L$670/10^9</f>
        <v>3895.0142241998974</v>
      </c>
      <c r="J660" s="871" t="s">
        <v>86</v>
      </c>
      <c r="K660" s="876"/>
      <c r="L660" s="877"/>
    </row>
    <row r="661" spans="1:18" s="249" customFormat="1" ht="15" customHeight="1" x14ac:dyDescent="0.3">
      <c r="A661" s="110" t="s">
        <v>87</v>
      </c>
      <c r="B661" s="82"/>
      <c r="C661" s="106">
        <v>2006</v>
      </c>
      <c r="D661" s="107">
        <v>-8</v>
      </c>
      <c r="E661" s="228"/>
      <c r="F661" s="226"/>
      <c r="G661" s="727">
        <v>3859.7646366807667</v>
      </c>
      <c r="H661" s="728">
        <v>3859.7646366807667</v>
      </c>
      <c r="I661" s="227">
        <f t="shared" ref="I661:I715" si="11">H661+$L$670/10^9</f>
        <v>4058.2699532498009</v>
      </c>
      <c r="J661" s="882"/>
      <c r="K661" s="876"/>
      <c r="L661" s="877"/>
    </row>
    <row r="662" spans="1:18" s="249" customFormat="1" ht="15" customHeight="1" x14ac:dyDescent="0.3">
      <c r="A662" s="82"/>
      <c r="B662" s="82"/>
      <c r="C662" s="106">
        <v>2007</v>
      </c>
      <c r="D662" s="107">
        <v>-7</v>
      </c>
      <c r="E662" s="228"/>
      <c r="F662" s="226"/>
      <c r="G662" s="727">
        <v>4030.2305290857748</v>
      </c>
      <c r="H662" s="728">
        <v>4030.2305290857748</v>
      </c>
      <c r="I662" s="229">
        <f t="shared" si="11"/>
        <v>4228.7358456548091</v>
      </c>
      <c r="J662" s="882"/>
      <c r="K662" s="876"/>
      <c r="L662" s="877"/>
    </row>
    <row r="663" spans="1:18" s="249" customFormat="1" ht="15" customHeight="1" x14ac:dyDescent="0.3">
      <c r="A663" s="29" t="s">
        <v>88</v>
      </c>
      <c r="B663" s="82"/>
      <c r="C663" s="106">
        <v>2008</v>
      </c>
      <c r="D663" s="107">
        <v>-6</v>
      </c>
      <c r="E663" s="228"/>
      <c r="F663" s="226"/>
      <c r="G663" s="727">
        <v>4208.2250205657838</v>
      </c>
      <c r="H663" s="728">
        <v>4208.2250205657838</v>
      </c>
      <c r="I663" s="229">
        <f t="shared" si="11"/>
        <v>4406.730337134818</v>
      </c>
      <c r="J663" s="882"/>
      <c r="K663" s="878"/>
      <c r="L663" s="879"/>
    </row>
    <row r="664" spans="1:18" s="249" customFormat="1" ht="15" customHeight="1" x14ac:dyDescent="0.3">
      <c r="A664" s="886" t="s">
        <v>300</v>
      </c>
      <c r="B664" s="82"/>
      <c r="C664" s="106">
        <v>2009</v>
      </c>
      <c r="D664" s="107">
        <v>-5</v>
      </c>
      <c r="E664" s="228"/>
      <c r="F664" s="226"/>
      <c r="G664" s="727">
        <v>4394.0806105037045</v>
      </c>
      <c r="H664" s="728">
        <v>4394.0806105037045</v>
      </c>
      <c r="I664" s="229">
        <f t="shared" si="11"/>
        <v>4592.5859270727387</v>
      </c>
      <c r="J664" s="882"/>
      <c r="K664" s="79"/>
      <c r="L664" s="79"/>
    </row>
    <row r="665" spans="1:18" s="249" customFormat="1" ht="15" customHeight="1" x14ac:dyDescent="0.3">
      <c r="A665" s="888"/>
      <c r="B665" s="82"/>
      <c r="C665" s="106">
        <v>2010</v>
      </c>
      <c r="D665" s="107">
        <v>-4</v>
      </c>
      <c r="E665" s="228">
        <v>4602.3432292567013</v>
      </c>
      <c r="F665" s="226">
        <v>4602.3432292567013</v>
      </c>
      <c r="G665" s="727">
        <v>4588.1444830649079</v>
      </c>
      <c r="H665" s="728">
        <v>4588.1444830649079</v>
      </c>
      <c r="I665" s="229">
        <f t="shared" si="11"/>
        <v>4786.6497996339422</v>
      </c>
      <c r="J665" s="882"/>
      <c r="K665" s="79"/>
      <c r="L665" s="79"/>
      <c r="P665"/>
      <c r="Q665"/>
      <c r="R665"/>
    </row>
    <row r="666" spans="1:18" s="249" customFormat="1" ht="15" customHeight="1" x14ac:dyDescent="0.3">
      <c r="A666" s="888"/>
      <c r="B666" s="82"/>
      <c r="C666" s="106">
        <v>2011</v>
      </c>
      <c r="D666" s="107">
        <v>-3</v>
      </c>
      <c r="E666" s="228"/>
      <c r="F666" s="226"/>
      <c r="G666" s="727">
        <v>4790.7791557483079</v>
      </c>
      <c r="H666" s="728">
        <v>4790.7791557483079</v>
      </c>
      <c r="I666" s="229">
        <f t="shared" si="11"/>
        <v>4989.2844723173421</v>
      </c>
      <c r="J666" s="883"/>
      <c r="K666" s="79"/>
      <c r="L666" s="79"/>
      <c r="P666"/>
      <c r="Q666"/>
      <c r="R666"/>
    </row>
    <row r="667" spans="1:18" s="249" customFormat="1" ht="15" customHeight="1" x14ac:dyDescent="0.3">
      <c r="A667" s="889"/>
      <c r="B667" s="82"/>
      <c r="C667" s="106">
        <v>2012</v>
      </c>
      <c r="D667" s="107">
        <v>-2</v>
      </c>
      <c r="E667" s="228"/>
      <c r="F667" s="226"/>
      <c r="G667" s="730">
        <v>5002.3631565806081</v>
      </c>
      <c r="H667" s="731">
        <v>5002.3631565806081</v>
      </c>
      <c r="I667" s="230">
        <f t="shared" si="11"/>
        <v>5200.8684731496423</v>
      </c>
      <c r="J667" s="87" t="s">
        <v>90</v>
      </c>
      <c r="K667" s="79"/>
      <c r="L667" s="79"/>
      <c r="P667"/>
      <c r="Q667"/>
      <c r="R667"/>
    </row>
    <row r="668" spans="1:18" s="249" customFormat="1" ht="15" customHeight="1" x14ac:dyDescent="0.3">
      <c r="A668" s="82"/>
      <c r="B668" s="82"/>
      <c r="C668" s="106">
        <v>2013</v>
      </c>
      <c r="D668" s="107">
        <v>-1</v>
      </c>
      <c r="E668" s="228"/>
      <c r="F668" s="226"/>
      <c r="G668" s="730">
        <v>5223.2917312187137</v>
      </c>
      <c r="H668" s="731">
        <v>5223.2917312187137</v>
      </c>
      <c r="I668" s="230">
        <f t="shared" si="11"/>
        <v>5421.7970477877479</v>
      </c>
      <c r="J668" s="79"/>
      <c r="K668" s="79"/>
      <c r="P668"/>
      <c r="Q668"/>
      <c r="R668"/>
    </row>
    <row r="669" spans="1:18" s="249" customFormat="1" ht="15" customHeight="1" x14ac:dyDescent="0.3">
      <c r="A669" s="77" t="s">
        <v>91</v>
      </c>
      <c r="B669" s="82"/>
      <c r="C669" s="106">
        <v>2014</v>
      </c>
      <c r="D669" s="107">
        <v>0</v>
      </c>
      <c r="E669" s="228"/>
      <c r="F669" s="226"/>
      <c r="G669" s="730">
        <v>5453.9775812812177</v>
      </c>
      <c r="H669" s="731">
        <v>5504.8660183015227</v>
      </c>
      <c r="I669" s="230">
        <f t="shared" si="11"/>
        <v>5703.3713348705569</v>
      </c>
      <c r="J669" s="79"/>
      <c r="K669" s="79"/>
      <c r="P669"/>
      <c r="Q669"/>
      <c r="R669"/>
    </row>
    <row r="670" spans="1:18" s="249" customFormat="1" ht="15" customHeight="1" x14ac:dyDescent="0.3">
      <c r="A670" s="110">
        <v>2012</v>
      </c>
      <c r="B670" s="80"/>
      <c r="C670" s="106">
        <v>2015</v>
      </c>
      <c r="D670" s="107">
        <v>1</v>
      </c>
      <c r="E670" s="228">
        <v>5629.1928096660076</v>
      </c>
      <c r="F670" s="226">
        <v>5629.1928096660076</v>
      </c>
      <c r="G670" s="730">
        <v>5694.8516352881798</v>
      </c>
      <c r="H670" s="731">
        <v>5750.307655938559</v>
      </c>
      <c r="I670" s="230">
        <f t="shared" si="11"/>
        <v>5948.8129725075933</v>
      </c>
      <c r="J670" s="249" t="s">
        <v>233</v>
      </c>
      <c r="L670" s="232">
        <v>198505316569.03406</v>
      </c>
      <c r="M670" s="249" t="s">
        <v>232</v>
      </c>
      <c r="P670"/>
      <c r="Q670"/>
      <c r="R670"/>
    </row>
    <row r="671" spans="1:18" s="249" customFormat="1" ht="15" customHeight="1" x14ac:dyDescent="0.3">
      <c r="A671" s="79"/>
      <c r="B671" s="80"/>
      <c r="C671" s="106">
        <v>2016</v>
      </c>
      <c r="D671" s="107">
        <v>2</v>
      </c>
      <c r="E671" s="228"/>
      <c r="F671" s="226"/>
      <c r="G671" s="730">
        <v>5946.3638536493354</v>
      </c>
      <c r="H671" s="731">
        <v>6007.0649102328953</v>
      </c>
      <c r="I671" s="230">
        <f t="shared" si="11"/>
        <v>6205.5702268019295</v>
      </c>
      <c r="J671" s="79"/>
      <c r="K671" s="234"/>
      <c r="L671" s="235" t="s">
        <v>237</v>
      </c>
      <c r="M671" s="236"/>
      <c r="P671"/>
      <c r="Q671"/>
      <c r="R671"/>
    </row>
    <row r="672" spans="1:18" s="249" customFormat="1" ht="15" customHeight="1" x14ac:dyDescent="0.3">
      <c r="A672" s="77" t="s">
        <v>92</v>
      </c>
      <c r="B672" s="80"/>
      <c r="C672" s="106">
        <v>2017</v>
      </c>
      <c r="D672" s="107">
        <v>3</v>
      </c>
      <c r="E672" s="228"/>
      <c r="F672" s="226"/>
      <c r="G672" s="730">
        <v>6208.9840692044772</v>
      </c>
      <c r="H672" s="731">
        <v>6275.6102866924612</v>
      </c>
      <c r="I672" s="230">
        <f t="shared" si="11"/>
        <v>6474.1156032614954</v>
      </c>
      <c r="J672" s="79"/>
      <c r="K672" s="79"/>
      <c r="P672"/>
      <c r="Q672"/>
      <c r="R672"/>
    </row>
    <row r="673" spans="1:18" s="249" customFormat="1" ht="15" customHeight="1" x14ac:dyDescent="0.3">
      <c r="A673" s="110" t="s">
        <v>292</v>
      </c>
      <c r="B673" s="80"/>
      <c r="C673" s="106">
        <v>2018</v>
      </c>
      <c r="D673" s="107">
        <v>4</v>
      </c>
      <c r="E673" s="228"/>
      <c r="F673" s="226"/>
      <c r="G673" s="730">
        <v>6483.2028648861778</v>
      </c>
      <c r="H673" s="731">
        <v>6556.3622006971373</v>
      </c>
      <c r="I673" s="230">
        <f t="shared" si="11"/>
        <v>6754.8675172661715</v>
      </c>
      <c r="J673" s="79"/>
      <c r="K673" s="79"/>
      <c r="P673"/>
      <c r="Q673"/>
      <c r="R673"/>
    </row>
    <row r="674" spans="1:18" s="249" customFormat="1" ht="15" customHeight="1" x14ac:dyDescent="0.3">
      <c r="A674" s="79"/>
      <c r="B674" s="80"/>
      <c r="C674" s="106">
        <v>2019</v>
      </c>
      <c r="D674" s="107">
        <v>5</v>
      </c>
      <c r="E674" s="228"/>
      <c r="F674" s="226"/>
      <c r="G674" s="730">
        <v>6769.5324901443446</v>
      </c>
      <c r="H674" s="731">
        <v>6849.6889608240135</v>
      </c>
      <c r="I674" s="230">
        <f t="shared" si="11"/>
        <v>7048.1942773930477</v>
      </c>
      <c r="J674" s="79"/>
      <c r="K674" s="79"/>
      <c r="P674"/>
      <c r="Q674"/>
      <c r="R674"/>
    </row>
    <row r="675" spans="1:18" s="249" customFormat="1" ht="15" customHeight="1" x14ac:dyDescent="0.3">
      <c r="A675" s="77" t="s">
        <v>93</v>
      </c>
      <c r="B675" s="80"/>
      <c r="C675" s="106">
        <v>2020</v>
      </c>
      <c r="D675" s="107">
        <v>6</v>
      </c>
      <c r="E675" s="228">
        <v>6865.5761999924925</v>
      </c>
      <c r="F675" s="226">
        <v>6865.5761999924925</v>
      </c>
      <c r="G675" s="730">
        <v>7068.5078178445119</v>
      </c>
      <c r="H675" s="731">
        <v>7156.5807639265668</v>
      </c>
      <c r="I675" s="230">
        <f t="shared" si="11"/>
        <v>7355.086080495601</v>
      </c>
      <c r="J675" s="79"/>
      <c r="K675" s="79"/>
      <c r="P675"/>
      <c r="Q675"/>
      <c r="R675"/>
    </row>
    <row r="676" spans="1:18" s="249" customFormat="1" ht="15" customHeight="1" x14ac:dyDescent="0.3">
      <c r="A676" s="77"/>
      <c r="B676" s="80"/>
      <c r="C676" s="106">
        <v>2021</v>
      </c>
      <c r="D676" s="107">
        <v>7</v>
      </c>
      <c r="E676" s="228"/>
      <c r="F676" s="226"/>
      <c r="G676" s="730">
        <v>7380.6873434274075</v>
      </c>
      <c r="H676" s="731">
        <v>7471.6668854227473</v>
      </c>
      <c r="I676" s="230">
        <f t="shared" si="11"/>
        <v>7670.1722019917815</v>
      </c>
      <c r="J676" s="79"/>
      <c r="K676" s="79"/>
      <c r="P676"/>
      <c r="Q676"/>
      <c r="R676"/>
    </row>
    <row r="677" spans="1:18" s="249" customFormat="1" ht="15" customHeight="1" x14ac:dyDescent="0.3">
      <c r="A677" s="88"/>
      <c r="B677" s="80"/>
      <c r="C677" s="106">
        <v>2022</v>
      </c>
      <c r="D677" s="107">
        <v>8</v>
      </c>
      <c r="E677" s="228"/>
      <c r="F677" s="226"/>
      <c r="G677" s="730">
        <v>7706.6542281962311</v>
      </c>
      <c r="H677" s="731">
        <v>7800.1090021240207</v>
      </c>
      <c r="I677" s="230">
        <f t="shared" si="11"/>
        <v>7998.6143186930549</v>
      </c>
      <c r="J677" s="79"/>
      <c r="K677" s="79"/>
      <c r="P677"/>
      <c r="Q677"/>
      <c r="R677"/>
    </row>
    <row r="678" spans="1:18" s="249" customFormat="1" ht="15" customHeight="1" x14ac:dyDescent="0.3">
      <c r="A678" s="110"/>
      <c r="B678" s="80"/>
      <c r="C678" s="106">
        <v>2023</v>
      </c>
      <c r="D678" s="107">
        <v>9</v>
      </c>
      <c r="E678" s="228"/>
      <c r="F678" s="226"/>
      <c r="G678" s="730">
        <v>8047.0173886805551</v>
      </c>
      <c r="H678" s="731">
        <v>8142.4596616809795</v>
      </c>
      <c r="I678" s="230">
        <f t="shared" si="11"/>
        <v>8340.9649782500128</v>
      </c>
      <c r="J678" s="79"/>
      <c r="K678" s="79"/>
    </row>
    <row r="679" spans="1:18" s="249" customFormat="1" ht="15" customHeight="1" x14ac:dyDescent="0.3">
      <c r="A679" s="79"/>
      <c r="B679" s="80"/>
      <c r="C679" s="106">
        <v>2024</v>
      </c>
      <c r="D679" s="107">
        <v>10</v>
      </c>
      <c r="E679" s="228"/>
      <c r="F679" s="226"/>
      <c r="G679" s="730">
        <v>8402.4126341118117</v>
      </c>
      <c r="H679" s="731">
        <v>8499.1640392516892</v>
      </c>
      <c r="I679" s="230">
        <f t="shared" si="11"/>
        <v>8697.6693558207226</v>
      </c>
      <c r="J679" s="79"/>
      <c r="K679" s="79"/>
    </row>
    <row r="680" spans="1:18" s="249" customFormat="1" ht="15" customHeight="1" x14ac:dyDescent="0.3">
      <c r="B680" s="80"/>
      <c r="C680" s="106">
        <v>2025</v>
      </c>
      <c r="D680" s="107">
        <v>11</v>
      </c>
      <c r="E680" s="228">
        <v>8434.4070842692217</v>
      </c>
      <c r="F680" s="226">
        <v>8434.4070842692217</v>
      </c>
      <c r="G680" s="730">
        <v>8773.5038541351969</v>
      </c>
      <c r="H680" s="731">
        <v>8870.715055946388</v>
      </c>
      <c r="I680" s="230">
        <f t="shared" si="11"/>
        <v>9069.2203725154213</v>
      </c>
      <c r="J680" s="79"/>
      <c r="K680" s="79"/>
    </row>
    <row r="681" spans="1:18" s="249" customFormat="1" ht="15" customHeight="1" x14ac:dyDescent="0.3">
      <c r="A681" s="890" t="s">
        <v>236</v>
      </c>
      <c r="B681" s="80"/>
      <c r="C681" s="106">
        <v>2026</v>
      </c>
      <c r="D681" s="107">
        <v>12</v>
      </c>
      <c r="E681" s="228"/>
      <c r="F681" s="226"/>
      <c r="G681" s="730">
        <v>9160.9842589766886</v>
      </c>
      <c r="H681" s="731">
        <v>9257.7567482497652</v>
      </c>
      <c r="I681" s="230">
        <f t="shared" si="11"/>
        <v>9456.2620648187985</v>
      </c>
      <c r="J681" s="79"/>
      <c r="K681" s="79"/>
    </row>
    <row r="682" spans="1:18" s="249" customFormat="1" ht="15" customHeight="1" x14ac:dyDescent="0.3">
      <c r="A682" s="891"/>
      <c r="B682" s="80"/>
      <c r="C682" s="106">
        <v>2027</v>
      </c>
      <c r="D682" s="107">
        <v>13</v>
      </c>
      <c r="E682" s="228"/>
      <c r="F682" s="226"/>
      <c r="G682" s="730">
        <v>9565.5776743818369</v>
      </c>
      <c r="H682" s="731">
        <v>9661.0371258988707</v>
      </c>
      <c r="I682" s="230">
        <f t="shared" si="11"/>
        <v>9859.542442467904</v>
      </c>
      <c r="J682" s="79"/>
      <c r="K682" s="79"/>
    </row>
    <row r="683" spans="1:18" s="249" customFormat="1" ht="15" customHeight="1" x14ac:dyDescent="0.3">
      <c r="A683" s="891"/>
      <c r="B683" s="80"/>
      <c r="C683" s="106">
        <v>2028</v>
      </c>
      <c r="D683" s="107">
        <v>14</v>
      </c>
      <c r="E683" s="228"/>
      <c r="F683" s="226"/>
      <c r="G683" s="730">
        <v>9988.0398937453392</v>
      </c>
      <c r="H683" s="731">
        <v>10081.259695395758</v>
      </c>
      <c r="I683" s="230">
        <f t="shared" si="11"/>
        <v>10279.765011964791</v>
      </c>
      <c r="J683" s="79"/>
      <c r="K683" s="79"/>
    </row>
    <row r="684" spans="1:18" s="249" customFormat="1" ht="15" customHeight="1" x14ac:dyDescent="0.3">
      <c r="A684" s="891"/>
      <c r="B684" s="80"/>
      <c r="C684" s="106">
        <v>2029</v>
      </c>
      <c r="D684" s="107">
        <v>15</v>
      </c>
      <c r="E684" s="228"/>
      <c r="F684" s="226"/>
      <c r="G684" s="730">
        <v>10429.160089957175</v>
      </c>
      <c r="H684" s="731">
        <v>10519.163689093311</v>
      </c>
      <c r="I684" s="230">
        <f t="shared" si="11"/>
        <v>10717.669005662345</v>
      </c>
      <c r="J684" s="79"/>
      <c r="K684" s="79"/>
    </row>
    <row r="685" spans="1:18" s="249" customFormat="1" ht="15" customHeight="1" x14ac:dyDescent="0.3">
      <c r="A685" s="891"/>
      <c r="B685" s="80"/>
      <c r="C685" s="106">
        <v>2030</v>
      </c>
      <c r="D685" s="107">
        <v>16</v>
      </c>
      <c r="E685" s="228">
        <v>10664.58470557771</v>
      </c>
      <c r="F685" s="226">
        <v>10664.58470557771</v>
      </c>
      <c r="G685" s="730">
        <v>10889.762289602717</v>
      </c>
      <c r="H685" s="731">
        <v>10975.514018460763</v>
      </c>
      <c r="I685" s="230">
        <f t="shared" si="11"/>
        <v>11174.019335029796</v>
      </c>
      <c r="J685" s="79"/>
      <c r="K685" s="79"/>
    </row>
    <row r="686" spans="1:18" s="249" customFormat="1" ht="15" customHeight="1" x14ac:dyDescent="0.3">
      <c r="A686" s="891"/>
      <c r="B686" s="80"/>
      <c r="C686" s="106">
        <v>2031</v>
      </c>
      <c r="D686" s="107">
        <v>17</v>
      </c>
      <c r="E686" s="228"/>
      <c r="F686" s="226"/>
      <c r="G686" s="730">
        <v>11370.706912270667</v>
      </c>
      <c r="H686" s="731">
        <v>11451.102642708554</v>
      </c>
      <c r="I686" s="230">
        <f t="shared" si="11"/>
        <v>11649.607959277588</v>
      </c>
      <c r="J686" s="79"/>
      <c r="K686" s="79"/>
    </row>
    <row r="687" spans="1:18" s="249" customFormat="1" ht="15" customHeight="1" x14ac:dyDescent="0.3">
      <c r="A687" s="891"/>
      <c r="B687" s="80"/>
      <c r="C687" s="106">
        <v>2032</v>
      </c>
      <c r="D687" s="107">
        <v>18</v>
      </c>
      <c r="E687" s="228"/>
      <c r="F687" s="226"/>
      <c r="G687" s="730">
        <v>11872.892377844257</v>
      </c>
      <c r="H687" s="731">
        <v>11946.793607696774</v>
      </c>
      <c r="I687" s="230">
        <f t="shared" si="11"/>
        <v>12145.298924265808</v>
      </c>
      <c r="J687" s="79"/>
      <c r="K687" s="79"/>
    </row>
    <row r="688" spans="1:18" s="249" customFormat="1" ht="15" customHeight="1" x14ac:dyDescent="0.3">
      <c r="A688" s="891"/>
      <c r="B688" s="80"/>
      <c r="C688" s="106">
        <v>2033</v>
      </c>
      <c r="D688" s="107">
        <v>19</v>
      </c>
      <c r="E688" s="228"/>
      <c r="F688" s="226"/>
      <c r="G688" s="730">
        <v>12397.256784778232</v>
      </c>
      <c r="H688" s="731">
        <v>12463.580681114681</v>
      </c>
      <c r="I688" s="230">
        <f t="shared" si="11"/>
        <v>12662.085997683715</v>
      </c>
      <c r="J688" s="79"/>
      <c r="K688" s="79"/>
    </row>
    <row r="689" spans="1:11" s="249" customFormat="1" ht="15" customHeight="1" x14ac:dyDescent="0.3">
      <c r="A689" s="891"/>
      <c r="B689" s="80"/>
      <c r="C689" s="106">
        <v>2034</v>
      </c>
      <c r="D689" s="107">
        <v>20</v>
      </c>
      <c r="E689" s="228"/>
      <c r="F689" s="226"/>
      <c r="G689" s="730">
        <v>12944.779662496654</v>
      </c>
      <c r="H689" s="731">
        <v>13002.552825983183</v>
      </c>
      <c r="I689" s="230">
        <f t="shared" si="11"/>
        <v>13201.058142552216</v>
      </c>
      <c r="J689" s="79"/>
      <c r="K689" s="79"/>
    </row>
    <row r="690" spans="1:11" s="249" customFormat="1" ht="15" customHeight="1" x14ac:dyDescent="0.3">
      <c r="A690" s="891"/>
      <c r="B690" s="80"/>
      <c r="C690" s="106">
        <v>2035</v>
      </c>
      <c r="D690" s="107">
        <v>21</v>
      </c>
      <c r="E690" s="228">
        <v>13130.948160521806</v>
      </c>
      <c r="F690" s="226">
        <v>13130.948160521806</v>
      </c>
      <c r="G690" s="730">
        <v>13516.483801185097</v>
      </c>
      <c r="H690" s="731">
        <v>13564.812535855928</v>
      </c>
      <c r="I690" s="230">
        <f t="shared" si="11"/>
        <v>13763.317852424962</v>
      </c>
      <c r="J690" s="79"/>
      <c r="K690" s="79"/>
    </row>
    <row r="691" spans="1:11" s="249" customFormat="1" ht="15" customHeight="1" x14ac:dyDescent="0.3">
      <c r="A691" s="891"/>
      <c r="B691" s="80"/>
      <c r="C691" s="106">
        <v>2036</v>
      </c>
      <c r="D691" s="107">
        <v>22</v>
      </c>
      <c r="E691" s="228"/>
      <c r="F691" s="226"/>
      <c r="G691" s="730">
        <v>14113.437162395297</v>
      </c>
      <c r="H691" s="731">
        <v>14151.440311613795</v>
      </c>
      <c r="I691" s="230">
        <f t="shared" si="11"/>
        <v>14349.945628182828</v>
      </c>
      <c r="J691" s="79"/>
      <c r="K691" s="79"/>
    </row>
    <row r="692" spans="1:11" s="249" customFormat="1" ht="15" customHeight="1" x14ac:dyDescent="0.3">
      <c r="A692" s="891"/>
      <c r="B692" s="80"/>
      <c r="C692" s="106">
        <v>2037</v>
      </c>
      <c r="D692" s="107">
        <v>23</v>
      </c>
      <c r="E692" s="228"/>
      <c r="F692" s="226"/>
      <c r="G692" s="730">
        <v>14736.754874031376</v>
      </c>
      <c r="H692" s="731">
        <v>14763.482843437907</v>
      </c>
      <c r="I692" s="230">
        <f t="shared" si="11"/>
        <v>14961.98816000694</v>
      </c>
      <c r="J692" s="79"/>
      <c r="K692" s="79"/>
    </row>
    <row r="693" spans="1:11" s="249" customFormat="1" ht="15" customHeight="1" x14ac:dyDescent="0.3">
      <c r="A693" s="891"/>
      <c r="B693" s="80"/>
      <c r="C693" s="106">
        <v>2038</v>
      </c>
      <c r="D693" s="107">
        <v>24</v>
      </c>
      <c r="E693" s="228"/>
      <c r="F693" s="226"/>
      <c r="G693" s="730">
        <v>15387.601313444304</v>
      </c>
      <c r="H693" s="731">
        <v>15402.003825039623</v>
      </c>
      <c r="I693" s="230">
        <f t="shared" si="11"/>
        <v>15600.509141608656</v>
      </c>
      <c r="J693" s="79"/>
      <c r="K693" s="79"/>
    </row>
    <row r="694" spans="1:11" s="249" customFormat="1" ht="15" customHeight="1" x14ac:dyDescent="0.3">
      <c r="A694" s="891"/>
      <c r="B694" s="80"/>
      <c r="C694" s="106">
        <v>2039</v>
      </c>
      <c r="D694" s="107">
        <v>25</v>
      </c>
      <c r="E694" s="228"/>
      <c r="F694" s="226"/>
      <c r="G694" s="730">
        <v>16067.192282525899</v>
      </c>
      <c r="H694" s="731">
        <v>16068.064316425201</v>
      </c>
      <c r="I694" s="230">
        <f t="shared" si="11"/>
        <v>16266.569632994235</v>
      </c>
      <c r="J694" s="79"/>
      <c r="K694" s="79"/>
    </row>
    <row r="695" spans="1:11" s="249" customFormat="1" ht="15" customHeight="1" x14ac:dyDescent="0.3">
      <c r="A695" s="891"/>
      <c r="B695" s="80"/>
      <c r="C695" s="106">
        <v>2040</v>
      </c>
      <c r="D695" s="107">
        <v>26</v>
      </c>
      <c r="E695" s="228">
        <v>17024.10691328346</v>
      </c>
      <c r="F695" s="226">
        <v>17024.10691328346</v>
      </c>
      <c r="G695" s="730">
        <v>16776.797278865513</v>
      </c>
      <c r="H695" s="731">
        <v>16762.778352640045</v>
      </c>
      <c r="I695" s="230">
        <f t="shared" si="11"/>
        <v>16961.283669209079</v>
      </c>
      <c r="J695" s="79"/>
      <c r="K695" s="79"/>
    </row>
    <row r="696" spans="1:11" s="249" customFormat="1" ht="15" customHeight="1" x14ac:dyDescent="0.3">
      <c r="A696" s="891"/>
      <c r="B696" s="80"/>
      <c r="C696" s="106">
        <v>2041</v>
      </c>
      <c r="D696" s="107">
        <v>27</v>
      </c>
      <c r="E696" s="228"/>
      <c r="F696" s="226"/>
      <c r="G696" s="730">
        <v>17517.741867211989</v>
      </c>
      <c r="H696" s="731">
        <v>17487.36523363107</v>
      </c>
      <c r="I696" s="230">
        <f t="shared" si="11"/>
        <v>17685.870550200103</v>
      </c>
      <c r="J696" s="79"/>
      <c r="K696" s="79"/>
    </row>
    <row r="697" spans="1:11" s="249" customFormat="1" ht="15" customHeight="1" x14ac:dyDescent="0.3">
      <c r="A697" s="891"/>
      <c r="B697" s="80"/>
      <c r="C697" s="106">
        <v>2042</v>
      </c>
      <c r="D697" s="107">
        <v>28</v>
      </c>
      <c r="E697" s="228"/>
      <c r="F697" s="226"/>
      <c r="G697" s="730">
        <v>18291.410155670852</v>
      </c>
      <c r="H697" s="731">
        <v>18243.116050464407</v>
      </c>
      <c r="I697" s="230">
        <f t="shared" si="11"/>
        <v>18441.62136703344</v>
      </c>
      <c r="J697" s="79"/>
      <c r="K697" s="79"/>
    </row>
    <row r="698" spans="1:11" s="249" customFormat="1" ht="15" customHeight="1" x14ac:dyDescent="0.3">
      <c r="A698" s="891"/>
      <c r="B698" s="80"/>
      <c r="C698" s="106">
        <v>2043</v>
      </c>
      <c r="D698" s="107">
        <v>29</v>
      </c>
      <c r="E698" s="228"/>
      <c r="F698" s="226"/>
      <c r="G698" s="730">
        <v>19099.247381262376</v>
      </c>
      <c r="H698" s="731">
        <v>19031.321291333919</v>
      </c>
      <c r="I698" s="230">
        <f t="shared" si="11"/>
        <v>19229.826607902953</v>
      </c>
      <c r="J698" s="79"/>
      <c r="K698" s="79"/>
    </row>
    <row r="699" spans="1:11" s="249" customFormat="1" ht="15" customHeight="1" x14ac:dyDescent="0.3">
      <c r="A699" s="891"/>
      <c r="B699" s="80"/>
      <c r="C699" s="106">
        <v>2044</v>
      </c>
      <c r="D699" s="107">
        <v>30</v>
      </c>
      <c r="E699" s="228"/>
      <c r="F699" s="226"/>
      <c r="G699" s="730">
        <v>19942.762609670375</v>
      </c>
      <c r="H699" s="731">
        <v>19853.314300318219</v>
      </c>
      <c r="I699" s="230">
        <f t="shared" si="11"/>
        <v>20051.819616887253</v>
      </c>
      <c r="J699" s="79"/>
      <c r="K699" s="79"/>
    </row>
    <row r="700" spans="1:11" s="249" customFormat="1" ht="15" customHeight="1" x14ac:dyDescent="0.3">
      <c r="A700" s="891"/>
      <c r="B700" s="80"/>
      <c r="C700" s="106">
        <v>2045</v>
      </c>
      <c r="D700" s="107">
        <v>31</v>
      </c>
      <c r="E700" s="228">
        <v>21519.332780882065</v>
      </c>
      <c r="F700" s="226">
        <v>21519.332780882065</v>
      </c>
      <c r="G700" s="730">
        <v>20823.531554225025</v>
      </c>
      <c r="H700" s="731">
        <v>20710.478850137242</v>
      </c>
      <c r="I700" s="230">
        <f t="shared" si="11"/>
        <v>20908.984166706276</v>
      </c>
      <c r="J700" s="79"/>
      <c r="K700" s="79"/>
    </row>
    <row r="701" spans="1:11" s="249" customFormat="1" ht="15" customHeight="1" x14ac:dyDescent="0.3">
      <c r="A701" s="891"/>
      <c r="B701" s="80"/>
      <c r="C701" s="106">
        <v>2046</v>
      </c>
      <c r="D701" s="107">
        <v>32</v>
      </c>
      <c r="E701" s="228"/>
      <c r="F701" s="226"/>
      <c r="G701" s="730">
        <v>21743.199519385566</v>
      </c>
      <c r="H701" s="731">
        <v>21604.268152822126</v>
      </c>
      <c r="I701" s="230">
        <f t="shared" si="11"/>
        <v>21802.773469391159</v>
      </c>
      <c r="J701" s="79"/>
      <c r="K701" s="79"/>
    </row>
    <row r="702" spans="1:11" s="249" customFormat="1" ht="15" customHeight="1" x14ac:dyDescent="0.3">
      <c r="A702" s="891"/>
      <c r="B702" s="80"/>
      <c r="C702" s="106">
        <v>2047</v>
      </c>
      <c r="D702" s="107">
        <v>33</v>
      </c>
      <c r="E702" s="228"/>
      <c r="F702" s="226"/>
      <c r="G702" s="730">
        <v>22703.484474221463</v>
      </c>
      <c r="H702" s="731">
        <v>22536.188741260383</v>
      </c>
      <c r="I702" s="230">
        <f t="shared" si="11"/>
        <v>22734.694057829416</v>
      </c>
      <c r="J702" s="79"/>
      <c r="K702" s="79"/>
    </row>
    <row r="703" spans="1:11" s="249" customFormat="1" ht="15" customHeight="1" x14ac:dyDescent="0.3">
      <c r="A703" s="892"/>
      <c r="B703" s="80"/>
      <c r="C703" s="106">
        <v>2048</v>
      </c>
      <c r="D703" s="107">
        <v>34</v>
      </c>
      <c r="E703" s="228"/>
      <c r="F703" s="226"/>
      <c r="G703" s="730">
        <v>23706.18026163341</v>
      </c>
      <c r="H703" s="731">
        <v>23507.780693879591</v>
      </c>
      <c r="I703" s="230">
        <f t="shared" si="11"/>
        <v>23706.286010448624</v>
      </c>
      <c r="J703" s="79"/>
      <c r="K703" s="79"/>
    </row>
    <row r="704" spans="1:11" s="249" customFormat="1" ht="15" customHeight="1" x14ac:dyDescent="0.3">
      <c r="A704" s="79"/>
      <c r="B704" s="79"/>
      <c r="C704" s="106">
        <v>2049</v>
      </c>
      <c r="D704" s="107">
        <v>35</v>
      </c>
      <c r="E704" s="228"/>
      <c r="F704" s="226"/>
      <c r="G704" s="730">
        <v>24753.159949308996</v>
      </c>
      <c r="H704" s="731">
        <v>24520.633528383481</v>
      </c>
      <c r="I704" s="230">
        <f t="shared" si="11"/>
        <v>24719.138844952515</v>
      </c>
      <c r="J704" s="79"/>
      <c r="K704" s="79"/>
    </row>
    <row r="705" spans="1:12" s="249" customFormat="1" ht="15" customHeight="1" x14ac:dyDescent="0.3">
      <c r="A705" s="79"/>
      <c r="B705" s="79"/>
      <c r="C705" s="106">
        <v>2050</v>
      </c>
      <c r="D705" s="111">
        <v>36</v>
      </c>
      <c r="E705" s="228">
        <v>26362.303488552854</v>
      </c>
      <c r="F705" s="226">
        <v>26362.303488552854</v>
      </c>
      <c r="G705" s="740">
        <v>25846.379328672898</v>
      </c>
      <c r="H705" s="741">
        <v>25576.399306685918</v>
      </c>
      <c r="I705" s="230">
        <f t="shared" si="11"/>
        <v>25774.904623254952</v>
      </c>
      <c r="J705" s="79"/>
      <c r="K705" s="79"/>
    </row>
    <row r="706" spans="1:12" s="249" customFormat="1" ht="15" customHeight="1" x14ac:dyDescent="0.3">
      <c r="A706" s="79"/>
      <c r="B706" s="79"/>
      <c r="C706" s="106">
        <v>2051</v>
      </c>
      <c r="D706" s="107">
        <v>37</v>
      </c>
      <c r="E706" s="228"/>
      <c r="F706" s="226"/>
      <c r="G706" s="730">
        <v>26987.88056836752</v>
      </c>
      <c r="H706" s="731">
        <v>26676.829454311628</v>
      </c>
      <c r="I706" s="230">
        <f t="shared" si="11"/>
        <v>26875.334770880661</v>
      </c>
      <c r="J706" s="79"/>
      <c r="K706" s="79"/>
    </row>
    <row r="707" spans="1:12" s="249" customFormat="1" ht="15" customHeight="1" x14ac:dyDescent="0.3">
      <c r="A707" s="79"/>
      <c r="B707" s="79"/>
      <c r="C707" s="106">
        <v>2052</v>
      </c>
      <c r="D707" s="107">
        <v>38</v>
      </c>
      <c r="E707" s="228"/>
      <c r="F707" s="226"/>
      <c r="G707" s="730">
        <v>28179.796029089186</v>
      </c>
      <c r="H707" s="731">
        <v>27823.735954018095</v>
      </c>
      <c r="I707" s="230">
        <f t="shared" si="11"/>
        <v>28022.241270587128</v>
      </c>
      <c r="J707" s="79"/>
      <c r="K707" s="79"/>
    </row>
    <row r="708" spans="1:12" s="249" customFormat="1" ht="15" customHeight="1" x14ac:dyDescent="0.3">
      <c r="A708" s="79"/>
      <c r="B708" s="79"/>
      <c r="C708" s="106">
        <v>2053</v>
      </c>
      <c r="D708" s="107">
        <v>39</v>
      </c>
      <c r="E708" s="228"/>
      <c r="F708" s="226"/>
      <c r="G708" s="730">
        <v>29424.352246905808</v>
      </c>
      <c r="H708" s="731">
        <v>29018.95207481139</v>
      </c>
      <c r="I708" s="230">
        <f t="shared" si="11"/>
        <v>29217.457391380423</v>
      </c>
      <c r="J708" s="79"/>
      <c r="K708" s="79"/>
    </row>
    <row r="709" spans="1:12" s="249" customFormat="1" ht="15" customHeight="1" x14ac:dyDescent="0.3">
      <c r="A709" s="79"/>
      <c r="B709" s="79"/>
      <c r="C709" s="106">
        <v>2054</v>
      </c>
      <c r="D709" s="107">
        <v>40</v>
      </c>
      <c r="E709" s="228"/>
      <c r="F709" s="226"/>
      <c r="G709" s="730">
        <v>30723.874092497281</v>
      </c>
      <c r="H709" s="731">
        <v>30264.363006906951</v>
      </c>
      <c r="I709" s="230">
        <f t="shared" si="11"/>
        <v>30462.868323475985</v>
      </c>
      <c r="J709" s="79"/>
      <c r="K709" s="79"/>
    </row>
    <row r="710" spans="1:12" s="249" customFormat="1" ht="15" customHeight="1" x14ac:dyDescent="0.3">
      <c r="A710" s="79"/>
      <c r="B710" s="79"/>
      <c r="C710" s="106">
        <v>2055</v>
      </c>
      <c r="D710" s="111">
        <v>41</v>
      </c>
      <c r="E710" s="228"/>
      <c r="F710" s="226"/>
      <c r="G710" s="740">
        <v>32080.789114087969</v>
      </c>
      <c r="H710" s="741">
        <v>31561.94931499919</v>
      </c>
      <c r="I710" s="230">
        <f t="shared" si="11"/>
        <v>31760.454631568224</v>
      </c>
      <c r="J710" s="79"/>
      <c r="K710" s="79"/>
    </row>
    <row r="711" spans="1:12" s="249" customFormat="1" ht="15" customHeight="1" x14ac:dyDescent="0.3">
      <c r="A711" s="79"/>
      <c r="B711" s="79"/>
      <c r="C711" s="106">
        <v>2056</v>
      </c>
      <c r="D711" s="107">
        <v>42</v>
      </c>
      <c r="E711" s="228"/>
      <c r="F711" s="226"/>
      <c r="G711" s="730">
        <v>33497.632072184169</v>
      </c>
      <c r="H711" s="731">
        <v>32913.802009947889</v>
      </c>
      <c r="I711" s="230">
        <f t="shared" si="11"/>
        <v>33112.307326516922</v>
      </c>
      <c r="J711" s="79"/>
      <c r="K711" s="79"/>
    </row>
    <row r="712" spans="1:12" s="249" customFormat="1" ht="15" customHeight="1" x14ac:dyDescent="0.3">
      <c r="A712" s="79"/>
      <c r="B712" s="79"/>
      <c r="C712" s="106">
        <v>2057</v>
      </c>
      <c r="D712" s="107">
        <v>43</v>
      </c>
      <c r="E712" s="228"/>
      <c r="F712" s="226"/>
      <c r="G712" s="730">
        <v>34977.049674587513</v>
      </c>
      <c r="H712" s="731">
        <v>34322.142639198028</v>
      </c>
      <c r="I712" s="230">
        <f t="shared" si="11"/>
        <v>34520.647955767061</v>
      </c>
      <c r="J712" s="79"/>
      <c r="K712" s="79"/>
    </row>
    <row r="713" spans="1:12" s="249" customFormat="1" ht="15" customHeight="1" x14ac:dyDescent="0.3">
      <c r="A713" s="79"/>
      <c r="B713" s="79"/>
      <c r="C713" s="106">
        <v>2058</v>
      </c>
      <c r="D713" s="107">
        <v>44</v>
      </c>
      <c r="E713" s="228"/>
      <c r="F713" s="226"/>
      <c r="G713" s="730">
        <v>36521.805520529524</v>
      </c>
      <c r="H713" s="731">
        <v>35789.313825998404</v>
      </c>
      <c r="I713" s="230">
        <f t="shared" si="11"/>
        <v>35987.819142567438</v>
      </c>
      <c r="J713" s="79"/>
      <c r="K713" s="79"/>
    </row>
    <row r="714" spans="1:12" s="249" customFormat="1" ht="15" customHeight="1" x14ac:dyDescent="0.3">
      <c r="A714" s="79"/>
      <c r="B714" s="79"/>
      <c r="C714" s="106">
        <v>2059</v>
      </c>
      <c r="D714" s="107">
        <v>45</v>
      </c>
      <c r="E714" s="228"/>
      <c r="F714" s="226"/>
      <c r="G714" s="730">
        <v>38134.785263163016</v>
      </c>
      <c r="H714" s="731">
        <v>37317.789363062759</v>
      </c>
      <c r="I714" s="230">
        <f t="shared" si="11"/>
        <v>37516.294679631792</v>
      </c>
      <c r="J714" s="79"/>
      <c r="K714" s="79"/>
    </row>
    <row r="715" spans="1:12" s="249" customFormat="1" ht="15" customHeight="1" x14ac:dyDescent="0.3">
      <c r="A715" s="79"/>
      <c r="B715" s="79"/>
      <c r="C715" s="112">
        <v>2060</v>
      </c>
      <c r="D715" s="111">
        <v>46</v>
      </c>
      <c r="E715" s="228"/>
      <c r="F715" s="226"/>
      <c r="G715" s="740">
        <v>39819.002000054184</v>
      </c>
      <c r="H715" s="741">
        <v>38910.143553746544</v>
      </c>
      <c r="I715" s="230">
        <f t="shared" si="11"/>
        <v>39108.648870315577</v>
      </c>
      <c r="J715" s="79"/>
      <c r="K715" s="79"/>
    </row>
    <row r="716" spans="1:12" s="249" customFormat="1" ht="15" customHeight="1" x14ac:dyDescent="0.3">
      <c r="A716" s="79"/>
      <c r="C716" s="5"/>
      <c r="D716" s="5"/>
      <c r="E716" s="5"/>
      <c r="F716" s="5"/>
      <c r="G716" s="5"/>
      <c r="H716" s="5"/>
      <c r="I716" s="5"/>
      <c r="J716" s="5"/>
      <c r="K716" s="5"/>
    </row>
    <row r="717" spans="1:12" ht="15" customHeight="1" x14ac:dyDescent="0.3">
      <c r="A717" s="5"/>
      <c r="B717" s="249"/>
      <c r="C717" s="5"/>
      <c r="D717" s="5"/>
      <c r="E717" s="5"/>
      <c r="F717" s="5"/>
      <c r="G717" s="5"/>
      <c r="H717" s="5"/>
      <c r="I717" s="5"/>
      <c r="J717" s="5"/>
      <c r="K717" s="5"/>
      <c r="L717" s="249"/>
    </row>
    <row r="718" spans="1:12" ht="15" customHeight="1" x14ac:dyDescent="0.3">
      <c r="A718" s="231" t="s">
        <v>190</v>
      </c>
      <c r="B718" s="249"/>
      <c r="C718" s="249"/>
      <c r="D718" s="249"/>
      <c r="E718" s="249"/>
      <c r="F718" s="249"/>
      <c r="G718" s="249"/>
      <c r="H718" s="249"/>
      <c r="I718" s="249"/>
      <c r="J718" s="249"/>
      <c r="K718" s="249"/>
      <c r="L718" s="249"/>
    </row>
  </sheetData>
  <mergeCells count="59">
    <mergeCell ref="C525:R525"/>
    <mergeCell ref="F657:F658"/>
    <mergeCell ref="A664:A667"/>
    <mergeCell ref="A681:A703"/>
    <mergeCell ref="K659:L663"/>
    <mergeCell ref="J660:J666"/>
    <mergeCell ref="F592:F593"/>
    <mergeCell ref="A599:A602"/>
    <mergeCell ref="A616:A638"/>
    <mergeCell ref="K594:L598"/>
    <mergeCell ref="J595:J601"/>
    <mergeCell ref="F527:F528"/>
    <mergeCell ref="A534:A537"/>
    <mergeCell ref="A551:A573"/>
    <mergeCell ref="K529:L533"/>
    <mergeCell ref="J530:J536"/>
    <mergeCell ref="A2:O4"/>
    <mergeCell ref="F72:F73"/>
    <mergeCell ref="A79:A82"/>
    <mergeCell ref="F7:F8"/>
    <mergeCell ref="A14:A17"/>
    <mergeCell ref="K9:L13"/>
    <mergeCell ref="J10:J16"/>
    <mergeCell ref="A31:A53"/>
    <mergeCell ref="F137:F138"/>
    <mergeCell ref="A144:A147"/>
    <mergeCell ref="K74:L78"/>
    <mergeCell ref="J75:J81"/>
    <mergeCell ref="A96:A118"/>
    <mergeCell ref="F202:F203"/>
    <mergeCell ref="A209:A212"/>
    <mergeCell ref="K399:L403"/>
    <mergeCell ref="K139:L143"/>
    <mergeCell ref="J140:J146"/>
    <mergeCell ref="A161:A183"/>
    <mergeCell ref="J400:J406"/>
    <mergeCell ref="A404:A407"/>
    <mergeCell ref="F267:F268"/>
    <mergeCell ref="K269:L273"/>
    <mergeCell ref="J270:J276"/>
    <mergeCell ref="A274:A277"/>
    <mergeCell ref="F332:F333"/>
    <mergeCell ref="C265:R265"/>
    <mergeCell ref="Q2:S3"/>
    <mergeCell ref="A486:A508"/>
    <mergeCell ref="A421:A443"/>
    <mergeCell ref="A356:A378"/>
    <mergeCell ref="A291:A313"/>
    <mergeCell ref="K204:L208"/>
    <mergeCell ref="J205:J211"/>
    <mergeCell ref="A226:A248"/>
    <mergeCell ref="F462:F463"/>
    <mergeCell ref="K464:L468"/>
    <mergeCell ref="J465:J471"/>
    <mergeCell ref="A469:A472"/>
    <mergeCell ref="K334:L338"/>
    <mergeCell ref="J335:J341"/>
    <mergeCell ref="A339:A342"/>
    <mergeCell ref="F397:F398"/>
  </mergeCells>
  <hyperlinks>
    <hyperlink ref="A328" location="'Interp-NONURBAN'!A1" display="Back to top" xr:uid="{074FE6A2-B2F0-4A2D-A524-63EBE1822C1B}"/>
    <hyperlink ref="A393" location="'Interp-NONURBAN'!A1" display="Back to top" xr:uid="{F5018745-6B9C-4D21-ACF1-8CA3558A227F}"/>
    <hyperlink ref="A458" location="'Interp-NONURBAN'!A1" display="Back to top" xr:uid="{9BE806F6-8B26-4B9E-906E-1018E567ECB3}"/>
    <hyperlink ref="A523" location="'Interp-NONURBAN'!A1" display="Back to top" xr:uid="{CEB2C34D-4A02-4E12-AC1B-EF6971AEC8D7}"/>
    <hyperlink ref="A263" location="'Interp-NONURBAN'!A1" display="Back to top" xr:uid="{689A473D-128A-4BC9-812F-00A9E0B1C21A}"/>
    <hyperlink ref="A198" location="'Interp-NONURBAN'!A1" display="Back to top" xr:uid="{9CC8769A-2CC3-459B-B229-AD66F806E503}"/>
    <hyperlink ref="A133" location="'Interp-NONURBAN'!A1" display="Back to top" xr:uid="{0DEFD155-4809-4E5D-95D5-0272D17E07D6}"/>
    <hyperlink ref="A68" location="'Interp-NONURBAN'!A1" display="Back to top" xr:uid="{1CFB0B37-9321-4A20-805E-470152912C6B}"/>
    <hyperlink ref="A588" location="'Interp-NONURBAN'!A1" display="Back to top" xr:uid="{3EA8A853-11FC-4CF5-B6CB-5A4EA5B73329}"/>
    <hyperlink ref="A653" location="'Interp-NONURBAN'!A1" display="Back to top" xr:uid="{49B45F52-82B7-4A0F-B309-FD9BC618D8DA}"/>
    <hyperlink ref="A718" location="'Interp-NONURBAN'!A1" display="Back to top" xr:uid="{33BF0286-E04E-46C1-9948-C00746C089C9}"/>
    <hyperlink ref="Q2:S3" location="'Table of Contents'!A1" display="Back to Table of Contents" xr:uid="{D31F5F61-3F6D-4543-ACE9-3B95B5E58B3D}"/>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59999389629810485"/>
  </sheetPr>
  <dimension ref="A1:V168"/>
  <sheetViews>
    <sheetView zoomScale="80" zoomScaleNormal="80" workbookViewId="0"/>
  </sheetViews>
  <sheetFormatPr defaultColWidth="15.21875" defaultRowHeight="15" customHeight="1" x14ac:dyDescent="0.3"/>
  <cols>
    <col min="1" max="1" width="9.77734375" customWidth="1"/>
    <col min="2" max="3" width="14" customWidth="1"/>
    <col min="4" max="4" width="10.5546875" customWidth="1"/>
    <col min="5" max="6" width="7.5546875" customWidth="1"/>
    <col min="7" max="7" width="13.77734375" customWidth="1"/>
    <col min="8" max="9" width="7.5546875" customWidth="1"/>
    <col min="10" max="10" width="15.44140625" customWidth="1"/>
    <col min="11" max="12" width="7.5546875" customWidth="1"/>
    <col min="13" max="13" width="13.77734375" customWidth="1"/>
    <col min="14" max="20" width="7.5546875" customWidth="1"/>
    <col min="21" max="21" width="13.77734375" bestFit="1" customWidth="1"/>
    <col min="22" max="26" width="7.5546875" customWidth="1"/>
  </cols>
  <sheetData>
    <row r="1" spans="1:22" s="184" customFormat="1" ht="15" customHeight="1" thickBot="1" x14ac:dyDescent="0.45">
      <c r="A1" s="115" t="s">
        <v>71</v>
      </c>
      <c r="B1" s="115"/>
      <c r="C1" s="2"/>
    </row>
    <row r="2" spans="1:22" s="184" customFormat="1" ht="15" customHeight="1" x14ac:dyDescent="0.3">
      <c r="A2" s="833" t="s">
        <v>210</v>
      </c>
      <c r="B2" s="849"/>
      <c r="C2" s="849"/>
      <c r="D2" s="849"/>
      <c r="E2" s="849"/>
      <c r="F2" s="849"/>
      <c r="G2" s="849"/>
      <c r="H2" s="849"/>
      <c r="I2" s="849"/>
      <c r="J2" s="849"/>
      <c r="K2" s="849"/>
      <c r="L2" s="849"/>
      <c r="M2" s="849"/>
      <c r="N2" s="849"/>
      <c r="O2" s="849"/>
      <c r="Q2" s="815" t="s">
        <v>467</v>
      </c>
      <c r="R2" s="816"/>
      <c r="S2" s="817"/>
    </row>
    <row r="3" spans="1:22" s="184" customFormat="1" ht="15" customHeight="1" thickBot="1" x14ac:dyDescent="0.35">
      <c r="A3" s="849"/>
      <c r="B3" s="849"/>
      <c r="C3" s="849"/>
      <c r="D3" s="849"/>
      <c r="E3" s="849"/>
      <c r="F3" s="849"/>
      <c r="G3" s="849"/>
      <c r="H3" s="849"/>
      <c r="I3" s="849"/>
      <c r="J3" s="849"/>
      <c r="K3" s="849"/>
      <c r="L3" s="849"/>
      <c r="M3" s="849"/>
      <c r="N3" s="849"/>
      <c r="O3" s="849"/>
      <c r="Q3" s="818"/>
      <c r="R3" s="819"/>
      <c r="S3" s="820"/>
    </row>
    <row r="4" spans="1:22" ht="15.75" customHeight="1" x14ac:dyDescent="0.3">
      <c r="A4" s="849"/>
      <c r="B4" s="849"/>
      <c r="C4" s="849"/>
      <c r="D4" s="849"/>
      <c r="E4" s="849"/>
      <c r="F4" s="849"/>
      <c r="G4" s="849"/>
      <c r="H4" s="849"/>
      <c r="I4" s="849"/>
      <c r="J4" s="849"/>
      <c r="K4" s="849"/>
      <c r="L4" s="849"/>
      <c r="M4" s="849"/>
      <c r="N4" s="849"/>
      <c r="O4" s="849"/>
    </row>
    <row r="5" spans="1:22" ht="15.75" customHeight="1" x14ac:dyDescent="0.3">
      <c r="A5" s="4" t="s">
        <v>46</v>
      </c>
      <c r="B5" s="2"/>
      <c r="C5" s="2"/>
      <c r="D5" s="2"/>
      <c r="G5" s="2"/>
      <c r="J5" s="120"/>
      <c r="K5" s="120"/>
      <c r="M5" s="2"/>
    </row>
    <row r="6" spans="1:22" ht="45" customHeight="1" x14ac:dyDescent="0.3">
      <c r="A6" s="8" t="s">
        <v>128</v>
      </c>
      <c r="B6" s="9" t="s">
        <v>47</v>
      </c>
      <c r="C6" s="9" t="s">
        <v>178</v>
      </c>
      <c r="D6" s="9" t="s">
        <v>49</v>
      </c>
      <c r="E6" s="13"/>
      <c r="F6" s="14" t="s">
        <v>50</v>
      </c>
      <c r="G6" s="11" t="s">
        <v>7</v>
      </c>
      <c r="H6" s="11" t="s">
        <v>27</v>
      </c>
      <c r="I6" s="14" t="s">
        <v>51</v>
      </c>
      <c r="J6" s="11" t="s">
        <v>9</v>
      </c>
      <c r="K6" s="11" t="s">
        <v>27</v>
      </c>
      <c r="L6" s="14" t="s">
        <v>52</v>
      </c>
      <c r="M6" s="11" t="s">
        <v>10</v>
      </c>
      <c r="N6" s="11" t="s">
        <v>27</v>
      </c>
    </row>
    <row r="7" spans="1:22" ht="37.200000000000003" customHeight="1" x14ac:dyDescent="0.3">
      <c r="A7" s="16"/>
      <c r="B7" s="17"/>
      <c r="C7" s="17"/>
      <c r="D7" s="17"/>
      <c r="E7" s="122" t="s">
        <v>276</v>
      </c>
      <c r="F7" s="17"/>
      <c r="G7" s="271" t="s">
        <v>762</v>
      </c>
      <c r="H7" s="17" t="s">
        <v>30</v>
      </c>
      <c r="I7" s="17"/>
      <c r="J7" s="271" t="s">
        <v>765</v>
      </c>
      <c r="K7" s="17" t="s">
        <v>30</v>
      </c>
      <c r="L7" s="17"/>
      <c r="M7" s="271" t="s">
        <v>768</v>
      </c>
      <c r="N7" s="17" t="s">
        <v>30</v>
      </c>
    </row>
    <row r="8" spans="1:22" ht="18.75" customHeight="1" x14ac:dyDescent="0.3">
      <c r="A8" s="8"/>
      <c r="B8" s="19">
        <f>AVERAGE('Freight TAM Data'!C11:E11)</f>
        <v>111304101.36378722</v>
      </c>
      <c r="C8" s="19">
        <f t="shared" ref="C8:C56" si="0">B8-G8-J8-M8</f>
        <v>111304101.36378722</v>
      </c>
      <c r="D8" s="26">
        <f t="shared" ref="D8:D56" si="1">C8/B8</f>
        <v>1</v>
      </c>
      <c r="E8" s="7">
        <v>2012</v>
      </c>
      <c r="F8" s="7"/>
      <c r="G8" s="97"/>
      <c r="H8" s="26">
        <f t="shared" ref="H8:H56" si="2">G8/$B8</f>
        <v>0</v>
      </c>
      <c r="J8" s="97"/>
      <c r="K8" s="26">
        <f t="shared" ref="K8:K56" si="3">J8/$B8</f>
        <v>0</v>
      </c>
      <c r="L8" s="24"/>
      <c r="M8" s="97"/>
      <c r="N8" s="26">
        <f t="shared" ref="N8:N56" si="4">M8/$B8</f>
        <v>0</v>
      </c>
    </row>
    <row r="9" spans="1:22" ht="18.75" customHeight="1" x14ac:dyDescent="0.3">
      <c r="A9" s="8"/>
      <c r="B9" s="19">
        <f>AVERAGE('Freight TAM Data'!C12:E12)</f>
        <v>114809281.73291987</v>
      </c>
      <c r="C9" s="19">
        <f t="shared" si="0"/>
        <v>114809281.73291987</v>
      </c>
      <c r="D9" s="26">
        <f t="shared" si="1"/>
        <v>1</v>
      </c>
      <c r="E9" s="7">
        <v>2013</v>
      </c>
      <c r="F9" s="7"/>
      <c r="G9" s="97"/>
      <c r="H9" s="26">
        <f t="shared" si="2"/>
        <v>0</v>
      </c>
      <c r="J9" s="97"/>
      <c r="K9" s="26">
        <f t="shared" si="3"/>
        <v>0</v>
      </c>
      <c r="L9" s="24"/>
      <c r="M9" s="97"/>
      <c r="N9" s="26">
        <f t="shared" si="4"/>
        <v>0</v>
      </c>
    </row>
    <row r="10" spans="1:22" ht="14.4" x14ac:dyDescent="0.3">
      <c r="A10" s="847" t="s">
        <v>179</v>
      </c>
      <c r="B10" s="19">
        <f>AVERAGE('Freight TAM Data'!C13:E13)</f>
        <v>120041145.08637774</v>
      </c>
      <c r="C10" s="19">
        <f t="shared" si="0"/>
        <v>112304580.10219303</v>
      </c>
      <c r="D10" s="26">
        <f t="shared" si="1"/>
        <v>0.93555072322396016</v>
      </c>
      <c r="E10" s="117">
        <v>2014</v>
      </c>
      <c r="F10" s="117"/>
      <c r="G10" s="96">
        <v>304732.46181197831</v>
      </c>
      <c r="H10" s="26">
        <f t="shared" si="2"/>
        <v>2.5385667688583163E-3</v>
      </c>
      <c r="I10" s="119"/>
      <c r="J10" s="25">
        <v>4675431.2690049233</v>
      </c>
      <c r="K10" s="26">
        <f t="shared" si="3"/>
        <v>3.8948572721799961E-2</v>
      </c>
      <c r="L10" s="118"/>
      <c r="M10" s="25">
        <v>2756401.253367804</v>
      </c>
      <c r="N10" s="26">
        <f t="shared" si="4"/>
        <v>2.2962137285381497E-2</v>
      </c>
      <c r="O10" s="119"/>
      <c r="U10" s="760"/>
      <c r="V10" s="760"/>
    </row>
    <row r="11" spans="1:22" ht="14.4" x14ac:dyDescent="0.3">
      <c r="A11" s="848"/>
      <c r="B11" s="19">
        <f>AVERAGE('Freight TAM Data'!C14:E14)</f>
        <v>121402579.56495498</v>
      </c>
      <c r="C11" s="19">
        <f t="shared" si="0"/>
        <v>112692197.01720497</v>
      </c>
      <c r="D11" s="26">
        <f t="shared" si="1"/>
        <v>0.92825208015378602</v>
      </c>
      <c r="E11" s="7">
        <v>2015</v>
      </c>
      <c r="F11" s="7"/>
      <c r="G11" s="96">
        <v>475099.27776347531</v>
      </c>
      <c r="H11" s="26">
        <f t="shared" si="2"/>
        <v>3.9134199575164641E-3</v>
      </c>
      <c r="J11" s="25">
        <v>4920303.9913424542</v>
      </c>
      <c r="K11" s="26">
        <f t="shared" si="3"/>
        <v>4.0528825738088255E-2</v>
      </c>
      <c r="L11" s="24"/>
      <c r="M11" s="25">
        <v>3314979.2786440905</v>
      </c>
      <c r="N11" s="26">
        <f t="shared" si="4"/>
        <v>2.7305674150609385E-2</v>
      </c>
      <c r="R11" s="100"/>
      <c r="U11" s="809"/>
      <c r="V11" s="760"/>
    </row>
    <row r="12" spans="1:22" ht="14.4" x14ac:dyDescent="0.3">
      <c r="B12" s="19">
        <f>AVERAGE('Freight TAM Data'!C15:E15)</f>
        <v>125419175.00682679</v>
      </c>
      <c r="C12" s="19">
        <f t="shared" si="0"/>
        <v>116037910.45650178</v>
      </c>
      <c r="D12" s="26">
        <f t="shared" si="1"/>
        <v>0.92520071552205341</v>
      </c>
      <c r="E12" s="7">
        <v>2016</v>
      </c>
      <c r="F12" s="7"/>
      <c r="G12" s="96">
        <v>660286.80985134712</v>
      </c>
      <c r="H12" s="26">
        <f t="shared" si="2"/>
        <v>5.2646400346311201E-3</v>
      </c>
      <c r="J12" s="25">
        <v>5165176.7136799851</v>
      </c>
      <c r="K12" s="26">
        <f t="shared" si="3"/>
        <v>4.1183309596788814E-2</v>
      </c>
      <c r="L12" s="24"/>
      <c r="M12" s="25">
        <v>3555801.0267936778</v>
      </c>
      <c r="N12" s="26">
        <f t="shared" si="4"/>
        <v>2.8351334846526691E-2</v>
      </c>
      <c r="R12" s="100"/>
      <c r="U12" s="809"/>
      <c r="V12" s="760"/>
    </row>
    <row r="13" spans="1:22" ht="14.4" x14ac:dyDescent="0.3">
      <c r="B13" s="19">
        <f>AVERAGE('Freight TAM Data'!C16:E16)</f>
        <v>131106488.58192991</v>
      </c>
      <c r="C13" s="19">
        <f t="shared" si="0"/>
        <v>121050151.9816311</v>
      </c>
      <c r="D13" s="26">
        <f t="shared" si="1"/>
        <v>0.92329642331916706</v>
      </c>
      <c r="E13" s="7">
        <v>2017</v>
      </c>
      <c r="F13" s="7"/>
      <c r="G13" s="96">
        <v>853343.22519254731</v>
      </c>
      <c r="H13" s="26">
        <f t="shared" si="2"/>
        <v>6.5087794999504059E-3</v>
      </c>
      <c r="J13" s="25">
        <v>5410049.4360176241</v>
      </c>
      <c r="K13" s="26">
        <f t="shared" si="3"/>
        <v>4.1264543765405053E-2</v>
      </c>
      <c r="L13" s="24"/>
      <c r="M13" s="25">
        <v>3792943.9390886365</v>
      </c>
      <c r="N13" s="26">
        <f t="shared" si="4"/>
        <v>2.8930253415477478E-2</v>
      </c>
      <c r="R13" s="100"/>
      <c r="U13" s="809"/>
      <c r="V13" s="760"/>
    </row>
    <row r="14" spans="1:22" ht="14.4" x14ac:dyDescent="0.3">
      <c r="B14" s="19">
        <f>AVERAGE('Freight TAM Data'!C17:E17)</f>
        <v>136014167.4935613</v>
      </c>
      <c r="C14" s="19">
        <f t="shared" si="0"/>
        <v>125276921.52115393</v>
      </c>
      <c r="D14" s="26">
        <f t="shared" si="1"/>
        <v>0.92105788558448765</v>
      </c>
      <c r="E14" s="7">
        <v>2018</v>
      </c>
      <c r="F14" s="7"/>
      <c r="G14" s="96">
        <v>1055789.453035265</v>
      </c>
      <c r="H14" s="26">
        <f t="shared" si="2"/>
        <v>7.7623491176773514E-3</v>
      </c>
      <c r="J14" s="25">
        <v>5654922.158355088</v>
      </c>
      <c r="K14" s="26">
        <f t="shared" si="3"/>
        <v>4.1575978903982805E-2</v>
      </c>
      <c r="L14" s="24"/>
      <c r="M14" s="25">
        <v>4026534.3610170153</v>
      </c>
      <c r="N14" s="26">
        <f t="shared" si="4"/>
        <v>2.9603786393852135E-2</v>
      </c>
      <c r="R14" s="100"/>
      <c r="U14" s="809"/>
      <c r="V14" s="760"/>
    </row>
    <row r="15" spans="1:22" ht="14.4" x14ac:dyDescent="0.3">
      <c r="B15" s="19">
        <f>AVERAGE('Freight TAM Data'!C18:E18)</f>
        <v>138615066.64722213</v>
      </c>
      <c r="C15" s="19">
        <f t="shared" si="0"/>
        <v>124546389.68623884</v>
      </c>
      <c r="D15" s="26">
        <f t="shared" si="1"/>
        <v>0.89850542728671534</v>
      </c>
      <c r="E15" s="7">
        <v>2019</v>
      </c>
      <c r="F15" s="7"/>
      <c r="G15" s="96">
        <v>3792081.0942653767</v>
      </c>
      <c r="H15" s="26">
        <f t="shared" si="2"/>
        <v>2.7356918594688497E-2</v>
      </c>
      <c r="J15" s="25">
        <v>6019897.2286510654</v>
      </c>
      <c r="K15" s="26">
        <f t="shared" si="3"/>
        <v>4.3428880959757526E-2</v>
      </c>
      <c r="L15" s="24"/>
      <c r="M15" s="25">
        <v>4256698.6380668618</v>
      </c>
      <c r="N15" s="26">
        <f t="shared" si="4"/>
        <v>3.0708773158838767E-2</v>
      </c>
      <c r="R15" s="100"/>
      <c r="U15" s="809"/>
      <c r="V15" s="760"/>
    </row>
    <row r="16" spans="1:22" ht="14.4" x14ac:dyDescent="0.3">
      <c r="A16" s="119"/>
      <c r="B16" s="19">
        <f>AVERAGE('Freight TAM Data'!C19:E19)</f>
        <v>143607177.61110789</v>
      </c>
      <c r="C16" s="19">
        <f t="shared" si="0"/>
        <v>126915992.1566928</v>
      </c>
      <c r="D16" s="26">
        <f t="shared" si="1"/>
        <v>0.88377192747555233</v>
      </c>
      <c r="E16" s="117">
        <v>2020</v>
      </c>
      <c r="F16" s="117"/>
      <c r="G16" s="96">
        <v>4230432.8194490932</v>
      </c>
      <c r="H16" s="26">
        <f t="shared" si="2"/>
        <v>2.9458366147305112E-2</v>
      </c>
      <c r="I16" s="119"/>
      <c r="J16" s="25">
        <v>7977189.5192397516</v>
      </c>
      <c r="K16" s="26">
        <f t="shared" si="3"/>
        <v>5.5548682537597087E-2</v>
      </c>
      <c r="L16" s="118"/>
      <c r="M16" s="25">
        <v>4483563.115726226</v>
      </c>
      <c r="N16" s="26">
        <f t="shared" si="4"/>
        <v>3.1221023839545375E-2</v>
      </c>
      <c r="O16" s="119"/>
      <c r="R16" s="100"/>
      <c r="U16" s="809"/>
      <c r="V16" s="760"/>
    </row>
    <row r="17" spans="2:22" ht="14.4" x14ac:dyDescent="0.3">
      <c r="B17" s="19">
        <f>AVERAGE('Freight TAM Data'!C20:E20)</f>
        <v>147638211.06368932</v>
      </c>
      <c r="C17" s="19">
        <f t="shared" si="0"/>
        <v>128254805.42914812</v>
      </c>
      <c r="D17" s="26">
        <f t="shared" si="1"/>
        <v>0.86871010225002365</v>
      </c>
      <c r="E17" s="7">
        <v>2021</v>
      </c>
      <c r="F17" s="7"/>
      <c r="G17" s="96">
        <v>4666355.0085148234</v>
      </c>
      <c r="H17" s="26">
        <f t="shared" si="2"/>
        <v>3.1606688911326723E-2</v>
      </c>
      <c r="J17" s="25">
        <v>10009796.48654322</v>
      </c>
      <c r="K17" s="26">
        <f t="shared" si="3"/>
        <v>6.7799497260401756E-2</v>
      </c>
      <c r="L17" s="24"/>
      <c r="M17" s="25">
        <v>4707254.1394831557</v>
      </c>
      <c r="N17" s="26">
        <f t="shared" si="4"/>
        <v>3.1883711578247882E-2</v>
      </c>
      <c r="R17" s="100"/>
      <c r="U17" s="809"/>
      <c r="V17" s="760"/>
    </row>
    <row r="18" spans="2:22" ht="14.4" x14ac:dyDescent="0.3">
      <c r="B18" s="19">
        <f>AVERAGE('Freight TAM Data'!C21:E21)</f>
        <v>152389535.28659737</v>
      </c>
      <c r="C18" s="19">
        <f t="shared" si="0"/>
        <v>130243759.98572505</v>
      </c>
      <c r="D18" s="26">
        <f t="shared" si="1"/>
        <v>0.85467653497844842</v>
      </c>
      <c r="E18" s="7">
        <v>2022</v>
      </c>
      <c r="F18" s="7"/>
      <c r="G18" s="96">
        <v>5099765.2627519444</v>
      </c>
      <c r="H18" s="26">
        <f t="shared" si="2"/>
        <v>3.3465324591750154E-2</v>
      </c>
      <c r="J18" s="25">
        <v>12118111.983294697</v>
      </c>
      <c r="K18" s="26">
        <f t="shared" si="3"/>
        <v>7.9520630865526909E-2</v>
      </c>
      <c r="L18" s="24"/>
      <c r="M18" s="25">
        <v>4927898.054825699</v>
      </c>
      <c r="N18" s="26">
        <f t="shared" si="4"/>
        <v>3.2337509564274565E-2</v>
      </c>
      <c r="R18" s="100"/>
      <c r="U18" s="809"/>
      <c r="V18" s="760"/>
    </row>
    <row r="19" spans="2:22" ht="14.4" x14ac:dyDescent="0.3">
      <c r="B19" s="19">
        <f>AVERAGE('Freight TAM Data'!C22:E22)</f>
        <v>157362816.04242453</v>
      </c>
      <c r="C19" s="19">
        <f>B19-G19-J19-M19</f>
        <v>132383267.17762624</v>
      </c>
      <c r="D19" s="26">
        <f t="shared" si="1"/>
        <v>0.84126142698117523</v>
      </c>
      <c r="E19" s="7">
        <v>2023</v>
      </c>
      <c r="F19" s="7"/>
      <c r="G19" s="96">
        <v>5530581.1834498383</v>
      </c>
      <c r="H19" s="26">
        <f t="shared" si="2"/>
        <v>3.5145413144861429E-2</v>
      </c>
      <c r="J19" s="25">
        <v>14303346.474106548</v>
      </c>
      <c r="K19" s="26">
        <f t="shared" si="3"/>
        <v>9.0894067822543348E-2</v>
      </c>
      <c r="L19" s="24"/>
      <c r="M19" s="25">
        <v>5145621.207241904</v>
      </c>
      <c r="N19" s="26">
        <f t="shared" si="4"/>
        <v>3.2699092051419951E-2</v>
      </c>
      <c r="R19" s="100"/>
      <c r="U19" s="809"/>
      <c r="V19" s="760"/>
    </row>
    <row r="20" spans="2:22" ht="14.4" x14ac:dyDescent="0.3">
      <c r="B20" s="19">
        <f>AVERAGE('Freight TAM Data'!C23:E23)</f>
        <v>162578731.36562198</v>
      </c>
      <c r="C20" s="19">
        <f t="shared" si="0"/>
        <v>134691950.21937135</v>
      </c>
      <c r="D20" s="26">
        <f t="shared" si="1"/>
        <v>0.82847214446804684</v>
      </c>
      <c r="E20" s="7">
        <v>2024</v>
      </c>
      <c r="F20" s="7"/>
      <c r="G20" s="96">
        <v>5958720.3718978819</v>
      </c>
      <c r="H20" s="26">
        <f t="shared" si="2"/>
        <v>3.6651290865945832E-2</v>
      </c>
      <c r="J20" s="25">
        <v>16567510.832132936</v>
      </c>
      <c r="K20" s="26">
        <f t="shared" si="3"/>
        <v>0.10190453999099301</v>
      </c>
      <c r="L20" s="24"/>
      <c r="M20" s="25">
        <v>5360549.9422198208</v>
      </c>
      <c r="N20" s="26">
        <f t="shared" si="4"/>
        <v>3.2972024675014373E-2</v>
      </c>
      <c r="R20" s="100"/>
      <c r="U20" s="809"/>
      <c r="V20" s="760"/>
    </row>
    <row r="21" spans="2:22" ht="14.4" x14ac:dyDescent="0.3">
      <c r="B21" s="19">
        <f>AVERAGE('Freight TAM Data'!C24:E24)</f>
        <v>168068843.40691885</v>
      </c>
      <c r="C21" s="19">
        <f t="shared" si="0"/>
        <v>137198531.97840557</v>
      </c>
      <c r="D21" s="26">
        <f t="shared" si="1"/>
        <v>0.81632341365156047</v>
      </c>
      <c r="E21" s="7">
        <v>2025</v>
      </c>
      <c r="F21" s="7"/>
      <c r="G21" s="96">
        <v>6384100.4293854553</v>
      </c>
      <c r="H21" s="26">
        <f t="shared" si="2"/>
        <v>3.7985032204503423E-2</v>
      </c>
      <c r="J21" s="25">
        <v>18913400.393880334</v>
      </c>
      <c r="K21" s="26">
        <f t="shared" si="3"/>
        <v>0.11253364996442719</v>
      </c>
      <c r="L21" s="24"/>
      <c r="M21" s="25">
        <v>5572810.6052474966</v>
      </c>
      <c r="N21" s="26">
        <f t="shared" si="4"/>
        <v>3.3157904179508868E-2</v>
      </c>
      <c r="R21" s="100"/>
      <c r="U21" s="809"/>
      <c r="V21" s="760"/>
    </row>
    <row r="22" spans="2:22" ht="14.4" x14ac:dyDescent="0.3">
      <c r="B22" s="19">
        <f>AVERAGE('Freight TAM Data'!C25:E25)</f>
        <v>173824829.62613234</v>
      </c>
      <c r="C22" s="19">
        <f t="shared" si="0"/>
        <v>139891081.85855496</v>
      </c>
      <c r="D22" s="26">
        <f t="shared" si="1"/>
        <v>0.80478192994313236</v>
      </c>
      <c r="E22" s="7">
        <v>2026</v>
      </c>
      <c r="F22" s="7"/>
      <c r="G22" s="96">
        <v>6806638.9572019372</v>
      </c>
      <c r="H22" s="26">
        <f t="shared" si="2"/>
        <v>3.9158036120857193E-2</v>
      </c>
      <c r="J22" s="25">
        <v>21344579.26856247</v>
      </c>
      <c r="K22" s="26">
        <f t="shared" si="3"/>
        <v>0.1227936153567418</v>
      </c>
      <c r="L22" s="24"/>
      <c r="M22" s="25">
        <v>5782529.5418129805</v>
      </c>
      <c r="N22" s="26">
        <f t="shared" si="4"/>
        <v>3.3266418579268674E-2</v>
      </c>
      <c r="R22" s="100"/>
      <c r="U22" s="809"/>
      <c r="V22" s="760"/>
    </row>
    <row r="23" spans="2:22" ht="14.4" x14ac:dyDescent="0.3">
      <c r="B23" s="19">
        <f>AVERAGE('Freight TAM Data'!C26:E26)</f>
        <v>179902626.52463171</v>
      </c>
      <c r="C23" s="19">
        <f t="shared" si="0"/>
        <v>142821174.97214755</v>
      </c>
      <c r="D23" s="26">
        <f t="shared" si="1"/>
        <v>0.79388043260498431</v>
      </c>
      <c r="E23" s="7">
        <v>2027</v>
      </c>
      <c r="F23" s="7"/>
      <c r="G23" s="96">
        <v>7226253.5566367097</v>
      </c>
      <c r="H23" s="26">
        <f t="shared" si="2"/>
        <v>4.0167582298456961E-2</v>
      </c>
      <c r="J23" s="25">
        <v>23865364.898443118</v>
      </c>
      <c r="K23" s="26">
        <f t="shared" si="3"/>
        <v>0.13265712324203086</v>
      </c>
      <c r="L23" s="24"/>
      <c r="M23" s="25">
        <v>5989833.0974043198</v>
      </c>
      <c r="N23" s="26">
        <f t="shared" si="4"/>
        <v>3.3294861854527791E-2</v>
      </c>
      <c r="R23" s="100"/>
      <c r="U23" s="809"/>
      <c r="V23" s="760"/>
    </row>
    <row r="24" spans="2:22" ht="14.4" x14ac:dyDescent="0.3">
      <c r="B24" s="19">
        <f>AVERAGE('Freight TAM Data'!C27:E27)</f>
        <v>186314810.77474824</v>
      </c>
      <c r="C24" s="19">
        <f t="shared" si="0"/>
        <v>145996288.46160454</v>
      </c>
      <c r="D24" s="26">
        <f t="shared" si="1"/>
        <v>0.78360001469830443</v>
      </c>
      <c r="E24" s="7">
        <v>2028</v>
      </c>
      <c r="F24" s="7"/>
      <c r="G24" s="96">
        <v>7642861.8289791476</v>
      </c>
      <c r="H24" s="26">
        <f t="shared" si="2"/>
        <v>4.1021225297108832E-2</v>
      </c>
      <c r="J24" s="25">
        <v>26480812.866654996</v>
      </c>
      <c r="K24" s="26">
        <f t="shared" si="3"/>
        <v>0.14212940322103482</v>
      </c>
      <c r="L24" s="24"/>
      <c r="M24" s="25">
        <v>6194847.6175095644</v>
      </c>
      <c r="N24" s="26">
        <f t="shared" si="4"/>
        <v>3.3249356783551905E-2</v>
      </c>
      <c r="R24" s="100"/>
      <c r="U24" s="809"/>
      <c r="V24" s="760"/>
    </row>
    <row r="25" spans="2:22" ht="14.4" x14ac:dyDescent="0.3">
      <c r="B25" s="19">
        <f>AVERAGE('Freight TAM Data'!C28:E28)</f>
        <v>193084473.44689262</v>
      </c>
      <c r="C25" s="19">
        <f t="shared" si="0"/>
        <v>149433690.67472953</v>
      </c>
      <c r="D25" s="26">
        <f t="shared" si="1"/>
        <v>0.77392908920680703</v>
      </c>
      <c r="E25" s="7">
        <v>2029</v>
      </c>
      <c r="F25" s="7"/>
      <c r="G25" s="96">
        <v>8056381.3755186331</v>
      </c>
      <c r="H25" s="26">
        <f t="shared" si="2"/>
        <v>4.1724646377299314E-2</v>
      </c>
      <c r="J25" s="25">
        <v>29196701.949027717</v>
      </c>
      <c r="K25" s="26">
        <f t="shared" si="3"/>
        <v>0.15121206499837075</v>
      </c>
      <c r="L25" s="24"/>
      <c r="M25" s="25">
        <v>6397699.4476167625</v>
      </c>
      <c r="N25" s="26">
        <f t="shared" si="4"/>
        <v>3.3134199417522991E-2</v>
      </c>
      <c r="R25" s="100"/>
      <c r="U25" s="809"/>
      <c r="V25" s="760"/>
    </row>
    <row r="26" spans="2:22" ht="14.4" x14ac:dyDescent="0.3">
      <c r="B26" s="19">
        <f>AVERAGE('Freight TAM Data'!C29:E29)</f>
        <v>198246347.29970783</v>
      </c>
      <c r="C26" s="19">
        <f t="shared" si="0"/>
        <v>151161583.16244692</v>
      </c>
      <c r="D26" s="26">
        <f t="shared" si="1"/>
        <v>0.76249366115140371</v>
      </c>
      <c r="E26" s="7">
        <v>2030</v>
      </c>
      <c r="F26" s="7"/>
      <c r="G26" s="96">
        <v>8466729.7975445464</v>
      </c>
      <c r="H26" s="26">
        <f t="shared" si="2"/>
        <v>4.2708125082095899E-2</v>
      </c>
      <c r="J26" s="25">
        <v>32019519.406502433</v>
      </c>
      <c r="K26" s="26">
        <f t="shared" si="3"/>
        <v>0.16151379252448714</v>
      </c>
      <c r="L26" s="24"/>
      <c r="M26" s="25">
        <v>6598514.9332139622</v>
      </c>
      <c r="N26" s="26">
        <f t="shared" si="4"/>
        <v>3.3284421242013404E-2</v>
      </c>
      <c r="R26" s="100"/>
      <c r="U26" s="809"/>
      <c r="V26" s="760"/>
    </row>
    <row r="27" spans="2:22" ht="14.4" x14ac:dyDescent="0.3">
      <c r="B27" s="19">
        <f>AVERAGE('Freight TAM Data'!C30:E30)</f>
        <v>207786858.25092211</v>
      </c>
      <c r="C27" s="19">
        <f t="shared" si="0"/>
        <v>157159166.62003177</v>
      </c>
      <c r="D27" s="26">
        <f t="shared" si="1"/>
        <v>0.75634796128563309</v>
      </c>
      <c r="E27" s="7">
        <v>2031</v>
      </c>
      <c r="F27" s="7"/>
      <c r="G27" s="96">
        <v>8873824.6963462643</v>
      </c>
      <c r="H27" s="26">
        <f t="shared" si="2"/>
        <v>4.2706380812737872E-2</v>
      </c>
      <c r="J27" s="25">
        <v>34956446.514754869</v>
      </c>
      <c r="K27" s="26">
        <f t="shared" si="3"/>
        <v>0.16823222993506973</v>
      </c>
      <c r="L27" s="24"/>
      <c r="M27" s="25">
        <v>6797420.4197892118</v>
      </c>
      <c r="N27" s="26">
        <f t="shared" si="4"/>
        <v>3.2713427966559315E-2</v>
      </c>
      <c r="R27" s="100"/>
      <c r="U27" s="809"/>
      <c r="V27" s="760"/>
    </row>
    <row r="28" spans="2:22" ht="14.4" x14ac:dyDescent="0.3">
      <c r="B28" s="19">
        <f>AVERAGE('Freight TAM Data'!C31:E31)</f>
        <v>215764670.0204187</v>
      </c>
      <c r="C28" s="19">
        <f t="shared" si="0"/>
        <v>161477199.76668334</v>
      </c>
      <c r="D28" s="26">
        <f t="shared" si="1"/>
        <v>0.74839499789934139</v>
      </c>
      <c r="E28" s="7">
        <v>2032</v>
      </c>
      <c r="F28" s="7"/>
      <c r="G28" s="96">
        <v>9277583.6732131671</v>
      </c>
      <c r="H28" s="26">
        <f t="shared" si="2"/>
        <v>4.2998622862284133E-2</v>
      </c>
      <c r="J28" s="25">
        <v>38015344.327691652</v>
      </c>
      <c r="K28" s="26">
        <f t="shared" si="3"/>
        <v>0.17618892066107997</v>
      </c>
      <c r="L28" s="24"/>
      <c r="M28" s="25">
        <v>6994542.2528305594</v>
      </c>
      <c r="N28" s="26">
        <f t="shared" si="4"/>
        <v>3.241745857729459E-2</v>
      </c>
      <c r="R28" s="100"/>
      <c r="U28" s="809"/>
      <c r="V28" s="760"/>
    </row>
    <row r="29" spans="2:22" ht="14.4" x14ac:dyDescent="0.3">
      <c r="B29" s="19">
        <f>AVERAGE('Freight TAM Data'!C32:E32)</f>
        <v>224192063.50073788</v>
      </c>
      <c r="C29" s="19">
        <f t="shared" si="0"/>
        <v>166119392.72195005</v>
      </c>
      <c r="D29" s="26">
        <f t="shared" si="1"/>
        <v>0.7409691053644426</v>
      </c>
      <c r="E29" s="7">
        <v>2033</v>
      </c>
      <c r="F29" s="7"/>
      <c r="G29" s="96">
        <v>9677924.3294346351</v>
      </c>
      <c r="H29" s="26">
        <f t="shared" si="2"/>
        <v>4.316800594238155E-2</v>
      </c>
      <c r="J29" s="25">
        <v>41204739.671527103</v>
      </c>
      <c r="K29" s="26">
        <f t="shared" si="3"/>
        <v>0.18379214245196279</v>
      </c>
      <c r="L29" s="24"/>
      <c r="M29" s="25">
        <v>7190006.7778260559</v>
      </c>
      <c r="N29" s="26">
        <f t="shared" si="4"/>
        <v>3.2070746241212915E-2</v>
      </c>
      <c r="R29" s="100"/>
      <c r="U29" s="809"/>
      <c r="V29" s="760"/>
    </row>
    <row r="30" spans="2:22" ht="14.4" x14ac:dyDescent="0.3">
      <c r="B30" s="19">
        <f>AVERAGE('Freight TAM Data'!C33:E33)</f>
        <v>233094046.21393138</v>
      </c>
      <c r="C30" s="19">
        <f t="shared" si="0"/>
        <v>171101530.24117744</v>
      </c>
      <c r="D30" s="26">
        <f t="shared" si="1"/>
        <v>0.73404504756909217</v>
      </c>
      <c r="E30" s="7">
        <v>2034</v>
      </c>
      <c r="F30" s="7"/>
      <c r="G30" s="96">
        <v>10074764.266300045</v>
      </c>
      <c r="H30" s="26">
        <f t="shared" si="2"/>
        <v>4.3221885886581275E-2</v>
      </c>
      <c r="J30" s="25">
        <v>44533811.366190135</v>
      </c>
      <c r="K30" s="26">
        <f t="shared" si="3"/>
        <v>0.19105512169674832</v>
      </c>
      <c r="L30" s="24"/>
      <c r="M30" s="25">
        <v>7383940.3402637467</v>
      </c>
      <c r="N30" s="26">
        <f t="shared" si="4"/>
        <v>3.1677944847578132E-2</v>
      </c>
      <c r="R30" s="100"/>
      <c r="U30" s="809"/>
      <c r="V30" s="760"/>
    </row>
    <row r="31" spans="2:22" ht="14.4" x14ac:dyDescent="0.3">
      <c r="B31" s="19">
        <f>AVERAGE('Freight TAM Data'!C34:E34)</f>
        <v>242456334.56862378</v>
      </c>
      <c r="C31" s="19">
        <f t="shared" si="0"/>
        <v>176399467.52703908</v>
      </c>
      <c r="D31" s="26">
        <f t="shared" si="1"/>
        <v>0.7275514902132274</v>
      </c>
      <c r="E31" s="7">
        <v>2035</v>
      </c>
      <c r="F31" s="7"/>
      <c r="G31" s="96">
        <v>10468021.085098779</v>
      </c>
      <c r="H31" s="26">
        <f t="shared" si="2"/>
        <v>4.3174871482419261E-2</v>
      </c>
      <c r="J31" s="25">
        <v>48012376.670854226</v>
      </c>
      <c r="K31" s="26">
        <f t="shared" si="3"/>
        <v>0.19802483922013187</v>
      </c>
      <c r="L31" s="24"/>
      <c r="M31" s="25">
        <v>7576469.2856316818</v>
      </c>
      <c r="N31" s="26">
        <f t="shared" si="4"/>
        <v>3.1248799084221374E-2</v>
      </c>
      <c r="R31" s="100"/>
      <c r="U31" s="809"/>
      <c r="V31" s="760"/>
    </row>
    <row r="32" spans="2:22" ht="14.4" x14ac:dyDescent="0.3">
      <c r="B32" s="19">
        <f>AVERAGE('Freight TAM Data'!C35:E35)</f>
        <v>252418051.08678243</v>
      </c>
      <c r="C32" s="19">
        <f t="shared" si="0"/>
        <v>182141840.7898232</v>
      </c>
      <c r="D32" s="26">
        <f t="shared" si="1"/>
        <v>0.72158801641013404</v>
      </c>
      <c r="E32" s="7">
        <v>2036</v>
      </c>
      <c r="F32" s="7"/>
      <c r="G32" s="96">
        <v>10857612.387120213</v>
      </c>
      <c r="H32" s="26">
        <f t="shared" si="2"/>
        <v>4.3014405429298394E-2</v>
      </c>
      <c r="J32" s="25">
        <v>51650877.950421095</v>
      </c>
      <c r="K32" s="26">
        <f t="shared" si="3"/>
        <v>0.20462434333851701</v>
      </c>
      <c r="L32" s="24"/>
      <c r="M32" s="25">
        <v>7767719.9594179103</v>
      </c>
      <c r="N32" s="26">
        <f t="shared" si="4"/>
        <v>3.077323482205056E-2</v>
      </c>
      <c r="R32" s="100"/>
      <c r="U32" s="809"/>
      <c r="V32" s="760"/>
    </row>
    <row r="33" spans="1:22" ht="14.4" x14ac:dyDescent="0.3">
      <c r="B33" s="19">
        <f>AVERAGE('Freight TAM Data'!C36:E36)</f>
        <v>262884921.52289629</v>
      </c>
      <c r="C33" s="19">
        <f t="shared" si="0"/>
        <v>188223277.48229772</v>
      </c>
      <c r="D33" s="26">
        <f t="shared" si="1"/>
        <v>0.7159911507739487</v>
      </c>
      <c r="E33" s="7">
        <v>2037</v>
      </c>
      <c r="F33" s="7"/>
      <c r="G33" s="96">
        <v>11243455.773653731</v>
      </c>
      <c r="H33" s="26">
        <f t="shared" si="2"/>
        <v>4.2769496662342685E-2</v>
      </c>
      <c r="J33" s="25">
        <v>55460369.559834354</v>
      </c>
      <c r="K33" s="26">
        <f t="shared" si="3"/>
        <v>0.21096824130707689</v>
      </c>
      <c r="L33" s="24"/>
      <c r="M33" s="25">
        <v>7957818.7071104795</v>
      </c>
      <c r="N33" s="26">
        <f t="shared" si="4"/>
        <v>3.0271111256631671E-2</v>
      </c>
      <c r="R33" s="100"/>
      <c r="U33" s="809"/>
      <c r="V33" s="760"/>
    </row>
    <row r="34" spans="1:22" ht="14.4" x14ac:dyDescent="0.3">
      <c r="B34" s="19">
        <f>AVERAGE('Freight TAM Data'!C37:E37)</f>
        <v>273915681.80624288</v>
      </c>
      <c r="C34" s="19">
        <f t="shared" si="0"/>
        <v>194690816.14292201</v>
      </c>
      <c r="D34" s="26">
        <f t="shared" si="1"/>
        <v>0.71076914932033208</v>
      </c>
      <c r="E34" s="7">
        <v>2038</v>
      </c>
      <c r="F34" s="7"/>
      <c r="G34" s="96">
        <v>11625468.845988709</v>
      </c>
      <c r="H34" s="26">
        <f t="shared" si="2"/>
        <v>4.2441779051599196E-2</v>
      </c>
      <c r="J34" s="25">
        <v>59452504.943134733</v>
      </c>
      <c r="K34" s="26">
        <f t="shared" si="3"/>
        <v>0.21704673697794741</v>
      </c>
      <c r="L34" s="24"/>
      <c r="M34" s="25">
        <v>8146891.8741974374</v>
      </c>
      <c r="N34" s="26">
        <f t="shared" si="4"/>
        <v>2.9742334650121369E-2</v>
      </c>
      <c r="R34" s="100"/>
      <c r="U34" s="809"/>
      <c r="V34" s="760"/>
    </row>
    <row r="35" spans="1:22" ht="14.4" x14ac:dyDescent="0.3">
      <c r="B35" s="19">
        <f>AVERAGE('Freight TAM Data'!C38:E38)</f>
        <v>285529015.54426575</v>
      </c>
      <c r="C35" s="19">
        <f t="shared" si="0"/>
        <v>201550856.58847255</v>
      </c>
      <c r="D35" s="26">
        <f t="shared" si="1"/>
        <v>0.70588572654965775</v>
      </c>
      <c r="E35" s="7">
        <v>2039</v>
      </c>
      <c r="F35" s="7"/>
      <c r="G35" s="96">
        <v>12003569.205414526</v>
      </c>
      <c r="H35" s="26">
        <f t="shared" si="2"/>
        <v>4.2039752711414385E-2</v>
      </c>
      <c r="J35" s="25">
        <v>63639523.944211826</v>
      </c>
      <c r="K35" s="26">
        <f t="shared" si="3"/>
        <v>0.22288286121431239</v>
      </c>
      <c r="L35" s="24"/>
      <c r="M35" s="25">
        <v>8335065.8061668342</v>
      </c>
      <c r="N35" s="26">
        <f t="shared" si="4"/>
        <v>2.9191659524615436E-2</v>
      </c>
      <c r="R35" s="100"/>
      <c r="U35" s="809"/>
      <c r="V35" s="760"/>
    </row>
    <row r="36" spans="1:22" ht="14.4" x14ac:dyDescent="0.3">
      <c r="B36" s="19">
        <f>AVERAGE('Freight TAM Data'!C39:E39)</f>
        <v>298766260.34611422</v>
      </c>
      <c r="C36" s="19">
        <f t="shared" si="0"/>
        <v>209831878.7181412</v>
      </c>
      <c r="D36" s="26">
        <f t="shared" si="1"/>
        <v>0.7023278949740025</v>
      </c>
      <c r="E36" s="7">
        <v>2040</v>
      </c>
      <c r="F36" s="7"/>
      <c r="G36" s="96">
        <v>12377674.453220565</v>
      </c>
      <c r="H36" s="26">
        <f t="shared" si="2"/>
        <v>4.1429291376078738E-2</v>
      </c>
      <c r="J36" s="25">
        <v>68034240.326245755</v>
      </c>
      <c r="K36" s="26">
        <f t="shared" si="3"/>
        <v>0.22771728055045293</v>
      </c>
      <c r="L36" s="24"/>
      <c r="M36" s="25">
        <v>8522466.8485067189</v>
      </c>
      <c r="N36" s="26">
        <f t="shared" si="4"/>
        <v>2.8525533099465872E-2</v>
      </c>
      <c r="R36" s="100"/>
      <c r="U36" s="809"/>
      <c r="V36" s="760"/>
    </row>
    <row r="37" spans="1:22" ht="14.4" x14ac:dyDescent="0.3">
      <c r="B37" s="19">
        <f>AVERAGE('Freight TAM Data'!C40:E40)</f>
        <v>310580104.35325843</v>
      </c>
      <c r="C37" s="19">
        <f t="shared" si="0"/>
        <v>216473151.31898794</v>
      </c>
      <c r="D37" s="26">
        <f t="shared" si="1"/>
        <v>0.69699619610137087</v>
      </c>
      <c r="E37" s="7">
        <v>2041</v>
      </c>
      <c r="F37" s="7"/>
      <c r="G37" s="96">
        <v>12747702.1906962</v>
      </c>
      <c r="H37" s="26">
        <f t="shared" si="2"/>
        <v>4.1044812632932776E-2</v>
      </c>
      <c r="J37" s="25">
        <v>72650029.496869177</v>
      </c>
      <c r="K37" s="26">
        <f t="shared" si="3"/>
        <v>0.23391720357668486</v>
      </c>
      <c r="L37" s="24"/>
      <c r="M37" s="25">
        <v>8709221.346705135</v>
      </c>
      <c r="N37" s="26">
        <f t="shared" si="4"/>
        <v>2.8041787689011582E-2</v>
      </c>
      <c r="R37" s="100"/>
      <c r="U37" s="809"/>
      <c r="V37" s="760"/>
    </row>
    <row r="38" spans="1:22" ht="14.4" x14ac:dyDescent="0.3">
      <c r="B38" s="19">
        <f>AVERAGE('Freight TAM Data'!C41:E41)</f>
        <v>324059055.31610924</v>
      </c>
      <c r="C38" s="19">
        <f t="shared" si="0"/>
        <v>224549213.21460646</v>
      </c>
      <c r="D38" s="26">
        <f t="shared" si="1"/>
        <v>0.6929268277831826</v>
      </c>
      <c r="E38" s="7">
        <v>2042</v>
      </c>
      <c r="F38" s="7"/>
      <c r="G38" s="96">
        <v>13113570.019130813</v>
      </c>
      <c r="H38" s="26">
        <f t="shared" si="2"/>
        <v>4.0466605712773385E-2</v>
      </c>
      <c r="J38" s="25">
        <v>77500816.436121836</v>
      </c>
      <c r="K38" s="26">
        <f t="shared" si="3"/>
        <v>0.23915645980181691</v>
      </c>
      <c r="L38" s="24"/>
      <c r="M38" s="25">
        <v>8895455.6462501362</v>
      </c>
      <c r="N38" s="26">
        <f t="shared" si="4"/>
        <v>2.7450106702227171E-2</v>
      </c>
      <c r="R38" s="100"/>
      <c r="U38" s="809"/>
      <c r="V38" s="760"/>
    </row>
    <row r="39" spans="1:22" ht="14.4" x14ac:dyDescent="0.3">
      <c r="B39" s="19">
        <f>AVERAGE('Freight TAM Data'!C42:E42)</f>
        <v>338200406.04604715</v>
      </c>
      <c r="C39" s="19">
        <f t="shared" si="0"/>
        <v>233042850.58930007</v>
      </c>
      <c r="D39" s="26">
        <f t="shared" si="1"/>
        <v>0.68906732937975979</v>
      </c>
      <c r="E39" s="7">
        <v>2043</v>
      </c>
      <c r="F39" s="7"/>
      <c r="G39" s="96">
        <v>13475195.539813785</v>
      </c>
      <c r="H39" s="26">
        <f t="shared" si="2"/>
        <v>3.9843818336454305E-2</v>
      </c>
      <c r="J39" s="25">
        <v>82601063.824303553</v>
      </c>
      <c r="K39" s="26">
        <f t="shared" si="3"/>
        <v>0.2442370332726837</v>
      </c>
      <c r="L39" s="24"/>
      <c r="M39" s="25">
        <v>9081296.0926297717</v>
      </c>
      <c r="N39" s="26">
        <f t="shared" si="4"/>
        <v>2.6851819011102316E-2</v>
      </c>
      <c r="R39" s="100"/>
      <c r="U39" s="809"/>
      <c r="V39" s="760"/>
    </row>
    <row r="40" spans="1:22" ht="14.4" x14ac:dyDescent="0.3">
      <c r="B40" s="19">
        <f>AVERAGE('Freight TAM Data'!C43:E43)</f>
        <v>353023844.56960446</v>
      </c>
      <c r="C40" s="19">
        <f t="shared" si="0"/>
        <v>241958718.81736451</v>
      </c>
      <c r="D40" s="26">
        <f t="shared" si="1"/>
        <v>0.68538916716051557</v>
      </c>
      <c r="E40" s="7">
        <v>2044</v>
      </c>
      <c r="F40" s="7"/>
      <c r="G40" s="96">
        <v>13832496.354034491</v>
      </c>
      <c r="H40" s="26">
        <f t="shared" si="2"/>
        <v>3.9182895339261385E-2</v>
      </c>
      <c r="J40" s="25">
        <v>87965760.366873384</v>
      </c>
      <c r="K40" s="26">
        <f t="shared" si="3"/>
        <v>0.24917795701340931</v>
      </c>
      <c r="L40" s="24"/>
      <c r="M40" s="25">
        <v>9266869.0313320868</v>
      </c>
      <c r="N40" s="26">
        <f t="shared" si="4"/>
        <v>2.6249980486813748E-2</v>
      </c>
      <c r="R40" s="100"/>
      <c r="U40" s="809"/>
      <c r="V40" s="760"/>
    </row>
    <row r="41" spans="1:22" ht="14.4" x14ac:dyDescent="0.3">
      <c r="B41" s="19">
        <f>AVERAGE('Freight TAM Data'!C44:E44)</f>
        <v>368560391.10641456</v>
      </c>
      <c r="C41" s="19">
        <f t="shared" si="0"/>
        <v>251312290.92191032</v>
      </c>
      <c r="D41" s="26">
        <f t="shared" si="1"/>
        <v>0.68187547274809801</v>
      </c>
      <c r="E41" s="7">
        <v>2045</v>
      </c>
      <c r="F41" s="7"/>
      <c r="G41" s="96">
        <v>14185390.063082315</v>
      </c>
      <c r="H41" s="26">
        <f t="shared" si="2"/>
        <v>3.8488645023676903E-2</v>
      </c>
      <c r="J41" s="25">
        <v>93610409.313576788</v>
      </c>
      <c r="K41" s="26">
        <f t="shared" si="3"/>
        <v>0.25398933681549252</v>
      </c>
      <c r="L41" s="24"/>
      <c r="M41" s="25">
        <v>9452300.8078451268</v>
      </c>
      <c r="N41" s="26">
        <f t="shared" si="4"/>
        <v>2.5646545412732539E-2</v>
      </c>
      <c r="R41" s="100"/>
      <c r="U41" s="809"/>
      <c r="V41" s="760"/>
    </row>
    <row r="42" spans="1:22" ht="14.4" x14ac:dyDescent="0.3">
      <c r="B42" s="19">
        <f>AVERAGE('Freight TAM Data'!C45:E45)</f>
        <v>384794352.1876142</v>
      </c>
      <c r="C42" s="19">
        <f t="shared" si="0"/>
        <v>261071822.98269179</v>
      </c>
      <c r="D42" s="26">
        <f t="shared" si="1"/>
        <v>0.67847103653798169</v>
      </c>
      <c r="E42" s="7">
        <v>2046</v>
      </c>
      <c r="F42" s="7"/>
      <c r="G42" s="97">
        <v>14533794.268246632</v>
      </c>
      <c r="H42" s="26">
        <f t="shared" si="2"/>
        <v>3.7770289988976732E-2</v>
      </c>
      <c r="J42" s="25">
        <v>99551017.16901879</v>
      </c>
      <c r="K42" s="26">
        <f t="shared" si="3"/>
        <v>0.258712261765424</v>
      </c>
      <c r="L42" s="24"/>
      <c r="M42" s="25">
        <v>9637717.7676569484</v>
      </c>
      <c r="N42" s="26">
        <f t="shared" si="4"/>
        <v>2.504641170761749E-2</v>
      </c>
      <c r="R42" s="100"/>
      <c r="U42" s="809"/>
      <c r="V42" s="760"/>
    </row>
    <row r="43" spans="1:22" ht="14.4" x14ac:dyDescent="0.3">
      <c r="B43" s="19">
        <f>AVERAGE('Freight TAM Data'!C46:E46)</f>
        <v>401779392.47485662</v>
      </c>
      <c r="C43" s="19">
        <f t="shared" si="0"/>
        <v>271274437.05584371</v>
      </c>
      <c r="D43" s="26">
        <f t="shared" si="1"/>
        <v>0.67518255574250263</v>
      </c>
      <c r="E43" s="7">
        <v>2047</v>
      </c>
      <c r="F43" s="7"/>
      <c r="G43" s="97">
        <v>14877626.570816824</v>
      </c>
      <c r="H43" s="26">
        <f t="shared" si="2"/>
        <v>3.7029342095358631E-2</v>
      </c>
      <c r="J43" s="25">
        <v>105804082.59194051</v>
      </c>
      <c r="K43" s="26">
        <f t="shared" si="3"/>
        <v>0.2633387490090392</v>
      </c>
      <c r="L43" s="24"/>
      <c r="M43" s="25">
        <v>9823246.2562555969</v>
      </c>
      <c r="N43" s="26">
        <f t="shared" si="4"/>
        <v>2.4449353153099648E-2</v>
      </c>
      <c r="R43" s="100"/>
      <c r="U43" s="809"/>
      <c r="V43" s="760"/>
    </row>
    <row r="44" spans="1:22" ht="14.4" x14ac:dyDescent="0.3">
      <c r="B44" s="19">
        <f>AVERAGE('Freight TAM Data'!C47:E47)</f>
        <v>419522672.27956676</v>
      </c>
      <c r="C44" s="19">
        <f t="shared" si="0"/>
        <v>281910269.6078667</v>
      </c>
      <c r="D44" s="26">
        <f t="shared" si="1"/>
        <v>0.67197862770096917</v>
      </c>
      <c r="E44" s="7">
        <v>2048</v>
      </c>
      <c r="F44" s="7"/>
      <c r="G44" s="97">
        <v>15216804.572082272</v>
      </c>
      <c r="H44" s="26">
        <f t="shared" si="2"/>
        <v>3.6271709677568764E-2</v>
      </c>
      <c r="J44" s="25">
        <v>112386585.48048869</v>
      </c>
      <c r="K44" s="26">
        <f t="shared" si="3"/>
        <v>0.26789156559718685</v>
      </c>
      <c r="L44" s="24"/>
      <c r="M44" s="25">
        <v>10009012.619129114</v>
      </c>
      <c r="N44" s="26">
        <f t="shared" si="4"/>
        <v>2.3858097024275205E-2</v>
      </c>
      <c r="R44" s="100"/>
      <c r="U44" s="809"/>
      <c r="V44" s="760"/>
    </row>
    <row r="45" spans="1:22" ht="14.4" x14ac:dyDescent="0.3">
      <c r="B45" s="19">
        <f>AVERAGE('Freight TAM Data'!C48:E48)</f>
        <v>438042788.97083277</v>
      </c>
      <c r="C45" s="19">
        <f t="shared" si="0"/>
        <v>292980423.65493071</v>
      </c>
      <c r="D45" s="26">
        <f t="shared" si="1"/>
        <v>0.66883973673731434</v>
      </c>
      <c r="E45" s="7">
        <v>2049</v>
      </c>
      <c r="F45" s="7"/>
      <c r="G45" s="97">
        <v>15551245.87333235</v>
      </c>
      <c r="H45" s="26">
        <f t="shared" si="2"/>
        <v>3.5501659346726139E-2</v>
      </c>
      <c r="J45" s="25">
        <v>119315976.24080417</v>
      </c>
      <c r="K45" s="26">
        <f t="shared" si="3"/>
        <v>0.27238429497066519</v>
      </c>
      <c r="L45" s="24"/>
      <c r="M45" s="25">
        <v>10195143.20176556</v>
      </c>
      <c r="N45" s="26">
        <f t="shared" si="4"/>
        <v>2.3274308945294399E-2</v>
      </c>
      <c r="R45" s="100"/>
      <c r="U45" s="809"/>
      <c r="V45" s="760"/>
    </row>
    <row r="46" spans="1:22" ht="14.4" x14ac:dyDescent="0.3">
      <c r="A46" s="30"/>
      <c r="B46" s="19">
        <f>AVERAGE('Freight TAM Data'!C49:E49)</f>
        <v>457153615.6940248</v>
      </c>
      <c r="C46" s="19">
        <f t="shared" si="0"/>
        <v>304280818.03222412</v>
      </c>
      <c r="D46" s="26">
        <f t="shared" si="1"/>
        <v>0.66559862502734923</v>
      </c>
      <c r="E46" s="33">
        <v>2050</v>
      </c>
      <c r="F46" s="33"/>
      <c r="G46" s="97">
        <v>15880868.075856442</v>
      </c>
      <c r="H46" s="26">
        <f t="shared" si="2"/>
        <v>3.4738581366674758E-2</v>
      </c>
      <c r="I46" s="30"/>
      <c r="J46" s="25">
        <v>126610165.23629129</v>
      </c>
      <c r="K46" s="26">
        <f t="shared" si="3"/>
        <v>0.27695321854575927</v>
      </c>
      <c r="L46" s="34"/>
      <c r="M46" s="25">
        <v>10381764.349652972</v>
      </c>
      <c r="N46" s="26">
        <f t="shared" si="4"/>
        <v>2.2709575060216824E-2</v>
      </c>
      <c r="O46" s="119"/>
      <c r="R46" s="100"/>
      <c r="U46" s="809"/>
      <c r="V46" s="760"/>
    </row>
    <row r="47" spans="1:22" ht="14.4" x14ac:dyDescent="0.3">
      <c r="B47" s="19">
        <f>AVERAGE('Freight TAM Data'!C50:E50)</f>
        <v>477486471.70434684</v>
      </c>
      <c r="C47" s="19">
        <f t="shared" si="0"/>
        <v>316424368.1001606</v>
      </c>
      <c r="D47" s="26">
        <f t="shared" si="1"/>
        <v>0.66268760865770937</v>
      </c>
      <c r="E47" s="7">
        <v>2051</v>
      </c>
      <c r="F47" s="7"/>
      <c r="G47" s="97">
        <v>16205588.780943925</v>
      </c>
      <c r="H47" s="26">
        <f t="shared" si="2"/>
        <v>3.3939367377466154E-2</v>
      </c>
      <c r="J47" s="25">
        <v>134287512.41496289</v>
      </c>
      <c r="K47" s="26">
        <f t="shared" si="3"/>
        <v>0.28123836039926992</v>
      </c>
      <c r="L47" s="24"/>
      <c r="M47" s="25">
        <v>10569002.40827941</v>
      </c>
      <c r="N47" s="26">
        <f t="shared" si="4"/>
        <v>2.2134663565554571E-2</v>
      </c>
      <c r="R47" s="100"/>
      <c r="U47" s="809"/>
      <c r="V47" s="760"/>
    </row>
    <row r="48" spans="1:22" ht="14.4" x14ac:dyDescent="0.3">
      <c r="B48" s="19">
        <f>AVERAGE('Freight TAM Data'!C51:E51)</f>
        <v>498445785.10352683</v>
      </c>
      <c r="C48" s="19">
        <f t="shared" si="0"/>
        <v>328796658.67821914</v>
      </c>
      <c r="D48" s="26">
        <f t="shared" si="1"/>
        <v>0.65964377371538674</v>
      </c>
      <c r="E48" s="7">
        <v>2052</v>
      </c>
      <c r="F48" s="7"/>
      <c r="G48" s="97">
        <v>16525325.589884179</v>
      </c>
      <c r="H48" s="26">
        <f t="shared" si="2"/>
        <v>3.3153707150822595E-2</v>
      </c>
      <c r="J48" s="25">
        <v>142366817.11229059</v>
      </c>
      <c r="K48" s="26">
        <f t="shared" si="3"/>
        <v>0.28562146850679276</v>
      </c>
      <c r="L48" s="24"/>
      <c r="M48" s="25">
        <v>10756983.723132912</v>
      </c>
      <c r="N48" s="26">
        <f t="shared" si="4"/>
        <v>2.1581050626997868E-2</v>
      </c>
      <c r="R48" s="100"/>
      <c r="U48" s="809"/>
      <c r="V48" s="760"/>
    </row>
    <row r="49" spans="1:22" ht="14.4" x14ac:dyDescent="0.3">
      <c r="B49" s="19">
        <f>AVERAGE('Freight TAM Data'!C52:E52)</f>
        <v>520253305.07133967</v>
      </c>
      <c r="C49" s="19">
        <f t="shared" si="0"/>
        <v>341600166.30064911</v>
      </c>
      <c r="D49" s="26">
        <f t="shared" si="1"/>
        <v>0.6566035486383065</v>
      </c>
      <c r="E49" s="7">
        <v>2053</v>
      </c>
      <c r="F49" s="7"/>
      <c r="G49" s="97">
        <v>16839996.103966579</v>
      </c>
      <c r="H49" s="26">
        <f t="shared" si="2"/>
        <v>3.2368840216512214E-2</v>
      </c>
      <c r="J49" s="25">
        <v>150867308.02702239</v>
      </c>
      <c r="K49" s="26">
        <f t="shared" si="3"/>
        <v>0.28998817798252091</v>
      </c>
      <c r="L49" s="24"/>
      <c r="M49" s="25">
        <v>10945834.63970153</v>
      </c>
      <c r="N49" s="26">
        <f t="shared" si="4"/>
        <v>2.1039433162660225E-2</v>
      </c>
      <c r="R49" s="100"/>
      <c r="U49" s="809"/>
      <c r="V49" s="760"/>
    </row>
    <row r="50" spans="1:22" ht="14.4" x14ac:dyDescent="0.3">
      <c r="B50" s="19">
        <f>AVERAGE('Freight TAM Data'!C53:E53)</f>
        <v>542926025.0959208</v>
      </c>
      <c r="C50" s="19">
        <f t="shared" si="0"/>
        <v>354832192.30050153</v>
      </c>
      <c r="D50" s="26">
        <f t="shared" si="1"/>
        <v>0.65355532042843589</v>
      </c>
      <c r="E50" s="7">
        <v>2054</v>
      </c>
      <c r="F50" s="7"/>
      <c r="G50" s="97">
        <v>17149517.924480516</v>
      </c>
      <c r="H50" s="26">
        <f t="shared" si="2"/>
        <v>3.1587209180938866E-2</v>
      </c>
      <c r="J50" s="25">
        <v>159808633.36746541</v>
      </c>
      <c r="K50" s="26">
        <f t="shared" si="3"/>
        <v>0.29434697542677457</v>
      </c>
      <c r="L50" s="24"/>
      <c r="M50" s="25">
        <v>11135681.503473317</v>
      </c>
      <c r="N50" s="26">
        <f t="shared" si="4"/>
        <v>2.0510494963850618E-2</v>
      </c>
      <c r="R50" s="100"/>
      <c r="U50" s="809"/>
      <c r="V50" s="760"/>
    </row>
    <row r="51" spans="1:22" ht="14.4" x14ac:dyDescent="0.3">
      <c r="B51" s="19">
        <f>AVERAGE('Freight TAM Data'!C54:E54)</f>
        <v>566480741.25414598</v>
      </c>
      <c r="C51" s="19">
        <f t="shared" si="0"/>
        <v>368489430.77573383</v>
      </c>
      <c r="D51" s="26">
        <f t="shared" si="1"/>
        <v>0.65048889386764641</v>
      </c>
      <c r="E51" s="7">
        <v>2055</v>
      </c>
      <c r="F51" s="7"/>
      <c r="G51" s="97">
        <v>17453808.652715359</v>
      </c>
      <c r="H51" s="26">
        <f t="shared" si="2"/>
        <v>3.0810947983993121E-2</v>
      </c>
      <c r="J51" s="25">
        <v>169210851.16576055</v>
      </c>
      <c r="K51" s="26">
        <f t="shared" si="3"/>
        <v>0.29870539074486518</v>
      </c>
      <c r="L51" s="24"/>
      <c r="M51" s="25">
        <v>11326650.659936316</v>
      </c>
      <c r="N51" s="26">
        <f t="shared" si="4"/>
        <v>1.9994767403495411E-2</v>
      </c>
      <c r="R51" s="100"/>
      <c r="U51" s="809"/>
      <c r="V51" s="760"/>
    </row>
    <row r="52" spans="1:22" ht="14.4" x14ac:dyDescent="0.3">
      <c r="B52" s="19">
        <f>AVERAGE('Freight TAM Data'!C55:E55)</f>
        <v>590934106.64413559</v>
      </c>
      <c r="C52" s="19">
        <f t="shared" si="0"/>
        <v>382568032.54188472</v>
      </c>
      <c r="D52" s="26">
        <f t="shared" si="1"/>
        <v>0.64739541725634342</v>
      </c>
      <c r="E52" s="7">
        <v>2056</v>
      </c>
      <c r="F52" s="7"/>
      <c r="G52" s="97">
        <v>17752785.88996049</v>
      </c>
      <c r="H52" s="26">
        <f t="shared" si="2"/>
        <v>3.0041904317855417E-2</v>
      </c>
      <c r="J52" s="25">
        <v>179094419.75771177</v>
      </c>
      <c r="K52" s="26">
        <f t="shared" si="3"/>
        <v>0.30307003394130305</v>
      </c>
      <c r="L52" s="24"/>
      <c r="M52" s="25">
        <v>11518868.454578575</v>
      </c>
      <c r="N52" s="26">
        <f t="shared" si="4"/>
        <v>1.9492644484498022E-2</v>
      </c>
      <c r="R52" s="100"/>
      <c r="U52" s="809"/>
      <c r="V52" s="760"/>
    </row>
    <row r="53" spans="1:22" ht="14.4" x14ac:dyDescent="0.3">
      <c r="B53" s="19">
        <f>AVERAGE('Freight TAM Data'!C56:E56)</f>
        <v>616302672.07732093</v>
      </c>
      <c r="C53" s="19">
        <f t="shared" si="0"/>
        <v>397063655.18116587</v>
      </c>
      <c r="D53" s="26">
        <f t="shared" si="1"/>
        <v>0.64426729457916498</v>
      </c>
      <c r="E53" s="7">
        <v>2057</v>
      </c>
      <c r="F53" s="7"/>
      <c r="G53" s="97">
        <v>18046367.237505283</v>
      </c>
      <c r="H53" s="26">
        <f t="shared" si="2"/>
        <v>2.928166314236132E-2</v>
      </c>
      <c r="J53" s="25">
        <v>189480188.42576158</v>
      </c>
      <c r="K53" s="26">
        <f t="shared" si="3"/>
        <v>0.3074466443364528</v>
      </c>
      <c r="L53" s="24"/>
      <c r="M53" s="25">
        <v>11712461.232888147</v>
      </c>
      <c r="N53" s="26">
        <f t="shared" si="4"/>
        <v>1.9004397942020784E-2</v>
      </c>
      <c r="R53" s="100"/>
      <c r="U53" s="809"/>
      <c r="V53" s="760"/>
    </row>
    <row r="54" spans="1:22" ht="14.4" x14ac:dyDescent="0.3">
      <c r="B54" s="19">
        <f>AVERAGE('Freight TAM Data'!C57:E57)</f>
        <v>642602912.20113075</v>
      </c>
      <c r="C54" s="19">
        <f t="shared" si="0"/>
        <v>411971498.36139917</v>
      </c>
      <c r="D54" s="26">
        <f t="shared" si="1"/>
        <v>0.64109808800937185</v>
      </c>
      <c r="E54" s="7">
        <v>2058</v>
      </c>
      <c r="F54" s="7"/>
      <c r="G54" s="97">
        <v>18334470.29663913</v>
      </c>
      <c r="H54" s="26">
        <f t="shared" si="2"/>
        <v>2.8531570505706878E-2</v>
      </c>
      <c r="J54" s="25">
        <v>200389388.20273942</v>
      </c>
      <c r="K54" s="26">
        <f t="shared" si="3"/>
        <v>0.3118401494888009</v>
      </c>
      <c r="L54" s="24"/>
      <c r="M54" s="25">
        <v>11907555.340353079</v>
      </c>
      <c r="N54" s="26">
        <f t="shared" si="4"/>
        <v>1.8530191996120441E-2</v>
      </c>
      <c r="R54" s="100"/>
      <c r="U54" s="809"/>
      <c r="V54" s="760"/>
    </row>
    <row r="55" spans="1:22" ht="14.4" x14ac:dyDescent="0.3">
      <c r="B55" s="19">
        <f>AVERAGE('Freight TAM Data'!C58:E58)</f>
        <v>669851232.07864487</v>
      </c>
      <c r="C55" s="19">
        <f t="shared" si="0"/>
        <v>427286319.45349604</v>
      </c>
      <c r="D55" s="26">
        <f t="shared" si="1"/>
        <v>0.63788241178203853</v>
      </c>
      <c r="E55" s="7">
        <v>2059</v>
      </c>
      <c r="F55" s="7"/>
      <c r="G55" s="97">
        <v>18617012.668651398</v>
      </c>
      <c r="H55" s="26">
        <f t="shared" si="2"/>
        <v>2.7792757222943557E-2</v>
      </c>
      <c r="J55" s="25">
        <v>211843622.83403605</v>
      </c>
      <c r="K55" s="26">
        <f t="shared" si="3"/>
        <v>0.31625473342290461</v>
      </c>
      <c r="L55" s="24"/>
      <c r="M55" s="25">
        <v>12104277.122461416</v>
      </c>
      <c r="N55" s="26">
        <f t="shared" si="4"/>
        <v>1.8070097572113288E-2</v>
      </c>
      <c r="R55" s="100"/>
      <c r="U55" s="809"/>
      <c r="V55" s="760"/>
    </row>
    <row r="56" spans="1:22" ht="14.4" x14ac:dyDescent="0.3">
      <c r="B56" s="19">
        <f>AVERAGE('Freight TAM Data'!C59:E59)</f>
        <v>698063819.62390327</v>
      </c>
      <c r="C56" s="19">
        <f t="shared" si="0"/>
        <v>443002294.84847629</v>
      </c>
      <c r="D56" s="26">
        <f t="shared" si="1"/>
        <v>0.63461575058732189</v>
      </c>
      <c r="E56" s="7">
        <v>2060</v>
      </c>
      <c r="F56" s="7"/>
      <c r="G56" s="97">
        <v>18893911.954831474</v>
      </c>
      <c r="H56" s="26">
        <f t="shared" si="2"/>
        <v>2.7066167051905041E-2</v>
      </c>
      <c r="J56" s="25">
        <v>223864859.89589432</v>
      </c>
      <c r="K56" s="26">
        <f t="shared" si="3"/>
        <v>0.32069397324804239</v>
      </c>
      <c r="L56" s="24"/>
      <c r="M56" s="25">
        <v>12302752.924701214</v>
      </c>
      <c r="N56" s="26">
        <f t="shared" si="4"/>
        <v>1.7624109112730671E-2</v>
      </c>
      <c r="R56" s="100"/>
      <c r="U56" s="809"/>
      <c r="V56" s="760"/>
    </row>
    <row r="57" spans="1:22" ht="14.4" x14ac:dyDescent="0.3">
      <c r="B57" s="2"/>
      <c r="C57" s="2"/>
      <c r="D57" s="2"/>
      <c r="G57" s="2"/>
      <c r="J57" s="2"/>
      <c r="M57" s="2"/>
    </row>
    <row r="58" spans="1:22" ht="14.4" x14ac:dyDescent="0.3">
      <c r="B58" s="5"/>
      <c r="C58" s="231" t="s">
        <v>246</v>
      </c>
      <c r="D58" s="2"/>
      <c r="G58" s="2"/>
      <c r="J58" s="2"/>
      <c r="M58" s="2"/>
    </row>
    <row r="59" spans="1:22" ht="15.75" customHeight="1" x14ac:dyDescent="0.3">
      <c r="A59" s="4"/>
      <c r="B59" s="2"/>
      <c r="C59" s="2"/>
      <c r="D59" s="2"/>
      <c r="G59" s="2"/>
      <c r="J59" s="2"/>
      <c r="M59" s="2"/>
    </row>
    <row r="60" spans="1:22" ht="15.75" customHeight="1" x14ac:dyDescent="0.3">
      <c r="A60" s="4" t="s">
        <v>65</v>
      </c>
      <c r="B60" s="2"/>
      <c r="C60" s="2"/>
      <c r="D60" s="2"/>
      <c r="G60" s="2"/>
      <c r="J60" s="5"/>
      <c r="M60" s="120"/>
    </row>
    <row r="61" spans="1:22" ht="45" customHeight="1" x14ac:dyDescent="0.3">
      <c r="A61" s="8" t="s">
        <v>129</v>
      </c>
      <c r="B61" s="66" t="s">
        <v>47</v>
      </c>
      <c r="C61" s="66" t="s">
        <v>178</v>
      </c>
      <c r="D61" s="9" t="s">
        <v>49</v>
      </c>
      <c r="E61" s="13"/>
      <c r="F61" s="14" t="s">
        <v>50</v>
      </c>
      <c r="G61" s="11" t="s">
        <v>7</v>
      </c>
      <c r="H61" s="11" t="s">
        <v>27</v>
      </c>
      <c r="I61" s="14" t="s">
        <v>51</v>
      </c>
      <c r="J61" s="11" t="s">
        <v>9</v>
      </c>
      <c r="K61" s="11" t="s">
        <v>27</v>
      </c>
      <c r="L61" s="14" t="s">
        <v>52</v>
      </c>
      <c r="M61" s="11" t="s">
        <v>10</v>
      </c>
      <c r="N61" s="11" t="s">
        <v>27</v>
      </c>
    </row>
    <row r="62" spans="1:22" s="251" customFormat="1" ht="37.200000000000003" customHeight="1" x14ac:dyDescent="0.3">
      <c r="A62" s="16"/>
      <c r="B62" s="17"/>
      <c r="C62" s="17"/>
      <c r="D62" s="17"/>
      <c r="E62" s="122" t="s">
        <v>276</v>
      </c>
      <c r="F62" s="17"/>
      <c r="G62" s="271" t="s">
        <v>763</v>
      </c>
      <c r="H62" s="17" t="s">
        <v>30</v>
      </c>
      <c r="I62" s="17"/>
      <c r="J62" s="271" t="s">
        <v>766</v>
      </c>
      <c r="K62" s="17" t="s">
        <v>30</v>
      </c>
      <c r="L62" s="17"/>
      <c r="M62" s="271" t="s">
        <v>769</v>
      </c>
      <c r="N62" s="17" t="s">
        <v>30</v>
      </c>
    </row>
    <row r="63" spans="1:22" ht="18.75" customHeight="1" x14ac:dyDescent="0.3">
      <c r="A63" s="8"/>
      <c r="B63" s="19">
        <f>B8</f>
        <v>111304101.36378722</v>
      </c>
      <c r="C63" s="19">
        <f t="shared" ref="C63:C111" si="5">B63-G63-J63-M63</f>
        <v>111304101.36378722</v>
      </c>
      <c r="D63" s="26">
        <f t="shared" ref="D63:D111" si="6">C63/B63</f>
        <v>1</v>
      </c>
      <c r="E63" s="7">
        <v>2012</v>
      </c>
      <c r="F63" s="7"/>
      <c r="G63" s="97"/>
      <c r="H63" s="26">
        <f t="shared" ref="H63:H111" si="7">G63/$B63</f>
        <v>0</v>
      </c>
      <c r="J63" s="97"/>
      <c r="K63" s="26">
        <f t="shared" ref="K63:K111" si="8">J63/$B63</f>
        <v>0</v>
      </c>
      <c r="L63" s="24"/>
      <c r="M63" s="97"/>
      <c r="N63" s="26">
        <f t="shared" ref="N63:N111" si="9">M63/$B63</f>
        <v>0</v>
      </c>
    </row>
    <row r="64" spans="1:22" ht="18.75" customHeight="1" x14ac:dyDescent="0.3">
      <c r="A64" s="8"/>
      <c r="B64" s="19">
        <f t="shared" ref="B64:B111" si="10">B9</f>
        <v>114809281.73291987</v>
      </c>
      <c r="C64" s="19">
        <f t="shared" si="5"/>
        <v>114809281.73291987</v>
      </c>
      <c r="D64" s="26">
        <f t="shared" si="6"/>
        <v>1</v>
      </c>
      <c r="E64" s="7">
        <v>2013</v>
      </c>
      <c r="F64" s="7"/>
      <c r="G64" s="97"/>
      <c r="H64" s="26">
        <f t="shared" si="7"/>
        <v>0</v>
      </c>
      <c r="J64" s="97"/>
      <c r="K64" s="26">
        <f t="shared" si="8"/>
        <v>0</v>
      </c>
      <c r="L64" s="24"/>
      <c r="M64" s="97"/>
      <c r="N64" s="26">
        <f t="shared" si="9"/>
        <v>0</v>
      </c>
    </row>
    <row r="65" spans="1:18" ht="14.55" customHeight="1" x14ac:dyDescent="0.3">
      <c r="A65" s="847" t="s">
        <v>179</v>
      </c>
      <c r="B65" s="19">
        <f t="shared" si="10"/>
        <v>120041145.08637774</v>
      </c>
      <c r="C65" s="19">
        <f t="shared" si="5"/>
        <v>112304580.10219303</v>
      </c>
      <c r="D65" s="26">
        <f t="shared" si="6"/>
        <v>0.93555072322396016</v>
      </c>
      <c r="E65" s="117">
        <v>2014</v>
      </c>
      <c r="F65" s="117"/>
      <c r="G65" s="25">
        <v>304732.46181197831</v>
      </c>
      <c r="H65" s="26">
        <f t="shared" si="7"/>
        <v>2.5385667688583163E-3</v>
      </c>
      <c r="I65" s="119"/>
      <c r="J65" s="25">
        <v>4675431.2690049233</v>
      </c>
      <c r="K65" s="26">
        <f t="shared" si="8"/>
        <v>3.8948572721799961E-2</v>
      </c>
      <c r="L65" s="118"/>
      <c r="M65" s="25">
        <v>2756401.253367804</v>
      </c>
      <c r="N65" s="26">
        <f t="shared" si="9"/>
        <v>2.2962137285381497E-2</v>
      </c>
      <c r="O65" s="119"/>
    </row>
    <row r="66" spans="1:18" ht="14.4" x14ac:dyDescent="0.3">
      <c r="A66" s="848"/>
      <c r="B66" s="19">
        <f t="shared" si="10"/>
        <v>121402579.56495498</v>
      </c>
      <c r="C66" s="19">
        <f t="shared" si="5"/>
        <v>112553284.09152719</v>
      </c>
      <c r="D66" s="26">
        <f t="shared" si="6"/>
        <v>0.92710784643012401</v>
      </c>
      <c r="E66" s="7">
        <v>2015</v>
      </c>
      <c r="F66" s="7"/>
      <c r="G66" s="25">
        <v>475099.27776347531</v>
      </c>
      <c r="H66" s="26">
        <f t="shared" si="7"/>
        <v>3.9134199575164641E-3</v>
      </c>
      <c r="J66" s="25">
        <v>4920303.9913424542</v>
      </c>
      <c r="K66" s="26">
        <f t="shared" si="8"/>
        <v>4.0528825738088255E-2</v>
      </c>
      <c r="L66" s="24"/>
      <c r="M66" s="25">
        <v>3453892.2043218589</v>
      </c>
      <c r="N66" s="26">
        <f t="shared" si="9"/>
        <v>2.8449907874271284E-2</v>
      </c>
      <c r="R66" s="120"/>
    </row>
    <row r="67" spans="1:18" ht="14.4" x14ac:dyDescent="0.3">
      <c r="B67" s="19">
        <f t="shared" si="10"/>
        <v>125419175.00682679</v>
      </c>
      <c r="C67" s="19">
        <f t="shared" si="5"/>
        <v>115830846.79208258</v>
      </c>
      <c r="D67" s="26">
        <f t="shared" si="6"/>
        <v>0.92354974257945566</v>
      </c>
      <c r="E67" s="7">
        <v>2016</v>
      </c>
      <c r="F67" s="7"/>
      <c r="G67" s="25">
        <v>660286.80985134712</v>
      </c>
      <c r="H67" s="26">
        <f t="shared" si="7"/>
        <v>5.2646400346311201E-3</v>
      </c>
      <c r="J67" s="25">
        <v>5165176.7136799851</v>
      </c>
      <c r="K67" s="26">
        <f t="shared" si="8"/>
        <v>4.1183309596788814E-2</v>
      </c>
      <c r="L67" s="24"/>
      <c r="M67" s="25">
        <v>3762864.691212879</v>
      </c>
      <c r="N67" s="26">
        <f t="shared" si="9"/>
        <v>3.0002307789124428E-2</v>
      </c>
      <c r="R67" s="120"/>
    </row>
    <row r="68" spans="1:18" ht="14.4" x14ac:dyDescent="0.3">
      <c r="B68" s="19">
        <f t="shared" si="10"/>
        <v>131106488.58192991</v>
      </c>
      <c r="C68" s="19">
        <f t="shared" si="5"/>
        <v>120784772.7967952</v>
      </c>
      <c r="D68" s="26">
        <f t="shared" si="6"/>
        <v>0.92127227342615814</v>
      </c>
      <c r="E68" s="7">
        <v>2017</v>
      </c>
      <c r="F68" s="7"/>
      <c r="G68" s="25">
        <v>853343.22519254731</v>
      </c>
      <c r="H68" s="26">
        <f t="shared" si="7"/>
        <v>6.5087794999504059E-3</v>
      </c>
      <c r="J68" s="25">
        <v>5410049.4360176241</v>
      </c>
      <c r="K68" s="26">
        <f t="shared" si="8"/>
        <v>4.1264543765405053E-2</v>
      </c>
      <c r="L68" s="24"/>
      <c r="M68" s="25">
        <v>4058323.123924538</v>
      </c>
      <c r="N68" s="26">
        <f t="shared" si="9"/>
        <v>3.0954403308486495E-2</v>
      </c>
      <c r="Q68" s="120"/>
      <c r="R68" s="120"/>
    </row>
    <row r="69" spans="1:18" ht="14.4" x14ac:dyDescent="0.3">
      <c r="B69" s="19">
        <f t="shared" si="10"/>
        <v>136014167.4935613</v>
      </c>
      <c r="C69" s="19">
        <f t="shared" si="5"/>
        <v>124962117.39615607</v>
      </c>
      <c r="D69" s="26">
        <f t="shared" si="6"/>
        <v>0.91874339047858078</v>
      </c>
      <c r="E69" s="7">
        <v>2018</v>
      </c>
      <c r="F69" s="7"/>
      <c r="G69" s="25">
        <v>1055789.453035265</v>
      </c>
      <c r="H69" s="26">
        <f t="shared" si="7"/>
        <v>7.7623491176773514E-3</v>
      </c>
      <c r="J69" s="25">
        <v>5654922.158355088</v>
      </c>
      <c r="K69" s="26">
        <f t="shared" si="8"/>
        <v>4.1575978903982805E-2</v>
      </c>
      <c r="L69" s="24"/>
      <c r="M69" s="25">
        <v>4341338.4860148709</v>
      </c>
      <c r="N69" s="26">
        <f t="shared" si="9"/>
        <v>3.1918281499759081E-2</v>
      </c>
      <c r="Q69" s="120"/>
      <c r="R69" s="120"/>
    </row>
    <row r="70" spans="1:18" ht="14.4" x14ac:dyDescent="0.3">
      <c r="B70" s="19">
        <f t="shared" si="10"/>
        <v>138615066.64722213</v>
      </c>
      <c r="C70" s="19">
        <f t="shared" si="5"/>
        <v>121381873.97769228</v>
      </c>
      <c r="D70" s="26">
        <f t="shared" si="6"/>
        <v>0.87567590532284167</v>
      </c>
      <c r="E70" s="7">
        <v>2019</v>
      </c>
      <c r="F70" s="7"/>
      <c r="G70" s="25">
        <v>4242420.7260542382</v>
      </c>
      <c r="H70" s="26">
        <f t="shared" si="7"/>
        <v>3.0605769117806481E-2</v>
      </c>
      <c r="J70" s="25">
        <v>8377790.1824336899</v>
      </c>
      <c r="K70" s="26">
        <f t="shared" si="8"/>
        <v>6.0439246505254139E-2</v>
      </c>
      <c r="L70" s="24"/>
      <c r="M70" s="25">
        <v>4612981.761041915</v>
      </c>
      <c r="N70" s="26">
        <f t="shared" si="9"/>
        <v>3.3279079054097618E-2</v>
      </c>
      <c r="Q70" s="120"/>
      <c r="R70" s="120"/>
    </row>
    <row r="71" spans="1:18" ht="14.4" x14ac:dyDescent="0.3">
      <c r="A71" s="119"/>
      <c r="B71" s="19">
        <f t="shared" si="10"/>
        <v>143607177.61110789</v>
      </c>
      <c r="C71" s="19">
        <f t="shared" si="5"/>
        <v>122804840.67771637</v>
      </c>
      <c r="D71" s="26">
        <f t="shared" si="6"/>
        <v>0.85514416981493224</v>
      </c>
      <c r="E71" s="117">
        <v>2020</v>
      </c>
      <c r="F71" s="117"/>
      <c r="G71" s="25">
        <v>4762439.6818438098</v>
      </c>
      <c r="H71" s="26">
        <f t="shared" si="7"/>
        <v>3.3162964143342646E-2</v>
      </c>
      <c r="I71" s="119"/>
      <c r="J71" s="25">
        <v>11165573.318983991</v>
      </c>
      <c r="K71" s="26">
        <f t="shared" si="8"/>
        <v>7.7750802604175287E-2</v>
      </c>
      <c r="L71" s="118"/>
      <c r="M71" s="25">
        <v>4874323.9325637044</v>
      </c>
      <c r="N71" s="26">
        <f t="shared" si="9"/>
        <v>3.3942063437549796E-2</v>
      </c>
      <c r="O71" s="119"/>
      <c r="Q71" s="120"/>
      <c r="R71" s="120"/>
    </row>
    <row r="72" spans="1:18" ht="14.4" x14ac:dyDescent="0.3">
      <c r="B72" s="19">
        <f t="shared" si="10"/>
        <v>147638211.06368932</v>
      </c>
      <c r="C72" s="19">
        <f t="shared" si="5"/>
        <v>123173763.63682072</v>
      </c>
      <c r="D72" s="26">
        <f t="shared" si="6"/>
        <v>0.83429460943336042</v>
      </c>
      <c r="E72" s="7">
        <v>2021</v>
      </c>
      <c r="F72" s="7"/>
      <c r="G72" s="25">
        <v>5286496.3110116534</v>
      </c>
      <c r="H72" s="26">
        <f t="shared" si="7"/>
        <v>3.580710083740532E-2</v>
      </c>
      <c r="J72" s="25">
        <v>14051515.131718682</v>
      </c>
      <c r="K72" s="26">
        <f t="shared" si="8"/>
        <v>9.5175327785955291E-2</v>
      </c>
      <c r="L72" s="24"/>
      <c r="M72" s="25">
        <v>5126435.9841382755</v>
      </c>
      <c r="N72" s="26">
        <f t="shared" si="9"/>
        <v>3.4722961943278993E-2</v>
      </c>
      <c r="Q72" s="120"/>
      <c r="R72" s="120"/>
    </row>
    <row r="73" spans="1:18" ht="14.4" x14ac:dyDescent="0.3">
      <c r="B73" s="19">
        <f t="shared" si="10"/>
        <v>152389535.28659737</v>
      </c>
      <c r="C73" s="19">
        <f t="shared" si="5"/>
        <v>124170147.59677532</v>
      </c>
      <c r="D73" s="26">
        <f t="shared" si="6"/>
        <v>0.81482069856863759</v>
      </c>
      <c r="E73" s="7">
        <v>2022</v>
      </c>
      <c r="F73" s="7"/>
      <c r="G73" s="25">
        <v>5813344.3213414233</v>
      </c>
      <c r="H73" s="26">
        <f t="shared" si="7"/>
        <v>3.8147923414874448E-2</v>
      </c>
      <c r="J73" s="25">
        <v>17035654.469156966</v>
      </c>
      <c r="K73" s="26">
        <f t="shared" si="8"/>
        <v>0.11179018583604308</v>
      </c>
      <c r="L73" s="24"/>
      <c r="M73" s="25">
        <v>5370388.8993236646</v>
      </c>
      <c r="N73" s="26">
        <f t="shared" si="9"/>
        <v>3.5241192180444879E-2</v>
      </c>
      <c r="Q73" s="120"/>
      <c r="R73" s="120"/>
    </row>
    <row r="74" spans="1:18" ht="14.4" x14ac:dyDescent="0.3">
      <c r="B74" s="19">
        <f t="shared" si="10"/>
        <v>157362816.04242453</v>
      </c>
      <c r="C74" s="19">
        <f t="shared" si="5"/>
        <v>125294627.05543853</v>
      </c>
      <c r="D74" s="26">
        <f t="shared" si="6"/>
        <v>0.7962149522137395</v>
      </c>
      <c r="E74" s="7">
        <v>2023</v>
      </c>
      <c r="F74" s="7"/>
      <c r="G74" s="25">
        <v>6341737.4206167702</v>
      </c>
      <c r="H74" s="26">
        <f t="shared" si="7"/>
        <v>4.0300101257129621E-2</v>
      </c>
      <c r="J74" s="25">
        <v>20119197.904691316</v>
      </c>
      <c r="K74" s="26">
        <f t="shared" si="8"/>
        <v>0.12785229961357097</v>
      </c>
      <c r="L74" s="24"/>
      <c r="M74" s="25">
        <v>5607253.6616779063</v>
      </c>
      <c r="N74" s="26">
        <f t="shared" si="9"/>
        <v>3.5632646915559826E-2</v>
      </c>
      <c r="Q74" s="120"/>
      <c r="R74" s="120"/>
    </row>
    <row r="75" spans="1:18" ht="14.4" x14ac:dyDescent="0.3">
      <c r="B75" s="19">
        <f t="shared" si="10"/>
        <v>162578731.36562198</v>
      </c>
      <c r="C75" s="19">
        <f t="shared" si="5"/>
        <v>126565714.27777106</v>
      </c>
      <c r="D75" s="26">
        <f t="shared" si="6"/>
        <v>0.7784887556610246</v>
      </c>
      <c r="E75" s="7">
        <v>2024</v>
      </c>
      <c r="F75" s="7"/>
      <c r="G75" s="25">
        <v>6870429.3166213501</v>
      </c>
      <c r="H75" s="26">
        <f t="shared" si="7"/>
        <v>4.2259090465963212E-2</v>
      </c>
      <c r="J75" s="25">
        <v>23304486.51647054</v>
      </c>
      <c r="K75" s="26">
        <f t="shared" si="8"/>
        <v>0.14334277504024356</v>
      </c>
      <c r="L75" s="24"/>
      <c r="M75" s="25">
        <v>5838101.254759036</v>
      </c>
      <c r="N75" s="26">
        <f t="shared" si="9"/>
        <v>3.5909378832768582E-2</v>
      </c>
      <c r="Q75" s="120"/>
      <c r="R75" s="120"/>
    </row>
    <row r="76" spans="1:18" ht="14.4" x14ac:dyDescent="0.3">
      <c r="B76" s="19">
        <f t="shared" si="10"/>
        <v>168068843.40691885</v>
      </c>
      <c r="C76" s="19">
        <f t="shared" si="5"/>
        <v>128011703.59884976</v>
      </c>
      <c r="D76" s="26">
        <f t="shared" si="6"/>
        <v>0.76166231053851552</v>
      </c>
      <c r="E76" s="7">
        <v>2025</v>
      </c>
      <c r="F76" s="7"/>
      <c r="G76" s="25">
        <v>7398173.7171388157</v>
      </c>
      <c r="H76" s="26">
        <f t="shared" si="7"/>
        <v>4.4018710233084499E-2</v>
      </c>
      <c r="J76" s="25">
        <v>26594963.428805165</v>
      </c>
      <c r="K76" s="26">
        <f t="shared" si="8"/>
        <v>0.15823851042048842</v>
      </c>
      <c r="L76" s="24"/>
      <c r="M76" s="25">
        <v>6064002.6621250911</v>
      </c>
      <c r="N76" s="26">
        <f t="shared" si="9"/>
        <v>3.6080468807911457E-2</v>
      </c>
      <c r="Q76" s="120"/>
      <c r="R76" s="120"/>
    </row>
    <row r="77" spans="1:18" ht="14.4" x14ac:dyDescent="0.3">
      <c r="B77" s="19">
        <f t="shared" si="10"/>
        <v>173824829.62613234</v>
      </c>
      <c r="C77" s="19">
        <f t="shared" si="5"/>
        <v>129619934.32906453</v>
      </c>
      <c r="D77" s="26">
        <f t="shared" si="6"/>
        <v>0.74569285992027134</v>
      </c>
      <c r="E77" s="7">
        <v>2026</v>
      </c>
      <c r="F77" s="7"/>
      <c r="G77" s="25">
        <v>7923724.3299528193</v>
      </c>
      <c r="H77" s="26">
        <f t="shared" si="7"/>
        <v>4.5584536725825665E-2</v>
      </c>
      <c r="J77" s="25">
        <v>29995142.099780884</v>
      </c>
      <c r="K77" s="26">
        <f t="shared" si="8"/>
        <v>0.172559594416375</v>
      </c>
      <c r="L77" s="24"/>
      <c r="M77" s="25">
        <v>6286028.867334106</v>
      </c>
      <c r="N77" s="26">
        <f t="shared" si="9"/>
        <v>3.6163008937528003E-2</v>
      </c>
      <c r="Q77" s="120"/>
      <c r="R77" s="120"/>
    </row>
    <row r="78" spans="1:18" ht="14.4" x14ac:dyDescent="0.3">
      <c r="B78" s="19">
        <f t="shared" si="10"/>
        <v>179902626.52463171</v>
      </c>
      <c r="C78" s="19">
        <f t="shared" si="5"/>
        <v>131440965.46778908</v>
      </c>
      <c r="D78" s="26">
        <f t="shared" si="6"/>
        <v>0.73062282639766019</v>
      </c>
      <c r="E78" s="7">
        <v>2027</v>
      </c>
      <c r="F78" s="7"/>
      <c r="G78" s="25">
        <v>8445834.8628470153</v>
      </c>
      <c r="H78" s="26">
        <f t="shared" si="7"/>
        <v>4.6946701257252837E-2</v>
      </c>
      <c r="J78" s="25">
        <v>33510575.340051502</v>
      </c>
      <c r="K78" s="26">
        <f t="shared" si="8"/>
        <v>0.1862706286584612</v>
      </c>
      <c r="L78" s="24"/>
      <c r="M78" s="25">
        <v>6505250.8539441172</v>
      </c>
      <c r="N78" s="26">
        <f t="shared" si="9"/>
        <v>3.6159843686625878E-2</v>
      </c>
      <c r="Q78" s="120"/>
      <c r="R78" s="120"/>
    </row>
    <row r="79" spans="1:18" ht="14.4" x14ac:dyDescent="0.3">
      <c r="B79" s="19">
        <f t="shared" si="10"/>
        <v>186314810.77474824</v>
      </c>
      <c r="C79" s="19">
        <f t="shared" si="5"/>
        <v>133480987.0975742</v>
      </c>
      <c r="D79" s="26">
        <f t="shared" si="6"/>
        <v>0.71642714040029098</v>
      </c>
      <c r="E79" s="7">
        <v>2028</v>
      </c>
      <c r="F79" s="7"/>
      <c r="G79" s="25">
        <v>8963259.0236050561</v>
      </c>
      <c r="H79" s="26">
        <f t="shared" si="7"/>
        <v>4.8108140122265962E-2</v>
      </c>
      <c r="J79" s="25">
        <v>37147825.04805582</v>
      </c>
      <c r="K79" s="26">
        <f t="shared" si="8"/>
        <v>0.19938202923098247</v>
      </c>
      <c r="L79" s="24"/>
      <c r="M79" s="25">
        <v>6722739.6055131592</v>
      </c>
      <c r="N79" s="26">
        <f t="shared" si="9"/>
        <v>3.6082690246460596E-2</v>
      </c>
      <c r="Q79" s="120"/>
      <c r="R79" s="120"/>
    </row>
    <row r="80" spans="1:18" ht="14.4" x14ac:dyDescent="0.3">
      <c r="B80" s="19">
        <f t="shared" si="10"/>
        <v>193084473.44689262</v>
      </c>
      <c r="C80" s="19">
        <f t="shared" si="5"/>
        <v>135755724.17410594</v>
      </c>
      <c r="D80" s="26">
        <f t="shared" si="6"/>
        <v>0.70308980183973835</v>
      </c>
      <c r="E80" s="7">
        <v>2029</v>
      </c>
      <c r="F80" s="7"/>
      <c r="G80" s="25">
        <v>9474750.520010598</v>
      </c>
      <c r="H80" s="26">
        <f t="shared" si="7"/>
        <v>4.9070494125549681E-2</v>
      </c>
      <c r="J80" s="25">
        <v>40914432.64717681</v>
      </c>
      <c r="K80" s="26">
        <f t="shared" si="8"/>
        <v>0.21189913366301935</v>
      </c>
      <c r="L80" s="24"/>
      <c r="M80" s="25">
        <v>6939566.1055992693</v>
      </c>
      <c r="N80" s="26">
        <f t="shared" si="9"/>
        <v>3.5940570371692675E-2</v>
      </c>
      <c r="Q80" s="120"/>
      <c r="R80" s="120"/>
    </row>
    <row r="81" spans="2:18" ht="14.4" x14ac:dyDescent="0.3">
      <c r="B81" s="19">
        <f t="shared" si="10"/>
        <v>198246347.29970783</v>
      </c>
      <c r="C81" s="19">
        <f t="shared" si="5"/>
        <v>136291592.69146982</v>
      </c>
      <c r="D81" s="26">
        <f t="shared" si="6"/>
        <v>0.6874860220522746</v>
      </c>
      <c r="E81" s="7">
        <v>2030</v>
      </c>
      <c r="F81" s="7"/>
      <c r="G81" s="25">
        <v>9979063.0598472897</v>
      </c>
      <c r="H81" s="26">
        <f t="shared" si="7"/>
        <v>5.0336680578336165E-2</v>
      </c>
      <c r="J81" s="25">
        <v>44818890.210630253</v>
      </c>
      <c r="K81" s="26">
        <f t="shared" si="8"/>
        <v>0.22607675158258164</v>
      </c>
      <c r="L81" s="24"/>
      <c r="M81" s="25">
        <v>7156801.337760482</v>
      </c>
      <c r="N81" s="26">
        <f t="shared" si="9"/>
        <v>3.6100545786807693E-2</v>
      </c>
      <c r="Q81" s="120"/>
      <c r="R81" s="120"/>
    </row>
    <row r="82" spans="2:18" ht="14.4" x14ac:dyDescent="0.3">
      <c r="B82" s="19">
        <f t="shared" si="10"/>
        <v>207786858.25092211</v>
      </c>
      <c r="C82" s="19">
        <f t="shared" si="5"/>
        <v>141065779.35433871</v>
      </c>
      <c r="D82" s="26">
        <f t="shared" si="6"/>
        <v>0.67889654110843023</v>
      </c>
      <c r="E82" s="7">
        <v>2031</v>
      </c>
      <c r="F82" s="7"/>
      <c r="G82" s="25">
        <v>10474950.350898787</v>
      </c>
      <c r="H82" s="26">
        <f t="shared" si="7"/>
        <v>5.0411996403782681E-2</v>
      </c>
      <c r="J82" s="25">
        <v>48870612.260129802</v>
      </c>
      <c r="K82" s="26">
        <f t="shared" si="8"/>
        <v>0.23519587654149887</v>
      </c>
      <c r="L82" s="24"/>
      <c r="M82" s="25">
        <v>7375516.2855548337</v>
      </c>
      <c r="N82" s="26">
        <f t="shared" si="9"/>
        <v>3.5495585946288315E-2</v>
      </c>
      <c r="Q82" s="120"/>
      <c r="R82" s="120"/>
    </row>
    <row r="83" spans="2:18" ht="14.4" x14ac:dyDescent="0.3">
      <c r="B83" s="19">
        <f t="shared" si="10"/>
        <v>215764670.0204187</v>
      </c>
      <c r="C83" s="19">
        <f t="shared" si="5"/>
        <v>144126813.76229283</v>
      </c>
      <c r="D83" s="26">
        <f t="shared" si="6"/>
        <v>0.66798152704357727</v>
      </c>
      <c r="E83" s="7">
        <v>2032</v>
      </c>
      <c r="F83" s="7"/>
      <c r="G83" s="25">
        <v>10961166.100948745</v>
      </c>
      <c r="H83" s="26">
        <f t="shared" si="7"/>
        <v>5.0801487101254553E-2</v>
      </c>
      <c r="J83" s="25">
        <v>53079908.224636771</v>
      </c>
      <c r="K83" s="26">
        <f t="shared" si="8"/>
        <v>0.24600833963972693</v>
      </c>
      <c r="L83" s="24"/>
      <c r="M83" s="25">
        <v>7596781.9325403608</v>
      </c>
      <c r="N83" s="26">
        <f t="shared" si="9"/>
        <v>3.5208646215441321E-2</v>
      </c>
      <c r="Q83" s="120"/>
      <c r="R83" s="120"/>
    </row>
    <row r="84" spans="2:18" ht="14.4" x14ac:dyDescent="0.3">
      <c r="B84" s="19">
        <f t="shared" si="10"/>
        <v>224192063.50073788</v>
      </c>
      <c r="C84" s="19">
        <f t="shared" si="5"/>
        <v>147475974.67492843</v>
      </c>
      <c r="D84" s="26">
        <f t="shared" si="6"/>
        <v>0.65781086257963384</v>
      </c>
      <c r="E84" s="7">
        <v>2033</v>
      </c>
      <c r="F84" s="7"/>
      <c r="G84" s="25">
        <v>11436464.017780818</v>
      </c>
      <c r="H84" s="26">
        <f t="shared" si="7"/>
        <v>5.1011903986258537E-2</v>
      </c>
      <c r="J84" s="25">
        <v>57457955.545753554</v>
      </c>
      <c r="K84" s="26">
        <f t="shared" si="8"/>
        <v>0.25628898119118498</v>
      </c>
      <c r="L84" s="24"/>
      <c r="M84" s="25">
        <v>7821669.262275097</v>
      </c>
      <c r="N84" s="26">
        <f t="shared" si="9"/>
        <v>3.4888252242922746E-2</v>
      </c>
      <c r="Q84" s="120"/>
      <c r="R84" s="120"/>
    </row>
    <row r="85" spans="2:18" ht="14.4" x14ac:dyDescent="0.3">
      <c r="B85" s="19">
        <f t="shared" si="10"/>
        <v>233094046.21393138</v>
      </c>
      <c r="C85" s="19">
        <f t="shared" si="5"/>
        <v>151126425.72986248</v>
      </c>
      <c r="D85" s="26">
        <f t="shared" si="6"/>
        <v>0.64834957470839971</v>
      </c>
      <c r="E85" s="7">
        <v>2034</v>
      </c>
      <c r="F85" s="7"/>
      <c r="G85" s="25">
        <v>11899597.809178654</v>
      </c>
      <c r="H85" s="26">
        <f t="shared" si="7"/>
        <v>5.1050629574027485E-2</v>
      </c>
      <c r="J85" s="25">
        <v>62016773.416573182</v>
      </c>
      <c r="K85" s="26">
        <f t="shared" si="8"/>
        <v>0.266059019627017</v>
      </c>
      <c r="L85" s="24"/>
      <c r="M85" s="25">
        <v>8051249.2583170794</v>
      </c>
      <c r="N85" s="26">
        <f t="shared" si="9"/>
        <v>3.4540776090555843E-2</v>
      </c>
      <c r="Q85" s="120"/>
      <c r="R85" s="120"/>
    </row>
    <row r="86" spans="2:18" ht="14.4" x14ac:dyDescent="0.3">
      <c r="B86" s="19">
        <f t="shared" si="10"/>
        <v>242456334.56862378</v>
      </c>
      <c r="C86" s="19">
        <f t="shared" si="5"/>
        <v>155051223.34043553</v>
      </c>
      <c r="D86" s="26">
        <f t="shared" si="6"/>
        <v>0.63950163899120782</v>
      </c>
      <c r="E86" s="7">
        <v>2035</v>
      </c>
      <c r="F86" s="7"/>
      <c r="G86" s="25">
        <v>12349321.18292591</v>
      </c>
      <c r="H86" s="26">
        <f t="shared" si="7"/>
        <v>5.0934207204351725E-2</v>
      </c>
      <c r="J86" s="25">
        <v>66769197.141038008</v>
      </c>
      <c r="K86" s="26">
        <f t="shared" si="8"/>
        <v>0.27538648251790654</v>
      </c>
      <c r="L86" s="24"/>
      <c r="M86" s="25">
        <v>8286592.9042243427</v>
      </c>
      <c r="N86" s="26">
        <f t="shared" si="9"/>
        <v>3.4177671286534039E-2</v>
      </c>
      <c r="Q86" s="120"/>
      <c r="R86" s="120"/>
    </row>
    <row r="87" spans="2:18" ht="14.4" x14ac:dyDescent="0.3">
      <c r="B87" s="19">
        <f t="shared" si="10"/>
        <v>252418051.08678243</v>
      </c>
      <c r="C87" s="19">
        <f t="shared" si="5"/>
        <v>159376038.95531669</v>
      </c>
      <c r="D87" s="26">
        <f t="shared" si="6"/>
        <v>0.63139715352814652</v>
      </c>
      <c r="E87" s="7">
        <v>2036</v>
      </c>
      <c r="F87" s="7"/>
      <c r="G87" s="25">
        <v>12784387.846806239</v>
      </c>
      <c r="H87" s="26">
        <f t="shared" si="7"/>
        <v>5.0647676708394006E-2</v>
      </c>
      <c r="J87" s="25">
        <v>71728853.101104602</v>
      </c>
      <c r="K87" s="26">
        <f t="shared" si="8"/>
        <v>0.28416689215480834</v>
      </c>
      <c r="L87" s="24"/>
      <c r="M87" s="25">
        <v>8528771.183554925</v>
      </c>
      <c r="N87" s="26">
        <f t="shared" si="9"/>
        <v>3.3788277608651281E-2</v>
      </c>
      <c r="Q87" s="120"/>
      <c r="R87" s="120"/>
    </row>
    <row r="88" spans="2:18" ht="14.4" x14ac:dyDescent="0.3">
      <c r="B88" s="19">
        <f t="shared" si="10"/>
        <v>262884921.52289629</v>
      </c>
      <c r="C88" s="19">
        <f t="shared" si="5"/>
        <v>163992380.61517906</v>
      </c>
      <c r="D88" s="26">
        <f t="shared" si="6"/>
        <v>0.62381813177099976</v>
      </c>
      <c r="E88" s="7">
        <v>2037</v>
      </c>
      <c r="F88" s="7"/>
      <c r="G88" s="25">
        <v>13203551.508603293</v>
      </c>
      <c r="H88" s="26">
        <f t="shared" si="7"/>
        <v>5.0225594652271881E-2</v>
      </c>
      <c r="J88" s="25">
        <v>76910134.319247067</v>
      </c>
      <c r="K88" s="26">
        <f t="shared" si="8"/>
        <v>0.29256198443678516</v>
      </c>
      <c r="L88" s="24"/>
      <c r="M88" s="25">
        <v>8778855.0798668582</v>
      </c>
      <c r="N88" s="26">
        <f t="shared" si="9"/>
        <v>3.3394289139943134E-2</v>
      </c>
      <c r="Q88" s="120"/>
      <c r="R88" s="120"/>
    </row>
    <row r="89" spans="2:18" ht="14.4" x14ac:dyDescent="0.3">
      <c r="B89" s="19">
        <f t="shared" si="10"/>
        <v>273915681.80624288</v>
      </c>
      <c r="C89" s="19">
        <f t="shared" si="5"/>
        <v>168944023.74935961</v>
      </c>
      <c r="D89" s="26">
        <f t="shared" si="6"/>
        <v>0.61677382848370077</v>
      </c>
      <c r="E89" s="7">
        <v>2038</v>
      </c>
      <c r="F89" s="7"/>
      <c r="G89" s="25">
        <v>13605565.876100728</v>
      </c>
      <c r="H89" s="26">
        <f t="shared" si="7"/>
        <v>4.9670635088810894E-2</v>
      </c>
      <c r="J89" s="25">
        <v>82328176.604064375</v>
      </c>
      <c r="K89" s="26">
        <f t="shared" si="8"/>
        <v>0.30056028943352014</v>
      </c>
      <c r="L89" s="24"/>
      <c r="M89" s="25">
        <v>9037915.5767181814</v>
      </c>
      <c r="N89" s="26">
        <f t="shared" si="9"/>
        <v>3.2995246993968184E-2</v>
      </c>
      <c r="Q89" s="120"/>
      <c r="R89" s="120"/>
    </row>
    <row r="90" spans="2:18" ht="14.4" x14ac:dyDescent="0.3">
      <c r="B90" s="19">
        <f t="shared" si="10"/>
        <v>285529015.54426575</v>
      </c>
      <c r="C90" s="19">
        <f t="shared" si="5"/>
        <v>174233971.96253222</v>
      </c>
      <c r="D90" s="26">
        <f t="shared" si="6"/>
        <v>0.61021459283363311</v>
      </c>
      <c r="E90" s="7">
        <v>2039</v>
      </c>
      <c r="F90" s="7"/>
      <c r="G90" s="25">
        <v>13989184.657082198</v>
      </c>
      <c r="H90" s="26">
        <f t="shared" si="7"/>
        <v>4.8993916188925624E-2</v>
      </c>
      <c r="J90" s="25">
        <v>87998835.266984418</v>
      </c>
      <c r="K90" s="26">
        <f t="shared" si="8"/>
        <v>0.30819577162497486</v>
      </c>
      <c r="L90" s="24"/>
      <c r="M90" s="25">
        <v>9307023.6576669291</v>
      </c>
      <c r="N90" s="26">
        <f t="shared" si="9"/>
        <v>3.2595719352466496E-2</v>
      </c>
      <c r="Q90" s="120"/>
      <c r="R90" s="120"/>
    </row>
    <row r="91" spans="2:18" ht="14.4" x14ac:dyDescent="0.3">
      <c r="B91" s="19">
        <f t="shared" si="10"/>
        <v>298766260.34611422</v>
      </c>
      <c r="C91" s="19">
        <f t="shared" si="5"/>
        <v>180887186.08222839</v>
      </c>
      <c r="D91" s="26">
        <f t="shared" si="6"/>
        <v>0.60544716753717276</v>
      </c>
      <c r="E91" s="7">
        <v>2040</v>
      </c>
      <c r="F91" s="7"/>
      <c r="G91" s="25">
        <v>14353161.559331352</v>
      </c>
      <c r="H91" s="26">
        <f t="shared" si="7"/>
        <v>4.8041440632230446E-2</v>
      </c>
      <c r="J91" s="25">
        <v>93938662.398283333</v>
      </c>
      <c r="K91" s="26">
        <f t="shared" si="8"/>
        <v>0.31442192397982771</v>
      </c>
      <c r="L91" s="24"/>
      <c r="M91" s="25">
        <v>9587250.3062711358</v>
      </c>
      <c r="N91" s="26">
        <f t="shared" si="9"/>
        <v>3.2089467850769077E-2</v>
      </c>
      <c r="Q91" s="120"/>
      <c r="R91" s="120"/>
    </row>
    <row r="92" spans="2:18" ht="14.4" x14ac:dyDescent="0.3">
      <c r="B92" s="19">
        <f t="shared" si="10"/>
        <v>310580104.35325843</v>
      </c>
      <c r="C92" s="19">
        <f t="shared" si="5"/>
        <v>185839302.86567888</v>
      </c>
      <c r="D92" s="26">
        <f t="shared" si="6"/>
        <v>0.59836190490264785</v>
      </c>
      <c r="E92" s="7">
        <v>2041</v>
      </c>
      <c r="F92" s="7"/>
      <c r="G92" s="25">
        <v>14696250.290631847</v>
      </c>
      <c r="H92" s="26">
        <f t="shared" si="7"/>
        <v>4.7318711291036576E-2</v>
      </c>
      <c r="J92" s="25">
        <v>100164884.69085887</v>
      </c>
      <c r="K92" s="26">
        <f t="shared" si="8"/>
        <v>0.322509018726228</v>
      </c>
      <c r="L92" s="24"/>
      <c r="M92" s="25">
        <v>9879666.5060888398</v>
      </c>
      <c r="N92" s="26">
        <f t="shared" si="9"/>
        <v>3.1810365080087555E-2</v>
      </c>
      <c r="Q92" s="120"/>
      <c r="R92" s="120"/>
    </row>
    <row r="93" spans="2:18" ht="14.4" x14ac:dyDescent="0.3">
      <c r="B93" s="19">
        <f t="shared" si="10"/>
        <v>324059055.31610924</v>
      </c>
      <c r="C93" s="19">
        <f t="shared" si="5"/>
        <v>192161125.71625161</v>
      </c>
      <c r="D93" s="26">
        <f t="shared" si="6"/>
        <v>0.59298181169109621</v>
      </c>
      <c r="E93" s="7">
        <v>2042</v>
      </c>
      <c r="F93" s="7"/>
      <c r="G93" s="25">
        <v>15017204.558767334</v>
      </c>
      <c r="H93" s="26">
        <f t="shared" si="7"/>
        <v>4.6340950244758726E-2</v>
      </c>
      <c r="J93" s="25">
        <v>106695381.80041224</v>
      </c>
      <c r="K93" s="26">
        <f t="shared" si="8"/>
        <v>0.32924672231835739</v>
      </c>
      <c r="L93" s="24"/>
      <c r="M93" s="25">
        <v>10185343.240678076</v>
      </c>
      <c r="N93" s="26">
        <f t="shared" si="9"/>
        <v>3.143051574578775E-2</v>
      </c>
      <c r="Q93" s="120"/>
      <c r="R93" s="120"/>
    </row>
    <row r="94" spans="2:18" ht="14.4" x14ac:dyDescent="0.3">
      <c r="B94" s="19">
        <f t="shared" si="10"/>
        <v>338200406.04604715</v>
      </c>
      <c r="C94" s="19">
        <f t="shared" si="5"/>
        <v>198831611.25002125</v>
      </c>
      <c r="D94" s="26">
        <f t="shared" si="6"/>
        <v>0.5879106225051357</v>
      </c>
      <c r="E94" s="7">
        <v>2043</v>
      </c>
      <c r="F94" s="7"/>
      <c r="G94" s="25">
        <v>15314778.071521468</v>
      </c>
      <c r="H94" s="26">
        <f t="shared" si="7"/>
        <v>4.5283145134474817E-2</v>
      </c>
      <c r="J94" s="25">
        <v>113548665.23090754</v>
      </c>
      <c r="K94" s="26">
        <f t="shared" si="8"/>
        <v>0.33574372827762811</v>
      </c>
      <c r="L94" s="24"/>
      <c r="M94" s="25">
        <v>10505351.493596878</v>
      </c>
      <c r="N94" s="26">
        <f t="shared" si="9"/>
        <v>3.1062504082761327E-2</v>
      </c>
      <c r="Q94" s="120"/>
      <c r="R94" s="120"/>
    </row>
    <row r="95" spans="2:18" ht="14.4" x14ac:dyDescent="0.3">
      <c r="B95" s="19">
        <f t="shared" si="10"/>
        <v>353023844.56960446</v>
      </c>
      <c r="C95" s="19">
        <f t="shared" si="5"/>
        <v>205851500.05013803</v>
      </c>
      <c r="D95" s="26">
        <f t="shared" si="6"/>
        <v>0.58310933727750225</v>
      </c>
      <c r="E95" s="7">
        <v>2044</v>
      </c>
      <c r="F95" s="7"/>
      <c r="G95" s="96">
        <v>15587724.536677904</v>
      </c>
      <c r="H95" s="26">
        <f t="shared" si="7"/>
        <v>4.4154877287912286E-2</v>
      </c>
      <c r="J95" s="25">
        <v>120743857.73438524</v>
      </c>
      <c r="K95" s="26">
        <f t="shared" si="8"/>
        <v>0.34202748508841474</v>
      </c>
      <c r="L95" s="24"/>
      <c r="M95" s="25">
        <v>10840762.248403283</v>
      </c>
      <c r="N95" s="26">
        <f t="shared" si="9"/>
        <v>3.0708300346170662E-2</v>
      </c>
      <c r="Q95" s="120"/>
      <c r="R95" s="120"/>
    </row>
    <row r="96" spans="2:18" ht="14.4" x14ac:dyDescent="0.3">
      <c r="B96" s="19">
        <f t="shared" si="10"/>
        <v>368560391.10641456</v>
      </c>
      <c r="C96" s="19">
        <f t="shared" si="5"/>
        <v>213232273.74132591</v>
      </c>
      <c r="D96" s="26">
        <f t="shared" si="6"/>
        <v>0.57855450256389407</v>
      </c>
      <c r="E96" s="7">
        <v>2045</v>
      </c>
      <c r="F96" s="7"/>
      <c r="G96" s="96">
        <v>15834797.662020296</v>
      </c>
      <c r="H96" s="26">
        <f t="shared" si="7"/>
        <v>4.2963915939215266E-2</v>
      </c>
      <c r="J96" s="25">
        <v>128300673.21441299</v>
      </c>
      <c r="K96" s="26">
        <f t="shared" si="8"/>
        <v>0.34811302654974852</v>
      </c>
      <c r="L96" s="24"/>
      <c r="M96" s="25">
        <v>11192646.488655329</v>
      </c>
      <c r="N96" s="26">
        <f t="shared" si="9"/>
        <v>3.0368554947142089E-2</v>
      </c>
      <c r="Q96" s="120"/>
      <c r="R96" s="120"/>
    </row>
    <row r="97" spans="1:18" ht="14.4" x14ac:dyDescent="0.3">
      <c r="B97" s="19">
        <f t="shared" si="10"/>
        <v>384794352.1876142</v>
      </c>
      <c r="C97" s="19">
        <f t="shared" si="5"/>
        <v>220938128.71171194</v>
      </c>
      <c r="D97" s="26">
        <f t="shared" si="6"/>
        <v>0.57417196342837462</v>
      </c>
      <c r="E97" s="7">
        <v>2046</v>
      </c>
      <c r="F97" s="7"/>
      <c r="G97" s="97">
        <v>16054751.15533229</v>
      </c>
      <c r="H97" s="26">
        <f t="shared" si="7"/>
        <v>4.172293866596169E-2</v>
      </c>
      <c r="J97" s="25">
        <v>136239397.12265894</v>
      </c>
      <c r="K97" s="26">
        <f t="shared" si="8"/>
        <v>0.35405768392419829</v>
      </c>
      <c r="L97" s="24"/>
      <c r="M97" s="25">
        <v>11562075.197911046</v>
      </c>
      <c r="N97" s="26">
        <f t="shared" si="9"/>
        <v>3.0047413981465418E-2</v>
      </c>
      <c r="Q97" s="120"/>
      <c r="R97" s="120"/>
    </row>
    <row r="98" spans="1:18" ht="14.4" x14ac:dyDescent="0.3">
      <c r="B98" s="19">
        <f t="shared" si="10"/>
        <v>401779392.47485662</v>
      </c>
      <c r="C98" s="19">
        <f t="shared" si="5"/>
        <v>229002067.05246177</v>
      </c>
      <c r="D98" s="26">
        <f t="shared" si="6"/>
        <v>0.56996966828454931</v>
      </c>
      <c r="E98" s="7">
        <v>2047</v>
      </c>
      <c r="F98" s="7"/>
      <c r="G98" s="97">
        <v>16246338.724397546</v>
      </c>
      <c r="H98" s="26">
        <f t="shared" si="7"/>
        <v>4.0435968167317697E-2</v>
      </c>
      <c r="J98" s="25">
        <v>144580867.33826882</v>
      </c>
      <c r="K98" s="26">
        <f t="shared" si="8"/>
        <v>0.35985137626817609</v>
      </c>
      <c r="L98" s="24"/>
      <c r="M98" s="25">
        <v>11950119.359728476</v>
      </c>
      <c r="N98" s="26">
        <f t="shared" si="9"/>
        <v>2.974298727995691E-2</v>
      </c>
      <c r="Q98" s="120"/>
      <c r="R98" s="120"/>
    </row>
    <row r="99" spans="1:18" ht="14.4" x14ac:dyDescent="0.3">
      <c r="B99" s="19">
        <f t="shared" si="10"/>
        <v>419522672.27956676</v>
      </c>
      <c r="C99" s="19">
        <f t="shared" si="5"/>
        <v>237410052.72497374</v>
      </c>
      <c r="D99" s="26">
        <f t="shared" si="6"/>
        <v>0.56590517846140498</v>
      </c>
      <c r="E99" s="7">
        <v>2048</v>
      </c>
      <c r="F99" s="7"/>
      <c r="G99" s="97">
        <v>16408314.076999715</v>
      </c>
      <c r="H99" s="26">
        <f t="shared" si="7"/>
        <v>3.9111864891214598E-2</v>
      </c>
      <c r="J99" s="25">
        <v>153346455.51992765</v>
      </c>
      <c r="K99" s="26">
        <f t="shared" si="8"/>
        <v>0.3655260267262474</v>
      </c>
      <c r="L99" s="24"/>
      <c r="M99" s="25">
        <v>12357849.95766565</v>
      </c>
      <c r="N99" s="26">
        <f t="shared" si="9"/>
        <v>2.9456929921133013E-2</v>
      </c>
      <c r="Q99" s="120"/>
      <c r="R99" s="120"/>
    </row>
    <row r="100" spans="1:18" ht="14.4" x14ac:dyDescent="0.3">
      <c r="B100" s="19">
        <f t="shared" si="10"/>
        <v>438042788.97083277</v>
      </c>
      <c r="C100" s="19">
        <f t="shared" si="5"/>
        <v>246158971.15395662</v>
      </c>
      <c r="D100" s="26">
        <f t="shared" si="6"/>
        <v>0.56195188541352115</v>
      </c>
      <c r="E100" s="7">
        <v>2049</v>
      </c>
      <c r="F100" s="7"/>
      <c r="G100" s="97">
        <v>16539430.920922454</v>
      </c>
      <c r="H100" s="26">
        <f t="shared" si="7"/>
        <v>3.7757569208664084E-2</v>
      </c>
      <c r="J100" s="25">
        <v>162558048.92067307</v>
      </c>
      <c r="K100" s="26">
        <f t="shared" si="8"/>
        <v>0.37110084451475139</v>
      </c>
      <c r="L100" s="24"/>
      <c r="M100" s="25">
        <v>12786337.975280607</v>
      </c>
      <c r="N100" s="26">
        <f t="shared" si="9"/>
        <v>2.918970086306338E-2</v>
      </c>
      <c r="Q100" s="120"/>
      <c r="R100" s="120"/>
    </row>
    <row r="101" spans="1:18" ht="14.4" x14ac:dyDescent="0.3">
      <c r="A101" s="30"/>
      <c r="B101" s="19">
        <f t="shared" si="10"/>
        <v>457153615.6940248</v>
      </c>
      <c r="C101" s="19">
        <f t="shared" si="5"/>
        <v>255040485.67822492</v>
      </c>
      <c r="D101" s="26">
        <f t="shared" si="6"/>
        <v>0.5578879329020221</v>
      </c>
      <c r="E101" s="33">
        <v>2050</v>
      </c>
      <c r="F101" s="33"/>
      <c r="G101" s="97">
        <v>16638442.96394941</v>
      </c>
      <c r="H101" s="26">
        <f t="shared" si="7"/>
        <v>3.6395737434319238E-2</v>
      </c>
      <c r="I101" s="30"/>
      <c r="J101" s="25">
        <v>172238032.6557191</v>
      </c>
      <c r="K101" s="26">
        <f t="shared" si="8"/>
        <v>0.37676182959690047</v>
      </c>
      <c r="L101" s="34"/>
      <c r="M101" s="25">
        <v>13236654.396131381</v>
      </c>
      <c r="N101" s="26">
        <f t="shared" si="9"/>
        <v>2.8954500066758173E-2</v>
      </c>
      <c r="O101" s="119"/>
      <c r="Q101" s="120"/>
      <c r="R101" s="120"/>
    </row>
    <row r="102" spans="1:18" ht="14.4" x14ac:dyDescent="0.3">
      <c r="B102" s="19">
        <f t="shared" si="10"/>
        <v>477486471.70434684</v>
      </c>
      <c r="C102" s="19">
        <f t="shared" si="5"/>
        <v>264663225.17297542</v>
      </c>
      <c r="D102" s="26">
        <f t="shared" si="6"/>
        <v>0.5542842381026688</v>
      </c>
      <c r="E102" s="7">
        <v>2051</v>
      </c>
      <c r="F102" s="7"/>
      <c r="G102" s="97">
        <v>16704103.91386424</v>
      </c>
      <c r="H102" s="26">
        <f t="shared" si="7"/>
        <v>3.4983407706275699E-2</v>
      </c>
      <c r="J102" s="25">
        <v>182409272.41373116</v>
      </c>
      <c r="K102" s="26">
        <f t="shared" si="8"/>
        <v>0.38201977065996651</v>
      </c>
      <c r="L102" s="24"/>
      <c r="M102" s="25">
        <v>13709870.203776008</v>
      </c>
      <c r="N102" s="26">
        <f t="shared" si="9"/>
        <v>2.8712583531088968E-2</v>
      </c>
      <c r="Q102" s="120"/>
      <c r="R102" s="120"/>
    </row>
    <row r="103" spans="1:18" ht="14.4" x14ac:dyDescent="0.3">
      <c r="B103" s="19">
        <f t="shared" si="10"/>
        <v>498445785.10352683</v>
      </c>
      <c r="C103" s="19">
        <f t="shared" si="5"/>
        <v>274408463.64112455</v>
      </c>
      <c r="D103" s="26">
        <f t="shared" si="6"/>
        <v>0.55052820555826365</v>
      </c>
      <c r="E103" s="7">
        <v>2052</v>
      </c>
      <c r="F103" s="7"/>
      <c r="G103" s="97">
        <v>16735167.478450604</v>
      </c>
      <c r="H103" s="26">
        <f t="shared" si="7"/>
        <v>3.357469955328185E-2</v>
      </c>
      <c r="J103" s="25">
        <v>193095097.60217917</v>
      </c>
      <c r="K103" s="26">
        <f t="shared" si="8"/>
        <v>0.38739438344748661</v>
      </c>
      <c r="L103" s="24"/>
      <c r="M103" s="25">
        <v>14207056.381772524</v>
      </c>
      <c r="N103" s="26">
        <f t="shared" si="9"/>
        <v>2.8502711440967905E-2</v>
      </c>
      <c r="Q103" s="120"/>
      <c r="R103" s="120"/>
    </row>
    <row r="104" spans="1:18" ht="14.4" x14ac:dyDescent="0.3">
      <c r="B104" s="19">
        <f t="shared" si="10"/>
        <v>520253305.07133967</v>
      </c>
      <c r="C104" s="19">
        <f t="shared" si="5"/>
        <v>284474348.87460196</v>
      </c>
      <c r="D104" s="26">
        <f t="shared" si="6"/>
        <v>0.54679969565132014</v>
      </c>
      <c r="E104" s="7">
        <v>2053</v>
      </c>
      <c r="F104" s="7"/>
      <c r="G104" s="97">
        <v>16730387.365492145</v>
      </c>
      <c r="H104" s="26">
        <f t="shared" si="7"/>
        <v>3.2158156810167676E-2</v>
      </c>
      <c r="J104" s="25">
        <v>204319284.9175666</v>
      </c>
      <c r="K104" s="26">
        <f t="shared" si="8"/>
        <v>0.39273039291802164</v>
      </c>
      <c r="L104" s="24"/>
      <c r="M104" s="25">
        <v>14729283.913678965</v>
      </c>
      <c r="N104" s="26">
        <f t="shared" si="9"/>
        <v>2.8311754620490518E-2</v>
      </c>
      <c r="Q104" s="120"/>
      <c r="R104" s="120"/>
    </row>
    <row r="105" spans="1:18" ht="14.4" x14ac:dyDescent="0.3">
      <c r="B105" s="19">
        <f t="shared" si="10"/>
        <v>542926025.0959208</v>
      </c>
      <c r="C105" s="19">
        <f t="shared" si="5"/>
        <v>294853841.69857818</v>
      </c>
      <c r="D105" s="26">
        <f t="shared" si="6"/>
        <v>0.54308290277019822</v>
      </c>
      <c r="E105" s="7">
        <v>2054</v>
      </c>
      <c r="F105" s="7"/>
      <c r="G105" s="97">
        <v>16688517.282772519</v>
      </c>
      <c r="H105" s="26">
        <f t="shared" si="7"/>
        <v>3.073810521391767E-2</v>
      </c>
      <c r="J105" s="25">
        <v>216106042.33151671</v>
      </c>
      <c r="K105" s="26">
        <f t="shared" si="8"/>
        <v>0.39803957140079338</v>
      </c>
      <c r="L105" s="24"/>
      <c r="M105" s="25">
        <v>15277623.783053365</v>
      </c>
      <c r="N105" s="26">
        <f t="shared" si="9"/>
        <v>2.8139420615090626E-2</v>
      </c>
      <c r="Q105" s="120"/>
      <c r="R105" s="120"/>
    </row>
    <row r="106" spans="1:18" ht="14.4" x14ac:dyDescent="0.3">
      <c r="B106" s="19">
        <f t="shared" si="10"/>
        <v>566480741.25414598</v>
      </c>
      <c r="C106" s="19">
        <f t="shared" si="5"/>
        <v>305539289.85875428</v>
      </c>
      <c r="D106" s="26">
        <f t="shared" si="6"/>
        <v>0.53936394939448984</v>
      </c>
      <c r="E106" s="7">
        <v>2055</v>
      </c>
      <c r="F106" s="7"/>
      <c r="G106" s="97">
        <v>16608310.93807538</v>
      </c>
      <c r="H106" s="26">
        <f t="shared" si="7"/>
        <v>2.9318403484125202E-2</v>
      </c>
      <c r="J106" s="25">
        <v>228479993.48386255</v>
      </c>
      <c r="K106" s="26">
        <f t="shared" si="8"/>
        <v>0.40333232331610241</v>
      </c>
      <c r="L106" s="24"/>
      <c r="M106" s="25">
        <v>15853146.97345376</v>
      </c>
      <c r="N106" s="26">
        <f t="shared" si="9"/>
        <v>2.7985323805282555E-2</v>
      </c>
      <c r="Q106" s="120"/>
      <c r="R106" s="120"/>
    </row>
    <row r="107" spans="1:18" ht="14.4" x14ac:dyDescent="0.3">
      <c r="B107" s="19">
        <f t="shared" si="10"/>
        <v>590934106.64413559</v>
      </c>
      <c r="C107" s="19">
        <f t="shared" si="5"/>
        <v>316522497.6624524</v>
      </c>
      <c r="D107" s="26">
        <f t="shared" si="6"/>
        <v>0.53563078201723147</v>
      </c>
      <c r="E107" s="7">
        <v>2056</v>
      </c>
      <c r="F107" s="7"/>
      <c r="G107" s="97">
        <v>16488522.039184384</v>
      </c>
      <c r="H107" s="26">
        <f t="shared" si="7"/>
        <v>2.7902471449517942E-2</v>
      </c>
      <c r="J107" s="25">
        <v>241466162.47406068</v>
      </c>
      <c r="K107" s="26">
        <f t="shared" si="8"/>
        <v>0.40861774563212544</v>
      </c>
      <c r="L107" s="24"/>
      <c r="M107" s="25">
        <v>16456924.468438188</v>
      </c>
      <c r="N107" s="26">
        <f t="shared" si="9"/>
        <v>2.7849000901125267E-2</v>
      </c>
      <c r="Q107" s="120"/>
      <c r="R107" s="120"/>
    </row>
    <row r="108" spans="1:18" ht="14.4" x14ac:dyDescent="0.3">
      <c r="B108" s="19">
        <f t="shared" si="10"/>
        <v>616302672.07732093</v>
      </c>
      <c r="C108" s="19">
        <f t="shared" si="5"/>
        <v>327794781.48946124</v>
      </c>
      <c r="D108" s="26">
        <f t="shared" si="6"/>
        <v>0.53187304929993284</v>
      </c>
      <c r="E108" s="7">
        <v>2057</v>
      </c>
      <c r="F108" s="7"/>
      <c r="G108" s="97">
        <v>16327904.293883184</v>
      </c>
      <c r="H108" s="26">
        <f t="shared" si="7"/>
        <v>2.6493320625802341E-2</v>
      </c>
      <c r="J108" s="25">
        <v>255089959.0424118</v>
      </c>
      <c r="K108" s="26">
        <f t="shared" si="8"/>
        <v>0.41390370446164215</v>
      </c>
      <c r="L108" s="24"/>
      <c r="M108" s="25">
        <v>17090027.251564682</v>
      </c>
      <c r="N108" s="26">
        <f t="shared" si="9"/>
        <v>2.7729925612622653E-2</v>
      </c>
      <c r="Q108" s="120"/>
      <c r="R108" s="120"/>
    </row>
    <row r="109" spans="1:18" ht="14.4" x14ac:dyDescent="0.3">
      <c r="B109" s="19">
        <f t="shared" si="10"/>
        <v>642602912.20113075</v>
      </c>
      <c r="C109" s="19">
        <f t="shared" si="5"/>
        <v>339347010.35204715</v>
      </c>
      <c r="D109" s="26">
        <f t="shared" si="6"/>
        <v>0.52808196774220906</v>
      </c>
      <c r="E109" s="7">
        <v>2058</v>
      </c>
      <c r="F109" s="7"/>
      <c r="G109" s="97">
        <v>16125211.409955429</v>
      </c>
      <c r="H109" s="26">
        <f t="shared" si="7"/>
        <v>2.509358595142553E-2</v>
      </c>
      <c r="J109" s="25">
        <v>269377164.13273692</v>
      </c>
      <c r="K109" s="26">
        <f t="shared" si="8"/>
        <v>0.41919692397600516</v>
      </c>
      <c r="L109" s="24"/>
      <c r="M109" s="25">
        <v>17753526.30639128</v>
      </c>
      <c r="N109" s="26">
        <f t="shared" si="9"/>
        <v>2.7627522330360272E-2</v>
      </c>
      <c r="Q109" s="120"/>
      <c r="R109" s="120"/>
    </row>
    <row r="110" spans="1:18" ht="14.4" x14ac:dyDescent="0.3">
      <c r="B110" s="19">
        <f t="shared" si="10"/>
        <v>669851232.07864487</v>
      </c>
      <c r="C110" s="19">
        <f t="shared" si="5"/>
        <v>351169626.53866893</v>
      </c>
      <c r="D110" s="26">
        <f t="shared" si="6"/>
        <v>0.52425017633981053</v>
      </c>
      <c r="E110" s="7">
        <v>2059</v>
      </c>
      <c r="F110" s="7"/>
      <c r="G110" s="97">
        <v>15879197.095184777</v>
      </c>
      <c r="H110" s="26">
        <f t="shared" si="7"/>
        <v>2.3705557793645225E-2</v>
      </c>
      <c r="J110" s="25">
        <v>284353915.82831514</v>
      </c>
      <c r="K110" s="26">
        <f t="shared" si="8"/>
        <v>0.42450308697040678</v>
      </c>
      <c r="L110" s="24"/>
      <c r="M110" s="25">
        <v>18448492.616476018</v>
      </c>
      <c r="N110" s="26">
        <f t="shared" si="9"/>
        <v>2.7541178896137414E-2</v>
      </c>
      <c r="Q110" s="120"/>
      <c r="R110" s="120"/>
    </row>
    <row r="111" spans="1:18" ht="14.4" x14ac:dyDescent="0.3">
      <c r="B111" s="19">
        <f t="shared" si="10"/>
        <v>698063819.62390327</v>
      </c>
      <c r="C111" s="19">
        <f t="shared" si="5"/>
        <v>363252511.7481209</v>
      </c>
      <c r="D111" s="26">
        <f t="shared" si="6"/>
        <v>0.52037149260053461</v>
      </c>
      <c r="E111" s="7">
        <v>2060</v>
      </c>
      <c r="F111" s="7"/>
      <c r="G111" s="97">
        <v>15588615.057354877</v>
      </c>
      <c r="H111" s="26">
        <f t="shared" si="7"/>
        <v>2.2331217603790976E-2</v>
      </c>
      <c r="J111" s="25">
        <v>300046695.65305048</v>
      </c>
      <c r="K111" s="26">
        <f t="shared" si="8"/>
        <v>0.42982702615171636</v>
      </c>
      <c r="L111" s="24"/>
      <c r="M111" s="25">
        <v>19175997.165376931</v>
      </c>
      <c r="N111" s="26">
        <f t="shared" si="9"/>
        <v>2.7470263643957951E-2</v>
      </c>
      <c r="Q111" s="120"/>
      <c r="R111" s="120"/>
    </row>
    <row r="112" spans="1:18" ht="14.4" x14ac:dyDescent="0.3">
      <c r="B112" s="2"/>
      <c r="C112" s="2"/>
      <c r="D112" s="2"/>
      <c r="G112" s="2"/>
      <c r="J112" s="2"/>
      <c r="M112" s="2"/>
      <c r="Q112" s="120"/>
      <c r="R112" s="120"/>
    </row>
    <row r="113" spans="1:18" ht="14.4" x14ac:dyDescent="0.3">
      <c r="B113" s="2"/>
      <c r="C113" s="231" t="s">
        <v>246</v>
      </c>
      <c r="D113" s="2"/>
      <c r="G113" s="2"/>
      <c r="J113" s="2"/>
      <c r="M113" s="2"/>
      <c r="Q113" s="120"/>
      <c r="R113" s="120"/>
    </row>
    <row r="114" spans="1:18" s="90" customFormat="1" ht="14.4" x14ac:dyDescent="0.3">
      <c r="B114" s="5"/>
      <c r="C114" s="5"/>
      <c r="D114" s="5"/>
      <c r="G114" s="5"/>
      <c r="J114" s="5"/>
      <c r="M114" s="5"/>
      <c r="Q114" s="120"/>
      <c r="R114" s="120"/>
    </row>
    <row r="115" spans="1:18" ht="15.75" customHeight="1" x14ac:dyDescent="0.3">
      <c r="A115" s="4" t="s">
        <v>72</v>
      </c>
      <c r="B115" s="2"/>
      <c r="C115" s="2"/>
      <c r="D115" s="2"/>
      <c r="G115" s="2"/>
      <c r="I115" s="120"/>
      <c r="J115" s="120"/>
      <c r="K115" s="120"/>
      <c r="L115" s="120"/>
      <c r="M115" s="120"/>
      <c r="N115" s="120"/>
      <c r="O115" s="120"/>
      <c r="P115" s="120"/>
      <c r="Q115" s="120"/>
      <c r="R115" s="120"/>
    </row>
    <row r="116" spans="1:18" ht="45" customHeight="1" x14ac:dyDescent="0.3">
      <c r="A116" s="8" t="s">
        <v>130</v>
      </c>
      <c r="B116" s="66" t="s">
        <v>47</v>
      </c>
      <c r="C116" s="66" t="s">
        <v>178</v>
      </c>
      <c r="D116" s="9" t="s">
        <v>49</v>
      </c>
      <c r="E116" s="13"/>
      <c r="F116" s="14" t="s">
        <v>50</v>
      </c>
      <c r="G116" s="11" t="s">
        <v>7</v>
      </c>
      <c r="H116" s="11" t="s">
        <v>27</v>
      </c>
      <c r="I116" s="14" t="s">
        <v>51</v>
      </c>
      <c r="J116" s="11" t="s">
        <v>9</v>
      </c>
      <c r="K116" s="11" t="s">
        <v>27</v>
      </c>
      <c r="L116" s="14" t="s">
        <v>52</v>
      </c>
      <c r="M116" s="11" t="s">
        <v>10</v>
      </c>
      <c r="N116" s="11" t="s">
        <v>27</v>
      </c>
      <c r="Q116" s="120"/>
      <c r="R116" s="120"/>
    </row>
    <row r="117" spans="1:18" s="251" customFormat="1" ht="37.200000000000003" customHeight="1" x14ac:dyDescent="0.3">
      <c r="A117" s="16"/>
      <c r="B117" s="17"/>
      <c r="C117" s="17"/>
      <c r="D117" s="17"/>
      <c r="E117" s="122" t="s">
        <v>276</v>
      </c>
      <c r="F117" s="17"/>
      <c r="G117" s="271" t="s">
        <v>764</v>
      </c>
      <c r="H117" s="17" t="s">
        <v>30</v>
      </c>
      <c r="I117" s="17"/>
      <c r="J117" s="271" t="s">
        <v>767</v>
      </c>
      <c r="K117" s="17" t="s">
        <v>30</v>
      </c>
      <c r="L117" s="17"/>
      <c r="M117" s="271" t="s">
        <v>770</v>
      </c>
      <c r="N117" s="17" t="s">
        <v>30</v>
      </c>
    </row>
    <row r="118" spans="1:18" ht="18.75" customHeight="1" x14ac:dyDescent="0.3">
      <c r="A118" s="8"/>
      <c r="B118" s="19">
        <f>B8</f>
        <v>111304101.36378722</v>
      </c>
      <c r="C118" s="19">
        <f t="shared" ref="C118:C166" si="11">B118-G118-J118-M118</f>
        <v>111304101.36378722</v>
      </c>
      <c r="D118" s="26">
        <f t="shared" ref="D118:D166" si="12">C118/B118</f>
        <v>1</v>
      </c>
      <c r="E118" s="7">
        <v>2012</v>
      </c>
      <c r="F118" s="7"/>
      <c r="G118" s="97"/>
      <c r="H118" s="26">
        <f t="shared" ref="H118:H166" si="13">G118/$B118</f>
        <v>0</v>
      </c>
      <c r="J118" s="97"/>
      <c r="K118" s="26">
        <f t="shared" ref="K118:K166" si="14">J118/$B118</f>
        <v>0</v>
      </c>
      <c r="L118" s="24"/>
      <c r="M118" s="97"/>
      <c r="N118" s="26">
        <f t="shared" ref="N118:N166" si="15">M118/$B118</f>
        <v>0</v>
      </c>
      <c r="Q118" s="120"/>
      <c r="R118" s="120"/>
    </row>
    <row r="119" spans="1:18" ht="18.75" customHeight="1" x14ac:dyDescent="0.3">
      <c r="A119" s="8"/>
      <c r="B119" s="19">
        <f t="shared" ref="B119:B166" si="16">B9</f>
        <v>114809281.73291987</v>
      </c>
      <c r="C119" s="19">
        <f t="shared" si="11"/>
        <v>114809281.73291987</v>
      </c>
      <c r="D119" s="26">
        <f t="shared" si="12"/>
        <v>1</v>
      </c>
      <c r="E119" s="7">
        <v>2013</v>
      </c>
      <c r="F119" s="7"/>
      <c r="G119" s="97"/>
      <c r="H119" s="26">
        <f t="shared" si="13"/>
        <v>0</v>
      </c>
      <c r="J119" s="97"/>
      <c r="K119" s="26">
        <f t="shared" si="14"/>
        <v>0</v>
      </c>
      <c r="L119" s="24"/>
      <c r="M119" s="97"/>
      <c r="N119" s="26">
        <f t="shared" si="15"/>
        <v>0</v>
      </c>
      <c r="Q119" s="120"/>
      <c r="R119" s="120"/>
    </row>
    <row r="120" spans="1:18" ht="14.55" customHeight="1" x14ac:dyDescent="0.3">
      <c r="A120" s="847" t="s">
        <v>179</v>
      </c>
      <c r="B120" s="19">
        <f t="shared" si="16"/>
        <v>120041145.08637774</v>
      </c>
      <c r="C120" s="19">
        <f t="shared" si="11"/>
        <v>112304580.10219303</v>
      </c>
      <c r="D120" s="26">
        <f t="shared" si="12"/>
        <v>0.93555072322396016</v>
      </c>
      <c r="E120" s="117">
        <v>2014</v>
      </c>
      <c r="F120" s="117"/>
      <c r="G120" s="25">
        <v>304732.46181197831</v>
      </c>
      <c r="H120" s="26">
        <f t="shared" si="13"/>
        <v>2.5385667688583163E-3</v>
      </c>
      <c r="I120" s="119"/>
      <c r="J120" s="25">
        <v>4675431.2690049233</v>
      </c>
      <c r="K120" s="26">
        <f t="shared" si="14"/>
        <v>3.8948572721799961E-2</v>
      </c>
      <c r="L120" s="118"/>
      <c r="M120" s="25">
        <v>2756401.253367804</v>
      </c>
      <c r="N120" s="26">
        <f t="shared" si="15"/>
        <v>2.2962137285381497E-2</v>
      </c>
      <c r="O120" s="119"/>
      <c r="Q120" s="120"/>
      <c r="R120" s="120"/>
    </row>
    <row r="121" spans="1:18" ht="14.4" x14ac:dyDescent="0.3">
      <c r="A121" s="848"/>
      <c r="B121" s="19">
        <f t="shared" si="16"/>
        <v>121402579.56495498</v>
      </c>
      <c r="C121" s="19">
        <f t="shared" si="11"/>
        <v>112615323.34904653</v>
      </c>
      <c r="D121" s="26">
        <f t="shared" si="12"/>
        <v>0.92761886734699128</v>
      </c>
      <c r="E121" s="7">
        <v>2015</v>
      </c>
      <c r="F121" s="7"/>
      <c r="G121" s="25">
        <v>475099.27776347531</v>
      </c>
      <c r="H121" s="26">
        <f t="shared" si="13"/>
        <v>3.9134199575164641E-3</v>
      </c>
      <c r="J121" s="25">
        <v>4920303.9913424542</v>
      </c>
      <c r="K121" s="26">
        <f t="shared" si="14"/>
        <v>4.0528825738088255E-2</v>
      </c>
      <c r="L121" s="24"/>
      <c r="M121" s="25">
        <v>3391852.9468025244</v>
      </c>
      <c r="N121" s="26">
        <f t="shared" si="15"/>
        <v>2.793888695740402E-2</v>
      </c>
      <c r="Q121" s="120"/>
      <c r="R121" s="120"/>
    </row>
    <row r="122" spans="1:18" ht="14.4" x14ac:dyDescent="0.3">
      <c r="B122" s="19">
        <f t="shared" si="16"/>
        <v>125419175.00682679</v>
      </c>
      <c r="C122" s="19">
        <f t="shared" si="11"/>
        <v>115862749.46083984</v>
      </c>
      <c r="D122" s="26">
        <f t="shared" si="12"/>
        <v>0.92380411093067083</v>
      </c>
      <c r="E122" s="7">
        <v>2016</v>
      </c>
      <c r="F122" s="7"/>
      <c r="G122" s="25">
        <v>660286.80985134712</v>
      </c>
      <c r="H122" s="26">
        <f t="shared" si="13"/>
        <v>5.2646400346311201E-3</v>
      </c>
      <c r="J122" s="25">
        <v>5165176.7136799851</v>
      </c>
      <c r="K122" s="26">
        <f t="shared" si="14"/>
        <v>4.1183309596788814E-2</v>
      </c>
      <c r="L122" s="24"/>
      <c r="M122" s="25">
        <v>3730962.0224556141</v>
      </c>
      <c r="N122" s="26">
        <f t="shared" si="15"/>
        <v>2.9747939437909165E-2</v>
      </c>
      <c r="Q122" s="120"/>
      <c r="R122" s="120"/>
    </row>
    <row r="123" spans="1:18" ht="14.4" x14ac:dyDescent="0.3">
      <c r="B123" s="19">
        <f t="shared" si="16"/>
        <v>131106488.58192991</v>
      </c>
      <c r="C123" s="19">
        <f t="shared" si="11"/>
        <v>120757975.50603414</v>
      </c>
      <c r="D123" s="26">
        <f t="shared" si="12"/>
        <v>0.92106788010397467</v>
      </c>
      <c r="E123" s="7">
        <v>2017</v>
      </c>
      <c r="F123" s="7"/>
      <c r="G123" s="25">
        <v>853343.22519254731</v>
      </c>
      <c r="H123" s="26">
        <f t="shared" si="13"/>
        <v>6.5087794999504059E-3</v>
      </c>
      <c r="J123" s="25">
        <v>5410049.4360176241</v>
      </c>
      <c r="K123" s="26">
        <f t="shared" si="14"/>
        <v>4.1264543765405053E-2</v>
      </c>
      <c r="L123" s="24"/>
      <c r="M123" s="25">
        <v>4085120.4146856102</v>
      </c>
      <c r="N123" s="26">
        <f t="shared" si="15"/>
        <v>3.1158796630669984E-2</v>
      </c>
      <c r="Q123" s="120"/>
      <c r="R123" s="120"/>
    </row>
    <row r="124" spans="1:18" ht="14.4" x14ac:dyDescent="0.3">
      <c r="B124" s="19">
        <f t="shared" si="16"/>
        <v>136014167.4935613</v>
      </c>
      <c r="C124" s="19">
        <f t="shared" si="11"/>
        <v>124849993.57347159</v>
      </c>
      <c r="D124" s="26">
        <f t="shared" si="12"/>
        <v>0.91791903648112094</v>
      </c>
      <c r="E124" s="7">
        <v>2018</v>
      </c>
      <c r="F124" s="7"/>
      <c r="G124" s="25">
        <v>1055789.453035265</v>
      </c>
      <c r="H124" s="26">
        <f t="shared" si="13"/>
        <v>7.7623491176773514E-3</v>
      </c>
      <c r="J124" s="25">
        <v>5654922.158355088</v>
      </c>
      <c r="K124" s="26">
        <f t="shared" si="14"/>
        <v>4.1575978903982805E-2</v>
      </c>
      <c r="L124" s="24"/>
      <c r="M124" s="25">
        <v>4453462.3086993555</v>
      </c>
      <c r="N124" s="26">
        <f t="shared" si="15"/>
        <v>3.274263549721889E-2</v>
      </c>
      <c r="Q124" s="120"/>
      <c r="R124" s="120"/>
    </row>
    <row r="125" spans="1:18" ht="14.4" x14ac:dyDescent="0.3">
      <c r="B125" s="19">
        <f t="shared" si="16"/>
        <v>138615066.64722213</v>
      </c>
      <c r="C125" s="19">
        <f t="shared" si="11"/>
        <v>117777908.17653376</v>
      </c>
      <c r="D125" s="26">
        <f t="shared" si="12"/>
        <v>0.84967609239968611</v>
      </c>
      <c r="E125" s="7">
        <v>2019</v>
      </c>
      <c r="F125" s="7"/>
      <c r="G125" s="25">
        <v>6124193.8867459232</v>
      </c>
      <c r="H125" s="26">
        <f t="shared" si="13"/>
        <v>4.4181300307939167E-2</v>
      </c>
      <c r="J125" s="25">
        <v>9877842.6942387596</v>
      </c>
      <c r="K125" s="26">
        <f t="shared" si="14"/>
        <v>7.1260959815992078E-2</v>
      </c>
      <c r="L125" s="24"/>
      <c r="M125" s="25">
        <v>4835121.889703691</v>
      </c>
      <c r="N125" s="26">
        <f t="shared" si="15"/>
        <v>3.4881647476382664E-2</v>
      </c>
      <c r="Q125" s="120"/>
      <c r="R125" s="120"/>
    </row>
    <row r="126" spans="1:18" ht="14.4" x14ac:dyDescent="0.3">
      <c r="A126" s="119"/>
      <c r="B126" s="19">
        <f t="shared" si="16"/>
        <v>143607177.61110789</v>
      </c>
      <c r="C126" s="19">
        <f t="shared" si="11"/>
        <v>118459183.68823576</v>
      </c>
      <c r="D126" s="26">
        <f t="shared" si="12"/>
        <v>0.82488344704487149</v>
      </c>
      <c r="E126" s="117">
        <v>2020</v>
      </c>
      <c r="F126" s="117"/>
      <c r="G126" s="25">
        <v>6811024.899773933</v>
      </c>
      <c r="H126" s="26">
        <f t="shared" si="13"/>
        <v>4.7428164894503896E-2</v>
      </c>
      <c r="I126" s="119"/>
      <c r="J126" s="25">
        <v>13107735.680192735</v>
      </c>
      <c r="K126" s="26">
        <f t="shared" si="14"/>
        <v>9.1274934151890627E-2</v>
      </c>
      <c r="L126" s="118"/>
      <c r="M126" s="25">
        <v>5229233.3429054581</v>
      </c>
      <c r="N126" s="26">
        <f t="shared" si="15"/>
        <v>3.6413453908734024E-2</v>
      </c>
      <c r="O126" s="119"/>
      <c r="Q126" s="120"/>
      <c r="R126" s="120"/>
    </row>
    <row r="127" spans="1:18" ht="14.4" x14ac:dyDescent="0.3">
      <c r="B127" s="19">
        <f t="shared" si="16"/>
        <v>147638211.06368932</v>
      </c>
      <c r="C127" s="19">
        <f t="shared" si="11"/>
        <v>118092748.4517514</v>
      </c>
      <c r="D127" s="26">
        <f t="shared" si="12"/>
        <v>0.79987929683601777</v>
      </c>
      <c r="E127" s="7">
        <v>2021</v>
      </c>
      <c r="F127" s="7"/>
      <c r="G127" s="25">
        <v>7465140.5342858434</v>
      </c>
      <c r="H127" s="26">
        <f t="shared" si="13"/>
        <v>5.0563742817673896E-2</v>
      </c>
      <c r="J127" s="25">
        <v>16445391.224140588</v>
      </c>
      <c r="K127" s="26">
        <f t="shared" si="14"/>
        <v>0.11138980285426411</v>
      </c>
      <c r="L127" s="24"/>
      <c r="M127" s="25">
        <v>5634930.8535114974</v>
      </c>
      <c r="N127" s="26">
        <f t="shared" si="15"/>
        <v>3.8167157492044232E-2</v>
      </c>
      <c r="Q127" s="120"/>
      <c r="R127" s="120"/>
    </row>
    <row r="128" spans="1:18" ht="14.4" x14ac:dyDescent="0.3">
      <c r="B128" s="19">
        <f t="shared" si="16"/>
        <v>152389535.28659737</v>
      </c>
      <c r="C128" s="19">
        <f t="shared" si="11"/>
        <v>118360195.4098704</v>
      </c>
      <c r="D128" s="26">
        <f t="shared" si="12"/>
        <v>0.77669503478222202</v>
      </c>
      <c r="E128" s="7">
        <v>2022</v>
      </c>
      <c r="F128" s="7"/>
      <c r="G128" s="25">
        <v>8087392.7109261826</v>
      </c>
      <c r="H128" s="26">
        <f t="shared" si="13"/>
        <v>5.3070525451214941E-2</v>
      </c>
      <c r="J128" s="25">
        <v>19890598.559072141</v>
      </c>
      <c r="K128" s="26">
        <f t="shared" si="14"/>
        <v>0.13052470119857051</v>
      </c>
      <c r="L128" s="24"/>
      <c r="M128" s="25">
        <v>6051348.6067286534</v>
      </c>
      <c r="N128" s="26">
        <f t="shared" si="15"/>
        <v>3.9709738567992522E-2</v>
      </c>
      <c r="Q128" s="120"/>
      <c r="R128" s="120"/>
    </row>
    <row r="129" spans="2:18" ht="14.4" x14ac:dyDescent="0.3">
      <c r="B129" s="19">
        <f t="shared" si="16"/>
        <v>157362816.04242453</v>
      </c>
      <c r="C129" s="19">
        <f t="shared" si="11"/>
        <v>118762060.58407553</v>
      </c>
      <c r="D129" s="26">
        <f t="shared" si="12"/>
        <v>0.75470218168984493</v>
      </c>
      <c r="E129" s="7">
        <v>2023</v>
      </c>
      <c r="F129" s="7"/>
      <c r="G129" s="25">
        <v>8678633.3503394816</v>
      </c>
      <c r="H129" s="26">
        <f t="shared" si="13"/>
        <v>5.5150470540637431E-2</v>
      </c>
      <c r="J129" s="25">
        <v>23444501.320245773</v>
      </c>
      <c r="K129" s="26">
        <f t="shared" si="14"/>
        <v>0.14898374285527025</v>
      </c>
      <c r="L129" s="24"/>
      <c r="M129" s="25">
        <v>6477620.787763766</v>
      </c>
      <c r="N129" s="26">
        <f t="shared" si="15"/>
        <v>4.1163604914247462E-2</v>
      </c>
      <c r="Q129" s="120"/>
      <c r="R129" s="120"/>
    </row>
    <row r="130" spans="2:18" ht="14.4" x14ac:dyDescent="0.3">
      <c r="B130" s="19">
        <f t="shared" si="16"/>
        <v>162578731.36562198</v>
      </c>
      <c r="C130" s="19">
        <f t="shared" si="11"/>
        <v>119316582.57371686</v>
      </c>
      <c r="D130" s="26">
        <f t="shared" si="12"/>
        <v>0.73390031753530405</v>
      </c>
      <c r="E130" s="7">
        <v>2024</v>
      </c>
      <c r="F130" s="7"/>
      <c r="G130" s="25">
        <v>9239714.3731702715</v>
      </c>
      <c r="H130" s="26">
        <f t="shared" si="13"/>
        <v>5.6832245494591496E-2</v>
      </c>
      <c r="J130" s="25">
        <v>27109552.836911183</v>
      </c>
      <c r="K130" s="26">
        <f t="shared" si="14"/>
        <v>0.16674722830715619</v>
      </c>
      <c r="L130" s="24"/>
      <c r="M130" s="25">
        <v>6912881.5818236768</v>
      </c>
      <c r="N130" s="26">
        <f t="shared" si="15"/>
        <v>4.2520208662948374E-2</v>
      </c>
      <c r="Q130" s="120"/>
      <c r="R130" s="120"/>
    </row>
    <row r="131" spans="2:18" ht="14.4" x14ac:dyDescent="0.3">
      <c r="B131" s="19">
        <f t="shared" si="16"/>
        <v>168068843.40691885</v>
      </c>
      <c r="C131" s="19">
        <f t="shared" si="11"/>
        <v>120051617.91683696</v>
      </c>
      <c r="D131" s="26">
        <f t="shared" si="12"/>
        <v>0.7143002562716203</v>
      </c>
      <c r="E131" s="7">
        <v>2025</v>
      </c>
      <c r="F131" s="7"/>
      <c r="G131" s="25">
        <v>9771487.7000630796</v>
      </c>
      <c r="H131" s="26">
        <f t="shared" si="13"/>
        <v>5.8139792611084387E-2</v>
      </c>
      <c r="J131" s="25">
        <v>30889472.61590359</v>
      </c>
      <c r="K131" s="26">
        <f t="shared" si="14"/>
        <v>0.18379059431685224</v>
      </c>
      <c r="L131" s="24"/>
      <c r="M131" s="25">
        <v>7356265.1741152266</v>
      </c>
      <c r="N131" s="26">
        <f t="shared" si="15"/>
        <v>4.3769356800443075E-2</v>
      </c>
      <c r="Q131" s="120"/>
      <c r="R131" s="120"/>
    </row>
    <row r="132" spans="2:18" ht="14.4" x14ac:dyDescent="0.3">
      <c r="B132" s="19">
        <f t="shared" si="16"/>
        <v>173824829.62613234</v>
      </c>
      <c r="C132" s="19">
        <f t="shared" si="11"/>
        <v>120953914.63540819</v>
      </c>
      <c r="D132" s="26">
        <f t="shared" si="12"/>
        <v>0.69583795879771326</v>
      </c>
      <c r="E132" s="7">
        <v>2026</v>
      </c>
      <c r="F132" s="7"/>
      <c r="G132" s="25">
        <v>10274805.251662431</v>
      </c>
      <c r="H132" s="26">
        <f t="shared" si="13"/>
        <v>5.9110112598768486E-2</v>
      </c>
      <c r="J132" s="25">
        <v>34789203.989216454</v>
      </c>
      <c r="K132" s="26">
        <f t="shared" si="14"/>
        <v>0.20013943959583977</v>
      </c>
      <c r="L132" s="24"/>
      <c r="M132" s="25">
        <v>7806905.7498452589</v>
      </c>
      <c r="N132" s="26">
        <f t="shared" si="15"/>
        <v>4.491248900767851E-2</v>
      </c>
      <c r="Q132" s="120"/>
      <c r="R132" s="120"/>
    </row>
    <row r="133" spans="2:18" ht="14.4" x14ac:dyDescent="0.3">
      <c r="B133" s="19">
        <f t="shared" si="16"/>
        <v>179902626.52463171</v>
      </c>
      <c r="C133" s="19">
        <f t="shared" si="11"/>
        <v>122073297.18354222</v>
      </c>
      <c r="D133" s="26">
        <f t="shared" si="12"/>
        <v>0.67855205641941152</v>
      </c>
      <c r="E133" s="7">
        <v>2027</v>
      </c>
      <c r="F133" s="7"/>
      <c r="G133" s="25">
        <v>10750518.948612863</v>
      </c>
      <c r="H133" s="26">
        <f t="shared" si="13"/>
        <v>5.9757431874630999E-2</v>
      </c>
      <c r="J133" s="25">
        <v>38814872.898256004</v>
      </c>
      <c r="K133" s="26">
        <f t="shared" si="14"/>
        <v>0.21575489834742126</v>
      </c>
      <c r="L133" s="24"/>
      <c r="M133" s="25">
        <v>8263937.4942206144</v>
      </c>
      <c r="N133" s="26">
        <f t="shared" si="15"/>
        <v>4.5935613358536159E-2</v>
      </c>
      <c r="Q133" s="120"/>
      <c r="R133" s="120"/>
    </row>
    <row r="134" spans="2:18" ht="14.4" x14ac:dyDescent="0.3">
      <c r="B134" s="19">
        <f t="shared" si="16"/>
        <v>186314810.77474824</v>
      </c>
      <c r="C134" s="19">
        <f t="shared" si="11"/>
        <v>123415087.68267374</v>
      </c>
      <c r="D134" s="26">
        <f t="shared" si="12"/>
        <v>0.66240084279655409</v>
      </c>
      <c r="E134" s="7">
        <v>2028</v>
      </c>
      <c r="F134" s="7"/>
      <c r="G134" s="25">
        <v>11199480.711558903</v>
      </c>
      <c r="H134" s="26">
        <f t="shared" si="13"/>
        <v>6.0110522963732087E-2</v>
      </c>
      <c r="J134" s="25">
        <v>42973747.788067468</v>
      </c>
      <c r="K134" s="26">
        <f t="shared" si="14"/>
        <v>0.23065127033847069</v>
      </c>
      <c r="L134" s="24"/>
      <c r="M134" s="25">
        <v>8726494.592448134</v>
      </c>
      <c r="N134" s="26">
        <f t="shared" si="15"/>
        <v>4.6837363901243108E-2</v>
      </c>
      <c r="Q134" s="120"/>
      <c r="R134" s="120"/>
    </row>
    <row r="135" spans="2:18" ht="14.4" x14ac:dyDescent="0.3">
      <c r="B135" s="19">
        <f t="shared" si="16"/>
        <v>193084473.44689262</v>
      </c>
      <c r="C135" s="19">
        <f t="shared" si="11"/>
        <v>124994019.17061704</v>
      </c>
      <c r="D135" s="26">
        <f t="shared" si="12"/>
        <v>0.64735406705291776</v>
      </c>
      <c r="E135" s="7">
        <v>2029</v>
      </c>
      <c r="F135" s="7"/>
      <c r="G135" s="25">
        <v>11622542.461145077</v>
      </c>
      <c r="H135" s="26">
        <f t="shared" si="13"/>
        <v>6.019408113797315E-2</v>
      </c>
      <c r="J135" s="25">
        <v>47274200.585395835</v>
      </c>
      <c r="K135" s="26">
        <f t="shared" si="14"/>
        <v>0.24483688274603022</v>
      </c>
      <c r="L135" s="24"/>
      <c r="M135" s="25">
        <v>9193711.2297346611</v>
      </c>
      <c r="N135" s="26">
        <f t="shared" si="15"/>
        <v>4.7614969063078848E-2</v>
      </c>
      <c r="Q135" s="120"/>
      <c r="R135" s="120"/>
    </row>
    <row r="136" spans="2:18" ht="14.4" x14ac:dyDescent="0.3">
      <c r="B136" s="19">
        <f t="shared" si="16"/>
        <v>198246347.29970783</v>
      </c>
      <c r="C136" s="19">
        <f t="shared" si="11"/>
        <v>124835400.85539632</v>
      </c>
      <c r="D136" s="26">
        <f t="shared" si="12"/>
        <v>0.62969836547187819</v>
      </c>
      <c r="E136" s="7">
        <v>2030</v>
      </c>
      <c r="F136" s="7"/>
      <c r="G136" s="25">
        <v>12020556.118015917</v>
      </c>
      <c r="H136" s="26">
        <f t="shared" si="13"/>
        <v>6.0634439331400648E-2</v>
      </c>
      <c r="J136" s="25">
        <v>51725668.735008582</v>
      </c>
      <c r="K136" s="26">
        <f t="shared" si="14"/>
        <v>0.26091612501091876</v>
      </c>
      <c r="L136" s="24"/>
      <c r="M136" s="25">
        <v>9664721.5912870355</v>
      </c>
      <c r="N136" s="26">
        <f t="shared" si="15"/>
        <v>4.8751070185802506E-2</v>
      </c>
      <c r="Q136" s="120"/>
      <c r="R136" s="120"/>
    </row>
    <row r="137" spans="2:18" ht="14.4" x14ac:dyDescent="0.3">
      <c r="B137" s="19">
        <f t="shared" si="16"/>
        <v>207786858.25092211</v>
      </c>
      <c r="C137" s="19">
        <f t="shared" si="11"/>
        <v>128915206.51653898</v>
      </c>
      <c r="D137" s="26">
        <f t="shared" si="12"/>
        <v>0.62042040387781294</v>
      </c>
      <c r="E137" s="7">
        <v>2031</v>
      </c>
      <c r="F137" s="7"/>
      <c r="G137" s="25">
        <v>12394373.602815954</v>
      </c>
      <c r="H137" s="26">
        <f t="shared" si="13"/>
        <v>5.9649458619026742E-2</v>
      </c>
      <c r="J137" s="25">
        <v>56338618.269255064</v>
      </c>
      <c r="K137" s="26">
        <f t="shared" si="14"/>
        <v>0.27113658074189129</v>
      </c>
      <c r="L137" s="24"/>
      <c r="M137" s="25">
        <v>10138659.862312101</v>
      </c>
      <c r="N137" s="26">
        <f t="shared" si="15"/>
        <v>4.879355676126889E-2</v>
      </c>
      <c r="Q137" s="120"/>
      <c r="R137" s="120"/>
    </row>
    <row r="138" spans="2:18" ht="14.4" x14ac:dyDescent="0.3">
      <c r="B138" s="19">
        <f t="shared" si="16"/>
        <v>215764670.0204187</v>
      </c>
      <c r="C138" s="19">
        <f t="shared" si="11"/>
        <v>131280655.06983098</v>
      </c>
      <c r="D138" s="26">
        <f t="shared" si="12"/>
        <v>0.60844370423298377</v>
      </c>
      <c r="E138" s="7">
        <v>2032</v>
      </c>
      <c r="F138" s="7"/>
      <c r="G138" s="25">
        <v>12744846.836189713</v>
      </c>
      <c r="H138" s="26">
        <f t="shared" si="13"/>
        <v>5.9068274870874904E-2</v>
      </c>
      <c r="J138" s="25">
        <v>61124507.886381298</v>
      </c>
      <c r="K138" s="26">
        <f t="shared" si="14"/>
        <v>0.28329247731149326</v>
      </c>
      <c r="L138" s="24"/>
      <c r="M138" s="25">
        <v>10614660.228016697</v>
      </c>
      <c r="N138" s="26">
        <f t="shared" si="15"/>
        <v>4.9195543584647977E-2</v>
      </c>
      <c r="Q138" s="120"/>
      <c r="R138" s="120"/>
    </row>
    <row r="139" spans="2:18" ht="14.4" x14ac:dyDescent="0.3">
      <c r="B139" s="19">
        <f t="shared" si="16"/>
        <v>224192063.50073788</v>
      </c>
      <c r="C139" s="19">
        <f t="shared" si="11"/>
        <v>133931624.87470397</v>
      </c>
      <c r="D139" s="26">
        <f t="shared" si="12"/>
        <v>0.59739681585232907</v>
      </c>
      <c r="E139" s="7">
        <v>2033</v>
      </c>
      <c r="F139" s="7"/>
      <c r="G139" s="25">
        <v>13072827.738781728</v>
      </c>
      <c r="H139" s="26">
        <f t="shared" si="13"/>
        <v>5.8310840868542616E-2</v>
      </c>
      <c r="J139" s="25">
        <v>66095754.013644502</v>
      </c>
      <c r="K139" s="26">
        <f t="shared" si="14"/>
        <v>0.29481754608778543</v>
      </c>
      <c r="L139" s="24"/>
      <c r="M139" s="25">
        <v>11091856.873607665</v>
      </c>
      <c r="N139" s="26">
        <f t="shared" si="15"/>
        <v>4.9474797191342852E-2</v>
      </c>
      <c r="Q139" s="120"/>
      <c r="R139" s="120"/>
    </row>
    <row r="140" spans="2:18" ht="14.4" x14ac:dyDescent="0.3">
      <c r="B140" s="19">
        <f t="shared" si="16"/>
        <v>233094046.21393138</v>
      </c>
      <c r="C140" s="19">
        <f t="shared" si="11"/>
        <v>136879797.16661051</v>
      </c>
      <c r="D140" s="26">
        <f t="shared" si="12"/>
        <v>0.58722991594982055</v>
      </c>
      <c r="E140" s="7">
        <v>2034</v>
      </c>
      <c r="F140" s="7"/>
      <c r="G140" s="25">
        <v>13379168.231236527</v>
      </c>
      <c r="H140" s="26">
        <f t="shared" si="13"/>
        <v>5.739815515904366E-2</v>
      </c>
      <c r="J140" s="25">
        <v>71265696.831792504</v>
      </c>
      <c r="K140" s="26">
        <f t="shared" si="14"/>
        <v>0.30573795422636219</v>
      </c>
      <c r="L140" s="24"/>
      <c r="M140" s="25">
        <v>11569383.984291848</v>
      </c>
      <c r="N140" s="26">
        <f t="shared" si="15"/>
        <v>4.963397466477365E-2</v>
      </c>
      <c r="Q140" s="120"/>
      <c r="R140" s="120"/>
    </row>
    <row r="141" spans="2:18" ht="14.4" x14ac:dyDescent="0.3">
      <c r="B141" s="19">
        <f t="shared" si="16"/>
        <v>242456334.56862378</v>
      </c>
      <c r="C141" s="19">
        <f t="shared" si="11"/>
        <v>140096671.35116965</v>
      </c>
      <c r="D141" s="26">
        <f t="shared" si="12"/>
        <v>0.57782227715530066</v>
      </c>
      <c r="E141" s="7">
        <v>2035</v>
      </c>
      <c r="F141" s="7"/>
      <c r="G141" s="25">
        <v>13664720.234198639</v>
      </c>
      <c r="H141" s="26">
        <f t="shared" si="13"/>
        <v>5.6359510088737387E-2</v>
      </c>
      <c r="J141" s="25">
        <v>76648567.237979427</v>
      </c>
      <c r="K141" s="26">
        <f t="shared" si="14"/>
        <v>0.31613349007503516</v>
      </c>
      <c r="L141" s="24"/>
      <c r="M141" s="25">
        <v>12046375.745276086</v>
      </c>
      <c r="N141" s="26">
        <f t="shared" si="15"/>
        <v>4.9684722680926829E-2</v>
      </c>
      <c r="Q141" s="120"/>
      <c r="R141" s="120"/>
    </row>
    <row r="142" spans="2:18" ht="14.4" x14ac:dyDescent="0.3">
      <c r="B142" s="19">
        <f t="shared" si="16"/>
        <v>252418051.08678243</v>
      </c>
      <c r="C142" s="19">
        <f t="shared" si="11"/>
        <v>143706294.3520166</v>
      </c>
      <c r="D142" s="26">
        <f t="shared" si="12"/>
        <v>0.56931861145940688</v>
      </c>
      <c r="E142" s="7">
        <v>2036</v>
      </c>
      <c r="F142" s="7"/>
      <c r="G142" s="25">
        <v>13930335.668312592</v>
      </c>
      <c r="H142" s="26">
        <f t="shared" si="13"/>
        <v>5.5187557341227086E-2</v>
      </c>
      <c r="J142" s="25">
        <v>82259454.724686041</v>
      </c>
      <c r="K142" s="26">
        <f t="shared" si="14"/>
        <v>0.32588578499247223</v>
      </c>
      <c r="L142" s="24"/>
      <c r="M142" s="25">
        <v>12521966.341767225</v>
      </c>
      <c r="N142" s="26">
        <f t="shared" si="15"/>
        <v>4.960804620689397E-2</v>
      </c>
      <c r="Q142" s="120"/>
      <c r="R142" s="120"/>
    </row>
    <row r="143" spans="2:18" ht="14.4" x14ac:dyDescent="0.3">
      <c r="B143" s="19">
        <f t="shared" si="16"/>
        <v>262884921.52289629</v>
      </c>
      <c r="C143" s="19">
        <f t="shared" si="11"/>
        <v>147598488.95699716</v>
      </c>
      <c r="D143" s="26">
        <f t="shared" si="12"/>
        <v>0.56145665602255501</v>
      </c>
      <c r="E143" s="7">
        <v>2037</v>
      </c>
      <c r="F143" s="7"/>
      <c r="G143" s="25">
        <v>14176866.454222916</v>
      </c>
      <c r="H143" s="26">
        <f t="shared" si="13"/>
        <v>5.3928031977247368E-2</v>
      </c>
      <c r="J143" s="25">
        <v>88114276.152704135</v>
      </c>
      <c r="K143" s="26">
        <f t="shared" si="14"/>
        <v>0.33518193300040494</v>
      </c>
      <c r="L143" s="24"/>
      <c r="M143" s="25">
        <v>12995289.9589721</v>
      </c>
      <c r="N143" s="26">
        <f t="shared" si="15"/>
        <v>4.9433378999792728E-2</v>
      </c>
      <c r="Q143" s="120"/>
      <c r="R143" s="120"/>
    </row>
    <row r="144" spans="2:18" ht="14.4" x14ac:dyDescent="0.3">
      <c r="B144" s="19">
        <f t="shared" si="16"/>
        <v>273915681.80624288</v>
      </c>
      <c r="C144" s="19">
        <f t="shared" si="11"/>
        <v>151815291.11485532</v>
      </c>
      <c r="D144" s="26">
        <f t="shared" si="12"/>
        <v>0.55424096245151622</v>
      </c>
      <c r="E144" s="7">
        <v>2038</v>
      </c>
      <c r="F144" s="7"/>
      <c r="G144" s="25">
        <v>14405164.512574142</v>
      </c>
      <c r="H144" s="26">
        <f t="shared" si="13"/>
        <v>5.2589776596886427E-2</v>
      </c>
      <c r="J144" s="25">
        <v>94229745.396715894</v>
      </c>
      <c r="K144" s="26">
        <f t="shared" si="14"/>
        <v>0.34401004270858171</v>
      </c>
      <c r="L144" s="24"/>
      <c r="M144" s="25">
        <v>13465480.782097559</v>
      </c>
      <c r="N144" s="26">
        <f t="shared" si="15"/>
        <v>4.9159218243015779E-2</v>
      </c>
      <c r="Q144" s="120"/>
      <c r="R144" s="120"/>
    </row>
    <row r="145" spans="1:18" ht="14.4" x14ac:dyDescent="0.3">
      <c r="B145" s="19">
        <f t="shared" si="16"/>
        <v>285529015.54426575</v>
      </c>
      <c r="C145" s="19">
        <f t="shared" si="11"/>
        <v>156357916.94143119</v>
      </c>
      <c r="D145" s="26">
        <f t="shared" si="12"/>
        <v>0.547607803162796</v>
      </c>
      <c r="E145" s="7">
        <v>2039</v>
      </c>
      <c r="F145" s="7"/>
      <c r="G145" s="25">
        <v>14616081.764010802</v>
      </c>
      <c r="H145" s="26">
        <f t="shared" si="13"/>
        <v>5.1189479766706444E-2</v>
      </c>
      <c r="J145" s="25">
        <v>100623343.84247331</v>
      </c>
      <c r="K145" s="26">
        <f t="shared" si="14"/>
        <v>0.35241022230496782</v>
      </c>
      <c r="L145" s="24"/>
      <c r="M145" s="25">
        <v>13931672.996350441</v>
      </c>
      <c r="N145" s="26">
        <f t="shared" si="15"/>
        <v>4.8792494765529722E-2</v>
      </c>
      <c r="Q145" s="120"/>
      <c r="R145" s="120"/>
    </row>
    <row r="146" spans="1:18" ht="14.4" x14ac:dyDescent="0.3">
      <c r="B146" s="19">
        <f t="shared" si="16"/>
        <v>298766260.34611422</v>
      </c>
      <c r="C146" s="19">
        <f t="shared" si="11"/>
        <v>162249497.71496284</v>
      </c>
      <c r="D146" s="26">
        <f t="shared" si="12"/>
        <v>0.54306499511357242</v>
      </c>
      <c r="E146" s="7">
        <v>2040</v>
      </c>
      <c r="F146" s="7"/>
      <c r="G146" s="25">
        <v>14810470.129177421</v>
      </c>
      <c r="H146" s="26">
        <f t="shared" si="13"/>
        <v>4.9572097304494203E-2</v>
      </c>
      <c r="J146" s="25">
        <v>107313291.71503641</v>
      </c>
      <c r="K146" s="26">
        <f t="shared" si="14"/>
        <v>0.35918812114432297</v>
      </c>
      <c r="L146" s="24"/>
      <c r="M146" s="25">
        <v>14393000.786937587</v>
      </c>
      <c r="N146" s="26">
        <f t="shared" si="15"/>
        <v>4.8174786437610487E-2</v>
      </c>
      <c r="Q146" s="120"/>
      <c r="R146" s="120"/>
    </row>
    <row r="147" spans="1:18" ht="14.4" x14ac:dyDescent="0.3">
      <c r="B147" s="19">
        <f t="shared" si="16"/>
        <v>310580104.35325843</v>
      </c>
      <c r="C147" s="19">
        <f t="shared" si="11"/>
        <v>166423804.26749432</v>
      </c>
      <c r="D147" s="26">
        <f t="shared" si="12"/>
        <v>0.53584824634549488</v>
      </c>
      <c r="E147" s="7">
        <v>2041</v>
      </c>
      <c r="F147" s="7"/>
      <c r="G147" s="25">
        <v>14989181.528718531</v>
      </c>
      <c r="H147" s="26">
        <f t="shared" si="13"/>
        <v>4.826188580215561E-2</v>
      </c>
      <c r="J147" s="25">
        <v>114318520.21797973</v>
      </c>
      <c r="K147" s="26">
        <f t="shared" si="14"/>
        <v>0.36808062916983292</v>
      </c>
      <c r="L147" s="24"/>
      <c r="M147" s="25">
        <v>14848598.339065835</v>
      </c>
      <c r="N147" s="26">
        <f t="shared" si="15"/>
        <v>4.7809238682516568E-2</v>
      </c>
      <c r="Q147" s="120"/>
      <c r="R147" s="120"/>
    </row>
    <row r="148" spans="1:18" ht="14.4" x14ac:dyDescent="0.3">
      <c r="B148" s="19">
        <f t="shared" si="16"/>
        <v>324059055.31610924</v>
      </c>
      <c r="C148" s="19">
        <f t="shared" si="11"/>
        <v>171949743.13097119</v>
      </c>
      <c r="D148" s="26">
        <f t="shared" si="12"/>
        <v>0.53061236928941768</v>
      </c>
      <c r="E148" s="7">
        <v>2042</v>
      </c>
      <c r="F148" s="7"/>
      <c r="G148" s="25">
        <v>15153067.88327866</v>
      </c>
      <c r="H148" s="26">
        <f t="shared" si="13"/>
        <v>4.6760205075884478E-2</v>
      </c>
      <c r="J148" s="25">
        <v>121658644.46391734</v>
      </c>
      <c r="K148" s="26">
        <f t="shared" si="14"/>
        <v>0.3754212155720914</v>
      </c>
      <c r="L148" s="24"/>
      <c r="M148" s="25">
        <v>15297599.837942034</v>
      </c>
      <c r="N148" s="26">
        <f t="shared" si="15"/>
        <v>4.7206210062606384E-2</v>
      </c>
      <c r="Q148" s="120"/>
      <c r="R148" s="120"/>
    </row>
    <row r="149" spans="1:18" ht="14.4" x14ac:dyDescent="0.3">
      <c r="B149" s="19">
        <f t="shared" si="16"/>
        <v>338200406.04604715</v>
      </c>
      <c r="C149" s="19">
        <f t="shared" si="11"/>
        <v>177804348.28664678</v>
      </c>
      <c r="D149" s="26">
        <f t="shared" si="12"/>
        <v>0.52573664935942777</v>
      </c>
      <c r="E149" s="7">
        <v>2043</v>
      </c>
      <c r="F149" s="7"/>
      <c r="G149" s="96">
        <v>15302981.113502333</v>
      </c>
      <c r="H149" s="26">
        <f t="shared" si="13"/>
        <v>4.5248263573695352E-2</v>
      </c>
      <c r="J149" s="25">
        <v>129353937.17712504</v>
      </c>
      <c r="K149" s="26">
        <f t="shared" si="14"/>
        <v>0.38247717881069915</v>
      </c>
      <c r="L149" s="24"/>
      <c r="M149" s="25">
        <v>15739139.468773022</v>
      </c>
      <c r="N149" s="26">
        <f t="shared" si="15"/>
        <v>4.6537908256177804E-2</v>
      </c>
      <c r="Q149" s="120"/>
      <c r="R149" s="120"/>
    </row>
    <row r="150" spans="1:18" ht="14.4" x14ac:dyDescent="0.3">
      <c r="B150" s="19">
        <f t="shared" si="16"/>
        <v>353023844.56960446</v>
      </c>
      <c r="C150" s="19">
        <f t="shared" si="11"/>
        <v>183986416.86334217</v>
      </c>
      <c r="D150" s="26">
        <f t="shared" si="12"/>
        <v>0.52117277541876128</v>
      </c>
      <c r="E150" s="7">
        <v>2044</v>
      </c>
      <c r="F150" s="7"/>
      <c r="G150" s="96">
        <v>15439773.140034091</v>
      </c>
      <c r="H150" s="26">
        <f t="shared" si="13"/>
        <v>4.3735779827727431E-2</v>
      </c>
      <c r="J150" s="25">
        <v>137425303.14946258</v>
      </c>
      <c r="K150" s="26">
        <f t="shared" si="14"/>
        <v>0.38928051253027163</v>
      </c>
      <c r="L150" s="24"/>
      <c r="M150" s="25">
        <v>16172351.416765641</v>
      </c>
      <c r="N150" s="26">
        <f t="shared" si="15"/>
        <v>4.5810932223239662E-2</v>
      </c>
      <c r="Q150" s="120"/>
      <c r="R150" s="120"/>
    </row>
    <row r="151" spans="1:18" ht="14.4" x14ac:dyDescent="0.3">
      <c r="B151" s="19">
        <f t="shared" si="16"/>
        <v>368560391.10641456</v>
      </c>
      <c r="C151" s="19">
        <f t="shared" si="11"/>
        <v>190505470.92455766</v>
      </c>
      <c r="D151" s="26">
        <f t="shared" si="12"/>
        <v>0.51689078783713616</v>
      </c>
      <c r="E151" s="7">
        <v>2045</v>
      </c>
      <c r="F151" s="7"/>
      <c r="G151" s="96">
        <v>15564295.883518456</v>
      </c>
      <c r="H151" s="26">
        <f t="shared" si="13"/>
        <v>4.2229974406079278E-2</v>
      </c>
      <c r="J151" s="25">
        <v>145894254.43121171</v>
      </c>
      <c r="K151" s="26">
        <f t="shared" si="14"/>
        <v>0.39584897876095321</v>
      </c>
      <c r="L151" s="24"/>
      <c r="M151" s="25">
        <v>16596369.867126733</v>
      </c>
      <c r="N151" s="26">
        <f t="shared" si="15"/>
        <v>4.5030258995831317E-2</v>
      </c>
      <c r="Q151" s="120"/>
      <c r="R151" s="120"/>
    </row>
    <row r="152" spans="1:18" ht="14.4" x14ac:dyDescent="0.3">
      <c r="B152" s="19">
        <f t="shared" si="16"/>
        <v>384794352.1876142</v>
      </c>
      <c r="C152" s="19">
        <f t="shared" si="11"/>
        <v>197323735.67910215</v>
      </c>
      <c r="D152" s="26">
        <f t="shared" si="12"/>
        <v>0.51280309743967611</v>
      </c>
      <c r="E152" s="7">
        <v>2046</v>
      </c>
      <c r="F152" s="7"/>
      <c r="G152" s="97">
        <v>15677401.264599957</v>
      </c>
      <c r="H152" s="26">
        <f t="shared" si="13"/>
        <v>4.0742285263470096E-2</v>
      </c>
      <c r="J152" s="25">
        <v>154782886.23884892</v>
      </c>
      <c r="K152" s="26">
        <f t="shared" si="14"/>
        <v>0.40224833176184827</v>
      </c>
      <c r="L152" s="24"/>
      <c r="M152" s="25">
        <v>17010329.005063135</v>
      </c>
      <c r="N152" s="26">
        <f t="shared" si="15"/>
        <v>4.4206285535005482E-2</v>
      </c>
      <c r="Q152" s="120"/>
      <c r="R152" s="120"/>
    </row>
    <row r="153" spans="1:18" ht="14.4" x14ac:dyDescent="0.3">
      <c r="B153" s="19">
        <f t="shared" si="16"/>
        <v>401779392.47485662</v>
      </c>
      <c r="C153" s="19">
        <f t="shared" si="11"/>
        <v>204472234.69297996</v>
      </c>
      <c r="D153" s="26">
        <f t="shared" si="12"/>
        <v>0.50891668045362937</v>
      </c>
      <c r="E153" s="7">
        <v>2047</v>
      </c>
      <c r="F153" s="7"/>
      <c r="G153" s="97">
        <v>15779941.203923125</v>
      </c>
      <c r="H153" s="26">
        <f t="shared" si="13"/>
        <v>3.927513829597578E-2</v>
      </c>
      <c r="J153" s="25">
        <v>164113853.56217185</v>
      </c>
      <c r="K153" s="26">
        <f t="shared" si="14"/>
        <v>0.40846757358876268</v>
      </c>
      <c r="L153" s="24"/>
      <c r="M153" s="25">
        <v>17413363.015781697</v>
      </c>
      <c r="N153" s="26">
        <f t="shared" si="15"/>
        <v>4.334060766163219E-2</v>
      </c>
      <c r="Q153" s="120"/>
      <c r="R153" s="120"/>
    </row>
    <row r="154" spans="1:18" ht="14.4" x14ac:dyDescent="0.3">
      <c r="B154" s="19">
        <f t="shared" si="16"/>
        <v>419522672.27956676</v>
      </c>
      <c r="C154" s="19">
        <f t="shared" si="11"/>
        <v>211934950.11936176</v>
      </c>
      <c r="D154" s="26">
        <f t="shared" si="12"/>
        <v>0.50518115973987188</v>
      </c>
      <c r="E154" s="7">
        <v>2048</v>
      </c>
      <c r="F154" s="7"/>
      <c r="G154" s="97">
        <v>15872767.622132491</v>
      </c>
      <c r="H154" s="26">
        <f t="shared" si="13"/>
        <v>3.783530347927179E-2</v>
      </c>
      <c r="J154" s="25">
        <v>173910348.45358327</v>
      </c>
      <c r="K154" s="26">
        <f t="shared" si="14"/>
        <v>0.41454338452938416</v>
      </c>
      <c r="L154" s="24"/>
      <c r="M154" s="25">
        <v>17804606.084489256</v>
      </c>
      <c r="N154" s="26">
        <f t="shared" si="15"/>
        <v>4.2440152251472123E-2</v>
      </c>
      <c r="Q154" s="120"/>
      <c r="R154" s="120"/>
    </row>
    <row r="155" spans="1:18" ht="14.4" x14ac:dyDescent="0.3">
      <c r="B155" s="19">
        <f t="shared" si="16"/>
        <v>438042788.97083277</v>
      </c>
      <c r="C155" s="19">
        <f t="shared" si="11"/>
        <v>219706786.15184832</v>
      </c>
      <c r="D155" s="26">
        <f t="shared" si="12"/>
        <v>0.5015646683011088</v>
      </c>
      <c r="E155" s="7">
        <v>2049</v>
      </c>
      <c r="F155" s="7"/>
      <c r="G155" s="97">
        <v>15956732.43987258</v>
      </c>
      <c r="H155" s="26">
        <f t="shared" si="13"/>
        <v>3.6427337332415405E-2</v>
      </c>
      <c r="J155" s="25">
        <v>184196077.98271924</v>
      </c>
      <c r="K155" s="26">
        <f t="shared" si="14"/>
        <v>0.42049791166630529</v>
      </c>
      <c r="L155" s="24"/>
      <c r="M155" s="25">
        <v>18183192.396392651</v>
      </c>
      <c r="N155" s="26">
        <f t="shared" si="15"/>
        <v>4.1510082700170613E-2</v>
      </c>
      <c r="Q155" s="120"/>
      <c r="R155" s="120"/>
    </row>
    <row r="156" spans="1:18" ht="14.4" x14ac:dyDescent="0.3">
      <c r="A156" s="30"/>
      <c r="B156" s="19">
        <f t="shared" si="16"/>
        <v>457153615.6940248</v>
      </c>
      <c r="C156" s="19">
        <f t="shared" si="11"/>
        <v>227577429.13955694</v>
      </c>
      <c r="D156" s="26">
        <f t="shared" si="12"/>
        <v>0.49781391052559376</v>
      </c>
      <c r="E156" s="33">
        <v>2050</v>
      </c>
      <c r="F156" s="33"/>
      <c r="G156" s="97">
        <v>16032687.577787923</v>
      </c>
      <c r="H156" s="26">
        <f t="shared" si="13"/>
        <v>3.5070678711461141E-2</v>
      </c>
      <c r="I156" s="30"/>
      <c r="J156" s="25">
        <v>194995242.8399812</v>
      </c>
      <c r="K156" s="26">
        <f t="shared" si="14"/>
        <v>0.42654205533068013</v>
      </c>
      <c r="L156" s="34"/>
      <c r="M156" s="25">
        <v>18548256.13669873</v>
      </c>
      <c r="N156" s="26">
        <f t="shared" si="15"/>
        <v>4.0573355432264965E-2</v>
      </c>
      <c r="O156" s="119"/>
      <c r="Q156" s="120"/>
      <c r="R156" s="120"/>
    </row>
    <row r="157" spans="1:18" ht="14.4" x14ac:dyDescent="0.3">
      <c r="B157" s="19">
        <f t="shared" si="16"/>
        <v>477486471.70434684</v>
      </c>
      <c r="C157" s="19">
        <f t="shared" si="11"/>
        <v>236153538.68431666</v>
      </c>
      <c r="D157" s="26">
        <f t="shared" si="12"/>
        <v>0.49457639677494308</v>
      </c>
      <c r="E157" s="7">
        <v>2051</v>
      </c>
      <c r="F157" s="7"/>
      <c r="G157" s="97">
        <v>16101484.956523055</v>
      </c>
      <c r="H157" s="26">
        <f t="shared" si="13"/>
        <v>3.3721342720036004E-2</v>
      </c>
      <c r="J157" s="25">
        <v>206332516.57289279</v>
      </c>
      <c r="K157" s="26">
        <f t="shared" si="14"/>
        <v>0.43212222502641101</v>
      </c>
      <c r="L157" s="24"/>
      <c r="M157" s="25">
        <v>18898931.490614332</v>
      </c>
      <c r="N157" s="26">
        <f t="shared" si="15"/>
        <v>3.958003547860995E-2</v>
      </c>
      <c r="Q157" s="120"/>
      <c r="R157" s="120"/>
    </row>
    <row r="158" spans="1:18" ht="14.4" x14ac:dyDescent="0.3">
      <c r="B158" s="19">
        <f t="shared" si="16"/>
        <v>498445785.10352683</v>
      </c>
      <c r="C158" s="19">
        <f t="shared" si="11"/>
        <v>244814430.52389163</v>
      </c>
      <c r="D158" s="26">
        <f t="shared" si="12"/>
        <v>0.49115558369711931</v>
      </c>
      <c r="E158" s="7">
        <v>2052</v>
      </c>
      <c r="F158" s="7"/>
      <c r="G158" s="97">
        <v>16163976.496722499</v>
      </c>
      <c r="H158" s="26">
        <f t="shared" si="13"/>
        <v>3.2428755503199312E-2</v>
      </c>
      <c r="J158" s="25">
        <v>218233025.43956637</v>
      </c>
      <c r="K158" s="26">
        <f t="shared" si="14"/>
        <v>0.43782700538683367</v>
      </c>
      <c r="L158" s="24"/>
      <c r="M158" s="25">
        <v>19234352.643346295</v>
      </c>
      <c r="N158" s="26">
        <f t="shared" si="15"/>
        <v>3.8588655412847624E-2</v>
      </c>
      <c r="Q158" s="120"/>
      <c r="R158" s="120"/>
    </row>
    <row r="159" spans="1:18" ht="14.4" x14ac:dyDescent="0.3">
      <c r="B159" s="19">
        <f t="shared" si="16"/>
        <v>520253305.07133967</v>
      </c>
      <c r="C159" s="19">
        <f t="shared" si="11"/>
        <v>253756308.30830008</v>
      </c>
      <c r="D159" s="26">
        <f t="shared" si="12"/>
        <v>0.48775530272412931</v>
      </c>
      <c r="E159" s="7">
        <v>2053</v>
      </c>
      <c r="F159" s="7"/>
      <c r="G159" s="97">
        <v>16221014.119030783</v>
      </c>
      <c r="H159" s="26">
        <f t="shared" si="13"/>
        <v>3.1179069812553094E-2</v>
      </c>
      <c r="J159" s="25">
        <v>230722328.86390734</v>
      </c>
      <c r="K159" s="26">
        <f t="shared" si="14"/>
        <v>0.44348075565280565</v>
      </c>
      <c r="L159" s="24"/>
      <c r="M159" s="25">
        <v>19553653.780101463</v>
      </c>
      <c r="N159" s="26">
        <f t="shared" si="15"/>
        <v>3.7584871810511941E-2</v>
      </c>
      <c r="Q159" s="120"/>
      <c r="R159" s="120"/>
    </row>
    <row r="160" spans="1:18" ht="14.4" x14ac:dyDescent="0.3">
      <c r="B160" s="19">
        <f t="shared" si="16"/>
        <v>542926025.0959208</v>
      </c>
      <c r="C160" s="19">
        <f t="shared" si="11"/>
        <v>262970205.78820926</v>
      </c>
      <c r="D160" s="26">
        <f t="shared" si="12"/>
        <v>0.48435734083984888</v>
      </c>
      <c r="E160" s="7">
        <v>2054</v>
      </c>
      <c r="F160" s="7"/>
      <c r="G160" s="97">
        <v>16273449.744092448</v>
      </c>
      <c r="H160" s="26">
        <f t="shared" si="13"/>
        <v>2.9973604122619384E-2</v>
      </c>
      <c r="J160" s="25">
        <v>243826400.47753236</v>
      </c>
      <c r="K160" s="26">
        <f t="shared" si="14"/>
        <v>0.44909691045746908</v>
      </c>
      <c r="L160" s="24"/>
      <c r="M160" s="25">
        <v>19855969.086086679</v>
      </c>
      <c r="N160" s="26">
        <f t="shared" si="15"/>
        <v>3.6572144580062541E-2</v>
      </c>
      <c r="Q160" s="120"/>
      <c r="R160" s="120"/>
    </row>
    <row r="161" spans="2:18" ht="14.4" x14ac:dyDescent="0.3">
      <c r="B161" s="19">
        <f t="shared" si="16"/>
        <v>566480741.25414598</v>
      </c>
      <c r="C161" s="19">
        <f t="shared" si="11"/>
        <v>272446563.48137438</v>
      </c>
      <c r="D161" s="26">
        <f t="shared" si="12"/>
        <v>0.48094585330155809</v>
      </c>
      <c r="E161" s="7">
        <v>2055</v>
      </c>
      <c r="F161" s="7"/>
      <c r="G161" s="97">
        <v>16322135.292552011</v>
      </c>
      <c r="H161" s="26">
        <f t="shared" si="13"/>
        <v>2.8813221887148403E-2</v>
      </c>
      <c r="J161" s="25">
        <v>257571609.73371083</v>
      </c>
      <c r="K161" s="26">
        <f t="shared" si="14"/>
        <v>0.45468731940200924</v>
      </c>
      <c r="L161" s="24"/>
      <c r="M161" s="25">
        <v>20140432.746508781</v>
      </c>
      <c r="N161" s="26">
        <f t="shared" si="15"/>
        <v>3.5553605409284296E-2</v>
      </c>
      <c r="Q161" s="120"/>
      <c r="R161" s="120"/>
    </row>
    <row r="162" spans="2:18" ht="14.4" x14ac:dyDescent="0.3">
      <c r="B162" s="19">
        <f t="shared" si="16"/>
        <v>590934106.64413559</v>
      </c>
      <c r="C162" s="19">
        <f t="shared" si="11"/>
        <v>282175300.93353844</v>
      </c>
      <c r="D162" s="26">
        <f t="shared" si="12"/>
        <v>0.47750721740531765</v>
      </c>
      <c r="E162" s="7">
        <v>2056</v>
      </c>
      <c r="F162" s="7"/>
      <c r="G162" s="97">
        <v>16367922.68505401</v>
      </c>
      <c r="H162" s="26">
        <f t="shared" si="13"/>
        <v>2.7698388874532978E-2</v>
      </c>
      <c r="J162" s="25">
        <v>271984704.07896847</v>
      </c>
      <c r="K162" s="26">
        <f t="shared" si="14"/>
        <v>0.46026232201005696</v>
      </c>
      <c r="L162" s="24"/>
      <c r="M162" s="25">
        <v>20406178.946574617</v>
      </c>
      <c r="N162" s="26">
        <f t="shared" si="15"/>
        <v>3.4532071710092295E-2</v>
      </c>
      <c r="Q162" s="120"/>
      <c r="R162" s="120"/>
    </row>
    <row r="163" spans="2:18" ht="14.4" x14ac:dyDescent="0.3">
      <c r="B163" s="19">
        <f t="shared" si="16"/>
        <v>616302672.07732093</v>
      </c>
      <c r="C163" s="19">
        <f t="shared" si="11"/>
        <v>292145874.69527322</v>
      </c>
      <c r="D163" s="26">
        <f t="shared" si="12"/>
        <v>0.47402986865294783</v>
      </c>
      <c r="E163" s="7">
        <v>2057</v>
      </c>
      <c r="F163" s="7"/>
      <c r="G163" s="97">
        <v>16411663.842242969</v>
      </c>
      <c r="H163" s="26">
        <f t="shared" si="13"/>
        <v>2.6629227140822737E-2</v>
      </c>
      <c r="J163" s="25">
        <v>287092791.66831374</v>
      </c>
      <c r="K163" s="26">
        <f t="shared" si="14"/>
        <v>0.46583084038989087</v>
      </c>
      <c r="L163" s="24"/>
      <c r="M163" s="25">
        <v>20652341.871491026</v>
      </c>
      <c r="N163" s="26">
        <f t="shared" si="15"/>
        <v>3.3510063816338601E-2</v>
      </c>
      <c r="Q163" s="120"/>
      <c r="R163" s="120"/>
    </row>
    <row r="164" spans="2:18" ht="14.4" x14ac:dyDescent="0.3">
      <c r="B164" s="19">
        <f t="shared" si="16"/>
        <v>642602912.20113075</v>
      </c>
      <c r="C164" s="19">
        <f t="shared" si="11"/>
        <v>302347321.1995393</v>
      </c>
      <c r="D164" s="26">
        <f t="shared" si="12"/>
        <v>0.47050412542311426</v>
      </c>
      <c r="E164" s="7">
        <v>2058</v>
      </c>
      <c r="F164" s="7"/>
      <c r="G164" s="97">
        <v>16454210.684763422</v>
      </c>
      <c r="H164" s="26">
        <f t="shared" si="13"/>
        <v>2.5605565073463836E-2</v>
      </c>
      <c r="J164" s="25">
        <v>302923324.61036319</v>
      </c>
      <c r="K164" s="26">
        <f t="shared" si="14"/>
        <v>0.47140048521216482</v>
      </c>
      <c r="L164" s="24"/>
      <c r="M164" s="25">
        <v>20878055.706464849</v>
      </c>
      <c r="N164" s="26">
        <f t="shared" si="15"/>
        <v>3.2489824291257095E-2</v>
      </c>
      <c r="Q164" s="120"/>
      <c r="R164" s="120"/>
    </row>
    <row r="165" spans="2:18" ht="14.4" x14ac:dyDescent="0.3">
      <c r="B165" s="19">
        <f t="shared" si="16"/>
        <v>669851232.07864487</v>
      </c>
      <c r="C165" s="19">
        <f t="shared" si="11"/>
        <v>312768279.57973105</v>
      </c>
      <c r="D165" s="26">
        <f t="shared" si="12"/>
        <v>0.46692200387415278</v>
      </c>
      <c r="E165" s="7">
        <v>2059</v>
      </c>
      <c r="F165" s="7"/>
      <c r="G165" s="97">
        <v>16496415.133259883</v>
      </c>
      <c r="H165" s="26">
        <f t="shared" si="13"/>
        <v>2.4626983340866791E-2</v>
      </c>
      <c r="J165" s="25">
        <v>319504082.72895104</v>
      </c>
      <c r="K165" s="26">
        <f t="shared" si="14"/>
        <v>0.47697767418816839</v>
      </c>
      <c r="L165" s="24"/>
      <c r="M165" s="25">
        <v>21082454.636702921</v>
      </c>
      <c r="N165" s="26">
        <f t="shared" si="15"/>
        <v>3.1473338596812055E-2</v>
      </c>
      <c r="Q165" s="120"/>
      <c r="R165" s="120"/>
    </row>
    <row r="166" spans="2:18" ht="14.4" x14ac:dyDescent="0.3">
      <c r="B166" s="19">
        <f t="shared" si="16"/>
        <v>698063819.62390327</v>
      </c>
      <c r="C166" s="19">
        <f t="shared" si="11"/>
        <v>323396859.84000343</v>
      </c>
      <c r="D166" s="26">
        <f t="shared" si="12"/>
        <v>0.4632769250442465</v>
      </c>
      <c r="E166" s="7">
        <v>2060</v>
      </c>
      <c r="F166" s="7"/>
      <c r="G166" s="97">
        <v>16539129.108376903</v>
      </c>
      <c r="H166" s="26">
        <f t="shared" si="13"/>
        <v>2.369286108723943E-2</v>
      </c>
      <c r="J166" s="25">
        <v>336863157.82811087</v>
      </c>
      <c r="K166" s="26">
        <f t="shared" si="14"/>
        <v>0.48256785176118006</v>
      </c>
      <c r="L166" s="24"/>
      <c r="M166" s="25">
        <v>21264672.847412098</v>
      </c>
      <c r="N166" s="26">
        <f t="shared" si="15"/>
        <v>3.04623621073341E-2</v>
      </c>
      <c r="Q166" s="120"/>
      <c r="R166" s="120"/>
    </row>
    <row r="167" spans="2:18" ht="14.4" x14ac:dyDescent="0.3">
      <c r="B167" s="2"/>
      <c r="C167" s="2"/>
      <c r="D167" s="2"/>
      <c r="G167" s="2"/>
      <c r="J167" s="2"/>
      <c r="M167" s="2"/>
    </row>
    <row r="168" spans="2:18" ht="15" customHeight="1" x14ac:dyDescent="0.3">
      <c r="B168" s="5"/>
      <c r="C168" s="231" t="s">
        <v>246</v>
      </c>
    </row>
  </sheetData>
  <mergeCells count="5">
    <mergeCell ref="A10:A11"/>
    <mergeCell ref="A65:A66"/>
    <mergeCell ref="A120:A121"/>
    <mergeCell ref="A2:O4"/>
    <mergeCell ref="Q2:S3"/>
  </mergeCells>
  <conditionalFormatting sqref="C118:C166">
    <cfRule type="cellIs" dxfId="11" priority="1" operator="lessThan">
      <formula>0</formula>
    </cfRule>
  </conditionalFormatting>
  <conditionalFormatting sqref="C8:C56">
    <cfRule type="cellIs" dxfId="10" priority="3" operator="lessThan">
      <formula>0</formula>
    </cfRule>
  </conditionalFormatting>
  <conditionalFormatting sqref="C63:C111">
    <cfRule type="cellIs" dxfId="9" priority="2" operator="lessThan">
      <formula>0</formula>
    </cfRule>
  </conditionalFormatting>
  <hyperlinks>
    <hyperlink ref="Q2:S3" location="'Table of Contents'!A1" display="Back to Table of Contents" xr:uid="{B3C17EF2-A4D6-4599-89C7-B4037D3B45FF}"/>
    <hyperlink ref="C113" location="'Freight Adoption'!A1" display="Back toTop Left" xr:uid="{DB768BF9-99E7-4F77-AE08-4774DEA47A26}"/>
    <hyperlink ref="C168" location="'Freight Adoption'!A1" display="Back toTop Left" xr:uid="{AA9E8CF7-EA91-41A0-A5B7-EF1CB56B6C5A}"/>
    <hyperlink ref="C58" location="'Freight Adoption'!A1" display="Back toTop Left" xr:uid="{FE13016C-6702-4BF0-9153-BD529D9A1E6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D3BF9-7E9B-4A0D-A6DA-537F25A61F31}">
  <sheetPr codeName="Sheet13">
    <tabColor theme="4" tint="0.39997558519241921"/>
  </sheetPr>
  <dimension ref="A1:AU121"/>
  <sheetViews>
    <sheetView topLeftCell="AA68" zoomScale="70" zoomScaleNormal="70" workbookViewId="0">
      <selection activeCell="AN72" sqref="AN72"/>
    </sheetView>
  </sheetViews>
  <sheetFormatPr defaultColWidth="15.21875" defaultRowHeight="15" customHeight="1" x14ac:dyDescent="0.3"/>
  <cols>
    <col min="1" max="1" width="41.77734375" style="100" customWidth="1"/>
    <col min="2" max="2" width="11.44140625" style="100" customWidth="1"/>
    <col min="3" max="14" width="13" style="100" customWidth="1"/>
    <col min="15" max="31" width="7.5546875" style="100" customWidth="1"/>
    <col min="32" max="40" width="16.44140625" style="100" customWidth="1"/>
    <col min="41" max="41" width="14.21875" style="100" customWidth="1"/>
    <col min="42" max="42" width="7.5546875" style="100" customWidth="1"/>
    <col min="43" max="43" width="12.44140625" style="100" customWidth="1"/>
    <col min="44" max="16384" width="15.21875" style="100"/>
  </cols>
  <sheetData>
    <row r="1" spans="1:43" ht="21.6" thickBot="1" x14ac:dyDescent="0.45">
      <c r="A1" s="115" t="s">
        <v>32</v>
      </c>
      <c r="B1" s="115"/>
      <c r="C1" s="115"/>
      <c r="D1" s="115"/>
      <c r="E1" s="5"/>
      <c r="F1" s="5"/>
      <c r="G1" s="5"/>
      <c r="H1" s="5"/>
      <c r="I1" s="5"/>
      <c r="J1" s="5"/>
      <c r="K1" s="5"/>
      <c r="L1" s="246" t="s">
        <v>239</v>
      </c>
      <c r="M1" s="247"/>
      <c r="N1" s="247"/>
      <c r="O1" s="247"/>
      <c r="P1" s="247"/>
      <c r="Q1" s="247"/>
      <c r="R1" s="247"/>
      <c r="AF1" s="5"/>
      <c r="AG1" s="5"/>
      <c r="AH1" s="5"/>
      <c r="AI1" s="5"/>
      <c r="AJ1" s="5"/>
      <c r="AK1" s="5"/>
      <c r="AL1" s="5"/>
      <c r="AM1" s="5"/>
      <c r="AN1" s="5"/>
      <c r="AQ1" s="5"/>
    </row>
    <row r="2" spans="1:43" ht="27" customHeight="1" x14ac:dyDescent="0.3">
      <c r="A2" s="894" t="s">
        <v>689</v>
      </c>
      <c r="B2" s="895"/>
      <c r="C2" s="895"/>
      <c r="D2" s="895"/>
      <c r="E2" s="895"/>
      <c r="F2" s="895"/>
      <c r="G2" s="895"/>
      <c r="H2" s="895"/>
      <c r="I2" s="895"/>
      <c r="J2" s="896"/>
      <c r="K2" s="5"/>
      <c r="L2" s="903" t="s">
        <v>256</v>
      </c>
      <c r="M2" s="903"/>
      <c r="N2" s="903" t="s">
        <v>257</v>
      </c>
      <c r="O2" s="903"/>
      <c r="P2" s="903"/>
      <c r="R2" s="815" t="s">
        <v>467</v>
      </c>
      <c r="S2" s="816"/>
      <c r="T2" s="817"/>
      <c r="AF2" s="5"/>
      <c r="AG2" s="5"/>
      <c r="AH2" s="5"/>
      <c r="AI2" s="5"/>
      <c r="AJ2" s="5"/>
      <c r="AK2" s="5"/>
      <c r="AL2" s="5"/>
      <c r="AM2" s="5"/>
      <c r="AN2" s="5"/>
      <c r="AQ2" s="5"/>
    </row>
    <row r="3" spans="1:43" s="184" customFormat="1" ht="27" customHeight="1" thickBot="1" x14ac:dyDescent="0.35">
      <c r="A3" s="897"/>
      <c r="B3" s="898"/>
      <c r="C3" s="898"/>
      <c r="D3" s="898"/>
      <c r="E3" s="898"/>
      <c r="F3" s="898"/>
      <c r="G3" s="898"/>
      <c r="H3" s="898"/>
      <c r="I3" s="898"/>
      <c r="J3" s="899"/>
      <c r="K3" s="5"/>
      <c r="L3" s="904" t="s">
        <v>258</v>
      </c>
      <c r="M3" s="904"/>
      <c r="N3" s="904" t="s">
        <v>259</v>
      </c>
      <c r="O3" s="904"/>
      <c r="P3" s="904"/>
      <c r="R3" s="818"/>
      <c r="S3" s="819"/>
      <c r="T3" s="820"/>
      <c r="AF3" s="5"/>
      <c r="AG3" s="5"/>
      <c r="AH3" s="5"/>
      <c r="AI3" s="5"/>
      <c r="AJ3" s="5"/>
      <c r="AK3" s="5"/>
      <c r="AL3" s="5"/>
      <c r="AM3" s="5"/>
      <c r="AN3" s="5"/>
      <c r="AQ3" s="5"/>
    </row>
    <row r="4" spans="1:43" s="184" customFormat="1" ht="27" customHeight="1" x14ac:dyDescent="0.3">
      <c r="A4" s="900"/>
      <c r="B4" s="901"/>
      <c r="C4" s="901"/>
      <c r="D4" s="901"/>
      <c r="E4" s="901"/>
      <c r="F4" s="901"/>
      <c r="G4" s="901"/>
      <c r="H4" s="901"/>
      <c r="I4" s="901"/>
      <c r="J4" s="902"/>
      <c r="K4" s="5"/>
      <c r="L4" s="5"/>
      <c r="M4" s="5"/>
      <c r="N4" s="5"/>
      <c r="O4" s="225"/>
      <c r="P4" s="225"/>
      <c r="AF4" s="5"/>
      <c r="AG4" s="5"/>
      <c r="AH4" s="5"/>
      <c r="AI4" s="5"/>
      <c r="AJ4" s="5"/>
      <c r="AK4" s="5"/>
      <c r="AL4" s="5"/>
      <c r="AM4" s="5"/>
      <c r="AN4" s="5"/>
      <c r="AQ4" s="5"/>
    </row>
    <row r="5" spans="1:43" s="184" customFormat="1" ht="14.4" x14ac:dyDescent="0.3">
      <c r="A5" s="5"/>
      <c r="B5" s="5"/>
      <c r="C5" s="5"/>
      <c r="D5" s="5"/>
      <c r="E5" s="5"/>
      <c r="F5" s="5"/>
      <c r="G5" s="5"/>
      <c r="H5" s="5"/>
      <c r="I5" s="5"/>
      <c r="J5" s="5"/>
      <c r="K5" s="5"/>
      <c r="L5" s="5"/>
      <c r="M5" s="5"/>
      <c r="N5" s="5"/>
      <c r="O5" s="225"/>
      <c r="P5" s="225"/>
      <c r="AF5" s="5"/>
      <c r="AG5" s="5"/>
      <c r="AH5" s="5"/>
      <c r="AI5" s="5"/>
      <c r="AJ5" s="5"/>
      <c r="AK5" s="5"/>
      <c r="AL5" s="5"/>
      <c r="AM5" s="5"/>
      <c r="AN5" s="5"/>
      <c r="AQ5" s="5"/>
    </row>
    <row r="6" spans="1:43" ht="18.75" customHeight="1" x14ac:dyDescent="0.3">
      <c r="A6" s="673" t="s">
        <v>168</v>
      </c>
      <c r="B6" s="114"/>
      <c r="C6" s="114"/>
      <c r="D6" s="114"/>
      <c r="E6" s="114"/>
      <c r="F6" s="114"/>
      <c r="G6" s="114"/>
      <c r="H6" s="114"/>
      <c r="I6" s="114"/>
      <c r="J6" s="114"/>
      <c r="K6" s="114"/>
      <c r="L6" s="114"/>
      <c r="M6" s="114"/>
      <c r="N6" s="114"/>
      <c r="O6" s="667"/>
      <c r="P6" s="667"/>
      <c r="Q6" s="667"/>
      <c r="R6" s="667"/>
      <c r="S6" s="667"/>
      <c r="T6" s="667"/>
      <c r="U6" s="667"/>
      <c r="V6" s="667"/>
      <c r="W6" s="667"/>
      <c r="X6" s="667"/>
      <c r="Y6" s="667"/>
      <c r="Z6" s="667"/>
      <c r="AA6" s="667"/>
      <c r="AB6" s="667"/>
      <c r="AC6" s="667"/>
      <c r="AD6" s="667"/>
      <c r="AE6" s="667"/>
      <c r="AF6" s="673" t="s">
        <v>168</v>
      </c>
      <c r="AG6" s="114"/>
      <c r="AH6" s="114"/>
      <c r="AI6" s="114"/>
      <c r="AJ6" s="114"/>
      <c r="AK6" s="114"/>
      <c r="AL6" s="114"/>
      <c r="AM6" s="114"/>
      <c r="AN6" s="114"/>
      <c r="AO6" s="667"/>
      <c r="AP6" s="667"/>
      <c r="AQ6" s="114"/>
    </row>
    <row r="7" spans="1:43" ht="18" x14ac:dyDescent="0.35">
      <c r="A7" s="5"/>
      <c r="B7" s="5"/>
      <c r="C7" s="5"/>
      <c r="D7" s="5"/>
      <c r="E7" s="5"/>
      <c r="F7" s="28"/>
      <c r="G7" s="5"/>
      <c r="H7" s="5"/>
      <c r="I7" s="5"/>
      <c r="J7" s="5"/>
      <c r="K7" s="5"/>
      <c r="L7" s="5"/>
      <c r="M7" s="5"/>
      <c r="N7" s="5"/>
      <c r="AF7" s="131" t="s">
        <v>169</v>
      </c>
      <c r="AG7" s="5"/>
      <c r="AH7" s="5"/>
      <c r="AI7" s="5"/>
      <c r="AJ7" s="5"/>
      <c r="AK7" s="5"/>
      <c r="AL7" s="5"/>
      <c r="AM7" s="5"/>
      <c r="AN7" s="5"/>
      <c r="AQ7" s="5"/>
    </row>
    <row r="8" spans="1:43" ht="19.5" customHeight="1" thickBot="1" x14ac:dyDescent="0.35">
      <c r="A8" s="27" t="s">
        <v>32</v>
      </c>
      <c r="B8" s="5"/>
      <c r="C8" s="5"/>
      <c r="D8" s="5"/>
      <c r="E8" s="5"/>
      <c r="F8" s="5"/>
      <c r="G8" s="5"/>
      <c r="H8" s="5"/>
      <c r="I8" s="5"/>
      <c r="J8" s="5"/>
      <c r="K8" s="5"/>
      <c r="L8" s="5"/>
      <c r="M8" s="5"/>
      <c r="N8" s="5"/>
      <c r="AF8" s="5"/>
      <c r="AG8" s="5"/>
      <c r="AH8" s="5"/>
      <c r="AI8" s="5"/>
      <c r="AJ8" s="5"/>
      <c r="AK8" s="5"/>
      <c r="AL8" s="5"/>
      <c r="AM8" s="5"/>
      <c r="AN8" s="5"/>
      <c r="AQ8" s="5"/>
    </row>
    <row r="9" spans="1:43" ht="16.5" customHeight="1" thickBot="1" x14ac:dyDescent="0.35">
      <c r="A9" s="29" t="s">
        <v>33</v>
      </c>
      <c r="B9" s="5"/>
      <c r="C9" s="856" t="s">
        <v>34</v>
      </c>
      <c r="D9" s="857"/>
      <c r="E9" s="858"/>
      <c r="F9" s="859" t="s">
        <v>29</v>
      </c>
      <c r="G9" s="857"/>
      <c r="H9" s="858"/>
      <c r="I9" s="860" t="s">
        <v>35</v>
      </c>
      <c r="J9" s="857"/>
      <c r="K9" s="858"/>
      <c r="L9" s="861" t="s">
        <v>36</v>
      </c>
      <c r="M9" s="858"/>
      <c r="N9" s="5"/>
      <c r="AF9" s="856" t="s">
        <v>34</v>
      </c>
      <c r="AG9" s="857"/>
      <c r="AH9" s="858"/>
      <c r="AI9" s="859" t="s">
        <v>29</v>
      </c>
      <c r="AJ9" s="857"/>
      <c r="AK9" s="858"/>
      <c r="AL9" s="860" t="s">
        <v>35</v>
      </c>
      <c r="AM9" s="857"/>
      <c r="AN9" s="858"/>
      <c r="AO9" s="861" t="s">
        <v>36</v>
      </c>
      <c r="AP9" s="858"/>
      <c r="AQ9" s="5"/>
    </row>
    <row r="10" spans="1:43" ht="129" customHeight="1" thickBot="1" x14ac:dyDescent="0.35">
      <c r="A10" s="29" t="s">
        <v>37</v>
      </c>
      <c r="B10" s="5"/>
      <c r="C10" s="127" t="str">
        <f t="array" ref="C10:M10">TRANSPOSE(A11:A21)</f>
        <v>Combined from Several Sources for Each Mode  (Shipping-4, Land-2, Air-3) - See "Common Data- Freight Projections (TAM for ALL MODES).xlsx" - Base Ranges</v>
      </c>
      <c r="D10" s="128" t="str">
        <v>[Source 2 - Base]</v>
      </c>
      <c r="E10" s="129" t="str">
        <v>[Source 3 - Base]</v>
      </c>
      <c r="F10" s="127" t="str">
        <v>Combined from Several Sources for Each Mode (Shipping-4, Land-1, Air-2) - See "Common Data- Freight Projections (TAM for ALL MODES).xlsx" - Highest Ranges</v>
      </c>
      <c r="G10" s="128" t="str">
        <v>[Source 2 - Conservative]</v>
      </c>
      <c r="H10" s="129" t="str">
        <v>[Source 3 - Conservative]</v>
      </c>
      <c r="I10" s="127" t="str">
        <v>Combined from Several Sources for Each Mode (Shipping-5, Land-1, Air-2) - See "Common Data- Freight Projections (TAM for ALL MODES).xlsx" - Lowest Ranges</v>
      </c>
      <c r="J10" s="128" t="str">
        <v>[Source 2 - Ambitious]</v>
      </c>
      <c r="K10" s="129" t="str">
        <v>[Source 3 - Ambitious]</v>
      </c>
      <c r="L10" s="127" t="str">
        <v>[Source 1 - Maximum]</v>
      </c>
      <c r="M10" s="129" t="str">
        <v>[Source 2 - Maximum]</v>
      </c>
      <c r="N10" s="130" t="s">
        <v>43</v>
      </c>
      <c r="AF10" s="127" t="str">
        <f t="shared" ref="AF10:AP10" si="0">C10</f>
        <v>Combined from Several Sources for Each Mode  (Shipping-4, Land-2, Air-3) - See "Common Data- Freight Projections (TAM for ALL MODES).xlsx" - Base Ranges</v>
      </c>
      <c r="AG10" s="128" t="str">
        <f t="shared" si="0"/>
        <v>[Source 2 - Base]</v>
      </c>
      <c r="AH10" s="129" t="str">
        <f t="shared" si="0"/>
        <v>[Source 3 - Base]</v>
      </c>
      <c r="AI10" s="127" t="str">
        <f t="shared" si="0"/>
        <v>Combined from Several Sources for Each Mode (Shipping-4, Land-1, Air-2) - See "Common Data- Freight Projections (TAM for ALL MODES).xlsx" - Highest Ranges</v>
      </c>
      <c r="AJ10" s="128" t="str">
        <f t="shared" si="0"/>
        <v>[Source 2 - Conservative]</v>
      </c>
      <c r="AK10" s="129" t="str">
        <f t="shared" si="0"/>
        <v>[Source 3 - Conservative]</v>
      </c>
      <c r="AL10" s="127" t="str">
        <f t="shared" si="0"/>
        <v>Combined from Several Sources for Each Mode (Shipping-5, Land-1, Air-2) - See "Common Data- Freight Projections (TAM for ALL MODES).xlsx" - Lowest Ranges</v>
      </c>
      <c r="AM10" s="128" t="str">
        <f t="shared" si="0"/>
        <v>[Source 2 - Ambitious]</v>
      </c>
      <c r="AN10" s="129" t="str">
        <f t="shared" si="0"/>
        <v>[Source 3 - Ambitious]</v>
      </c>
      <c r="AO10" s="127" t="str">
        <f t="shared" si="0"/>
        <v>[Source 1 - Maximum]</v>
      </c>
      <c r="AP10" s="129" t="str">
        <f t="shared" si="0"/>
        <v>[Source 2 - Maximum]</v>
      </c>
      <c r="AQ10" s="130" t="s">
        <v>43</v>
      </c>
    </row>
    <row r="11" spans="1:43" ht="30" customHeight="1" x14ac:dyDescent="0.3">
      <c r="A11" s="161" t="s">
        <v>727</v>
      </c>
      <c r="B11" s="37">
        <v>2012</v>
      </c>
      <c r="C11" s="751">
        <v>111304101.36378722</v>
      </c>
      <c r="D11" s="155"/>
      <c r="E11" s="156"/>
      <c r="F11" s="751">
        <v>109767424.56999251</v>
      </c>
      <c r="G11" s="155"/>
      <c r="H11" s="156"/>
      <c r="I11" s="751">
        <v>109767811.73456299</v>
      </c>
      <c r="J11" s="155"/>
      <c r="K11" s="41"/>
      <c r="L11" s="42"/>
      <c r="M11" s="41"/>
      <c r="N11" s="126" t="s">
        <v>181</v>
      </c>
      <c r="AE11" s="37">
        <v>2012</v>
      </c>
      <c r="AF11" s="702">
        <f>C11/1852</f>
        <v>60099.406783902385</v>
      </c>
      <c r="AG11" s="165" t="str">
        <f t="shared" ref="AG11:AP26" si="1">IF(D11&lt;&gt;"",D11*10^9,"")</f>
        <v/>
      </c>
      <c r="AH11" s="166" t="str">
        <f t="shared" si="1"/>
        <v/>
      </c>
      <c r="AI11" s="702">
        <f>F11/1852</f>
        <v>59269.667694380405</v>
      </c>
      <c r="AJ11" s="165" t="str">
        <f t="shared" si="1"/>
        <v/>
      </c>
      <c r="AK11" s="166" t="str">
        <f t="shared" si="1"/>
        <v/>
      </c>
      <c r="AL11" s="702">
        <f>I11/1852</f>
        <v>59269.876746524293</v>
      </c>
      <c r="AM11" s="165" t="str">
        <f t="shared" si="1"/>
        <v/>
      </c>
      <c r="AN11" s="41" t="str">
        <f t="shared" si="1"/>
        <v/>
      </c>
      <c r="AO11" s="42" t="str">
        <f t="shared" si="1"/>
        <v/>
      </c>
      <c r="AP11" s="41" t="str">
        <f t="shared" si="1"/>
        <v/>
      </c>
      <c r="AQ11" s="126" t="s">
        <v>180</v>
      </c>
    </row>
    <row r="12" spans="1:43" ht="30" customHeight="1" x14ac:dyDescent="0.3">
      <c r="A12" s="162" t="s">
        <v>167</v>
      </c>
      <c r="B12" s="37">
        <v>2013</v>
      </c>
      <c r="C12" s="751">
        <v>114809281.73291987</v>
      </c>
      <c r="D12" s="155"/>
      <c r="E12" s="156"/>
      <c r="F12" s="751">
        <v>113172605.65490299</v>
      </c>
      <c r="G12" s="155"/>
      <c r="H12" s="156"/>
      <c r="I12" s="751">
        <v>113172752.54782158</v>
      </c>
      <c r="J12" s="155"/>
      <c r="K12" s="41"/>
      <c r="L12" s="42"/>
      <c r="M12" s="41"/>
      <c r="N12" s="126" t="s">
        <v>181</v>
      </c>
      <c r="AE12" s="37">
        <v>2013</v>
      </c>
      <c r="AF12" s="702">
        <f t="shared" ref="AF12:AF59" si="2">C12/1852</f>
        <v>61992.052771555005</v>
      </c>
      <c r="AG12" s="165" t="str">
        <f t="shared" si="1"/>
        <v/>
      </c>
      <c r="AH12" s="166" t="str">
        <f t="shared" si="1"/>
        <v/>
      </c>
      <c r="AI12" s="702">
        <f t="shared" ref="AI12:AI59" si="3">F12/1852</f>
        <v>61108.318388176565</v>
      </c>
      <c r="AJ12" s="165" t="str">
        <f t="shared" si="1"/>
        <v/>
      </c>
      <c r="AK12" s="166" t="str">
        <f t="shared" si="1"/>
        <v/>
      </c>
      <c r="AL12" s="702">
        <f t="shared" ref="AL12:AL59" si="4">I12/1852</f>
        <v>61108.397704007337</v>
      </c>
      <c r="AM12" s="165" t="str">
        <f t="shared" si="1"/>
        <v/>
      </c>
      <c r="AN12" s="41" t="str">
        <f t="shared" si="1"/>
        <v/>
      </c>
      <c r="AO12" s="42" t="str">
        <f t="shared" si="1"/>
        <v/>
      </c>
      <c r="AP12" s="41" t="str">
        <f t="shared" si="1"/>
        <v/>
      </c>
      <c r="AQ12" s="126" t="s">
        <v>180</v>
      </c>
    </row>
    <row r="13" spans="1:43" ht="15.75" customHeight="1" thickBot="1" x14ac:dyDescent="0.35">
      <c r="A13" s="163" t="s">
        <v>38</v>
      </c>
      <c r="B13" s="37">
        <v>2014</v>
      </c>
      <c r="C13" s="752">
        <v>120041145.08637774</v>
      </c>
      <c r="D13" s="157"/>
      <c r="E13" s="158"/>
      <c r="F13" s="753">
        <v>118262455.40848908</v>
      </c>
      <c r="G13" s="157"/>
      <c r="H13" s="158"/>
      <c r="I13" s="753">
        <v>118259122.42242377</v>
      </c>
      <c r="J13" s="157"/>
      <c r="K13" s="49"/>
      <c r="L13" s="50"/>
      <c r="M13" s="49"/>
      <c r="N13" s="126" t="s">
        <v>181</v>
      </c>
      <c r="AE13" s="37">
        <v>2014</v>
      </c>
      <c r="AF13" s="702">
        <f t="shared" si="2"/>
        <v>64817.032984005258</v>
      </c>
      <c r="AG13" s="167" t="str">
        <f t="shared" si="1"/>
        <v/>
      </c>
      <c r="AH13" s="168" t="str">
        <f t="shared" si="1"/>
        <v/>
      </c>
      <c r="AI13" s="702">
        <f t="shared" si="3"/>
        <v>63856.617391192805</v>
      </c>
      <c r="AJ13" s="167" t="str">
        <f t="shared" si="1"/>
        <v/>
      </c>
      <c r="AK13" s="168" t="str">
        <f t="shared" si="1"/>
        <v/>
      </c>
      <c r="AL13" s="702">
        <f t="shared" si="4"/>
        <v>63854.817722691019</v>
      </c>
      <c r="AM13" s="167" t="str">
        <f t="shared" si="1"/>
        <v/>
      </c>
      <c r="AN13" s="49" t="str">
        <f t="shared" si="1"/>
        <v/>
      </c>
      <c r="AO13" s="50" t="str">
        <f t="shared" si="1"/>
        <v/>
      </c>
      <c r="AP13" s="49" t="str">
        <f t="shared" si="1"/>
        <v/>
      </c>
      <c r="AQ13" s="126" t="s">
        <v>180</v>
      </c>
    </row>
    <row r="14" spans="1:43" ht="30" customHeight="1" x14ac:dyDescent="0.3">
      <c r="A14" s="161" t="s">
        <v>728</v>
      </c>
      <c r="B14" s="37">
        <v>2015</v>
      </c>
      <c r="C14" s="751">
        <v>121402579.56495498</v>
      </c>
      <c r="D14" s="155"/>
      <c r="E14" s="156"/>
      <c r="F14" s="751">
        <v>119523740.38021153</v>
      </c>
      <c r="G14" s="155"/>
      <c r="H14" s="156"/>
      <c r="I14" s="751">
        <v>119520675.06811307</v>
      </c>
      <c r="J14" s="155"/>
      <c r="K14" s="41"/>
      <c r="L14" s="42"/>
      <c r="M14" s="41"/>
      <c r="N14" s="126" t="s">
        <v>181</v>
      </c>
      <c r="AE14" s="37">
        <v>2015</v>
      </c>
      <c r="AF14" s="702">
        <f t="shared" si="2"/>
        <v>65552.148793172237</v>
      </c>
      <c r="AG14" s="165" t="str">
        <f t="shared" si="1"/>
        <v/>
      </c>
      <c r="AH14" s="166" t="str">
        <f t="shared" si="1"/>
        <v/>
      </c>
      <c r="AI14" s="702">
        <f t="shared" si="3"/>
        <v>64537.656792770809</v>
      </c>
      <c r="AJ14" s="165" t="str">
        <f t="shared" si="1"/>
        <v/>
      </c>
      <c r="AK14" s="166" t="str">
        <f t="shared" si="1"/>
        <v/>
      </c>
      <c r="AL14" s="702">
        <f t="shared" si="4"/>
        <v>64536.001656648528</v>
      </c>
      <c r="AM14" s="165" t="str">
        <f t="shared" si="1"/>
        <v/>
      </c>
      <c r="AN14" s="41" t="str">
        <f t="shared" si="1"/>
        <v/>
      </c>
      <c r="AO14" s="42" t="str">
        <f t="shared" si="1"/>
        <v/>
      </c>
      <c r="AP14" s="41" t="str">
        <f t="shared" si="1"/>
        <v/>
      </c>
      <c r="AQ14" s="126" t="s">
        <v>180</v>
      </c>
    </row>
    <row r="15" spans="1:43" ht="43.5" customHeight="1" x14ac:dyDescent="0.3">
      <c r="A15" s="162" t="s">
        <v>60</v>
      </c>
      <c r="B15" s="37">
        <v>2016</v>
      </c>
      <c r="C15" s="751">
        <v>125419175.00682679</v>
      </c>
      <c r="D15" s="155"/>
      <c r="E15" s="156"/>
      <c r="F15" s="751">
        <v>123443545.21828455</v>
      </c>
      <c r="G15" s="155"/>
      <c r="H15" s="156"/>
      <c r="I15" s="751">
        <v>123436626.6825508</v>
      </c>
      <c r="J15" s="155"/>
      <c r="K15" s="41"/>
      <c r="L15" s="42"/>
      <c r="M15" s="41"/>
      <c r="N15" s="126" t="s">
        <v>181</v>
      </c>
      <c r="AE15" s="37">
        <v>2016</v>
      </c>
      <c r="AF15" s="702">
        <f t="shared" si="2"/>
        <v>67720.936828740159</v>
      </c>
      <c r="AG15" s="165" t="str">
        <f t="shared" si="1"/>
        <v/>
      </c>
      <c r="AH15" s="166" t="str">
        <f t="shared" si="1"/>
        <v/>
      </c>
      <c r="AI15" s="702">
        <f t="shared" si="3"/>
        <v>66654.182083306994</v>
      </c>
      <c r="AJ15" s="165" t="str">
        <f t="shared" si="1"/>
        <v/>
      </c>
      <c r="AK15" s="166" t="str">
        <f t="shared" si="1"/>
        <v/>
      </c>
      <c r="AL15" s="702">
        <f t="shared" si="4"/>
        <v>66650.446372867606</v>
      </c>
      <c r="AM15" s="165" t="str">
        <f t="shared" si="1"/>
        <v/>
      </c>
      <c r="AN15" s="41" t="str">
        <f t="shared" si="1"/>
        <v/>
      </c>
      <c r="AO15" s="42" t="str">
        <f t="shared" si="1"/>
        <v/>
      </c>
      <c r="AP15" s="41" t="str">
        <f t="shared" si="1"/>
        <v/>
      </c>
      <c r="AQ15" s="126" t="s">
        <v>180</v>
      </c>
    </row>
    <row r="16" spans="1:43" ht="15.75" customHeight="1" thickBot="1" x14ac:dyDescent="0.35">
      <c r="A16" s="163" t="s">
        <v>39</v>
      </c>
      <c r="B16" s="37">
        <v>2017</v>
      </c>
      <c r="C16" s="752">
        <v>131106488.58192991</v>
      </c>
      <c r="D16" s="157"/>
      <c r="E16" s="158"/>
      <c r="F16" s="753">
        <v>129040054.69310692</v>
      </c>
      <c r="G16" s="157"/>
      <c r="H16" s="158"/>
      <c r="I16" s="753">
        <v>129030833.83991446</v>
      </c>
      <c r="J16" s="157"/>
      <c r="K16" s="49"/>
      <c r="L16" s="50"/>
      <c r="M16" s="49"/>
      <c r="N16" s="126" t="s">
        <v>181</v>
      </c>
      <c r="AE16" s="37">
        <v>2017</v>
      </c>
      <c r="AF16" s="702">
        <f t="shared" si="2"/>
        <v>70791.840487003195</v>
      </c>
      <c r="AG16" s="167" t="str">
        <f t="shared" si="1"/>
        <v/>
      </c>
      <c r="AH16" s="168" t="str">
        <f t="shared" si="1"/>
        <v/>
      </c>
      <c r="AI16" s="702">
        <f t="shared" si="3"/>
        <v>69676.055449841748</v>
      </c>
      <c r="AJ16" s="167" t="str">
        <f t="shared" si="1"/>
        <v/>
      </c>
      <c r="AK16" s="168" t="str">
        <f t="shared" si="1"/>
        <v/>
      </c>
      <c r="AL16" s="702">
        <f t="shared" si="4"/>
        <v>69671.076587426811</v>
      </c>
      <c r="AM16" s="167" t="str">
        <f t="shared" si="1"/>
        <v/>
      </c>
      <c r="AN16" s="49" t="str">
        <f t="shared" si="1"/>
        <v/>
      </c>
      <c r="AO16" s="50" t="str">
        <f t="shared" si="1"/>
        <v/>
      </c>
      <c r="AP16" s="49" t="str">
        <f t="shared" si="1"/>
        <v/>
      </c>
      <c r="AQ16" s="126" t="s">
        <v>180</v>
      </c>
    </row>
    <row r="17" spans="1:43" ht="30" customHeight="1" x14ac:dyDescent="0.3">
      <c r="A17" s="161" t="s">
        <v>729</v>
      </c>
      <c r="B17" s="37">
        <v>2018</v>
      </c>
      <c r="C17" s="751">
        <v>136014167.4935613</v>
      </c>
      <c r="D17" s="155"/>
      <c r="E17" s="156"/>
      <c r="F17" s="751">
        <v>133859335.09285077</v>
      </c>
      <c r="G17" s="155"/>
      <c r="H17" s="156"/>
      <c r="I17" s="751">
        <v>133847466.92243296</v>
      </c>
      <c r="J17" s="155"/>
      <c r="K17" s="41"/>
      <c r="L17" s="42"/>
      <c r="M17" s="41"/>
      <c r="N17" s="126" t="s">
        <v>181</v>
      </c>
      <c r="AE17" s="37">
        <v>2018</v>
      </c>
      <c r="AF17" s="702">
        <f t="shared" si="2"/>
        <v>73441.775104514745</v>
      </c>
      <c r="AG17" s="165" t="str">
        <f t="shared" si="1"/>
        <v/>
      </c>
      <c r="AH17" s="166" t="str">
        <f t="shared" si="1"/>
        <v/>
      </c>
      <c r="AI17" s="702">
        <f t="shared" si="3"/>
        <v>72278.258689444265</v>
      </c>
      <c r="AJ17" s="165" t="str">
        <f t="shared" si="1"/>
        <v/>
      </c>
      <c r="AK17" s="166" t="str">
        <f t="shared" si="1"/>
        <v/>
      </c>
      <c r="AL17" s="702">
        <f t="shared" si="4"/>
        <v>72271.850390082589</v>
      </c>
      <c r="AM17" s="165" t="str">
        <f t="shared" si="1"/>
        <v/>
      </c>
      <c r="AN17" s="41" t="str">
        <f t="shared" si="1"/>
        <v/>
      </c>
      <c r="AO17" s="42" t="str">
        <f t="shared" si="1"/>
        <v/>
      </c>
      <c r="AP17" s="41" t="str">
        <f t="shared" si="1"/>
        <v/>
      </c>
      <c r="AQ17" s="126" t="s">
        <v>180</v>
      </c>
    </row>
    <row r="18" spans="1:43" ht="30" customHeight="1" x14ac:dyDescent="0.3">
      <c r="A18" s="162" t="s">
        <v>62</v>
      </c>
      <c r="B18" s="37">
        <v>2019</v>
      </c>
      <c r="C18" s="751">
        <v>138615066.64722213</v>
      </c>
      <c r="D18" s="155"/>
      <c r="E18" s="156"/>
      <c r="F18" s="751">
        <v>136373499.22507656</v>
      </c>
      <c r="G18" s="155"/>
      <c r="H18" s="156"/>
      <c r="I18" s="751">
        <v>133170648.31842449</v>
      </c>
      <c r="J18" s="155"/>
      <c r="K18" s="41"/>
      <c r="L18" s="42"/>
      <c r="M18" s="41"/>
      <c r="N18" s="126" t="s">
        <v>181</v>
      </c>
      <c r="AE18" s="37">
        <v>2019</v>
      </c>
      <c r="AF18" s="702">
        <f t="shared" si="2"/>
        <v>74846.148297636144</v>
      </c>
      <c r="AG18" s="165" t="str">
        <f t="shared" si="1"/>
        <v/>
      </c>
      <c r="AH18" s="166" t="str">
        <f t="shared" si="1"/>
        <v/>
      </c>
      <c r="AI18" s="702">
        <f t="shared" si="3"/>
        <v>73635.798717643935</v>
      </c>
      <c r="AJ18" s="165" t="str">
        <f t="shared" si="1"/>
        <v/>
      </c>
      <c r="AK18" s="166" t="str">
        <f t="shared" si="1"/>
        <v/>
      </c>
      <c r="AL18" s="702">
        <f t="shared" si="4"/>
        <v>71906.397580142817</v>
      </c>
      <c r="AM18" s="165" t="str">
        <f t="shared" si="1"/>
        <v/>
      </c>
      <c r="AN18" s="41" t="str">
        <f t="shared" si="1"/>
        <v/>
      </c>
      <c r="AO18" s="42" t="str">
        <f t="shared" si="1"/>
        <v/>
      </c>
      <c r="AP18" s="41" t="str">
        <f t="shared" si="1"/>
        <v/>
      </c>
      <c r="AQ18" s="126" t="s">
        <v>180</v>
      </c>
    </row>
    <row r="19" spans="1:43" ht="15.75" customHeight="1" thickBot="1" x14ac:dyDescent="0.35">
      <c r="A19" s="163" t="s">
        <v>40</v>
      </c>
      <c r="B19" s="37">
        <v>2020</v>
      </c>
      <c r="C19" s="752">
        <v>143607177.61110789</v>
      </c>
      <c r="D19" s="157"/>
      <c r="E19" s="158"/>
      <c r="F19" s="753">
        <v>141192358.00097936</v>
      </c>
      <c r="G19" s="157"/>
      <c r="H19" s="158"/>
      <c r="I19" s="753">
        <v>135911505.65642571</v>
      </c>
      <c r="J19" s="157"/>
      <c r="K19" s="49"/>
      <c r="L19" s="50"/>
      <c r="M19" s="49"/>
      <c r="N19" s="126" t="s">
        <v>181</v>
      </c>
      <c r="AE19" s="37">
        <v>2020</v>
      </c>
      <c r="AF19" s="702">
        <f t="shared" si="2"/>
        <v>77541.67257619217</v>
      </c>
      <c r="AG19" s="167" t="str">
        <f t="shared" si="1"/>
        <v/>
      </c>
      <c r="AH19" s="168" t="str">
        <f t="shared" si="1"/>
        <v/>
      </c>
      <c r="AI19" s="702">
        <f t="shared" si="3"/>
        <v>76237.774298584976</v>
      </c>
      <c r="AJ19" s="167" t="str">
        <f t="shared" si="1"/>
        <v/>
      </c>
      <c r="AK19" s="168" t="str">
        <f t="shared" si="1"/>
        <v/>
      </c>
      <c r="AL19" s="702">
        <f t="shared" si="4"/>
        <v>73386.342147098112</v>
      </c>
      <c r="AM19" s="167" t="str">
        <f t="shared" si="1"/>
        <v/>
      </c>
      <c r="AN19" s="49" t="str">
        <f t="shared" si="1"/>
        <v/>
      </c>
      <c r="AO19" s="50" t="str">
        <f t="shared" si="1"/>
        <v/>
      </c>
      <c r="AP19" s="49" t="str">
        <f t="shared" si="1"/>
        <v/>
      </c>
      <c r="AQ19" s="126" t="s">
        <v>180</v>
      </c>
    </row>
    <row r="20" spans="1:43" ht="28.8" x14ac:dyDescent="0.3">
      <c r="A20" s="161" t="s">
        <v>41</v>
      </c>
      <c r="B20" s="37">
        <v>2021</v>
      </c>
      <c r="C20" s="751">
        <v>147638211.06368932</v>
      </c>
      <c r="D20" s="155"/>
      <c r="E20" s="156"/>
      <c r="F20" s="751">
        <v>145226219.05387747</v>
      </c>
      <c r="G20" s="155"/>
      <c r="H20" s="156"/>
      <c r="I20" s="751">
        <v>138472811.16241682</v>
      </c>
      <c r="J20" s="155"/>
      <c r="K20" s="41"/>
      <c r="L20" s="42"/>
      <c r="M20" s="41"/>
      <c r="N20" s="126" t="s">
        <v>181</v>
      </c>
      <c r="AE20" s="37">
        <v>2021</v>
      </c>
      <c r="AF20" s="702">
        <f t="shared" si="2"/>
        <v>79718.256513871122</v>
      </c>
      <c r="AG20" s="165" t="str">
        <f t="shared" si="1"/>
        <v/>
      </c>
      <c r="AH20" s="166" t="str">
        <f t="shared" si="1"/>
        <v/>
      </c>
      <c r="AI20" s="702">
        <f t="shared" si="3"/>
        <v>78415.885018292378</v>
      </c>
      <c r="AJ20" s="165" t="str">
        <f t="shared" si="1"/>
        <v/>
      </c>
      <c r="AK20" s="166" t="str">
        <f t="shared" si="1"/>
        <v/>
      </c>
      <c r="AL20" s="702">
        <f t="shared" si="4"/>
        <v>74769.336480786616</v>
      </c>
      <c r="AM20" s="165" t="str">
        <f t="shared" si="1"/>
        <v/>
      </c>
      <c r="AN20" s="41" t="str">
        <f t="shared" si="1"/>
        <v/>
      </c>
      <c r="AO20" s="42" t="str">
        <f t="shared" si="1"/>
        <v/>
      </c>
      <c r="AP20" s="41" t="str">
        <f t="shared" si="1"/>
        <v/>
      </c>
      <c r="AQ20" s="126" t="s">
        <v>180</v>
      </c>
    </row>
    <row r="21" spans="1:43" ht="15.75" customHeight="1" thickBot="1" x14ac:dyDescent="0.35">
      <c r="A21" s="54" t="s">
        <v>42</v>
      </c>
      <c r="B21" s="37">
        <v>2022</v>
      </c>
      <c r="C21" s="751">
        <v>152389535.28659737</v>
      </c>
      <c r="D21" s="159"/>
      <c r="E21" s="160"/>
      <c r="F21" s="752">
        <v>149892344.31092137</v>
      </c>
      <c r="G21" s="159"/>
      <c r="H21" s="160"/>
      <c r="I21" s="752">
        <v>140892499.06831282</v>
      </c>
      <c r="J21" s="159"/>
      <c r="K21" s="57"/>
      <c r="L21" s="58"/>
      <c r="M21" s="57"/>
      <c r="N21" s="126" t="s">
        <v>181</v>
      </c>
      <c r="AE21" s="37">
        <v>2022</v>
      </c>
      <c r="AF21" s="702">
        <f t="shared" si="2"/>
        <v>82283.76635345431</v>
      </c>
      <c r="AG21" s="169" t="str">
        <f t="shared" si="1"/>
        <v/>
      </c>
      <c r="AH21" s="170" t="str">
        <f t="shared" si="1"/>
        <v/>
      </c>
      <c r="AI21" s="702">
        <f t="shared" si="3"/>
        <v>80935.391096609805</v>
      </c>
      <c r="AJ21" s="169" t="str">
        <f t="shared" si="1"/>
        <v/>
      </c>
      <c r="AK21" s="170" t="str">
        <f t="shared" si="1"/>
        <v/>
      </c>
      <c r="AL21" s="702">
        <f t="shared" si="4"/>
        <v>76075.863427814693</v>
      </c>
      <c r="AM21" s="169" t="str">
        <f t="shared" si="1"/>
        <v/>
      </c>
      <c r="AN21" s="57" t="str">
        <f t="shared" si="1"/>
        <v/>
      </c>
      <c r="AO21" s="58" t="str">
        <f t="shared" si="1"/>
        <v/>
      </c>
      <c r="AP21" s="57" t="str">
        <f t="shared" si="1"/>
        <v/>
      </c>
      <c r="AQ21" s="126" t="s">
        <v>180</v>
      </c>
    </row>
    <row r="22" spans="1:43" ht="28.8" x14ac:dyDescent="0.3">
      <c r="A22" s="5"/>
      <c r="B22" s="37">
        <v>2023</v>
      </c>
      <c r="C22" s="751">
        <v>157362816.04242453</v>
      </c>
      <c r="D22" s="159"/>
      <c r="E22" s="156"/>
      <c r="F22" s="752">
        <v>154778613.87772885</v>
      </c>
      <c r="G22" s="159"/>
      <c r="H22" s="160"/>
      <c r="I22" s="752">
        <v>143196129.57848722</v>
      </c>
      <c r="J22" s="159"/>
      <c r="K22" s="57"/>
      <c r="L22" s="58"/>
      <c r="M22" s="57"/>
      <c r="N22" s="126" t="s">
        <v>181</v>
      </c>
      <c r="AE22" s="37">
        <v>2023</v>
      </c>
      <c r="AF22" s="702">
        <f t="shared" si="2"/>
        <v>84969.123133058602</v>
      </c>
      <c r="AG22" s="169" t="str">
        <f t="shared" si="1"/>
        <v/>
      </c>
      <c r="AH22" s="166" t="str">
        <f t="shared" si="1"/>
        <v/>
      </c>
      <c r="AI22" s="702">
        <f t="shared" si="3"/>
        <v>83573.765592726166</v>
      </c>
      <c r="AJ22" s="169" t="str">
        <f t="shared" si="1"/>
        <v/>
      </c>
      <c r="AK22" s="170" t="str">
        <f t="shared" si="1"/>
        <v/>
      </c>
      <c r="AL22" s="702">
        <f t="shared" si="4"/>
        <v>77319.724394431541</v>
      </c>
      <c r="AM22" s="169" t="str">
        <f t="shared" si="1"/>
        <v/>
      </c>
      <c r="AN22" s="57" t="str">
        <f t="shared" si="1"/>
        <v/>
      </c>
      <c r="AO22" s="58" t="str">
        <f t="shared" si="1"/>
        <v/>
      </c>
      <c r="AP22" s="57" t="str">
        <f t="shared" si="1"/>
        <v/>
      </c>
      <c r="AQ22" s="126" t="s">
        <v>180</v>
      </c>
    </row>
    <row r="23" spans="1:43" ht="28.8" x14ac:dyDescent="0.3">
      <c r="A23" s="5"/>
      <c r="B23" s="37">
        <v>2024</v>
      </c>
      <c r="C23" s="751">
        <v>162578731.36562198</v>
      </c>
      <c r="D23" s="159"/>
      <c r="E23" s="156"/>
      <c r="F23" s="751">
        <v>159904733.25018311</v>
      </c>
      <c r="G23" s="155"/>
      <c r="H23" s="156"/>
      <c r="I23" s="751">
        <v>145387770.50016072</v>
      </c>
      <c r="J23" s="155"/>
      <c r="K23" s="41"/>
      <c r="L23" s="42"/>
      <c r="M23" s="41"/>
      <c r="N23" s="126" t="s">
        <v>181</v>
      </c>
      <c r="AE23" s="37">
        <v>2024</v>
      </c>
      <c r="AF23" s="702">
        <f t="shared" si="2"/>
        <v>87785.492098068033</v>
      </c>
      <c r="AG23" s="169" t="str">
        <f t="shared" si="1"/>
        <v/>
      </c>
      <c r="AH23" s="166" t="str">
        <f t="shared" si="1"/>
        <v/>
      </c>
      <c r="AI23" s="702">
        <f t="shared" si="3"/>
        <v>86341.648623209025</v>
      </c>
      <c r="AJ23" s="165" t="str">
        <f t="shared" si="1"/>
        <v/>
      </c>
      <c r="AK23" s="166" t="str">
        <f t="shared" si="1"/>
        <v/>
      </c>
      <c r="AL23" s="702">
        <f t="shared" si="4"/>
        <v>78503.115820821127</v>
      </c>
      <c r="AM23" s="165" t="str">
        <f t="shared" si="1"/>
        <v/>
      </c>
      <c r="AN23" s="41" t="str">
        <f t="shared" si="1"/>
        <v/>
      </c>
      <c r="AO23" s="42" t="str">
        <f t="shared" si="1"/>
        <v/>
      </c>
      <c r="AP23" s="41" t="str">
        <f t="shared" si="1"/>
        <v/>
      </c>
      <c r="AQ23" s="126" t="s">
        <v>180</v>
      </c>
    </row>
    <row r="24" spans="1:43" ht="28.8" x14ac:dyDescent="0.3">
      <c r="A24" s="5"/>
      <c r="B24" s="37">
        <v>2025</v>
      </c>
      <c r="C24" s="751">
        <v>168068843.40691885</v>
      </c>
      <c r="D24" s="159"/>
      <c r="E24" s="156"/>
      <c r="F24" s="751">
        <v>165310356.80063519</v>
      </c>
      <c r="G24" s="155"/>
      <c r="H24" s="156"/>
      <c r="I24" s="751">
        <v>147488976.67847052</v>
      </c>
      <c r="J24" s="155"/>
      <c r="K24" s="41"/>
      <c r="L24" s="42"/>
      <c r="M24" s="41"/>
      <c r="N24" s="126" t="s">
        <v>181</v>
      </c>
      <c r="AE24" s="37">
        <v>2025</v>
      </c>
      <c r="AF24" s="702">
        <f t="shared" si="2"/>
        <v>90749.915446500454</v>
      </c>
      <c r="AG24" s="169" t="str">
        <f t="shared" si="1"/>
        <v/>
      </c>
      <c r="AH24" s="166" t="str">
        <f t="shared" si="1"/>
        <v/>
      </c>
      <c r="AI24" s="702">
        <f t="shared" si="3"/>
        <v>89260.451836196109</v>
      </c>
      <c r="AJ24" s="165" t="str">
        <f t="shared" si="1"/>
        <v/>
      </c>
      <c r="AK24" s="166" t="str">
        <f t="shared" si="1"/>
        <v/>
      </c>
      <c r="AL24" s="702">
        <f t="shared" si="4"/>
        <v>79637.6763922627</v>
      </c>
      <c r="AM24" s="165" t="str">
        <f t="shared" si="1"/>
        <v/>
      </c>
      <c r="AN24" s="41" t="str">
        <f t="shared" si="1"/>
        <v/>
      </c>
      <c r="AO24" s="42" t="str">
        <f t="shared" si="1"/>
        <v/>
      </c>
      <c r="AP24" s="41" t="str">
        <f t="shared" si="1"/>
        <v/>
      </c>
      <c r="AQ24" s="126" t="s">
        <v>180</v>
      </c>
    </row>
    <row r="25" spans="1:43" ht="28.8" x14ac:dyDescent="0.3">
      <c r="A25" s="5"/>
      <c r="B25" s="37">
        <v>2026</v>
      </c>
      <c r="C25" s="751">
        <v>173824829.62613234</v>
      </c>
      <c r="D25" s="159"/>
      <c r="E25" s="156"/>
      <c r="F25" s="751">
        <v>170959011.84137458</v>
      </c>
      <c r="G25" s="155"/>
      <c r="H25" s="156"/>
      <c r="I25" s="751">
        <v>149456056.94253725</v>
      </c>
      <c r="J25" s="155"/>
      <c r="K25" s="41"/>
      <c r="L25" s="42"/>
      <c r="M25" s="41"/>
      <c r="N25" s="126" t="s">
        <v>181</v>
      </c>
      <c r="AE25" s="37">
        <v>2026</v>
      </c>
      <c r="AF25" s="702">
        <f t="shared" si="2"/>
        <v>93857.899366162164</v>
      </c>
      <c r="AG25" s="169" t="str">
        <f t="shared" si="1"/>
        <v/>
      </c>
      <c r="AH25" s="166" t="str">
        <f t="shared" si="1"/>
        <v/>
      </c>
      <c r="AI25" s="702">
        <f t="shared" si="3"/>
        <v>92310.481555817809</v>
      </c>
      <c r="AJ25" s="165" t="str">
        <f t="shared" si="1"/>
        <v/>
      </c>
      <c r="AK25" s="166" t="str">
        <f t="shared" si="1"/>
        <v/>
      </c>
      <c r="AL25" s="702">
        <f t="shared" si="4"/>
        <v>80699.814763789007</v>
      </c>
      <c r="AM25" s="165" t="str">
        <f t="shared" si="1"/>
        <v/>
      </c>
      <c r="AN25" s="41" t="str">
        <f t="shared" si="1"/>
        <v/>
      </c>
      <c r="AO25" s="42" t="str">
        <f t="shared" si="1"/>
        <v/>
      </c>
      <c r="AP25" s="41" t="str">
        <f t="shared" si="1"/>
        <v/>
      </c>
      <c r="AQ25" s="126" t="s">
        <v>180</v>
      </c>
    </row>
    <row r="26" spans="1:43" ht="28.8" x14ac:dyDescent="0.3">
      <c r="A26" s="5"/>
      <c r="B26" s="37">
        <v>2027</v>
      </c>
      <c r="C26" s="751">
        <v>179902626.52463171</v>
      </c>
      <c r="D26" s="159"/>
      <c r="E26" s="156"/>
      <c r="F26" s="751">
        <v>176932844.99498913</v>
      </c>
      <c r="G26" s="155"/>
      <c r="H26" s="156"/>
      <c r="I26" s="751">
        <v>151347598.94487116</v>
      </c>
      <c r="J26" s="155"/>
      <c r="K26" s="41"/>
      <c r="L26" s="42"/>
      <c r="M26" s="41"/>
      <c r="N26" s="126" t="s">
        <v>181</v>
      </c>
      <c r="AE26" s="37">
        <v>2027</v>
      </c>
      <c r="AF26" s="702">
        <f t="shared" si="2"/>
        <v>97139.647151529003</v>
      </c>
      <c r="AG26" s="169" t="str">
        <f t="shared" si="1"/>
        <v/>
      </c>
      <c r="AH26" s="166" t="str">
        <f t="shared" si="1"/>
        <v/>
      </c>
      <c r="AI26" s="702">
        <f t="shared" si="3"/>
        <v>95536.093409821347</v>
      </c>
      <c r="AJ26" s="165" t="str">
        <f t="shared" si="1"/>
        <v/>
      </c>
      <c r="AK26" s="166" t="str">
        <f t="shared" si="1"/>
        <v/>
      </c>
      <c r="AL26" s="702">
        <f t="shared" si="4"/>
        <v>81721.165736971467</v>
      </c>
      <c r="AM26" s="165" t="str">
        <f t="shared" si="1"/>
        <v/>
      </c>
      <c r="AN26" s="41" t="str">
        <f t="shared" si="1"/>
        <v/>
      </c>
      <c r="AO26" s="42" t="str">
        <f t="shared" si="1"/>
        <v/>
      </c>
      <c r="AP26" s="41" t="str">
        <f t="shared" si="1"/>
        <v/>
      </c>
      <c r="AQ26" s="126" t="s">
        <v>180</v>
      </c>
    </row>
    <row r="27" spans="1:43" ht="28.8" x14ac:dyDescent="0.3">
      <c r="A27" s="59" t="s">
        <v>34</v>
      </c>
      <c r="B27" s="37">
        <v>2028</v>
      </c>
      <c r="C27" s="751">
        <v>186314810.77474824</v>
      </c>
      <c r="D27" s="159"/>
      <c r="E27" s="156"/>
      <c r="F27" s="751">
        <v>183234397.23752838</v>
      </c>
      <c r="G27" s="155"/>
      <c r="H27" s="156"/>
      <c r="I27" s="751">
        <v>153153654.91092005</v>
      </c>
      <c r="J27" s="155"/>
      <c r="K27" s="41"/>
      <c r="L27" s="42"/>
      <c r="M27" s="41"/>
      <c r="N27" s="126" t="s">
        <v>181</v>
      </c>
      <c r="AE27" s="37">
        <v>2028</v>
      </c>
      <c r="AF27" s="702">
        <f t="shared" si="2"/>
        <v>100601.94966239105</v>
      </c>
      <c r="AG27" s="169" t="str">
        <f t="shared" ref="AG27:AP42" si="5">IF(D27&lt;&gt;"",D27*10^9,"")</f>
        <v/>
      </c>
      <c r="AH27" s="166" t="str">
        <f t="shared" si="5"/>
        <v/>
      </c>
      <c r="AI27" s="702">
        <f t="shared" si="3"/>
        <v>98938.659415512084</v>
      </c>
      <c r="AJ27" s="165" t="str">
        <f t="shared" si="5"/>
        <v/>
      </c>
      <c r="AK27" s="166" t="str">
        <f t="shared" si="5"/>
        <v/>
      </c>
      <c r="AL27" s="702">
        <f t="shared" si="4"/>
        <v>82696.357943261362</v>
      </c>
      <c r="AM27" s="165" t="str">
        <f t="shared" si="5"/>
        <v/>
      </c>
      <c r="AN27" s="41" t="str">
        <f t="shared" si="5"/>
        <v/>
      </c>
      <c r="AO27" s="42" t="str">
        <f t="shared" si="5"/>
        <v/>
      </c>
      <c r="AP27" s="41" t="str">
        <f t="shared" si="5"/>
        <v/>
      </c>
      <c r="AQ27" s="126" t="s">
        <v>180</v>
      </c>
    </row>
    <row r="28" spans="1:43" ht="28.8" x14ac:dyDescent="0.3">
      <c r="A28" s="60" t="s">
        <v>29</v>
      </c>
      <c r="B28" s="37">
        <v>2029</v>
      </c>
      <c r="C28" s="751">
        <v>193084473.44689262</v>
      </c>
      <c r="D28" s="159"/>
      <c r="E28" s="156"/>
      <c r="F28" s="751">
        <v>189885783.6180681</v>
      </c>
      <c r="G28" s="155"/>
      <c r="H28" s="156"/>
      <c r="I28" s="751">
        <v>154881206.36175689</v>
      </c>
      <c r="J28" s="155"/>
      <c r="K28" s="41"/>
      <c r="L28" s="42"/>
      <c r="M28" s="41"/>
      <c r="N28" s="126" t="s">
        <v>181</v>
      </c>
      <c r="AE28" s="37">
        <v>2029</v>
      </c>
      <c r="AF28" s="702">
        <f t="shared" si="2"/>
        <v>104257.27507931567</v>
      </c>
      <c r="AG28" s="169" t="str">
        <f t="shared" si="5"/>
        <v/>
      </c>
      <c r="AH28" s="166" t="str">
        <f t="shared" si="5"/>
        <v/>
      </c>
      <c r="AI28" s="702">
        <f t="shared" si="3"/>
        <v>102530.12074409725</v>
      </c>
      <c r="AJ28" s="165" t="str">
        <f t="shared" si="5"/>
        <v/>
      </c>
      <c r="AK28" s="166" t="str">
        <f t="shared" si="5"/>
        <v/>
      </c>
      <c r="AL28" s="702">
        <f t="shared" si="4"/>
        <v>83629.161102460523</v>
      </c>
      <c r="AM28" s="165" t="str">
        <f t="shared" si="5"/>
        <v/>
      </c>
      <c r="AN28" s="41" t="str">
        <f t="shared" si="5"/>
        <v/>
      </c>
      <c r="AO28" s="42" t="str">
        <f t="shared" si="5"/>
        <v/>
      </c>
      <c r="AP28" s="41" t="str">
        <f t="shared" si="5"/>
        <v/>
      </c>
      <c r="AQ28" s="126" t="s">
        <v>180</v>
      </c>
    </row>
    <row r="29" spans="1:43" ht="28.8" x14ac:dyDescent="0.3">
      <c r="A29" s="61" t="s">
        <v>35</v>
      </c>
      <c r="B29" s="37">
        <v>2030</v>
      </c>
      <c r="C29" s="751">
        <v>198246347.29970783</v>
      </c>
      <c r="D29" s="159"/>
      <c r="E29" s="156"/>
      <c r="F29" s="751">
        <v>194961435.76036233</v>
      </c>
      <c r="G29" s="155"/>
      <c r="H29" s="156"/>
      <c r="I29" s="751">
        <v>156585769.88222799</v>
      </c>
      <c r="J29" s="155"/>
      <c r="K29" s="41"/>
      <c r="L29" s="42"/>
      <c r="M29" s="41"/>
      <c r="N29" s="126" t="s">
        <v>181</v>
      </c>
      <c r="AE29" s="37">
        <v>2030</v>
      </c>
      <c r="AF29" s="702">
        <f t="shared" si="2"/>
        <v>107044.46398472345</v>
      </c>
      <c r="AG29" s="169" t="str">
        <f t="shared" si="5"/>
        <v/>
      </c>
      <c r="AH29" s="166" t="str">
        <f t="shared" si="5"/>
        <v/>
      </c>
      <c r="AI29" s="702">
        <f t="shared" si="3"/>
        <v>105270.75365030364</v>
      </c>
      <c r="AJ29" s="165" t="str">
        <f t="shared" si="5"/>
        <v/>
      </c>
      <c r="AK29" s="166" t="str">
        <f t="shared" si="5"/>
        <v/>
      </c>
      <c r="AL29" s="702">
        <f t="shared" si="4"/>
        <v>84549.551772261329</v>
      </c>
      <c r="AM29" s="165" t="str">
        <f t="shared" si="5"/>
        <v/>
      </c>
      <c r="AN29" s="41" t="str">
        <f t="shared" si="5"/>
        <v/>
      </c>
      <c r="AO29" s="42" t="str">
        <f t="shared" si="5"/>
        <v/>
      </c>
      <c r="AP29" s="41" t="str">
        <f t="shared" si="5"/>
        <v/>
      </c>
      <c r="AQ29" s="126" t="s">
        <v>180</v>
      </c>
    </row>
    <row r="30" spans="1:43" ht="28.8" x14ac:dyDescent="0.3">
      <c r="A30" s="62" t="s">
        <v>36</v>
      </c>
      <c r="B30" s="37">
        <v>2031</v>
      </c>
      <c r="C30" s="751">
        <v>207786858.25092211</v>
      </c>
      <c r="D30" s="159"/>
      <c r="E30" s="156"/>
      <c r="F30" s="751">
        <v>204324822.41984618</v>
      </c>
      <c r="G30" s="155"/>
      <c r="H30" s="156"/>
      <c r="I30" s="751">
        <v>158127660.75936747</v>
      </c>
      <c r="J30" s="155"/>
      <c r="K30" s="41"/>
      <c r="L30" s="42"/>
      <c r="M30" s="41"/>
      <c r="N30" s="126" t="s">
        <v>181</v>
      </c>
      <c r="AE30" s="37">
        <v>2031</v>
      </c>
      <c r="AF30" s="702">
        <f t="shared" si="2"/>
        <v>112195.92778127544</v>
      </c>
      <c r="AG30" s="169" t="str">
        <f t="shared" si="5"/>
        <v/>
      </c>
      <c r="AH30" s="166" t="str">
        <f t="shared" si="5"/>
        <v/>
      </c>
      <c r="AI30" s="702">
        <f t="shared" si="3"/>
        <v>110326.5779804785</v>
      </c>
      <c r="AJ30" s="165" t="str">
        <f t="shared" si="5"/>
        <v/>
      </c>
      <c r="AK30" s="166" t="str">
        <f t="shared" si="5"/>
        <v/>
      </c>
      <c r="AL30" s="702">
        <f t="shared" si="4"/>
        <v>85382.1062415591</v>
      </c>
      <c r="AM30" s="165" t="str">
        <f t="shared" si="5"/>
        <v/>
      </c>
      <c r="AN30" s="41" t="str">
        <f t="shared" si="5"/>
        <v/>
      </c>
      <c r="AO30" s="42" t="str">
        <f t="shared" si="5"/>
        <v/>
      </c>
      <c r="AP30" s="41" t="str">
        <f t="shared" si="5"/>
        <v/>
      </c>
      <c r="AQ30" s="126" t="s">
        <v>180</v>
      </c>
    </row>
    <row r="31" spans="1:43" ht="28.8" x14ac:dyDescent="0.3">
      <c r="A31" s="5"/>
      <c r="B31" s="37">
        <v>2032</v>
      </c>
      <c r="C31" s="751">
        <v>215764670.0204187</v>
      </c>
      <c r="D31" s="159"/>
      <c r="E31" s="156"/>
      <c r="F31" s="751">
        <v>212155648.20694238</v>
      </c>
      <c r="G31" s="155"/>
      <c r="H31" s="156"/>
      <c r="I31" s="751">
        <v>159660002.83205685</v>
      </c>
      <c r="J31" s="155"/>
      <c r="K31" s="41"/>
      <c r="L31" s="42"/>
      <c r="M31" s="41"/>
      <c r="N31" s="126" t="s">
        <v>181</v>
      </c>
      <c r="AE31" s="37">
        <v>2032</v>
      </c>
      <c r="AF31" s="702">
        <f t="shared" si="2"/>
        <v>116503.60152290427</v>
      </c>
      <c r="AG31" s="169" t="str">
        <f t="shared" si="5"/>
        <v/>
      </c>
      <c r="AH31" s="166" t="str">
        <f t="shared" si="5"/>
        <v/>
      </c>
      <c r="AI31" s="702">
        <f t="shared" si="3"/>
        <v>114554.88564089761</v>
      </c>
      <c r="AJ31" s="165" t="str">
        <f t="shared" si="5"/>
        <v/>
      </c>
      <c r="AK31" s="166" t="str">
        <f t="shared" si="5"/>
        <v/>
      </c>
      <c r="AL31" s="702">
        <f t="shared" si="4"/>
        <v>86209.504768929182</v>
      </c>
      <c r="AM31" s="165" t="str">
        <f t="shared" si="5"/>
        <v/>
      </c>
      <c r="AN31" s="41" t="str">
        <f t="shared" si="5"/>
        <v/>
      </c>
      <c r="AO31" s="42" t="str">
        <f t="shared" si="5"/>
        <v/>
      </c>
      <c r="AP31" s="41" t="str">
        <f t="shared" si="5"/>
        <v/>
      </c>
      <c r="AQ31" s="126" t="s">
        <v>180</v>
      </c>
    </row>
    <row r="32" spans="1:43" ht="28.8" x14ac:dyDescent="0.3">
      <c r="A32" s="5"/>
      <c r="B32" s="37">
        <v>2033</v>
      </c>
      <c r="C32" s="751">
        <v>224192063.50073788</v>
      </c>
      <c r="D32" s="159"/>
      <c r="E32" s="156"/>
      <c r="F32" s="751">
        <v>220424528.32105637</v>
      </c>
      <c r="G32" s="155"/>
      <c r="H32" s="156"/>
      <c r="I32" s="751">
        <v>161142053.46595404</v>
      </c>
      <c r="J32" s="155"/>
      <c r="K32" s="41"/>
      <c r="L32" s="42"/>
      <c r="M32" s="41"/>
      <c r="N32" s="126" t="s">
        <v>181</v>
      </c>
      <c r="AE32" s="37">
        <v>2033</v>
      </c>
      <c r="AF32" s="702">
        <f t="shared" si="2"/>
        <v>121054.02996800101</v>
      </c>
      <c r="AG32" s="169" t="str">
        <f t="shared" si="5"/>
        <v/>
      </c>
      <c r="AH32" s="166" t="str">
        <f t="shared" si="5"/>
        <v/>
      </c>
      <c r="AI32" s="702">
        <f t="shared" si="3"/>
        <v>119019.7237154732</v>
      </c>
      <c r="AJ32" s="165" t="str">
        <f t="shared" si="5"/>
        <v/>
      </c>
      <c r="AK32" s="166" t="str">
        <f t="shared" si="5"/>
        <v/>
      </c>
      <c r="AL32" s="702">
        <f t="shared" si="4"/>
        <v>87009.748091767833</v>
      </c>
      <c r="AM32" s="165" t="str">
        <f t="shared" si="5"/>
        <v/>
      </c>
      <c r="AN32" s="41" t="str">
        <f t="shared" si="5"/>
        <v/>
      </c>
      <c r="AO32" s="42" t="str">
        <f t="shared" si="5"/>
        <v/>
      </c>
      <c r="AP32" s="41" t="str">
        <f t="shared" si="5"/>
        <v/>
      </c>
      <c r="AQ32" s="126" t="s">
        <v>180</v>
      </c>
    </row>
    <row r="33" spans="1:43" ht="28.8" x14ac:dyDescent="0.3">
      <c r="A33" s="5"/>
      <c r="B33" s="37">
        <v>2034</v>
      </c>
      <c r="C33" s="751">
        <v>233094046.21393138</v>
      </c>
      <c r="D33" s="159"/>
      <c r="E33" s="156"/>
      <c r="F33" s="751">
        <v>229155455.56548548</v>
      </c>
      <c r="G33" s="155"/>
      <c r="H33" s="156"/>
      <c r="I33" s="751">
        <v>162582206.08177036</v>
      </c>
      <c r="J33" s="155"/>
      <c r="K33" s="41"/>
      <c r="L33" s="42"/>
      <c r="M33" s="41"/>
      <c r="N33" s="126" t="s">
        <v>181</v>
      </c>
      <c r="AE33" s="37">
        <v>2034</v>
      </c>
      <c r="AF33" s="702">
        <f t="shared" si="2"/>
        <v>125860.71609823509</v>
      </c>
      <c r="AG33" s="169" t="str">
        <f t="shared" si="5"/>
        <v/>
      </c>
      <c r="AH33" s="166" t="str">
        <f t="shared" si="5"/>
        <v/>
      </c>
      <c r="AI33" s="702">
        <f t="shared" si="3"/>
        <v>123734.04728157964</v>
      </c>
      <c r="AJ33" s="165" t="str">
        <f t="shared" si="5"/>
        <v/>
      </c>
      <c r="AK33" s="166" t="str">
        <f t="shared" si="5"/>
        <v/>
      </c>
      <c r="AL33" s="702">
        <f t="shared" si="4"/>
        <v>87787.368294692424</v>
      </c>
      <c r="AM33" s="165" t="str">
        <f t="shared" si="5"/>
        <v/>
      </c>
      <c r="AN33" s="41" t="str">
        <f t="shared" si="5"/>
        <v/>
      </c>
      <c r="AO33" s="42" t="str">
        <f t="shared" si="5"/>
        <v/>
      </c>
      <c r="AP33" s="41" t="str">
        <f t="shared" si="5"/>
        <v/>
      </c>
      <c r="AQ33" s="126" t="s">
        <v>180</v>
      </c>
    </row>
    <row r="34" spans="1:43" ht="28.8" x14ac:dyDescent="0.3">
      <c r="A34" s="5"/>
      <c r="B34" s="37">
        <v>2035</v>
      </c>
      <c r="C34" s="751">
        <v>242456334.56862378</v>
      </c>
      <c r="D34" s="159"/>
      <c r="E34" s="156"/>
      <c r="F34" s="751">
        <v>238430205.81015611</v>
      </c>
      <c r="G34" s="155"/>
      <c r="H34" s="156"/>
      <c r="I34" s="751">
        <v>164046746.86550501</v>
      </c>
      <c r="J34" s="155"/>
      <c r="K34" s="41"/>
      <c r="L34" s="42"/>
      <c r="M34" s="41"/>
      <c r="N34" s="126" t="s">
        <v>181</v>
      </c>
      <c r="AE34" s="37">
        <v>2035</v>
      </c>
      <c r="AF34" s="702">
        <f t="shared" si="2"/>
        <v>130915.94739126554</v>
      </c>
      <c r="AG34" s="169" t="str">
        <f t="shared" si="5"/>
        <v/>
      </c>
      <c r="AH34" s="166" t="str">
        <f t="shared" si="5"/>
        <v/>
      </c>
      <c r="AI34" s="702">
        <f t="shared" si="3"/>
        <v>128742.01177654217</v>
      </c>
      <c r="AJ34" s="165" t="str">
        <f t="shared" si="5"/>
        <v/>
      </c>
      <c r="AK34" s="166" t="str">
        <f t="shared" si="5"/>
        <v/>
      </c>
      <c r="AL34" s="702">
        <f t="shared" si="4"/>
        <v>88578.157054808325</v>
      </c>
      <c r="AM34" s="165" t="str">
        <f t="shared" si="5"/>
        <v/>
      </c>
      <c r="AN34" s="41" t="str">
        <f t="shared" si="5"/>
        <v/>
      </c>
      <c r="AO34" s="42" t="str">
        <f t="shared" si="5"/>
        <v/>
      </c>
      <c r="AP34" s="41" t="str">
        <f t="shared" si="5"/>
        <v/>
      </c>
      <c r="AQ34" s="126" t="s">
        <v>180</v>
      </c>
    </row>
    <row r="35" spans="1:43" ht="28.8" x14ac:dyDescent="0.3">
      <c r="A35" s="5"/>
      <c r="B35" s="37">
        <v>2036</v>
      </c>
      <c r="C35" s="751">
        <v>252418051.08678243</v>
      </c>
      <c r="D35" s="159"/>
      <c r="E35" s="156"/>
      <c r="F35" s="751">
        <v>248095773.62054566</v>
      </c>
      <c r="G35" s="155"/>
      <c r="H35" s="156"/>
      <c r="I35" s="751">
        <v>165366928.21712536</v>
      </c>
      <c r="J35" s="155"/>
      <c r="K35" s="41"/>
      <c r="L35" s="42"/>
      <c r="M35" s="41"/>
      <c r="N35" s="126" t="s">
        <v>181</v>
      </c>
      <c r="AE35" s="37">
        <v>2036</v>
      </c>
      <c r="AF35" s="702">
        <f t="shared" si="2"/>
        <v>136294.84399934256</v>
      </c>
      <c r="AG35" s="169" t="str">
        <f t="shared" si="5"/>
        <v/>
      </c>
      <c r="AH35" s="166" t="str">
        <f t="shared" si="5"/>
        <v/>
      </c>
      <c r="AI35" s="702">
        <f t="shared" si="3"/>
        <v>133961.00087502465</v>
      </c>
      <c r="AJ35" s="165" t="str">
        <f t="shared" si="5"/>
        <v/>
      </c>
      <c r="AK35" s="166" t="str">
        <f t="shared" si="5"/>
        <v/>
      </c>
      <c r="AL35" s="702">
        <f t="shared" si="4"/>
        <v>89290.997957411106</v>
      </c>
      <c r="AM35" s="165" t="str">
        <f t="shared" si="5"/>
        <v/>
      </c>
      <c r="AN35" s="41" t="str">
        <f t="shared" si="5"/>
        <v/>
      </c>
      <c r="AO35" s="42" t="str">
        <f t="shared" si="5"/>
        <v/>
      </c>
      <c r="AP35" s="41" t="str">
        <f t="shared" si="5"/>
        <v/>
      </c>
      <c r="AQ35" s="126" t="s">
        <v>180</v>
      </c>
    </row>
    <row r="36" spans="1:43" ht="28.8" x14ac:dyDescent="0.3">
      <c r="A36" s="5"/>
      <c r="B36" s="37">
        <v>2037</v>
      </c>
      <c r="C36" s="751">
        <v>262884921.52289629</v>
      </c>
      <c r="D36" s="159"/>
      <c r="E36" s="156"/>
      <c r="F36" s="751">
        <v>258348127.64036307</v>
      </c>
      <c r="G36" s="155"/>
      <c r="H36" s="156"/>
      <c r="I36" s="751">
        <v>166724145.00480771</v>
      </c>
      <c r="J36" s="155"/>
      <c r="K36" s="41"/>
      <c r="L36" s="42"/>
      <c r="M36" s="41"/>
      <c r="N36" s="126" t="s">
        <v>181</v>
      </c>
      <c r="AE36" s="37">
        <v>2037</v>
      </c>
      <c r="AF36" s="702">
        <f t="shared" si="2"/>
        <v>141946.50190221181</v>
      </c>
      <c r="AG36" s="169" t="str">
        <f t="shared" si="5"/>
        <v/>
      </c>
      <c r="AH36" s="166" t="str">
        <f t="shared" si="5"/>
        <v/>
      </c>
      <c r="AI36" s="702">
        <f t="shared" si="3"/>
        <v>139496.8291794617</v>
      </c>
      <c r="AJ36" s="165" t="str">
        <f t="shared" si="5"/>
        <v/>
      </c>
      <c r="AK36" s="166" t="str">
        <f t="shared" si="5"/>
        <v/>
      </c>
      <c r="AL36" s="702">
        <f t="shared" si="4"/>
        <v>90023.836395684513</v>
      </c>
      <c r="AM36" s="165" t="str">
        <f t="shared" si="5"/>
        <v/>
      </c>
      <c r="AN36" s="41" t="str">
        <f t="shared" si="5"/>
        <v/>
      </c>
      <c r="AO36" s="42" t="str">
        <f t="shared" si="5"/>
        <v/>
      </c>
      <c r="AP36" s="41" t="str">
        <f t="shared" si="5"/>
        <v/>
      </c>
      <c r="AQ36" s="126" t="s">
        <v>180</v>
      </c>
    </row>
    <row r="37" spans="1:43" ht="28.8" x14ac:dyDescent="0.3">
      <c r="A37" s="5"/>
      <c r="B37" s="37">
        <v>2038</v>
      </c>
      <c r="C37" s="751">
        <v>273915681.80624288</v>
      </c>
      <c r="D37" s="159"/>
      <c r="E37" s="156"/>
      <c r="F37" s="751">
        <v>269148017.91497946</v>
      </c>
      <c r="G37" s="155"/>
      <c r="H37" s="156"/>
      <c r="I37" s="751">
        <v>168064772.74508819</v>
      </c>
      <c r="J37" s="155"/>
      <c r="K37" s="41"/>
      <c r="L37" s="42"/>
      <c r="M37" s="41"/>
      <c r="N37" s="126" t="s">
        <v>181</v>
      </c>
      <c r="AE37" s="37">
        <v>2038</v>
      </c>
      <c r="AF37" s="702">
        <f t="shared" si="2"/>
        <v>147902.63596449399</v>
      </c>
      <c r="AG37" s="169" t="str">
        <f t="shared" si="5"/>
        <v/>
      </c>
      <c r="AH37" s="166" t="str">
        <f t="shared" si="5"/>
        <v/>
      </c>
      <c r="AI37" s="702">
        <f t="shared" si="3"/>
        <v>145328.30340981612</v>
      </c>
      <c r="AJ37" s="165" t="str">
        <f t="shared" si="5"/>
        <v/>
      </c>
      <c r="AK37" s="166" t="str">
        <f t="shared" si="5"/>
        <v/>
      </c>
      <c r="AL37" s="702">
        <f t="shared" si="4"/>
        <v>90747.71746495043</v>
      </c>
      <c r="AM37" s="165" t="str">
        <f t="shared" si="5"/>
        <v/>
      </c>
      <c r="AN37" s="41" t="str">
        <f t="shared" si="5"/>
        <v/>
      </c>
      <c r="AO37" s="42" t="str">
        <f t="shared" si="5"/>
        <v/>
      </c>
      <c r="AP37" s="41" t="str">
        <f t="shared" si="5"/>
        <v/>
      </c>
      <c r="AQ37" s="126" t="s">
        <v>180</v>
      </c>
    </row>
    <row r="38" spans="1:43" ht="28.8" x14ac:dyDescent="0.3">
      <c r="A38" s="5"/>
      <c r="B38" s="37">
        <v>2039</v>
      </c>
      <c r="C38" s="751">
        <v>285529015.54426575</v>
      </c>
      <c r="D38" s="159"/>
      <c r="E38" s="156"/>
      <c r="F38" s="751">
        <v>280513217.4245832</v>
      </c>
      <c r="G38" s="155"/>
      <c r="H38" s="156"/>
      <c r="I38" s="751">
        <v>169393064.92750204</v>
      </c>
      <c r="J38" s="155"/>
      <c r="K38" s="41"/>
      <c r="L38" s="42"/>
      <c r="M38" s="41"/>
      <c r="N38" s="126" t="s">
        <v>181</v>
      </c>
      <c r="AE38" s="37">
        <v>2039</v>
      </c>
      <c r="AF38" s="702">
        <f t="shared" si="2"/>
        <v>154173.33452714133</v>
      </c>
      <c r="AG38" s="169" t="str">
        <f t="shared" si="5"/>
        <v/>
      </c>
      <c r="AH38" s="166" t="str">
        <f t="shared" si="5"/>
        <v/>
      </c>
      <c r="AI38" s="702">
        <f t="shared" si="3"/>
        <v>151465.02020765832</v>
      </c>
      <c r="AJ38" s="165" t="str">
        <f t="shared" si="5"/>
        <v/>
      </c>
      <c r="AK38" s="166" t="str">
        <f t="shared" si="5"/>
        <v/>
      </c>
      <c r="AL38" s="702">
        <f t="shared" si="4"/>
        <v>91464.937865821834</v>
      </c>
      <c r="AM38" s="165" t="str">
        <f t="shared" si="5"/>
        <v/>
      </c>
      <c r="AN38" s="41" t="str">
        <f t="shared" si="5"/>
        <v/>
      </c>
      <c r="AO38" s="42" t="str">
        <f t="shared" si="5"/>
        <v/>
      </c>
      <c r="AP38" s="41" t="str">
        <f t="shared" si="5"/>
        <v/>
      </c>
      <c r="AQ38" s="126" t="s">
        <v>180</v>
      </c>
    </row>
    <row r="39" spans="1:43" ht="28.8" x14ac:dyDescent="0.3">
      <c r="A39" s="5"/>
      <c r="B39" s="37">
        <v>2040</v>
      </c>
      <c r="C39" s="751">
        <v>298766260.34611422</v>
      </c>
      <c r="D39" s="159"/>
      <c r="E39" s="156"/>
      <c r="F39" s="751">
        <v>293435216.26690394</v>
      </c>
      <c r="G39" s="155"/>
      <c r="H39" s="156"/>
      <c r="I39" s="751">
        <v>169633728.17071104</v>
      </c>
      <c r="J39" s="155"/>
      <c r="K39" s="41"/>
      <c r="L39" s="42"/>
      <c r="M39" s="41"/>
      <c r="N39" s="126" t="s">
        <v>181</v>
      </c>
      <c r="AE39" s="37">
        <v>2040</v>
      </c>
      <c r="AF39" s="702">
        <f t="shared" si="2"/>
        <v>161320.87491690833</v>
      </c>
      <c r="AG39" s="169" t="str">
        <f t="shared" si="5"/>
        <v/>
      </c>
      <c r="AH39" s="166" t="str">
        <f t="shared" si="5"/>
        <v/>
      </c>
      <c r="AI39" s="702">
        <f t="shared" si="3"/>
        <v>158442.34139681639</v>
      </c>
      <c r="AJ39" s="165" t="str">
        <f t="shared" si="5"/>
        <v/>
      </c>
      <c r="AK39" s="166" t="str">
        <f t="shared" si="5"/>
        <v/>
      </c>
      <c r="AL39" s="702">
        <f t="shared" si="4"/>
        <v>91594.885621334251</v>
      </c>
      <c r="AM39" s="165" t="str">
        <f t="shared" si="5"/>
        <v/>
      </c>
      <c r="AN39" s="41" t="str">
        <f t="shared" si="5"/>
        <v/>
      </c>
      <c r="AO39" s="42" t="str">
        <f t="shared" si="5"/>
        <v/>
      </c>
      <c r="AP39" s="41" t="str">
        <f t="shared" si="5"/>
        <v/>
      </c>
      <c r="AQ39" s="126" t="s">
        <v>180</v>
      </c>
    </row>
    <row r="40" spans="1:43" ht="28.8" x14ac:dyDescent="0.3">
      <c r="A40" s="5"/>
      <c r="B40" s="37">
        <v>2041</v>
      </c>
      <c r="C40" s="751">
        <v>310580104.35325843</v>
      </c>
      <c r="D40" s="159"/>
      <c r="E40" s="156"/>
      <c r="F40" s="751">
        <v>305012655.99374437</v>
      </c>
      <c r="G40" s="155"/>
      <c r="H40" s="156"/>
      <c r="I40" s="751">
        <v>172032061.61615714</v>
      </c>
      <c r="J40" s="155"/>
      <c r="K40" s="41"/>
      <c r="L40" s="42"/>
      <c r="M40" s="41"/>
      <c r="N40" s="126" t="s">
        <v>181</v>
      </c>
      <c r="AE40" s="37">
        <v>2041</v>
      </c>
      <c r="AF40" s="702">
        <f t="shared" si="2"/>
        <v>167699.84036353047</v>
      </c>
      <c r="AG40" s="169" t="str">
        <f t="shared" si="5"/>
        <v/>
      </c>
      <c r="AH40" s="166" t="str">
        <f t="shared" si="5"/>
        <v/>
      </c>
      <c r="AI40" s="702">
        <f t="shared" si="3"/>
        <v>164693.65874392245</v>
      </c>
      <c r="AJ40" s="165" t="str">
        <f t="shared" si="5"/>
        <v/>
      </c>
      <c r="AK40" s="166" t="str">
        <f t="shared" si="5"/>
        <v/>
      </c>
      <c r="AL40" s="702">
        <f t="shared" si="4"/>
        <v>92889.882082158292</v>
      </c>
      <c r="AM40" s="165" t="str">
        <f t="shared" si="5"/>
        <v/>
      </c>
      <c r="AN40" s="41" t="str">
        <f t="shared" si="5"/>
        <v/>
      </c>
      <c r="AO40" s="42" t="str">
        <f t="shared" si="5"/>
        <v/>
      </c>
      <c r="AP40" s="41" t="str">
        <f t="shared" si="5"/>
        <v/>
      </c>
      <c r="AQ40" s="126" t="s">
        <v>180</v>
      </c>
    </row>
    <row r="41" spans="1:43" ht="28.8" x14ac:dyDescent="0.3">
      <c r="A41" s="5"/>
      <c r="B41" s="37">
        <v>2042</v>
      </c>
      <c r="C41" s="751">
        <v>324059055.31610924</v>
      </c>
      <c r="D41" s="159"/>
      <c r="E41" s="156"/>
      <c r="F41" s="751">
        <v>318186310.1520378</v>
      </c>
      <c r="G41" s="155"/>
      <c r="H41" s="156"/>
      <c r="I41" s="751">
        <v>173354463.65425992</v>
      </c>
      <c r="J41" s="155"/>
      <c r="K41" s="41"/>
      <c r="L41" s="42"/>
      <c r="M41" s="41"/>
      <c r="N41" s="126" t="s">
        <v>181</v>
      </c>
      <c r="AE41" s="37">
        <v>2042</v>
      </c>
      <c r="AF41" s="702">
        <f t="shared" si="2"/>
        <v>174977.89163936785</v>
      </c>
      <c r="AG41" s="169" t="str">
        <f t="shared" si="5"/>
        <v/>
      </c>
      <c r="AH41" s="166" t="str">
        <f t="shared" si="5"/>
        <v/>
      </c>
      <c r="AI41" s="702">
        <f t="shared" si="3"/>
        <v>171806.86293306577</v>
      </c>
      <c r="AJ41" s="165" t="str">
        <f t="shared" si="5"/>
        <v/>
      </c>
      <c r="AK41" s="166" t="str">
        <f t="shared" si="5"/>
        <v/>
      </c>
      <c r="AL41" s="702">
        <f t="shared" si="4"/>
        <v>93603.922059535587</v>
      </c>
      <c r="AM41" s="165" t="str">
        <f t="shared" si="5"/>
        <v/>
      </c>
      <c r="AN41" s="41" t="str">
        <f t="shared" si="5"/>
        <v/>
      </c>
      <c r="AO41" s="42" t="str">
        <f t="shared" si="5"/>
        <v/>
      </c>
      <c r="AP41" s="41" t="str">
        <f t="shared" si="5"/>
        <v/>
      </c>
      <c r="AQ41" s="126" t="s">
        <v>180</v>
      </c>
    </row>
    <row r="42" spans="1:43" ht="28.8" x14ac:dyDescent="0.3">
      <c r="A42" s="5"/>
      <c r="B42" s="37">
        <v>2043</v>
      </c>
      <c r="C42" s="751">
        <v>338200406.04604715</v>
      </c>
      <c r="D42" s="159"/>
      <c r="E42" s="156"/>
      <c r="F42" s="751">
        <v>332001580.69312674</v>
      </c>
      <c r="G42" s="155"/>
      <c r="H42" s="156"/>
      <c r="I42" s="751">
        <v>174686379.40690917</v>
      </c>
      <c r="J42" s="155"/>
      <c r="K42" s="41"/>
      <c r="L42" s="42"/>
      <c r="M42" s="41"/>
      <c r="N42" s="126" t="s">
        <v>181</v>
      </c>
      <c r="AE42" s="37">
        <v>2043</v>
      </c>
      <c r="AF42" s="702">
        <f t="shared" si="2"/>
        <v>182613.61017605138</v>
      </c>
      <c r="AG42" s="169" t="str">
        <f t="shared" si="5"/>
        <v/>
      </c>
      <c r="AH42" s="166" t="str">
        <f t="shared" si="5"/>
        <v/>
      </c>
      <c r="AI42" s="702">
        <f t="shared" si="3"/>
        <v>179266.51225330817</v>
      </c>
      <c r="AJ42" s="165" t="str">
        <f t="shared" si="5"/>
        <v/>
      </c>
      <c r="AK42" s="166" t="str">
        <f t="shared" si="5"/>
        <v/>
      </c>
      <c r="AL42" s="702">
        <f t="shared" si="4"/>
        <v>94323.099031808408</v>
      </c>
      <c r="AM42" s="165" t="str">
        <f t="shared" si="5"/>
        <v/>
      </c>
      <c r="AN42" s="41" t="str">
        <f t="shared" si="5"/>
        <v/>
      </c>
      <c r="AO42" s="42" t="str">
        <f t="shared" si="5"/>
        <v/>
      </c>
      <c r="AP42" s="41" t="str">
        <f t="shared" si="5"/>
        <v/>
      </c>
      <c r="AQ42" s="126" t="s">
        <v>180</v>
      </c>
    </row>
    <row r="43" spans="1:43" ht="28.8" x14ac:dyDescent="0.3">
      <c r="A43" s="5"/>
      <c r="B43" s="37">
        <v>2044</v>
      </c>
      <c r="C43" s="751">
        <v>353023844.56960446</v>
      </c>
      <c r="D43" s="159"/>
      <c r="E43" s="156"/>
      <c r="F43" s="751">
        <v>346477337.4205395</v>
      </c>
      <c r="G43" s="155"/>
      <c r="H43" s="156"/>
      <c r="I43" s="751">
        <v>176033397.64079872</v>
      </c>
      <c r="J43" s="155"/>
      <c r="K43" s="41"/>
      <c r="L43" s="42"/>
      <c r="M43" s="41"/>
      <c r="N43" s="126" t="s">
        <v>181</v>
      </c>
      <c r="AE43" s="37">
        <v>2044</v>
      </c>
      <c r="AF43" s="702">
        <f t="shared" si="2"/>
        <v>190617.6266574538</v>
      </c>
      <c r="AG43" s="169" t="str">
        <f t="shared" ref="AG43:AP58" si="6">IF(D43&lt;&gt;"",D43*10^9,"")</f>
        <v/>
      </c>
      <c r="AH43" s="166" t="str">
        <f t="shared" si="6"/>
        <v/>
      </c>
      <c r="AI43" s="702">
        <f t="shared" si="3"/>
        <v>187082.79558344465</v>
      </c>
      <c r="AJ43" s="165" t="str">
        <f t="shared" si="6"/>
        <v/>
      </c>
      <c r="AK43" s="166" t="str">
        <f t="shared" si="6"/>
        <v/>
      </c>
      <c r="AL43" s="702">
        <f t="shared" si="4"/>
        <v>95050.430691575981</v>
      </c>
      <c r="AM43" s="165" t="str">
        <f t="shared" si="6"/>
        <v/>
      </c>
      <c r="AN43" s="41" t="str">
        <f t="shared" si="6"/>
        <v/>
      </c>
      <c r="AO43" s="42" t="str">
        <f t="shared" si="6"/>
        <v/>
      </c>
      <c r="AP43" s="41" t="str">
        <f t="shared" si="6"/>
        <v/>
      </c>
      <c r="AQ43" s="126" t="s">
        <v>180</v>
      </c>
    </row>
    <row r="44" spans="1:43" ht="28.8" x14ac:dyDescent="0.3">
      <c r="A44" s="5"/>
      <c r="B44" s="37">
        <v>2045</v>
      </c>
      <c r="C44" s="751">
        <v>368560391.10641456</v>
      </c>
      <c r="D44" s="159"/>
      <c r="E44" s="156"/>
      <c r="F44" s="751">
        <v>361549134.18558425</v>
      </c>
      <c r="G44" s="155"/>
      <c r="H44" s="156"/>
      <c r="I44" s="751">
        <v>177316522.94536132</v>
      </c>
      <c r="J44" s="155"/>
      <c r="K44" s="41"/>
      <c r="L44" s="42"/>
      <c r="M44" s="41"/>
      <c r="N44" s="126" t="s">
        <v>181</v>
      </c>
      <c r="AE44" s="37">
        <v>2045</v>
      </c>
      <c r="AF44" s="702">
        <f t="shared" si="2"/>
        <v>199006.69066221089</v>
      </c>
      <c r="AG44" s="169" t="str">
        <f t="shared" si="6"/>
        <v/>
      </c>
      <c r="AH44" s="166" t="str">
        <f t="shared" si="6"/>
        <v/>
      </c>
      <c r="AI44" s="702">
        <f t="shared" si="3"/>
        <v>195220.91478703253</v>
      </c>
      <c r="AJ44" s="165" t="str">
        <f t="shared" si="6"/>
        <v/>
      </c>
      <c r="AK44" s="166" t="str">
        <f t="shared" si="6"/>
        <v/>
      </c>
      <c r="AL44" s="702">
        <f t="shared" si="4"/>
        <v>95743.262929460747</v>
      </c>
      <c r="AM44" s="165" t="str">
        <f t="shared" si="6"/>
        <v/>
      </c>
      <c r="AN44" s="41" t="str">
        <f t="shared" si="6"/>
        <v/>
      </c>
      <c r="AO44" s="42" t="str">
        <f t="shared" si="6"/>
        <v/>
      </c>
      <c r="AP44" s="41" t="str">
        <f t="shared" si="6"/>
        <v/>
      </c>
      <c r="AQ44" s="126" t="s">
        <v>180</v>
      </c>
    </row>
    <row r="45" spans="1:43" ht="28.8" x14ac:dyDescent="0.3">
      <c r="A45" s="5"/>
      <c r="B45" s="37">
        <v>2046</v>
      </c>
      <c r="C45" s="751">
        <v>384794352.1876142</v>
      </c>
      <c r="D45" s="159"/>
      <c r="E45" s="156"/>
      <c r="F45" s="751">
        <v>377484419.37006944</v>
      </c>
      <c r="G45" s="155"/>
      <c r="H45" s="156"/>
      <c r="I45" s="751">
        <v>178794827.91987264</v>
      </c>
      <c r="J45" s="155"/>
      <c r="K45" s="41"/>
      <c r="L45" s="42"/>
      <c r="M45" s="41"/>
      <c r="N45" s="126" t="s">
        <v>181</v>
      </c>
      <c r="AE45" s="37">
        <v>2046</v>
      </c>
      <c r="AF45" s="702">
        <f t="shared" si="2"/>
        <v>207772.32839504007</v>
      </c>
      <c r="AG45" s="169" t="str">
        <f t="shared" si="6"/>
        <v/>
      </c>
      <c r="AH45" s="166" t="str">
        <f t="shared" si="6"/>
        <v/>
      </c>
      <c r="AI45" s="702">
        <f t="shared" si="3"/>
        <v>203825.28043740251</v>
      </c>
      <c r="AJ45" s="165" t="str">
        <f t="shared" si="6"/>
        <v/>
      </c>
      <c r="AK45" s="166" t="str">
        <f t="shared" si="6"/>
        <v/>
      </c>
      <c r="AL45" s="702">
        <f t="shared" si="4"/>
        <v>96541.48375803059</v>
      </c>
      <c r="AM45" s="165" t="str">
        <f t="shared" si="6"/>
        <v/>
      </c>
      <c r="AN45" s="41" t="str">
        <f t="shared" si="6"/>
        <v/>
      </c>
      <c r="AO45" s="42" t="str">
        <f t="shared" si="6"/>
        <v/>
      </c>
      <c r="AP45" s="41" t="str">
        <f t="shared" si="6"/>
        <v/>
      </c>
      <c r="AQ45" s="126" t="s">
        <v>180</v>
      </c>
    </row>
    <row r="46" spans="1:43" ht="28.8" x14ac:dyDescent="0.3">
      <c r="A46" s="5"/>
      <c r="B46" s="37">
        <v>2047</v>
      </c>
      <c r="C46" s="751">
        <v>401779392.47485662</v>
      </c>
      <c r="D46" s="159"/>
      <c r="E46" s="156"/>
      <c r="F46" s="751">
        <v>394052077.79120499</v>
      </c>
      <c r="G46" s="155"/>
      <c r="H46" s="156"/>
      <c r="I46" s="751">
        <v>180220146.93040735</v>
      </c>
      <c r="J46" s="155"/>
      <c r="K46" s="41"/>
      <c r="L46" s="42"/>
      <c r="M46" s="41"/>
      <c r="N46" s="126" t="s">
        <v>181</v>
      </c>
      <c r="AE46" s="37">
        <v>2047</v>
      </c>
      <c r="AF46" s="702">
        <f t="shared" si="2"/>
        <v>216943.51645510618</v>
      </c>
      <c r="AG46" s="169" t="str">
        <f t="shared" si="6"/>
        <v/>
      </c>
      <c r="AH46" s="166" t="str">
        <f t="shared" si="6"/>
        <v/>
      </c>
      <c r="AI46" s="702">
        <f t="shared" si="3"/>
        <v>212771.10031922517</v>
      </c>
      <c r="AJ46" s="165" t="str">
        <f t="shared" si="6"/>
        <v/>
      </c>
      <c r="AK46" s="166" t="str">
        <f t="shared" si="6"/>
        <v/>
      </c>
      <c r="AL46" s="702">
        <f t="shared" si="4"/>
        <v>97311.094454863574</v>
      </c>
      <c r="AM46" s="165" t="str">
        <f t="shared" si="6"/>
        <v/>
      </c>
      <c r="AN46" s="41" t="str">
        <f t="shared" si="6"/>
        <v/>
      </c>
      <c r="AO46" s="42" t="str">
        <f t="shared" si="6"/>
        <v/>
      </c>
      <c r="AP46" s="41" t="str">
        <f t="shared" si="6"/>
        <v/>
      </c>
      <c r="AQ46" s="126" t="s">
        <v>180</v>
      </c>
    </row>
    <row r="47" spans="1:43" ht="28.8" x14ac:dyDescent="0.3">
      <c r="A47" s="5"/>
      <c r="B47" s="37">
        <v>2048</v>
      </c>
      <c r="C47" s="751">
        <v>419522672.27956676</v>
      </c>
      <c r="D47" s="159"/>
      <c r="E47" s="156"/>
      <c r="F47" s="751">
        <v>411353137.15803623</v>
      </c>
      <c r="G47" s="155"/>
      <c r="H47" s="156"/>
      <c r="I47" s="751">
        <v>181682478.61040521</v>
      </c>
      <c r="J47" s="155"/>
      <c r="K47" s="41"/>
      <c r="L47" s="42"/>
      <c r="M47" s="41"/>
      <c r="N47" s="126" t="s">
        <v>181</v>
      </c>
      <c r="AE47" s="37">
        <v>2048</v>
      </c>
      <c r="AF47" s="702">
        <f t="shared" si="2"/>
        <v>226524.12110127794</v>
      </c>
      <c r="AG47" s="169" t="str">
        <f t="shared" si="6"/>
        <v/>
      </c>
      <c r="AH47" s="166" t="str">
        <f t="shared" si="6"/>
        <v/>
      </c>
      <c r="AI47" s="702">
        <f t="shared" si="3"/>
        <v>222112.92503133707</v>
      </c>
      <c r="AJ47" s="165" t="str">
        <f t="shared" si="6"/>
        <v/>
      </c>
      <c r="AK47" s="166" t="str">
        <f t="shared" si="6"/>
        <v/>
      </c>
      <c r="AL47" s="702">
        <f t="shared" si="4"/>
        <v>98100.69039438726</v>
      </c>
      <c r="AM47" s="165" t="str">
        <f t="shared" si="6"/>
        <v/>
      </c>
      <c r="AN47" s="41" t="str">
        <f t="shared" si="6"/>
        <v/>
      </c>
      <c r="AO47" s="42" t="str">
        <f t="shared" si="6"/>
        <v/>
      </c>
      <c r="AP47" s="41" t="str">
        <f t="shared" si="6"/>
        <v/>
      </c>
      <c r="AQ47" s="126" t="s">
        <v>180</v>
      </c>
    </row>
    <row r="48" spans="1:43" ht="28.8" x14ac:dyDescent="0.3">
      <c r="A48" s="5"/>
      <c r="B48" s="37">
        <v>2049</v>
      </c>
      <c r="C48" s="751">
        <v>438042788.97083277</v>
      </c>
      <c r="D48" s="159"/>
      <c r="E48" s="156"/>
      <c r="F48" s="751">
        <v>429405424.36611295</v>
      </c>
      <c r="G48" s="155"/>
      <c r="H48" s="156"/>
      <c r="I48" s="751">
        <v>183187280.95008308</v>
      </c>
      <c r="J48" s="155"/>
      <c r="K48" s="41"/>
      <c r="L48" s="42"/>
      <c r="M48" s="41"/>
      <c r="N48" s="126" t="s">
        <v>181</v>
      </c>
      <c r="AE48" s="37">
        <v>2049</v>
      </c>
      <c r="AF48" s="702">
        <f t="shared" si="2"/>
        <v>236524.18410952092</v>
      </c>
      <c r="AG48" s="169" t="str">
        <f t="shared" si="6"/>
        <v/>
      </c>
      <c r="AH48" s="166" t="str">
        <f t="shared" si="6"/>
        <v/>
      </c>
      <c r="AI48" s="702">
        <f t="shared" si="3"/>
        <v>231860.38032727482</v>
      </c>
      <c r="AJ48" s="165" t="str">
        <f t="shared" si="6"/>
        <v/>
      </c>
      <c r="AK48" s="166" t="str">
        <f t="shared" si="6"/>
        <v/>
      </c>
      <c r="AL48" s="702">
        <f t="shared" si="4"/>
        <v>98913.218655552424</v>
      </c>
      <c r="AM48" s="165" t="str">
        <f t="shared" si="6"/>
        <v/>
      </c>
      <c r="AN48" s="41" t="str">
        <f t="shared" si="6"/>
        <v/>
      </c>
      <c r="AO48" s="42" t="str">
        <f t="shared" si="6"/>
        <v/>
      </c>
      <c r="AP48" s="41" t="str">
        <f t="shared" si="6"/>
        <v/>
      </c>
      <c r="AQ48" s="126" t="s">
        <v>180</v>
      </c>
    </row>
    <row r="49" spans="1:44" ht="28.8" x14ac:dyDescent="0.3">
      <c r="A49" s="5"/>
      <c r="B49" s="37">
        <v>2050</v>
      </c>
      <c r="C49" s="751">
        <v>457153615.6940248</v>
      </c>
      <c r="D49" s="159"/>
      <c r="E49" s="156"/>
      <c r="F49" s="751">
        <v>448078077.95599443</v>
      </c>
      <c r="G49" s="155"/>
      <c r="H49" s="156"/>
      <c r="I49" s="751">
        <v>185195707.30375123</v>
      </c>
      <c r="J49" s="155"/>
      <c r="K49" s="41"/>
      <c r="L49" s="42"/>
      <c r="M49" s="41"/>
      <c r="N49" s="126" t="s">
        <v>181</v>
      </c>
      <c r="AE49" s="37">
        <v>2050</v>
      </c>
      <c r="AF49" s="702">
        <f t="shared" si="2"/>
        <v>246843.20501837193</v>
      </c>
      <c r="AG49" s="169" t="str">
        <f t="shared" si="6"/>
        <v/>
      </c>
      <c r="AH49" s="166" t="str">
        <f t="shared" si="6"/>
        <v/>
      </c>
      <c r="AI49" s="702">
        <f t="shared" si="3"/>
        <v>241942.80667170326</v>
      </c>
      <c r="AJ49" s="165" t="str">
        <f t="shared" si="6"/>
        <v/>
      </c>
      <c r="AK49" s="166" t="str">
        <f t="shared" si="6"/>
        <v/>
      </c>
      <c r="AL49" s="702">
        <f t="shared" si="4"/>
        <v>99997.682129455308</v>
      </c>
      <c r="AM49" s="165" t="str">
        <f t="shared" si="6"/>
        <v/>
      </c>
      <c r="AN49" s="41" t="str">
        <f t="shared" si="6"/>
        <v/>
      </c>
      <c r="AO49" s="42" t="str">
        <f t="shared" si="6"/>
        <v/>
      </c>
      <c r="AP49" s="41" t="str">
        <f t="shared" si="6"/>
        <v/>
      </c>
      <c r="AQ49" s="126" t="s">
        <v>180</v>
      </c>
    </row>
    <row r="50" spans="1:44" ht="28.8" x14ac:dyDescent="0.3">
      <c r="A50" s="5"/>
      <c r="B50" s="37">
        <v>2051</v>
      </c>
      <c r="C50" s="751">
        <v>477486471.70434684</v>
      </c>
      <c r="D50" s="159"/>
      <c r="E50" s="156"/>
      <c r="F50" s="751">
        <v>467833574.58308142</v>
      </c>
      <c r="G50" s="155"/>
      <c r="H50" s="156"/>
      <c r="I50" s="751">
        <v>186345886.4126054</v>
      </c>
      <c r="J50" s="155"/>
      <c r="K50" s="41"/>
      <c r="L50" s="42"/>
      <c r="M50" s="41"/>
      <c r="N50" s="126" t="s">
        <v>181</v>
      </c>
      <c r="AE50" s="37">
        <v>2051</v>
      </c>
      <c r="AF50" s="702">
        <f t="shared" si="2"/>
        <v>257822.0689548309</v>
      </c>
      <c r="AG50" s="169" t="str">
        <f t="shared" si="6"/>
        <v/>
      </c>
      <c r="AH50" s="166" t="str">
        <f t="shared" si="6"/>
        <v/>
      </c>
      <c r="AI50" s="702">
        <f t="shared" si="3"/>
        <v>252609.92148114549</v>
      </c>
      <c r="AJ50" s="165" t="str">
        <f t="shared" si="6"/>
        <v/>
      </c>
      <c r="AK50" s="166" t="str">
        <f t="shared" si="6"/>
        <v/>
      </c>
      <c r="AL50" s="702">
        <f t="shared" si="4"/>
        <v>100618.72916447376</v>
      </c>
      <c r="AM50" s="165" t="str">
        <f t="shared" si="6"/>
        <v/>
      </c>
      <c r="AN50" s="41" t="str">
        <f t="shared" si="6"/>
        <v/>
      </c>
      <c r="AO50" s="42" t="str">
        <f t="shared" si="6"/>
        <v/>
      </c>
      <c r="AP50" s="41" t="str">
        <f t="shared" si="6"/>
        <v/>
      </c>
      <c r="AQ50" s="126" t="s">
        <v>180</v>
      </c>
    </row>
    <row r="51" spans="1:44" ht="28.8" x14ac:dyDescent="0.3">
      <c r="A51" s="5"/>
      <c r="B51" s="37">
        <v>2052</v>
      </c>
      <c r="C51" s="751">
        <v>498445785.10352683</v>
      </c>
      <c r="D51" s="159"/>
      <c r="E51" s="156"/>
      <c r="F51" s="751">
        <v>488243665.25223434</v>
      </c>
      <c r="G51" s="155"/>
      <c r="H51" s="156"/>
      <c r="I51" s="751">
        <v>188010385.8841233</v>
      </c>
      <c r="J51" s="155"/>
      <c r="K51" s="41"/>
      <c r="L51" s="42"/>
      <c r="M51" s="41"/>
      <c r="N51" s="126" t="s">
        <v>181</v>
      </c>
      <c r="AE51" s="37">
        <v>2052</v>
      </c>
      <c r="AF51" s="702">
        <f t="shared" si="2"/>
        <v>269139.19282047887</v>
      </c>
      <c r="AG51" s="169" t="str">
        <f t="shared" si="6"/>
        <v/>
      </c>
      <c r="AH51" s="166" t="str">
        <f t="shared" si="6"/>
        <v/>
      </c>
      <c r="AI51" s="702">
        <f t="shared" si="3"/>
        <v>263630.48879710276</v>
      </c>
      <c r="AJ51" s="165" t="str">
        <f t="shared" si="6"/>
        <v/>
      </c>
      <c r="AK51" s="166" t="str">
        <f t="shared" si="6"/>
        <v/>
      </c>
      <c r="AL51" s="702">
        <f t="shared" si="4"/>
        <v>101517.4869784683</v>
      </c>
      <c r="AM51" s="165" t="str">
        <f t="shared" si="6"/>
        <v/>
      </c>
      <c r="AN51" s="41" t="str">
        <f t="shared" si="6"/>
        <v/>
      </c>
      <c r="AO51" s="42" t="str">
        <f t="shared" si="6"/>
        <v/>
      </c>
      <c r="AP51" s="41" t="str">
        <f t="shared" si="6"/>
        <v/>
      </c>
      <c r="AQ51" s="126" t="s">
        <v>180</v>
      </c>
    </row>
    <row r="52" spans="1:44" ht="28.8" x14ac:dyDescent="0.3">
      <c r="A52" s="5"/>
      <c r="B52" s="37">
        <v>2053</v>
      </c>
      <c r="C52" s="751">
        <v>520253305.07133967</v>
      </c>
      <c r="D52" s="159"/>
      <c r="E52" s="156"/>
      <c r="F52" s="751">
        <v>509473404.35726798</v>
      </c>
      <c r="G52" s="155"/>
      <c r="H52" s="156"/>
      <c r="I52" s="751">
        <v>189738748.72821519</v>
      </c>
      <c r="J52" s="155"/>
      <c r="K52" s="41"/>
      <c r="L52" s="42"/>
      <c r="M52" s="41"/>
      <c r="N52" s="126" t="s">
        <v>181</v>
      </c>
      <c r="AE52" s="37">
        <v>2053</v>
      </c>
      <c r="AF52" s="702">
        <f t="shared" si="2"/>
        <v>280914.31159359595</v>
      </c>
      <c r="AG52" s="169" t="str">
        <f t="shared" si="6"/>
        <v/>
      </c>
      <c r="AH52" s="166" t="str">
        <f t="shared" si="6"/>
        <v/>
      </c>
      <c r="AI52" s="702">
        <f t="shared" si="3"/>
        <v>275093.6308624557</v>
      </c>
      <c r="AJ52" s="165" t="str">
        <f t="shared" si="6"/>
        <v/>
      </c>
      <c r="AK52" s="166" t="str">
        <f t="shared" si="6"/>
        <v/>
      </c>
      <c r="AL52" s="702">
        <f t="shared" si="4"/>
        <v>102450.72825497581</v>
      </c>
      <c r="AM52" s="165" t="str">
        <f t="shared" si="6"/>
        <v/>
      </c>
      <c r="AN52" s="41" t="str">
        <f t="shared" si="6"/>
        <v/>
      </c>
      <c r="AO52" s="42" t="str">
        <f t="shared" si="6"/>
        <v/>
      </c>
      <c r="AP52" s="41" t="str">
        <f t="shared" si="6"/>
        <v/>
      </c>
      <c r="AQ52" s="126" t="s">
        <v>180</v>
      </c>
    </row>
    <row r="53" spans="1:44" ht="28.8" x14ac:dyDescent="0.3">
      <c r="A53" s="5"/>
      <c r="B53" s="37">
        <v>2054</v>
      </c>
      <c r="C53" s="751">
        <v>542926025.0959208</v>
      </c>
      <c r="D53" s="159"/>
      <c r="E53" s="156"/>
      <c r="F53" s="751">
        <v>531539149.68724555</v>
      </c>
      <c r="G53" s="155"/>
      <c r="H53" s="156"/>
      <c r="I53" s="751">
        <v>191536229.89841321</v>
      </c>
      <c r="J53" s="155"/>
      <c r="K53" s="41"/>
      <c r="L53" s="42"/>
      <c r="M53" s="41"/>
      <c r="N53" s="126" t="s">
        <v>181</v>
      </c>
      <c r="AE53" s="37">
        <v>2054</v>
      </c>
      <c r="AF53" s="702">
        <f t="shared" si="2"/>
        <v>293156.60102371534</v>
      </c>
      <c r="AG53" s="169" t="str">
        <f t="shared" si="6"/>
        <v/>
      </c>
      <c r="AH53" s="166" t="str">
        <f t="shared" si="6"/>
        <v/>
      </c>
      <c r="AI53" s="702">
        <f t="shared" si="3"/>
        <v>287008.18017669849</v>
      </c>
      <c r="AJ53" s="165" t="str">
        <f t="shared" si="6"/>
        <v/>
      </c>
      <c r="AK53" s="166" t="str">
        <f t="shared" si="6"/>
        <v/>
      </c>
      <c r="AL53" s="702">
        <f t="shared" si="4"/>
        <v>103421.29044190778</v>
      </c>
      <c r="AM53" s="165" t="str">
        <f t="shared" si="6"/>
        <v/>
      </c>
      <c r="AN53" s="41" t="str">
        <f t="shared" si="6"/>
        <v/>
      </c>
      <c r="AO53" s="42" t="str">
        <f t="shared" si="6"/>
        <v/>
      </c>
      <c r="AP53" s="41" t="str">
        <f t="shared" si="6"/>
        <v/>
      </c>
      <c r="AQ53" s="126" t="s">
        <v>180</v>
      </c>
    </row>
    <row r="54" spans="1:44" ht="28.8" x14ac:dyDescent="0.3">
      <c r="A54" s="5"/>
      <c r="B54" s="37">
        <v>2055</v>
      </c>
      <c r="C54" s="751">
        <v>566480741.25414598</v>
      </c>
      <c r="D54" s="159"/>
      <c r="E54" s="156"/>
      <c r="F54" s="751">
        <v>554457044.15804398</v>
      </c>
      <c r="G54" s="155"/>
      <c r="H54" s="156"/>
      <c r="I54" s="751">
        <v>193408056.05282468</v>
      </c>
      <c r="J54" s="155"/>
      <c r="K54" s="41"/>
      <c r="L54" s="42"/>
      <c r="M54" s="41"/>
      <c r="N54" s="126" t="s">
        <v>181</v>
      </c>
      <c r="AE54" s="37">
        <v>2055</v>
      </c>
      <c r="AF54" s="702">
        <f t="shared" si="2"/>
        <v>305875.13026681746</v>
      </c>
      <c r="AG54" s="169" t="str">
        <f t="shared" si="6"/>
        <v/>
      </c>
      <c r="AH54" s="166" t="str">
        <f t="shared" si="6"/>
        <v/>
      </c>
      <c r="AI54" s="702">
        <f t="shared" si="3"/>
        <v>299382.85321708641</v>
      </c>
      <c r="AJ54" s="165" t="str">
        <f t="shared" si="6"/>
        <v/>
      </c>
      <c r="AK54" s="166" t="str">
        <f t="shared" si="6"/>
        <v/>
      </c>
      <c r="AL54" s="702">
        <f t="shared" si="4"/>
        <v>104431.99570886862</v>
      </c>
      <c r="AM54" s="165" t="str">
        <f t="shared" si="6"/>
        <v/>
      </c>
      <c r="AN54" s="41" t="str">
        <f t="shared" si="6"/>
        <v/>
      </c>
      <c r="AO54" s="42" t="str">
        <f t="shared" si="6"/>
        <v/>
      </c>
      <c r="AP54" s="41" t="str">
        <f t="shared" si="6"/>
        <v/>
      </c>
      <c r="AQ54" s="126" t="s">
        <v>180</v>
      </c>
    </row>
    <row r="55" spans="1:44" ht="28.8" x14ac:dyDescent="0.3">
      <c r="A55" s="5"/>
      <c r="B55" s="37">
        <v>2056</v>
      </c>
      <c r="C55" s="751">
        <v>590934106.64413559</v>
      </c>
      <c r="D55" s="159"/>
      <c r="E55" s="156"/>
      <c r="F55" s="751">
        <v>578243048.21170115</v>
      </c>
      <c r="G55" s="155"/>
      <c r="H55" s="156"/>
      <c r="I55" s="751">
        <v>195359412.70629773</v>
      </c>
      <c r="J55" s="155"/>
      <c r="K55" s="41"/>
      <c r="L55" s="42"/>
      <c r="M55" s="41"/>
      <c r="N55" s="126" t="s">
        <v>181</v>
      </c>
      <c r="AE55" s="37">
        <v>2056</v>
      </c>
      <c r="AF55" s="702">
        <f t="shared" si="2"/>
        <v>319078.8912765311</v>
      </c>
      <c r="AG55" s="169" t="str">
        <f t="shared" si="6"/>
        <v/>
      </c>
      <c r="AH55" s="166" t="str">
        <f t="shared" si="6"/>
        <v/>
      </c>
      <c r="AI55" s="702">
        <f t="shared" si="3"/>
        <v>312226.26793288399</v>
      </c>
      <c r="AJ55" s="165" t="str">
        <f t="shared" si="6"/>
        <v/>
      </c>
      <c r="AK55" s="166" t="str">
        <f t="shared" si="6"/>
        <v/>
      </c>
      <c r="AL55" s="702">
        <f t="shared" si="4"/>
        <v>105485.64400987998</v>
      </c>
      <c r="AM55" s="165" t="str">
        <f t="shared" si="6"/>
        <v/>
      </c>
      <c r="AN55" s="41" t="str">
        <f t="shared" si="6"/>
        <v/>
      </c>
      <c r="AO55" s="42" t="str">
        <f t="shared" si="6"/>
        <v/>
      </c>
      <c r="AP55" s="41" t="str">
        <f t="shared" si="6"/>
        <v/>
      </c>
      <c r="AQ55" s="126" t="s">
        <v>180</v>
      </c>
    </row>
    <row r="56" spans="1:44" ht="28.8" x14ac:dyDescent="0.3">
      <c r="A56" s="5"/>
      <c r="B56" s="37">
        <v>2057</v>
      </c>
      <c r="C56" s="751">
        <v>616302672.07732093</v>
      </c>
      <c r="D56" s="159"/>
      <c r="E56" s="156"/>
      <c r="F56" s="751">
        <v>602912980.1711508</v>
      </c>
      <c r="G56" s="155"/>
      <c r="H56" s="156"/>
      <c r="I56" s="751">
        <v>197395467.38337287</v>
      </c>
      <c r="J56" s="155"/>
      <c r="K56" s="41"/>
      <c r="L56" s="42"/>
      <c r="M56" s="41"/>
      <c r="N56" s="126" t="s">
        <v>181</v>
      </c>
      <c r="AE56" s="37">
        <v>2057</v>
      </c>
      <c r="AF56" s="702">
        <f t="shared" si="2"/>
        <v>332776.82077609119</v>
      </c>
      <c r="AG56" s="169" t="str">
        <f t="shared" si="6"/>
        <v/>
      </c>
      <c r="AH56" s="166" t="str">
        <f t="shared" si="6"/>
        <v/>
      </c>
      <c r="AI56" s="702">
        <f t="shared" si="3"/>
        <v>325546.96553517861</v>
      </c>
      <c r="AJ56" s="165" t="str">
        <f t="shared" si="6"/>
        <v/>
      </c>
      <c r="AK56" s="166" t="str">
        <f t="shared" si="6"/>
        <v/>
      </c>
      <c r="AL56" s="702">
        <f t="shared" si="4"/>
        <v>106585.02558497456</v>
      </c>
      <c r="AM56" s="165" t="str">
        <f t="shared" si="6"/>
        <v/>
      </c>
      <c r="AN56" s="41" t="str">
        <f t="shared" si="6"/>
        <v/>
      </c>
      <c r="AO56" s="42" t="str">
        <f t="shared" si="6"/>
        <v/>
      </c>
      <c r="AP56" s="41" t="str">
        <f t="shared" si="6"/>
        <v/>
      </c>
      <c r="AQ56" s="126" t="s">
        <v>180</v>
      </c>
    </row>
    <row r="57" spans="1:44" ht="28.8" x14ac:dyDescent="0.3">
      <c r="A57" s="5"/>
      <c r="B57" s="37">
        <v>2058</v>
      </c>
      <c r="C57" s="751">
        <v>642602912.20113075</v>
      </c>
      <c r="D57" s="159"/>
      <c r="E57" s="156"/>
      <c r="F57" s="751">
        <v>628482575.51310384</v>
      </c>
      <c r="G57" s="155"/>
      <c r="H57" s="156"/>
      <c r="I57" s="751">
        <v>199521404.68614545</v>
      </c>
      <c r="J57" s="155"/>
      <c r="K57" s="41"/>
      <c r="L57" s="42"/>
      <c r="M57" s="41"/>
      <c r="N57" s="126" t="s">
        <v>181</v>
      </c>
      <c r="AE57" s="37">
        <v>2058</v>
      </c>
      <c r="AF57" s="702">
        <f t="shared" si="2"/>
        <v>346977.81436346151</v>
      </c>
      <c r="AG57" s="169" t="str">
        <f t="shared" si="6"/>
        <v/>
      </c>
      <c r="AH57" s="166" t="str">
        <f t="shared" si="6"/>
        <v/>
      </c>
      <c r="AI57" s="702">
        <f t="shared" si="3"/>
        <v>339353.44250167592</v>
      </c>
      <c r="AJ57" s="165" t="str">
        <f t="shared" si="6"/>
        <v/>
      </c>
      <c r="AK57" s="166" t="str">
        <f t="shared" si="6"/>
        <v/>
      </c>
      <c r="AL57" s="702">
        <f t="shared" si="4"/>
        <v>107732.93989532693</v>
      </c>
      <c r="AM57" s="165" t="str">
        <f t="shared" si="6"/>
        <v/>
      </c>
      <c r="AN57" s="41" t="str">
        <f t="shared" si="6"/>
        <v/>
      </c>
      <c r="AO57" s="42" t="str">
        <f t="shared" si="6"/>
        <v/>
      </c>
      <c r="AP57" s="41" t="str">
        <f t="shared" si="6"/>
        <v/>
      </c>
      <c r="AQ57" s="126" t="s">
        <v>180</v>
      </c>
    </row>
    <row r="58" spans="1:44" ht="29.4" x14ac:dyDescent="0.35">
      <c r="A58" s="5"/>
      <c r="B58" s="37">
        <v>2059</v>
      </c>
      <c r="C58" s="751">
        <v>669851232.07864487</v>
      </c>
      <c r="D58" s="159"/>
      <c r="E58" s="156"/>
      <c r="F58" s="751">
        <v>654967479.4400034</v>
      </c>
      <c r="G58" s="155"/>
      <c r="H58" s="156"/>
      <c r="I58" s="751">
        <v>201742401.77459046</v>
      </c>
      <c r="J58" s="155"/>
      <c r="K58" s="41"/>
      <c r="L58" s="42"/>
      <c r="M58" s="41"/>
      <c r="N58" s="126" t="s">
        <v>181</v>
      </c>
      <c r="AE58" s="37">
        <v>2059</v>
      </c>
      <c r="AF58" s="702">
        <f t="shared" si="2"/>
        <v>361690.7300640631</v>
      </c>
      <c r="AG58" s="169" t="str">
        <f t="shared" si="6"/>
        <v/>
      </c>
      <c r="AH58" s="166" t="str">
        <f t="shared" si="6"/>
        <v/>
      </c>
      <c r="AI58" s="702">
        <f t="shared" si="3"/>
        <v>353654.14656587655</v>
      </c>
      <c r="AJ58" s="165" t="str">
        <f t="shared" si="6"/>
        <v/>
      </c>
      <c r="AK58" s="166" t="str">
        <f t="shared" si="6"/>
        <v/>
      </c>
      <c r="AL58" s="702">
        <f t="shared" si="4"/>
        <v>108932.18238368815</v>
      </c>
      <c r="AM58" s="165" t="str">
        <f t="shared" si="6"/>
        <v/>
      </c>
      <c r="AN58" s="41" t="str">
        <f t="shared" si="6"/>
        <v/>
      </c>
      <c r="AO58" s="42" t="str">
        <f t="shared" si="6"/>
        <v/>
      </c>
      <c r="AP58" s="41" t="str">
        <f t="shared" si="6"/>
        <v/>
      </c>
      <c r="AQ58" s="126" t="s">
        <v>180</v>
      </c>
      <c r="AR58" s="248" t="s">
        <v>246</v>
      </c>
    </row>
    <row r="59" spans="1:44" ht="25.05" customHeight="1" thickBot="1" x14ac:dyDescent="0.35">
      <c r="A59" s="5"/>
      <c r="B59" s="37">
        <v>2060</v>
      </c>
      <c r="C59" s="751">
        <v>698063819.62390327</v>
      </c>
      <c r="D59" s="159"/>
      <c r="E59" s="156"/>
      <c r="F59" s="751">
        <v>682383128.32053828</v>
      </c>
      <c r="G59" s="155"/>
      <c r="H59" s="156"/>
      <c r="I59" s="751">
        <v>204063584.66265363</v>
      </c>
      <c r="J59" s="155"/>
      <c r="K59" s="41"/>
      <c r="L59" s="42"/>
      <c r="M59" s="63"/>
      <c r="N59" s="126" t="s">
        <v>181</v>
      </c>
      <c r="AE59" s="37">
        <v>2060</v>
      </c>
      <c r="AF59" s="702">
        <f t="shared" si="2"/>
        <v>376924.30865221558</v>
      </c>
      <c r="AG59" s="169" t="str">
        <f t="shared" ref="AG59:AP59" si="7">IF(D59&lt;&gt;"",D59*10^9,"")</f>
        <v/>
      </c>
      <c r="AH59" s="166" t="str">
        <f t="shared" si="7"/>
        <v/>
      </c>
      <c r="AI59" s="702">
        <f t="shared" si="3"/>
        <v>368457.41270007467</v>
      </c>
      <c r="AJ59" s="165" t="str">
        <f t="shared" si="7"/>
        <v/>
      </c>
      <c r="AK59" s="166" t="str">
        <f t="shared" si="7"/>
        <v/>
      </c>
      <c r="AL59" s="702">
        <f t="shared" si="4"/>
        <v>110185.52087616286</v>
      </c>
      <c r="AM59" s="165" t="str">
        <f t="shared" si="7"/>
        <v/>
      </c>
      <c r="AN59" s="41" t="str">
        <f t="shared" si="7"/>
        <v/>
      </c>
      <c r="AO59" s="42" t="str">
        <f t="shared" si="7"/>
        <v/>
      </c>
      <c r="AP59" s="63" t="str">
        <f t="shared" si="7"/>
        <v/>
      </c>
      <c r="AQ59" s="126" t="s">
        <v>180</v>
      </c>
    </row>
    <row r="60" spans="1:44" ht="14.4" x14ac:dyDescent="0.3">
      <c r="A60" s="5"/>
      <c r="B60" s="5"/>
      <c r="C60" s="5"/>
      <c r="D60" s="5"/>
      <c r="E60" s="5"/>
      <c r="F60" s="5"/>
      <c r="G60" s="5"/>
      <c r="H60" s="5"/>
      <c r="I60" s="5"/>
      <c r="J60" s="5"/>
      <c r="K60" s="5"/>
      <c r="L60" s="5"/>
      <c r="M60" s="5"/>
      <c r="N60" s="5"/>
      <c r="AF60" s="5"/>
      <c r="AG60" s="5"/>
      <c r="AH60" s="5"/>
      <c r="AI60" s="5"/>
      <c r="AJ60" s="5"/>
      <c r="AK60" s="5"/>
      <c r="AL60" s="5"/>
      <c r="AM60" s="5"/>
      <c r="AN60" s="5"/>
      <c r="AQ60" s="5"/>
    </row>
    <row r="61" spans="1:44" ht="18" x14ac:dyDescent="0.35">
      <c r="A61" s="5"/>
      <c r="B61" s="5"/>
      <c r="C61" s="5"/>
      <c r="D61" s="248" t="s">
        <v>246</v>
      </c>
      <c r="E61" s="5"/>
      <c r="F61" s="5"/>
      <c r="G61" s="5"/>
      <c r="H61" s="5"/>
      <c r="I61" s="5"/>
      <c r="J61" s="5"/>
      <c r="K61" s="5"/>
      <c r="L61" s="5"/>
      <c r="M61" s="5"/>
      <c r="N61" s="5"/>
      <c r="AF61" s="5"/>
      <c r="AG61" s="248" t="s">
        <v>246</v>
      </c>
      <c r="AH61" s="5"/>
      <c r="AI61" s="5"/>
      <c r="AJ61" s="5"/>
      <c r="AK61" s="5"/>
      <c r="AL61" s="5"/>
      <c r="AM61" s="5"/>
      <c r="AN61" s="5"/>
      <c r="AQ61" s="5"/>
    </row>
    <row r="62" spans="1:44" ht="14.4" x14ac:dyDescent="0.3">
      <c r="A62" s="5"/>
      <c r="B62" s="5"/>
      <c r="C62" s="5"/>
      <c r="D62" s="5"/>
      <c r="E62" s="5"/>
      <c r="F62" s="5"/>
      <c r="G62" s="5"/>
      <c r="H62" s="5"/>
      <c r="I62" s="5"/>
      <c r="J62" s="5"/>
      <c r="K62" s="5"/>
      <c r="L62" s="5"/>
      <c r="M62" s="5"/>
      <c r="N62" s="5"/>
      <c r="AF62" s="5"/>
      <c r="AG62" s="5"/>
      <c r="AH62" s="5"/>
      <c r="AI62" s="5"/>
      <c r="AJ62" s="5"/>
      <c r="AK62" s="5"/>
      <c r="AL62" s="5"/>
      <c r="AM62" s="5"/>
      <c r="AN62" s="5"/>
      <c r="AQ62" s="5"/>
    </row>
    <row r="63" spans="1:44" ht="14.4" x14ac:dyDescent="0.3">
      <c r="A63" s="5"/>
      <c r="B63" s="5"/>
      <c r="C63" s="5"/>
      <c r="D63" s="5"/>
      <c r="E63" s="5"/>
      <c r="F63" s="5"/>
      <c r="G63" s="5"/>
      <c r="H63" s="5"/>
      <c r="I63" s="5"/>
      <c r="J63" s="5"/>
      <c r="K63" s="5"/>
      <c r="L63" s="5"/>
      <c r="M63" s="5"/>
      <c r="N63" s="5"/>
      <c r="AF63" s="5"/>
      <c r="AG63" s="5"/>
      <c r="AH63" s="5"/>
      <c r="AI63" s="5"/>
      <c r="AJ63" s="5"/>
      <c r="AK63" s="5"/>
      <c r="AL63" s="5"/>
      <c r="AM63" s="5"/>
      <c r="AN63" s="5"/>
      <c r="AQ63" s="5"/>
    </row>
    <row r="64" spans="1:44" ht="14.4" x14ac:dyDescent="0.3">
      <c r="A64" s="5"/>
      <c r="B64" s="5"/>
      <c r="C64" s="5"/>
      <c r="D64" s="5"/>
      <c r="E64" s="5"/>
      <c r="F64" s="5"/>
      <c r="G64" s="5"/>
      <c r="H64" s="5"/>
      <c r="I64" s="5"/>
      <c r="J64" s="5"/>
      <c r="K64" s="5"/>
      <c r="L64" s="5"/>
      <c r="M64" s="5"/>
      <c r="N64" s="5"/>
      <c r="AF64" s="5"/>
      <c r="AG64" s="5"/>
      <c r="AH64" s="5"/>
      <c r="AI64" s="5"/>
      <c r="AJ64" s="5"/>
      <c r="AK64" s="5"/>
      <c r="AL64" s="5"/>
      <c r="AM64" s="5"/>
      <c r="AN64" s="5"/>
      <c r="AQ64" s="5"/>
    </row>
    <row r="65" spans="1:47" ht="14.4" x14ac:dyDescent="0.3">
      <c r="A65" s="5"/>
      <c r="B65" s="5"/>
      <c r="C65" s="5"/>
      <c r="D65" s="5"/>
      <c r="E65" s="5"/>
      <c r="F65" s="5"/>
      <c r="G65" s="5"/>
      <c r="H65" s="5"/>
      <c r="I65" s="5"/>
      <c r="J65" s="5"/>
      <c r="K65" s="5"/>
      <c r="L65" s="5"/>
      <c r="M65" s="5"/>
      <c r="N65" s="5"/>
      <c r="AF65" s="5"/>
      <c r="AG65" s="5"/>
      <c r="AH65" s="5"/>
      <c r="AI65" s="5"/>
      <c r="AJ65" s="5"/>
      <c r="AK65" s="5"/>
      <c r="AL65" s="5"/>
      <c r="AM65" s="5"/>
      <c r="AN65" s="5"/>
      <c r="AQ65" s="5"/>
    </row>
    <row r="66" spans="1:47" ht="18.75" customHeight="1" x14ac:dyDescent="0.3">
      <c r="A66" s="673" t="s">
        <v>177</v>
      </c>
      <c r="B66" s="114"/>
      <c r="C66" s="114"/>
      <c r="D66" s="114"/>
      <c r="E66" s="114"/>
      <c r="F66" s="114"/>
      <c r="G66" s="114"/>
      <c r="H66" s="114"/>
      <c r="I66" s="114"/>
      <c r="J66" s="114"/>
      <c r="K66" s="114"/>
      <c r="L66" s="114"/>
      <c r="M66" s="114"/>
      <c r="N66" s="114"/>
      <c r="O66" s="667"/>
      <c r="P66" s="667"/>
      <c r="Q66" s="667"/>
      <c r="R66" s="667"/>
      <c r="S66" s="667"/>
      <c r="T66" s="667"/>
      <c r="U66" s="667"/>
      <c r="V66" s="667"/>
      <c r="W66" s="667"/>
      <c r="X66" s="667"/>
      <c r="Y66" s="667"/>
      <c r="Z66" s="667"/>
      <c r="AA66" s="667"/>
      <c r="AB66" s="667"/>
      <c r="AC66" s="667"/>
      <c r="AD66" s="667"/>
      <c r="AE66" s="667"/>
      <c r="AF66" s="673" t="s">
        <v>177</v>
      </c>
      <c r="AG66" s="114"/>
      <c r="AH66" s="114"/>
      <c r="AI66" s="114"/>
      <c r="AJ66" s="114"/>
      <c r="AK66" s="114"/>
      <c r="AL66" s="114"/>
      <c r="AM66" s="114"/>
      <c r="AN66" s="114"/>
      <c r="AO66" s="667"/>
      <c r="AP66" s="667"/>
      <c r="AQ66" s="114"/>
    </row>
    <row r="67" spans="1:47" ht="18" x14ac:dyDescent="0.35">
      <c r="A67" s="5"/>
      <c r="B67" s="5"/>
      <c r="C67" s="5"/>
      <c r="D67" s="5"/>
      <c r="E67" s="5"/>
      <c r="F67" s="5"/>
      <c r="G67" s="5"/>
      <c r="H67" s="5"/>
      <c r="I67" s="5"/>
      <c r="J67" s="5"/>
      <c r="K67" s="5"/>
      <c r="L67" s="5"/>
      <c r="M67" s="5"/>
      <c r="N67" s="5"/>
      <c r="AF67" s="131" t="s">
        <v>169</v>
      </c>
      <c r="AG67" s="5"/>
      <c r="AH67" s="5"/>
      <c r="AI67" s="5"/>
      <c r="AJ67" s="5"/>
      <c r="AK67" s="5"/>
      <c r="AL67" s="5"/>
      <c r="AM67" s="5"/>
      <c r="AN67" s="5"/>
      <c r="AQ67" s="5"/>
    </row>
    <row r="68" spans="1:47" ht="19.5" customHeight="1" thickBot="1" x14ac:dyDescent="0.35">
      <c r="A68" s="27" t="s">
        <v>32</v>
      </c>
      <c r="B68" s="5"/>
      <c r="C68" s="5"/>
      <c r="D68" s="5"/>
      <c r="E68" s="5"/>
      <c r="F68" s="5"/>
      <c r="G68" s="5"/>
      <c r="H68" s="5"/>
      <c r="I68" s="5"/>
      <c r="J68" s="5"/>
      <c r="K68" s="5"/>
      <c r="L68" s="5"/>
      <c r="M68" s="5"/>
      <c r="N68" s="5"/>
      <c r="AF68" s="5"/>
      <c r="AG68" s="5"/>
      <c r="AH68" s="5"/>
      <c r="AI68" s="5"/>
      <c r="AJ68" s="5"/>
      <c r="AK68" s="5"/>
      <c r="AL68" s="5"/>
      <c r="AM68" s="5"/>
      <c r="AN68" s="5"/>
      <c r="AQ68" s="5"/>
    </row>
    <row r="69" spans="1:47" ht="16.5" customHeight="1" thickBot="1" x14ac:dyDescent="0.35">
      <c r="A69" s="29" t="s">
        <v>33</v>
      </c>
      <c r="B69" s="5"/>
      <c r="C69" s="856" t="s">
        <v>34</v>
      </c>
      <c r="D69" s="857"/>
      <c r="E69" s="858"/>
      <c r="F69" s="859" t="s">
        <v>29</v>
      </c>
      <c r="G69" s="857"/>
      <c r="H69" s="858"/>
      <c r="I69" s="860" t="s">
        <v>35</v>
      </c>
      <c r="J69" s="857"/>
      <c r="K69" s="858"/>
      <c r="L69" s="861" t="s">
        <v>36</v>
      </c>
      <c r="M69" s="858"/>
      <c r="N69" s="5"/>
      <c r="AF69" s="856" t="s">
        <v>34</v>
      </c>
      <c r="AG69" s="857"/>
      <c r="AH69" s="858"/>
      <c r="AI69" s="859" t="s">
        <v>29</v>
      </c>
      <c r="AJ69" s="857"/>
      <c r="AK69" s="858"/>
      <c r="AL69" s="860" t="s">
        <v>35</v>
      </c>
      <c r="AM69" s="857"/>
      <c r="AN69" s="858"/>
      <c r="AO69" s="861" t="s">
        <v>36</v>
      </c>
      <c r="AP69" s="858"/>
      <c r="AQ69" s="5"/>
    </row>
    <row r="70" spans="1:47" ht="143.25" customHeight="1" thickBot="1" x14ac:dyDescent="0.35">
      <c r="A70" s="29" t="s">
        <v>37</v>
      </c>
      <c r="B70" s="5"/>
      <c r="C70" s="127" t="str">
        <f t="array" ref="C70:M70">TRANSPOSE(A71:A81)</f>
        <v>Based on Smith et al, 2014 (max scenario); Fig 82,83 Pg 159,160</v>
      </c>
      <c r="D70" s="128" t="str">
        <v>Based on Buhaug et al,2009 (max scenario) Table 7.4 pg 94</v>
      </c>
      <c r="E70" s="129" t="str">
        <v>Based on  RACE (max) Table 30 pg 126</v>
      </c>
      <c r="F70" s="127" t="str">
        <v>[Source 1 - Conservative]</v>
      </c>
      <c r="G70" s="128" t="str">
        <v>[Source 2 - Conservative]</v>
      </c>
      <c r="H70" s="129" t="str">
        <v>[Source 3 - Conservative]</v>
      </c>
      <c r="I70" s="127" t="str">
        <v>Based on Smith et al, 2014 (min BAU scenario); Fig 82,83 Pg 159,160</v>
      </c>
      <c r="J70" s="128" t="str">
        <v>Based on Buhaug et al,2009 (min BAU) Table 7.4 pg 94</v>
      </c>
      <c r="K70" s="129" t="str">
        <v>Based on RACE (min BAU) Table 30 pg 126</v>
      </c>
      <c r="L70" s="127" t="str">
        <v>OPRF study Pg 30 Appdx 1</v>
      </c>
      <c r="M70" s="129" t="str">
        <v>[Source 2 - Maximum]</v>
      </c>
      <c r="N70" s="130" t="s">
        <v>43</v>
      </c>
      <c r="AF70" s="127" t="str">
        <f t="shared" ref="AF70" si="8">C70</f>
        <v>Based on Smith et al, 2014 (max scenario); Fig 82,83 Pg 159,160</v>
      </c>
      <c r="AG70" s="128" t="str">
        <f t="shared" ref="AG70" si="9">D70</f>
        <v>Based on Buhaug et al,2009 (max scenario) Table 7.4 pg 94</v>
      </c>
      <c r="AH70" s="129" t="str">
        <f t="shared" ref="AH70" si="10">E70</f>
        <v>Based on  RACE (max) Table 30 pg 126</v>
      </c>
      <c r="AI70" s="127" t="str">
        <f t="shared" ref="AI70" si="11">F70</f>
        <v>[Source 1 - Conservative]</v>
      </c>
      <c r="AJ70" s="128" t="str">
        <f t="shared" ref="AJ70" si="12">G70</f>
        <v>[Source 2 - Conservative]</v>
      </c>
      <c r="AK70" s="129" t="str">
        <f t="shared" ref="AK70" si="13">H70</f>
        <v>[Source 3 - Conservative]</v>
      </c>
      <c r="AL70" s="127" t="str">
        <f t="shared" ref="AL70" si="14">I70</f>
        <v>Based on Smith et al, 2014 (min BAU scenario); Fig 82,83 Pg 159,160</v>
      </c>
      <c r="AM70" s="128" t="str">
        <f t="shared" ref="AM70" si="15">J70</f>
        <v>Based on Buhaug et al,2009 (min BAU) Table 7.4 pg 94</v>
      </c>
      <c r="AN70" s="129" t="str">
        <f t="shared" ref="AN70" si="16">K70</f>
        <v>Based on RACE (min BAU) Table 30 pg 126</v>
      </c>
      <c r="AO70" s="127" t="str">
        <f t="shared" ref="AO70" si="17">L70</f>
        <v>OPRF study Pg 30 Appdx 1</v>
      </c>
      <c r="AP70" s="129" t="str">
        <f t="shared" ref="AP70" si="18">M70</f>
        <v>[Source 2 - Maximum]</v>
      </c>
      <c r="AQ70" s="130" t="s">
        <v>43</v>
      </c>
    </row>
    <row r="71" spans="1:47" ht="30" customHeight="1" x14ac:dyDescent="0.3">
      <c r="A71" s="152" t="s">
        <v>170</v>
      </c>
      <c r="B71" s="37">
        <v>2012</v>
      </c>
      <c r="C71" s="687">
        <f>AF71*1852</f>
        <v>90496128</v>
      </c>
      <c r="D71" s="688">
        <f t="shared" ref="D71:L86" si="19">AG71*1852</f>
        <v>90496128</v>
      </c>
      <c r="E71" s="689">
        <f t="shared" si="19"/>
        <v>90496128</v>
      </c>
      <c r="F71" s="139"/>
      <c r="G71" s="140"/>
      <c r="H71" s="141"/>
      <c r="I71" s="687">
        <f t="shared" si="19"/>
        <v>90496128</v>
      </c>
      <c r="J71" s="688">
        <f t="shared" si="19"/>
        <v>90496128</v>
      </c>
      <c r="K71" s="694">
        <f t="shared" si="19"/>
        <v>90496128</v>
      </c>
      <c r="L71" s="695">
        <f t="shared" si="19"/>
        <v>90496128</v>
      </c>
      <c r="M71" s="142"/>
      <c r="N71" s="126" t="s">
        <v>139</v>
      </c>
      <c r="AE71" s="37">
        <v>2012</v>
      </c>
      <c r="AF71" s="668">
        <v>48864</v>
      </c>
      <c r="AG71" s="669">
        <v>48864</v>
      </c>
      <c r="AH71" s="670">
        <v>48864</v>
      </c>
      <c r="AI71" s="164"/>
      <c r="AJ71" s="165"/>
      <c r="AK71" s="166"/>
      <c r="AL71" s="668">
        <v>48864</v>
      </c>
      <c r="AM71" s="669">
        <v>48864</v>
      </c>
      <c r="AN71" s="670">
        <v>48864</v>
      </c>
      <c r="AO71" s="668">
        <v>48864</v>
      </c>
      <c r="AP71" s="41"/>
      <c r="AQ71" s="126" t="s">
        <v>180</v>
      </c>
    </row>
    <row r="72" spans="1:47" ht="45" customHeight="1" x14ac:dyDescent="0.3">
      <c r="A72" s="153" t="s">
        <v>171</v>
      </c>
      <c r="B72" s="37">
        <v>2013</v>
      </c>
      <c r="C72" s="687">
        <f t="shared" ref="C72:C119" si="20">AF72*1852</f>
        <v>93507480</v>
      </c>
      <c r="D72" s="688">
        <f t="shared" si="19"/>
        <v>93507480</v>
      </c>
      <c r="E72" s="689">
        <f t="shared" si="19"/>
        <v>93507480</v>
      </c>
      <c r="F72" s="139"/>
      <c r="G72" s="140"/>
      <c r="H72" s="141"/>
      <c r="I72" s="687">
        <f t="shared" si="19"/>
        <v>93507480</v>
      </c>
      <c r="J72" s="688">
        <f t="shared" si="19"/>
        <v>93507480</v>
      </c>
      <c r="K72" s="694">
        <f t="shared" si="19"/>
        <v>93507480</v>
      </c>
      <c r="L72" s="695">
        <f t="shared" si="19"/>
        <v>93507480</v>
      </c>
      <c r="M72" s="142"/>
      <c r="N72" s="126" t="s">
        <v>139</v>
      </c>
      <c r="AE72" s="37">
        <v>2013</v>
      </c>
      <c r="AF72" s="668">
        <v>50490</v>
      </c>
      <c r="AG72" s="669">
        <v>50490</v>
      </c>
      <c r="AH72" s="670">
        <v>50490</v>
      </c>
      <c r="AI72" s="164"/>
      <c r="AJ72" s="165"/>
      <c r="AK72" s="166"/>
      <c r="AL72" s="668">
        <v>50490</v>
      </c>
      <c r="AM72" s="669">
        <v>50490</v>
      </c>
      <c r="AN72" s="670">
        <v>50490</v>
      </c>
      <c r="AO72" s="668">
        <v>50490</v>
      </c>
      <c r="AP72" s="41"/>
      <c r="AQ72" s="126" t="s">
        <v>180</v>
      </c>
      <c r="AS72" s="893" t="s">
        <v>701</v>
      </c>
      <c r="AT72" s="893"/>
      <c r="AU72" s="893"/>
    </row>
    <row r="73" spans="1:47" ht="15.75" customHeight="1" thickBot="1" x14ac:dyDescent="0.35">
      <c r="A73" s="154" t="s">
        <v>172</v>
      </c>
      <c r="B73" s="37">
        <v>2014</v>
      </c>
      <c r="C73" s="687">
        <f t="shared" si="20"/>
        <v>98076286.816817805</v>
      </c>
      <c r="D73" s="690">
        <f t="shared" si="19"/>
        <v>98076286.816817805</v>
      </c>
      <c r="E73" s="691">
        <f t="shared" si="19"/>
        <v>98076286.816817805</v>
      </c>
      <c r="F73" s="145"/>
      <c r="G73" s="143"/>
      <c r="H73" s="144"/>
      <c r="I73" s="696">
        <f t="shared" si="19"/>
        <v>98076286.816817805</v>
      </c>
      <c r="J73" s="690">
        <f t="shared" si="19"/>
        <v>98076286.816817805</v>
      </c>
      <c r="K73" s="697">
        <f t="shared" si="19"/>
        <v>98076286.816817805</v>
      </c>
      <c r="L73" s="698">
        <f t="shared" si="19"/>
        <v>98076286.816817805</v>
      </c>
      <c r="M73" s="146"/>
      <c r="N73" s="126" t="s">
        <v>139</v>
      </c>
      <c r="AE73" s="37">
        <v>2014</v>
      </c>
      <c r="AF73" s="671">
        <v>52956.95832441566</v>
      </c>
      <c r="AG73" s="669">
        <v>52956.95832441566</v>
      </c>
      <c r="AH73" s="672">
        <v>52956.95832441566</v>
      </c>
      <c r="AI73" s="164"/>
      <c r="AJ73" s="167"/>
      <c r="AK73" s="168"/>
      <c r="AL73" s="671">
        <v>52956.95832441566</v>
      </c>
      <c r="AM73" s="669">
        <v>52956.95832441566</v>
      </c>
      <c r="AN73" s="672">
        <v>52956.95832441566</v>
      </c>
      <c r="AO73" s="671">
        <v>52956.95832441566</v>
      </c>
      <c r="AP73" s="49"/>
      <c r="AQ73" s="126" t="s">
        <v>180</v>
      </c>
      <c r="AS73" s="893"/>
      <c r="AT73" s="893"/>
      <c r="AU73" s="893"/>
    </row>
    <row r="74" spans="1:47" ht="30" customHeight="1" x14ac:dyDescent="0.3">
      <c r="A74" s="152" t="s">
        <v>173</v>
      </c>
      <c r="B74" s="37">
        <v>2015</v>
      </c>
      <c r="C74" s="687">
        <f t="shared" si="20"/>
        <v>98986429.075727418</v>
      </c>
      <c r="D74" s="688">
        <f t="shared" si="19"/>
        <v>98986429.075727418</v>
      </c>
      <c r="E74" s="689">
        <f t="shared" si="19"/>
        <v>98986429.075727418</v>
      </c>
      <c r="F74" s="139"/>
      <c r="G74" s="140"/>
      <c r="H74" s="141"/>
      <c r="I74" s="687">
        <f t="shared" si="19"/>
        <v>98986429.075727418</v>
      </c>
      <c r="J74" s="688">
        <f t="shared" si="19"/>
        <v>98986429.075727418</v>
      </c>
      <c r="K74" s="694">
        <f t="shared" si="19"/>
        <v>98986429.075727418</v>
      </c>
      <c r="L74" s="695">
        <f t="shared" si="19"/>
        <v>98986429.075727418</v>
      </c>
      <c r="M74" s="142"/>
      <c r="N74" s="126" t="s">
        <v>139</v>
      </c>
      <c r="AE74" s="37">
        <v>2015</v>
      </c>
      <c r="AF74" s="668">
        <v>53448.395829226465</v>
      </c>
      <c r="AG74" s="669">
        <v>53448.395829226465</v>
      </c>
      <c r="AH74" s="670">
        <v>53448.395829226465</v>
      </c>
      <c r="AI74" s="164"/>
      <c r="AJ74" s="165"/>
      <c r="AK74" s="166"/>
      <c r="AL74" s="668">
        <v>53448.395829226465</v>
      </c>
      <c r="AM74" s="669">
        <v>53448.395829226465</v>
      </c>
      <c r="AN74" s="670">
        <v>53448.395829226465</v>
      </c>
      <c r="AO74" s="668">
        <v>53448.395829226465</v>
      </c>
      <c r="AP74" s="41"/>
      <c r="AQ74" s="126" t="s">
        <v>180</v>
      </c>
      <c r="AS74" s="893"/>
      <c r="AT74" s="893"/>
      <c r="AU74" s="893"/>
    </row>
    <row r="75" spans="1:47" ht="28.8" x14ac:dyDescent="0.3">
      <c r="A75" s="153" t="s">
        <v>60</v>
      </c>
      <c r="B75" s="37">
        <v>2016</v>
      </c>
      <c r="C75" s="687">
        <f t="shared" si="20"/>
        <v>102405880.5458408</v>
      </c>
      <c r="D75" s="688">
        <f t="shared" si="19"/>
        <v>102405880.5458408</v>
      </c>
      <c r="E75" s="689">
        <f t="shared" si="19"/>
        <v>102405880.5458408</v>
      </c>
      <c r="F75" s="139"/>
      <c r="G75" s="140"/>
      <c r="H75" s="141"/>
      <c r="I75" s="687">
        <f t="shared" si="19"/>
        <v>102405880.5458408</v>
      </c>
      <c r="J75" s="688">
        <f t="shared" si="19"/>
        <v>102405880.5458408</v>
      </c>
      <c r="K75" s="694">
        <f t="shared" si="19"/>
        <v>102405880.5458408</v>
      </c>
      <c r="L75" s="695">
        <f t="shared" si="19"/>
        <v>102405880.5458408</v>
      </c>
      <c r="M75" s="142"/>
      <c r="N75" s="126" t="s">
        <v>139</v>
      </c>
      <c r="AE75" s="37">
        <v>2016</v>
      </c>
      <c r="AF75" s="668">
        <v>55294.751914600864</v>
      </c>
      <c r="AG75" s="669">
        <v>55294.751914600864</v>
      </c>
      <c r="AH75" s="670">
        <v>55294.751914600864</v>
      </c>
      <c r="AI75" s="164"/>
      <c r="AJ75" s="165"/>
      <c r="AK75" s="166"/>
      <c r="AL75" s="668">
        <v>55294.751914600864</v>
      </c>
      <c r="AM75" s="669">
        <v>55294.751914600864</v>
      </c>
      <c r="AN75" s="670">
        <v>55294.751914600864</v>
      </c>
      <c r="AO75" s="668">
        <v>55294.751914600864</v>
      </c>
      <c r="AP75" s="41"/>
      <c r="AQ75" s="126" t="s">
        <v>180</v>
      </c>
      <c r="AS75" s="893"/>
      <c r="AT75" s="893"/>
      <c r="AU75" s="893"/>
    </row>
    <row r="76" spans="1:47" ht="15.75" customHeight="1" thickBot="1" x14ac:dyDescent="0.35">
      <c r="A76" s="154" t="s">
        <v>39</v>
      </c>
      <c r="B76" s="37">
        <v>2017</v>
      </c>
      <c r="C76" s="687">
        <f t="shared" si="20"/>
        <v>107552829.14816633</v>
      </c>
      <c r="D76" s="690">
        <f t="shared" si="19"/>
        <v>107552829.14816633</v>
      </c>
      <c r="E76" s="691">
        <f t="shared" si="19"/>
        <v>107552829.14816633</v>
      </c>
      <c r="F76" s="145"/>
      <c r="G76" s="143"/>
      <c r="H76" s="144"/>
      <c r="I76" s="696">
        <f t="shared" si="19"/>
        <v>107552829.14816633</v>
      </c>
      <c r="J76" s="690">
        <f t="shared" si="19"/>
        <v>107552829.14816633</v>
      </c>
      <c r="K76" s="697">
        <f t="shared" si="19"/>
        <v>107552829.14816633</v>
      </c>
      <c r="L76" s="698">
        <f t="shared" si="19"/>
        <v>107552829.14816633</v>
      </c>
      <c r="M76" s="146"/>
      <c r="N76" s="126" t="s">
        <v>139</v>
      </c>
      <c r="AE76" s="37">
        <v>2017</v>
      </c>
      <c r="AF76" s="671">
        <v>58073.881829463462</v>
      </c>
      <c r="AG76" s="669">
        <v>58073.881829463462</v>
      </c>
      <c r="AH76" s="672">
        <v>58073.881829463462</v>
      </c>
      <c r="AI76" s="164"/>
      <c r="AJ76" s="167"/>
      <c r="AK76" s="168"/>
      <c r="AL76" s="671">
        <v>58073.881829463462</v>
      </c>
      <c r="AM76" s="669">
        <v>58073.881829463462</v>
      </c>
      <c r="AN76" s="672">
        <v>58073.881829463462</v>
      </c>
      <c r="AO76" s="671">
        <v>58073.881829463462</v>
      </c>
      <c r="AP76" s="49"/>
      <c r="AQ76" s="126" t="s">
        <v>180</v>
      </c>
      <c r="AS76" s="893"/>
      <c r="AT76" s="893"/>
      <c r="AU76" s="893"/>
    </row>
    <row r="77" spans="1:47" ht="30" customHeight="1" x14ac:dyDescent="0.3">
      <c r="A77" s="152" t="s">
        <v>174</v>
      </c>
      <c r="B77" s="37">
        <v>2018</v>
      </c>
      <c r="C77" s="687">
        <f t="shared" si="20"/>
        <v>111908118.68413797</v>
      </c>
      <c r="D77" s="688">
        <f t="shared" si="19"/>
        <v>111908118.68413797</v>
      </c>
      <c r="E77" s="689">
        <f t="shared" si="19"/>
        <v>111908118.68413797</v>
      </c>
      <c r="F77" s="139"/>
      <c r="G77" s="140"/>
      <c r="H77" s="141"/>
      <c r="I77" s="687">
        <f t="shared" si="19"/>
        <v>111908118.68413797</v>
      </c>
      <c r="J77" s="688">
        <f t="shared" si="19"/>
        <v>111908118.68413797</v>
      </c>
      <c r="K77" s="694">
        <f t="shared" si="19"/>
        <v>111908118.68413797</v>
      </c>
      <c r="L77" s="695">
        <f t="shared" si="19"/>
        <v>111908118.68413797</v>
      </c>
      <c r="M77" s="142"/>
      <c r="N77" s="126" t="s">
        <v>139</v>
      </c>
      <c r="AE77" s="37">
        <v>2018</v>
      </c>
      <c r="AF77" s="668">
        <v>60425.550045430871</v>
      </c>
      <c r="AG77" s="669">
        <v>60425.550045430871</v>
      </c>
      <c r="AH77" s="670">
        <v>60425.550045430871</v>
      </c>
      <c r="AI77" s="164"/>
      <c r="AJ77" s="165"/>
      <c r="AK77" s="166"/>
      <c r="AL77" s="668">
        <v>60425.550045430871</v>
      </c>
      <c r="AM77" s="669">
        <v>60425.550045430871</v>
      </c>
      <c r="AN77" s="670">
        <v>60425.550045430871</v>
      </c>
      <c r="AO77" s="668">
        <v>60425.550045430871</v>
      </c>
      <c r="AP77" s="41"/>
      <c r="AQ77" s="126" t="s">
        <v>180</v>
      </c>
      <c r="AS77" s="893"/>
      <c r="AT77" s="893"/>
      <c r="AU77" s="893"/>
    </row>
    <row r="78" spans="1:47" ht="31.2" x14ac:dyDescent="0.3">
      <c r="A78" s="153" t="s">
        <v>175</v>
      </c>
      <c r="B78" s="37">
        <v>2019</v>
      </c>
      <c r="C78" s="687">
        <f t="shared" si="20"/>
        <v>112184915.27248412</v>
      </c>
      <c r="D78" s="688">
        <f t="shared" si="19"/>
        <v>118317067.62006159</v>
      </c>
      <c r="E78" s="689">
        <f t="shared" si="19"/>
        <v>111333259.00485027</v>
      </c>
      <c r="F78" s="139"/>
      <c r="G78" s="140"/>
      <c r="H78" s="141"/>
      <c r="I78" s="687">
        <f t="shared" si="19"/>
        <v>109634349.83723392</v>
      </c>
      <c r="J78" s="688">
        <f t="shared" si="19"/>
        <v>115601797.21302684</v>
      </c>
      <c r="K78" s="694">
        <f t="shared" si="19"/>
        <v>109480379.16835819</v>
      </c>
      <c r="L78" s="695">
        <f t="shared" si="19"/>
        <v>108311849.78793049</v>
      </c>
      <c r="M78" s="142"/>
      <c r="N78" s="126" t="s">
        <v>139</v>
      </c>
      <c r="AE78" s="37">
        <v>2019</v>
      </c>
      <c r="AF78" s="674">
        <v>60575.00824648171</v>
      </c>
      <c r="AG78" s="675">
        <v>63886.105626383149</v>
      </c>
      <c r="AH78" s="676">
        <v>60115.150650567099</v>
      </c>
      <c r="AI78" s="164"/>
      <c r="AJ78" s="165"/>
      <c r="AK78" s="166"/>
      <c r="AL78" s="674">
        <v>59197.813087059352</v>
      </c>
      <c r="AM78" s="675">
        <v>62419.976896882741</v>
      </c>
      <c r="AN78" s="681">
        <v>59114.675576867274</v>
      </c>
      <c r="AO78" s="682">
        <v>58483.720187867431</v>
      </c>
      <c r="AP78" s="41"/>
      <c r="AQ78" s="126" t="s">
        <v>180</v>
      </c>
      <c r="AS78" s="893"/>
      <c r="AT78" s="893"/>
      <c r="AU78" s="893"/>
    </row>
    <row r="79" spans="1:47" ht="15.75" customHeight="1" thickBot="1" x14ac:dyDescent="0.35">
      <c r="A79" s="154" t="s">
        <v>176</v>
      </c>
      <c r="B79" s="37">
        <v>2020</v>
      </c>
      <c r="C79" s="687">
        <f t="shared" si="20"/>
        <v>115476739.47175489</v>
      </c>
      <c r="D79" s="690">
        <f t="shared" si="19"/>
        <v>125169755.62627372</v>
      </c>
      <c r="E79" s="691">
        <f t="shared" si="19"/>
        <v>114224307.26823409</v>
      </c>
      <c r="F79" s="145"/>
      <c r="G79" s="143"/>
      <c r="H79" s="144"/>
      <c r="I79" s="696">
        <f t="shared" si="19"/>
        <v>111531310.94471143</v>
      </c>
      <c r="J79" s="690">
        <f t="shared" si="19"/>
        <v>119597241.28563415</v>
      </c>
      <c r="K79" s="697">
        <f t="shared" si="19"/>
        <v>111316166.2893777</v>
      </c>
      <c r="L79" s="698">
        <f t="shared" si="19"/>
        <v>109673539.55993786</v>
      </c>
      <c r="M79" s="146"/>
      <c r="N79" s="126" t="s">
        <v>139</v>
      </c>
      <c r="AE79" s="37">
        <v>2020</v>
      </c>
      <c r="AF79" s="674">
        <v>62352.451118658151</v>
      </c>
      <c r="AG79" s="677">
        <v>67586.261137296824</v>
      </c>
      <c r="AH79" s="678">
        <v>61676.191829500051</v>
      </c>
      <c r="AI79" s="164"/>
      <c r="AJ79" s="167"/>
      <c r="AK79" s="168"/>
      <c r="AL79" s="674">
        <v>60222.090142932742</v>
      </c>
      <c r="AM79" s="677">
        <v>64577.344106713899</v>
      </c>
      <c r="AN79" s="683">
        <v>60105.921322558155</v>
      </c>
      <c r="AO79" s="684">
        <v>59218.973844458887</v>
      </c>
      <c r="AP79" s="49"/>
      <c r="AQ79" s="126" t="s">
        <v>180</v>
      </c>
    </row>
    <row r="80" spans="1:47" ht="28.8" x14ac:dyDescent="0.3">
      <c r="A80" s="152" t="s">
        <v>127</v>
      </c>
      <c r="B80" s="37">
        <v>2021</v>
      </c>
      <c r="C80" s="687">
        <f t="shared" si="20"/>
        <v>118832535.36293708</v>
      </c>
      <c r="D80" s="688">
        <f t="shared" si="19"/>
        <v>129587333.46048349</v>
      </c>
      <c r="E80" s="689">
        <f t="shared" si="19"/>
        <v>117044356.51850766</v>
      </c>
      <c r="F80" s="139"/>
      <c r="G80" s="140"/>
      <c r="H80" s="141"/>
      <c r="I80" s="687">
        <f t="shared" si="19"/>
        <v>113206142.34339574</v>
      </c>
      <c r="J80" s="688">
        <f t="shared" si="19"/>
        <v>123479184.15170556</v>
      </c>
      <c r="K80" s="694">
        <f t="shared" si="19"/>
        <v>112923221.27167694</v>
      </c>
      <c r="L80" s="695">
        <f t="shared" si="19"/>
        <v>110751076.12191156</v>
      </c>
      <c r="M80" s="142"/>
      <c r="N80" s="126" t="s">
        <v>139</v>
      </c>
      <c r="AE80" s="37">
        <v>2021</v>
      </c>
      <c r="AF80" s="674">
        <v>64164.435941110736</v>
      </c>
      <c r="AG80" s="675">
        <v>69971.562343673591</v>
      </c>
      <c r="AH80" s="676">
        <v>63198.896608265473</v>
      </c>
      <c r="AI80" s="164"/>
      <c r="AJ80" s="165"/>
      <c r="AK80" s="166"/>
      <c r="AL80" s="674">
        <v>61126.426751293598</v>
      </c>
      <c r="AM80" s="675">
        <v>66673.425567875573</v>
      </c>
      <c r="AN80" s="681">
        <v>60973.661593778044</v>
      </c>
      <c r="AO80" s="682">
        <v>59800.797042068873</v>
      </c>
      <c r="AP80" s="41"/>
      <c r="AQ80" s="126" t="s">
        <v>180</v>
      </c>
    </row>
    <row r="81" spans="1:43" ht="15.75" customHeight="1" thickBot="1" x14ac:dyDescent="0.35">
      <c r="A81" s="154" t="s">
        <v>42</v>
      </c>
      <c r="B81" s="37">
        <v>2022</v>
      </c>
      <c r="C81" s="687">
        <f t="shared" si="20"/>
        <v>122363325.15823571</v>
      </c>
      <c r="D81" s="692">
        <f t="shared" si="19"/>
        <v>135734201.23427847</v>
      </c>
      <c r="E81" s="693">
        <f t="shared" si="19"/>
        <v>119884282.65123846</v>
      </c>
      <c r="F81" s="149"/>
      <c r="G81" s="147"/>
      <c r="H81" s="148"/>
      <c r="I81" s="699">
        <f t="shared" si="19"/>
        <v>114748773.15525906</v>
      </c>
      <c r="J81" s="692">
        <f t="shared" si="19"/>
        <v>127303843.1252673</v>
      </c>
      <c r="K81" s="700">
        <f t="shared" si="19"/>
        <v>114391737.49861485</v>
      </c>
      <c r="L81" s="701">
        <f t="shared" si="19"/>
        <v>111635811.61815067</v>
      </c>
      <c r="M81" s="150"/>
      <c r="N81" s="126" t="s">
        <v>139</v>
      </c>
      <c r="AE81" s="37">
        <v>2022</v>
      </c>
      <c r="AF81" s="674">
        <v>66070.909912654271</v>
      </c>
      <c r="AG81" s="679">
        <v>73290.605418076928</v>
      </c>
      <c r="AH81" s="680">
        <v>64732.334044945172</v>
      </c>
      <c r="AI81" s="164"/>
      <c r="AJ81" s="169"/>
      <c r="AK81" s="170"/>
      <c r="AL81" s="674">
        <v>61959.380753379621</v>
      </c>
      <c r="AM81" s="679">
        <v>68738.576201548218</v>
      </c>
      <c r="AN81" s="685">
        <v>61766.596921498298</v>
      </c>
      <c r="AO81" s="686">
        <v>60278.515992521956</v>
      </c>
      <c r="AP81" s="57"/>
      <c r="AQ81" s="126" t="s">
        <v>180</v>
      </c>
    </row>
    <row r="82" spans="1:43" ht="28.8" x14ac:dyDescent="0.3">
      <c r="A82" s="5"/>
      <c r="B82" s="37">
        <v>2023</v>
      </c>
      <c r="C82" s="687">
        <f t="shared" si="20"/>
        <v>126104399.15109961</v>
      </c>
      <c r="D82" s="692">
        <f t="shared" si="19"/>
        <v>142274006.43650272</v>
      </c>
      <c r="E82" s="689">
        <f t="shared" si="19"/>
        <v>122759911.94214948</v>
      </c>
      <c r="F82" s="149"/>
      <c r="G82" s="147"/>
      <c r="H82" s="148"/>
      <c r="I82" s="699">
        <f t="shared" si="19"/>
        <v>116175273.54721753</v>
      </c>
      <c r="J82" s="692">
        <f t="shared" si="19"/>
        <v>131049656.72521031</v>
      </c>
      <c r="K82" s="700">
        <f t="shared" si="19"/>
        <v>115738153.81302063</v>
      </c>
      <c r="L82" s="701">
        <f t="shared" si="19"/>
        <v>112346140.66611966</v>
      </c>
      <c r="M82" s="150"/>
      <c r="N82" s="126" t="s">
        <v>139</v>
      </c>
      <c r="AE82" s="37">
        <v>2023</v>
      </c>
      <c r="AF82" s="674">
        <v>68090.928267332405</v>
      </c>
      <c r="AG82" s="679">
        <v>76821.817730293042</v>
      </c>
      <c r="AH82" s="676">
        <v>66285.049644789135</v>
      </c>
      <c r="AI82" s="164"/>
      <c r="AJ82" s="169"/>
      <c r="AK82" s="170"/>
      <c r="AL82" s="674">
        <v>62729.629345149857</v>
      </c>
      <c r="AM82" s="679">
        <v>70761.153739314424</v>
      </c>
      <c r="AN82" s="685">
        <v>62493.603570745479</v>
      </c>
      <c r="AO82" s="686">
        <v>60662.062994665044</v>
      </c>
      <c r="AP82" s="57"/>
      <c r="AQ82" s="126" t="s">
        <v>180</v>
      </c>
    </row>
    <row r="83" spans="1:43" ht="28.8" x14ac:dyDescent="0.3">
      <c r="A83" s="5"/>
      <c r="B83" s="37">
        <v>2024</v>
      </c>
      <c r="C83" s="687">
        <f t="shared" si="20"/>
        <v>130089004.59246306</v>
      </c>
      <c r="D83" s="692">
        <f t="shared" si="19"/>
        <v>149223310.30296877</v>
      </c>
      <c r="E83" s="689">
        <f t="shared" si="19"/>
        <v>125685207.18179192</v>
      </c>
      <c r="F83" s="139"/>
      <c r="G83" s="140"/>
      <c r="H83" s="141"/>
      <c r="I83" s="687">
        <f t="shared" si="19"/>
        <v>117500009.52260436</v>
      </c>
      <c r="J83" s="688">
        <f t="shared" si="19"/>
        <v>134693237.37220362</v>
      </c>
      <c r="K83" s="694">
        <f t="shared" si="19"/>
        <v>116977212.69952309</v>
      </c>
      <c r="L83" s="695">
        <f t="shared" si="19"/>
        <v>112898827.277797</v>
      </c>
      <c r="M83" s="142"/>
      <c r="N83" s="126" t="s">
        <v>139</v>
      </c>
      <c r="AE83" s="37">
        <v>2024</v>
      </c>
      <c r="AF83" s="674">
        <v>70242.443084483297</v>
      </c>
      <c r="AG83" s="679">
        <v>80574.141632272556</v>
      </c>
      <c r="AH83" s="676">
        <v>67864.582711550713</v>
      </c>
      <c r="AI83" s="164"/>
      <c r="AJ83" s="165"/>
      <c r="AK83" s="166"/>
      <c r="AL83" s="674">
        <v>63444.929547842527</v>
      </c>
      <c r="AM83" s="675">
        <v>72728.529898598063</v>
      </c>
      <c r="AN83" s="681">
        <v>63162.641846394756</v>
      </c>
      <c r="AO83" s="682">
        <v>60960.48989081911</v>
      </c>
      <c r="AP83" s="41"/>
      <c r="AQ83" s="126" t="s">
        <v>180</v>
      </c>
    </row>
    <row r="84" spans="1:43" ht="28.8" x14ac:dyDescent="0.3">
      <c r="A84" s="5"/>
      <c r="B84" s="37">
        <v>2025</v>
      </c>
      <c r="C84" s="687">
        <f t="shared" si="20"/>
        <v>134350610.05521977</v>
      </c>
      <c r="D84" s="692">
        <f t="shared" si="19"/>
        <v>156598848.93170679</v>
      </c>
      <c r="E84" s="689">
        <f t="shared" si="19"/>
        <v>128674520.95510343</v>
      </c>
      <c r="F84" s="139"/>
      <c r="G84" s="140"/>
      <c r="H84" s="141"/>
      <c r="I84" s="687">
        <f t="shared" si="19"/>
        <v>118737826.82430957</v>
      </c>
      <c r="J84" s="688">
        <f t="shared" si="19"/>
        <v>138211788.17492685</v>
      </c>
      <c r="K84" s="694">
        <f t="shared" si="19"/>
        <v>118124138.55572347</v>
      </c>
      <c r="L84" s="695">
        <f t="shared" si="19"/>
        <v>113311140.91511394</v>
      </c>
      <c r="M84" s="142"/>
      <c r="N84" s="126" t="s">
        <v>139</v>
      </c>
      <c r="AE84" s="37">
        <v>2025</v>
      </c>
      <c r="AF84" s="674">
        <v>72543.525947742863</v>
      </c>
      <c r="AG84" s="679">
        <v>84556.613894010137</v>
      </c>
      <c r="AH84" s="676">
        <v>69478.683021114164</v>
      </c>
      <c r="AI84" s="164"/>
      <c r="AJ84" s="165"/>
      <c r="AK84" s="166"/>
      <c r="AL84" s="674">
        <v>64113.29742133346</v>
      </c>
      <c r="AM84" s="675">
        <v>74628.395342833071</v>
      </c>
      <c r="AN84" s="681">
        <v>63781.932265509437</v>
      </c>
      <c r="AO84" s="682">
        <v>61183.121444445969</v>
      </c>
      <c r="AP84" s="41"/>
      <c r="AQ84" s="126" t="s">
        <v>180</v>
      </c>
    </row>
    <row r="85" spans="1:43" ht="28.8" x14ac:dyDescent="0.3">
      <c r="A85" s="5"/>
      <c r="B85" s="37">
        <v>2026</v>
      </c>
      <c r="C85" s="687">
        <f t="shared" si="20"/>
        <v>138924220.22402865</v>
      </c>
      <c r="D85" s="692">
        <f t="shared" si="19"/>
        <v>164419151.65815583</v>
      </c>
      <c r="E85" s="689">
        <f t="shared" si="19"/>
        <v>131743847.78590037</v>
      </c>
      <c r="F85" s="139"/>
      <c r="G85" s="140"/>
      <c r="H85" s="141"/>
      <c r="I85" s="687">
        <f t="shared" si="19"/>
        <v>119905167.26948759</v>
      </c>
      <c r="J85" s="688">
        <f t="shared" si="19"/>
        <v>141584500.11691806</v>
      </c>
      <c r="K85" s="694">
        <f t="shared" si="19"/>
        <v>119195745.63452539</v>
      </c>
      <c r="L85" s="695">
        <f t="shared" si="19"/>
        <v>113601899.13764074</v>
      </c>
      <c r="M85" s="142"/>
      <c r="N85" s="126" t="s">
        <v>139</v>
      </c>
      <c r="AE85" s="37">
        <v>2026</v>
      </c>
      <c r="AF85" s="674">
        <v>75013.07787474549</v>
      </c>
      <c r="AG85" s="679">
        <v>88779.239556239641</v>
      </c>
      <c r="AH85" s="676">
        <v>71135.986925432167</v>
      </c>
      <c r="AI85" s="164"/>
      <c r="AJ85" s="165"/>
      <c r="AK85" s="166"/>
      <c r="AL85" s="674">
        <v>64743.610836656364</v>
      </c>
      <c r="AM85" s="675">
        <v>76449.514102007583</v>
      </c>
      <c r="AN85" s="681">
        <v>64360.553798339846</v>
      </c>
      <c r="AO85" s="682">
        <v>61340.118324860014</v>
      </c>
      <c r="AP85" s="41"/>
      <c r="AQ85" s="126" t="s">
        <v>180</v>
      </c>
    </row>
    <row r="86" spans="1:43" ht="28.8" x14ac:dyDescent="0.3">
      <c r="A86" s="5"/>
      <c r="B86" s="37">
        <v>2027</v>
      </c>
      <c r="C86" s="687">
        <f t="shared" si="20"/>
        <v>143845724.42183489</v>
      </c>
      <c r="D86" s="692">
        <f t="shared" si="19"/>
        <v>172703936.63592088</v>
      </c>
      <c r="E86" s="689">
        <f t="shared" si="19"/>
        <v>134910140.56507242</v>
      </c>
      <c r="F86" s="139"/>
      <c r="G86" s="140"/>
      <c r="H86" s="141"/>
      <c r="I86" s="687">
        <f t="shared" si="19"/>
        <v>121019344.22223705</v>
      </c>
      <c r="J86" s="688">
        <f t="shared" si="19"/>
        <v>144791850.53052172</v>
      </c>
      <c r="K86" s="694">
        <f t="shared" si="19"/>
        <v>120209711.93692598</v>
      </c>
      <c r="L86" s="695">
        <f t="shared" si="19"/>
        <v>113790728.12576264</v>
      </c>
      <c r="M86" s="142"/>
      <c r="N86" s="126" t="s">
        <v>139</v>
      </c>
      <c r="AE86" s="37">
        <v>2027</v>
      </c>
      <c r="AF86" s="674">
        <v>77670.477549586867</v>
      </c>
      <c r="AG86" s="679">
        <v>93252.665570151672</v>
      </c>
      <c r="AH86" s="676">
        <v>72845.64825327885</v>
      </c>
      <c r="AI86" s="164"/>
      <c r="AJ86" s="165"/>
      <c r="AK86" s="166"/>
      <c r="AL86" s="674">
        <v>65345.218262547001</v>
      </c>
      <c r="AM86" s="675">
        <v>78181.344778899424</v>
      </c>
      <c r="AN86" s="681">
        <v>64908.051801795882</v>
      </c>
      <c r="AO86" s="682">
        <v>61442.077821686093</v>
      </c>
      <c r="AP86" s="41"/>
      <c r="AQ86" s="126" t="s">
        <v>180</v>
      </c>
    </row>
    <row r="87" spans="1:43" ht="28.8" x14ac:dyDescent="0.3">
      <c r="A87" s="59" t="s">
        <v>34</v>
      </c>
      <c r="B87" s="37">
        <v>2028</v>
      </c>
      <c r="C87" s="687">
        <f t="shared" si="20"/>
        <v>149149878.84347036</v>
      </c>
      <c r="D87" s="692">
        <f t="shared" ref="D87:D119" si="21">AG87*1852</f>
        <v>181471759.46740049</v>
      </c>
      <c r="E87" s="689">
        <f t="shared" ref="E87:E119" si="22">AH87*1852</f>
        <v>138189377.46346995</v>
      </c>
      <c r="F87" s="139"/>
      <c r="G87" s="140"/>
      <c r="H87" s="141"/>
      <c r="I87" s="687">
        <f t="shared" ref="I87:I119" si="23">AL87*1852</f>
        <v>122096757.18254854</v>
      </c>
      <c r="J87" s="688">
        <f t="shared" ref="J87:J119" si="24">AM87*1852</f>
        <v>147813525.35453305</v>
      </c>
      <c r="K87" s="694">
        <f t="shared" ref="K87:K119" si="25">AN87*1852</f>
        <v>121182802.98415555</v>
      </c>
      <c r="L87" s="695">
        <f t="shared" ref="L87:L119" si="26">AO87*1852</f>
        <v>113896358.44086488</v>
      </c>
      <c r="M87" s="142"/>
      <c r="N87" s="126" t="s">
        <v>139</v>
      </c>
      <c r="AE87" s="37">
        <v>2028</v>
      </c>
      <c r="AF87" s="674">
        <v>80534.491816128706</v>
      </c>
      <c r="AG87" s="679">
        <v>97986.911159503506</v>
      </c>
      <c r="AH87" s="676">
        <v>74616.29452671163</v>
      </c>
      <c r="AI87" s="164"/>
      <c r="AJ87" s="165"/>
      <c r="AK87" s="166"/>
      <c r="AL87" s="674">
        <v>65926.974720598562</v>
      </c>
      <c r="AM87" s="675">
        <v>79812.918657955204</v>
      </c>
      <c r="AN87" s="681">
        <v>65433.47893312935</v>
      </c>
      <c r="AO87" s="682">
        <v>61499.113628976716</v>
      </c>
      <c r="AP87" s="41"/>
      <c r="AQ87" s="126" t="s">
        <v>180</v>
      </c>
    </row>
    <row r="88" spans="1:43" ht="28.8" x14ac:dyDescent="0.3">
      <c r="A88" s="60" t="s">
        <v>29</v>
      </c>
      <c r="B88" s="37">
        <v>2029</v>
      </c>
      <c r="C88" s="687">
        <f t="shared" si="20"/>
        <v>154871356.41259021</v>
      </c>
      <c r="D88" s="692">
        <f t="shared" si="21"/>
        <v>190741237.24794218</v>
      </c>
      <c r="E88" s="689">
        <f t="shared" si="22"/>
        <v>141597565.84981325</v>
      </c>
      <c r="F88" s="139"/>
      <c r="G88" s="140"/>
      <c r="H88" s="141"/>
      <c r="I88" s="687">
        <f t="shared" si="23"/>
        <v>123153816.44402701</v>
      </c>
      <c r="J88" s="688">
        <f t="shared" si="24"/>
        <v>150629494.86901855</v>
      </c>
      <c r="K88" s="694">
        <f t="shared" si="25"/>
        <v>122131791.65058705</v>
      </c>
      <c r="L88" s="695">
        <f t="shared" si="26"/>
        <v>113937506.94534798</v>
      </c>
      <c r="M88" s="142"/>
      <c r="N88" s="126" t="s">
        <v>139</v>
      </c>
      <c r="AE88" s="37">
        <v>2029</v>
      </c>
      <c r="AF88" s="674">
        <v>83623.84255539428</v>
      </c>
      <c r="AG88" s="679">
        <v>102992.02875158864</v>
      </c>
      <c r="AH88" s="676">
        <v>76456.569033376494</v>
      </c>
      <c r="AI88" s="164"/>
      <c r="AJ88" s="165"/>
      <c r="AK88" s="166"/>
      <c r="AL88" s="674">
        <v>66497.741060489745</v>
      </c>
      <c r="AM88" s="675">
        <v>81333.420555625562</v>
      </c>
      <c r="AN88" s="681">
        <v>65945.89181997141</v>
      </c>
      <c r="AO88" s="682">
        <v>61521.332043924398</v>
      </c>
      <c r="AP88" s="41"/>
      <c r="AQ88" s="126" t="s">
        <v>180</v>
      </c>
    </row>
    <row r="89" spans="1:43" ht="28.8" x14ac:dyDescent="0.3">
      <c r="A89" s="61" t="s">
        <v>35</v>
      </c>
      <c r="B89" s="37">
        <v>2030</v>
      </c>
      <c r="C89" s="687">
        <f t="shared" si="20"/>
        <v>159615378.9461275</v>
      </c>
      <c r="D89" s="692">
        <f t="shared" si="21"/>
        <v>200530686.86532831</v>
      </c>
      <c r="E89" s="689">
        <f t="shared" si="22"/>
        <v>140584308.88821375</v>
      </c>
      <c r="F89" s="139"/>
      <c r="G89" s="140"/>
      <c r="H89" s="141"/>
      <c r="I89" s="687">
        <f t="shared" si="23"/>
        <v>124206685.24720849</v>
      </c>
      <c r="J89" s="688">
        <f t="shared" si="24"/>
        <v>153219705.52392304</v>
      </c>
      <c r="K89" s="694">
        <f t="shared" si="25"/>
        <v>123073201.96866588</v>
      </c>
      <c r="L89" s="695">
        <f t="shared" si="26"/>
        <v>113932633.63597238</v>
      </c>
      <c r="M89" s="142"/>
      <c r="N89" s="126" t="s">
        <v>139</v>
      </c>
      <c r="AE89" s="37">
        <v>2030</v>
      </c>
      <c r="AF89" s="674">
        <v>86185.409798125009</v>
      </c>
      <c r="AG89" s="679">
        <v>108277.90867458332</v>
      </c>
      <c r="AH89" s="676">
        <v>75909.454043311969</v>
      </c>
      <c r="AI89" s="164"/>
      <c r="AJ89" s="165"/>
      <c r="AK89" s="166"/>
      <c r="AL89" s="674">
        <v>67066.244733913874</v>
      </c>
      <c r="AM89" s="675">
        <v>82732.022421124755</v>
      </c>
      <c r="AN89" s="681">
        <v>66454.212726061494</v>
      </c>
      <c r="AO89" s="682">
        <v>61518.700667371697</v>
      </c>
      <c r="AP89" s="41"/>
      <c r="AQ89" s="126" t="s">
        <v>180</v>
      </c>
    </row>
    <row r="90" spans="1:43" ht="28.8" x14ac:dyDescent="0.3">
      <c r="A90" s="62" t="s">
        <v>36</v>
      </c>
      <c r="B90" s="37">
        <v>2031</v>
      </c>
      <c r="C90" s="687">
        <f t="shared" si="20"/>
        <v>167702959.00434002</v>
      </c>
      <c r="D90" s="692">
        <f t="shared" si="21"/>
        <v>210858007.261462</v>
      </c>
      <c r="E90" s="689">
        <f t="shared" si="22"/>
        <v>148863476.03407824</v>
      </c>
      <c r="F90" s="139"/>
      <c r="G90" s="140"/>
      <c r="H90" s="141"/>
      <c r="I90" s="687">
        <f t="shared" si="23"/>
        <v>125271227.43703158</v>
      </c>
      <c r="J90" s="688">
        <f t="shared" si="24"/>
        <v>155564007.48224249</v>
      </c>
      <c r="K90" s="694">
        <f t="shared" si="25"/>
        <v>124023257.70839433</v>
      </c>
      <c r="L90" s="695">
        <f t="shared" si="26"/>
        <v>113899897.78435573</v>
      </c>
      <c r="M90" s="142"/>
      <c r="N90" s="126" t="s">
        <v>139</v>
      </c>
      <c r="AE90" s="37">
        <v>2031</v>
      </c>
      <c r="AF90" s="674">
        <v>90552.353674049693</v>
      </c>
      <c r="AG90" s="679">
        <v>113854.21558394277</v>
      </c>
      <c r="AH90" s="676">
        <v>80379.846670668601</v>
      </c>
      <c r="AI90" s="164"/>
      <c r="AJ90" s="165"/>
      <c r="AK90" s="166"/>
      <c r="AL90" s="674">
        <v>67641.051531874502</v>
      </c>
      <c r="AM90" s="675">
        <v>83997.844212873912</v>
      </c>
      <c r="AN90" s="681">
        <v>66967.201786390026</v>
      </c>
      <c r="AO90" s="682">
        <v>61501.024721574366</v>
      </c>
      <c r="AP90" s="41"/>
      <c r="AQ90" s="126" t="s">
        <v>180</v>
      </c>
    </row>
    <row r="91" spans="1:43" ht="28.8" x14ac:dyDescent="0.3">
      <c r="A91" s="5"/>
      <c r="B91" s="37">
        <v>2032</v>
      </c>
      <c r="C91" s="687">
        <f t="shared" si="20"/>
        <v>174880912.40752596</v>
      </c>
      <c r="D91" s="692">
        <f t="shared" si="21"/>
        <v>221741514.59514248</v>
      </c>
      <c r="E91" s="689">
        <f t="shared" si="22"/>
        <v>152752319.27700451</v>
      </c>
      <c r="F91" s="139"/>
      <c r="G91" s="140"/>
      <c r="H91" s="141"/>
      <c r="I91" s="687">
        <f t="shared" si="23"/>
        <v>126363515.23670484</v>
      </c>
      <c r="J91" s="688">
        <f t="shared" si="24"/>
        <v>157642781.23441625</v>
      </c>
      <c r="K91" s="694">
        <f t="shared" si="25"/>
        <v>124998385.3463607</v>
      </c>
      <c r="L91" s="695">
        <f t="shared" si="26"/>
        <v>113857622.00952946</v>
      </c>
      <c r="M91" s="142"/>
      <c r="N91" s="126" t="s">
        <v>139</v>
      </c>
      <c r="AE91" s="37">
        <v>2032</v>
      </c>
      <c r="AF91" s="674">
        <v>94428.138448988102</v>
      </c>
      <c r="AG91" s="679">
        <v>119730.8394142238</v>
      </c>
      <c r="AH91" s="676">
        <v>82479.654037259461</v>
      </c>
      <c r="AI91" s="164"/>
      <c r="AJ91" s="165"/>
      <c r="AK91" s="166"/>
      <c r="AL91" s="674">
        <v>68230.839760639763</v>
      </c>
      <c r="AM91" s="675">
        <v>85120.292243205316</v>
      </c>
      <c r="AN91" s="681">
        <v>67493.728588747676</v>
      </c>
      <c r="AO91" s="682">
        <v>61478.197629335562</v>
      </c>
      <c r="AP91" s="41"/>
      <c r="AQ91" s="126" t="s">
        <v>180</v>
      </c>
    </row>
    <row r="92" spans="1:43" ht="28.8" x14ac:dyDescent="0.3">
      <c r="A92" s="5"/>
      <c r="B92" s="37">
        <v>2033</v>
      </c>
      <c r="C92" s="687">
        <f t="shared" si="20"/>
        <v>182613460.11438853</v>
      </c>
      <c r="D92" s="692">
        <f t="shared" si="21"/>
        <v>233201171.58276591</v>
      </c>
      <c r="E92" s="689">
        <f t="shared" si="22"/>
        <v>156833734.09881529</v>
      </c>
      <c r="F92" s="139"/>
      <c r="G92" s="140"/>
      <c r="H92" s="141"/>
      <c r="I92" s="687">
        <f t="shared" si="23"/>
        <v>127500433.75198029</v>
      </c>
      <c r="J92" s="688">
        <f t="shared" si="24"/>
        <v>159437699.89028078</v>
      </c>
      <c r="K92" s="694">
        <f t="shared" si="25"/>
        <v>126015810.11405379</v>
      </c>
      <c r="L92" s="695">
        <f t="shared" si="26"/>
        <v>113824818.01996793</v>
      </c>
      <c r="M92" s="142"/>
      <c r="N92" s="126" t="s">
        <v>139</v>
      </c>
      <c r="AE92" s="37">
        <v>2033</v>
      </c>
      <c r="AF92" s="674">
        <v>98603.380191354503</v>
      </c>
      <c r="AG92" s="679">
        <v>125918.55916995999</v>
      </c>
      <c r="AH92" s="676">
        <v>84683.441738021211</v>
      </c>
      <c r="AI92" s="164"/>
      <c r="AJ92" s="165"/>
      <c r="AK92" s="166"/>
      <c r="AL92" s="674">
        <v>68844.726647937525</v>
      </c>
      <c r="AM92" s="675">
        <v>86089.470783088982</v>
      </c>
      <c r="AN92" s="681">
        <v>68043.094014067916</v>
      </c>
      <c r="AO92" s="682">
        <v>61460.48489199132</v>
      </c>
      <c r="AP92" s="41"/>
      <c r="AQ92" s="126" t="s">
        <v>180</v>
      </c>
    </row>
    <row r="93" spans="1:43" ht="28.8" x14ac:dyDescent="0.3">
      <c r="A93" s="5"/>
      <c r="B93" s="37">
        <v>2034</v>
      </c>
      <c r="C93" s="687">
        <f t="shared" si="20"/>
        <v>190936301.5819923</v>
      </c>
      <c r="D93" s="692">
        <f t="shared" si="21"/>
        <v>245257864.37486878</v>
      </c>
      <c r="E93" s="689">
        <f t="shared" si="22"/>
        <v>161124907.5488463</v>
      </c>
      <c r="F93" s="139"/>
      <c r="G93" s="140"/>
      <c r="H93" s="141"/>
      <c r="I93" s="687">
        <f t="shared" si="23"/>
        <v>128699109.34262885</v>
      </c>
      <c r="J93" s="688">
        <f t="shared" si="24"/>
        <v>160931005.28950128</v>
      </c>
      <c r="K93" s="694">
        <f t="shared" si="25"/>
        <v>127092987.6038052</v>
      </c>
      <c r="L93" s="695">
        <f t="shared" si="26"/>
        <v>113820641.79620534</v>
      </c>
      <c r="M93" s="142"/>
      <c r="N93" s="126" t="s">
        <v>139</v>
      </c>
      <c r="AE93" s="37">
        <v>2034</v>
      </c>
      <c r="AF93" s="674">
        <v>103097.35506587058</v>
      </c>
      <c r="AG93" s="679">
        <v>132428.65247023152</v>
      </c>
      <c r="AH93" s="676">
        <v>87000.490037174037</v>
      </c>
      <c r="AI93" s="164"/>
      <c r="AJ93" s="165"/>
      <c r="AK93" s="166"/>
      <c r="AL93" s="674">
        <v>69491.959688244518</v>
      </c>
      <c r="AM93" s="675">
        <v>86895.791193035242</v>
      </c>
      <c r="AN93" s="681">
        <v>68624.723328188556</v>
      </c>
      <c r="AO93" s="682">
        <v>61458.229911557959</v>
      </c>
      <c r="AP93" s="41"/>
      <c r="AQ93" s="126" t="s">
        <v>180</v>
      </c>
    </row>
    <row r="94" spans="1:43" ht="28.8" x14ac:dyDescent="0.3">
      <c r="A94" s="5"/>
      <c r="B94" s="37">
        <v>2035</v>
      </c>
      <c r="C94" s="687">
        <f t="shared" si="20"/>
        <v>199884522.7274695</v>
      </c>
      <c r="D94" s="692">
        <f t="shared" si="21"/>
        <v>257931903.3919141</v>
      </c>
      <c r="E94" s="689">
        <f t="shared" si="22"/>
        <v>165642443.18812379</v>
      </c>
      <c r="F94" s="139"/>
      <c r="G94" s="140"/>
      <c r="H94" s="141"/>
      <c r="I94" s="687">
        <f t="shared" si="23"/>
        <v>129976069.38832323</v>
      </c>
      <c r="J94" s="688">
        <f t="shared" si="24"/>
        <v>162104413.52745646</v>
      </c>
      <c r="K94" s="694">
        <f t="shared" si="25"/>
        <v>128246773.36913985</v>
      </c>
      <c r="L94" s="695">
        <f t="shared" si="26"/>
        <v>113863642.40702106</v>
      </c>
      <c r="M94" s="142"/>
      <c r="N94" s="126" t="s">
        <v>139</v>
      </c>
      <c r="AE94" s="37">
        <v>2035</v>
      </c>
      <c r="AF94" s="674">
        <v>107929.00795219735</v>
      </c>
      <c r="AG94" s="679">
        <v>139272.08606474844</v>
      </c>
      <c r="AH94" s="676">
        <v>89439.764140455605</v>
      </c>
      <c r="AI94" s="164"/>
      <c r="AJ94" s="165"/>
      <c r="AK94" s="166"/>
      <c r="AL94" s="674">
        <v>70181.46295265833</v>
      </c>
      <c r="AM94" s="675">
        <v>87529.380954350141</v>
      </c>
      <c r="AN94" s="681">
        <v>69247.717801911363</v>
      </c>
      <c r="AO94" s="682">
        <v>61481.448383920659</v>
      </c>
      <c r="AP94" s="41"/>
      <c r="AQ94" s="126" t="s">
        <v>180</v>
      </c>
    </row>
    <row r="95" spans="1:43" ht="28.8" x14ac:dyDescent="0.3">
      <c r="A95" s="5"/>
      <c r="B95" s="37">
        <v>2036</v>
      </c>
      <c r="C95" s="687">
        <f t="shared" si="20"/>
        <v>209492383.73539582</v>
      </c>
      <c r="D95" s="692">
        <f t="shared" si="21"/>
        <v>271242700.53682137</v>
      </c>
      <c r="E95" s="689">
        <f t="shared" si="22"/>
        <v>170402215.78766644</v>
      </c>
      <c r="F95" s="139"/>
      <c r="G95" s="140"/>
      <c r="H95" s="141"/>
      <c r="I95" s="687">
        <f t="shared" si="23"/>
        <v>131347167.94787021</v>
      </c>
      <c r="J95" s="688">
        <f t="shared" si="24"/>
        <v>162938980.74682683</v>
      </c>
      <c r="K95" s="694">
        <f t="shared" si="25"/>
        <v>129493351.92251323</v>
      </c>
      <c r="L95" s="695">
        <f t="shared" si="26"/>
        <v>113971718.85249811</v>
      </c>
      <c r="M95" s="142"/>
      <c r="N95" s="126" t="s">
        <v>139</v>
      </c>
      <c r="AE95" s="37">
        <v>2036</v>
      </c>
      <c r="AF95" s="674">
        <v>113116.83787008413</v>
      </c>
      <c r="AG95" s="679">
        <v>146459.34154256014</v>
      </c>
      <c r="AH95" s="676">
        <v>92009.835738480804</v>
      </c>
      <c r="AI95" s="164"/>
      <c r="AJ95" s="165"/>
      <c r="AK95" s="166"/>
      <c r="AL95" s="674">
        <v>70921.796948094066</v>
      </c>
      <c r="AM95" s="675">
        <v>87980.011202390291</v>
      </c>
      <c r="AN95" s="681">
        <v>69920.816372847316</v>
      </c>
      <c r="AO95" s="682">
        <v>61539.804995949307</v>
      </c>
      <c r="AP95" s="41"/>
      <c r="AQ95" s="126" t="s">
        <v>180</v>
      </c>
    </row>
    <row r="96" spans="1:43" ht="28.8" x14ac:dyDescent="0.3">
      <c r="A96" s="5"/>
      <c r="B96" s="37">
        <v>2037</v>
      </c>
      <c r="C96" s="687">
        <f t="shared" si="20"/>
        <v>219792558.15531918</v>
      </c>
      <c r="D96" s="692">
        <f t="shared" si="21"/>
        <v>285207742.02060163</v>
      </c>
      <c r="E96" s="689">
        <f t="shared" si="22"/>
        <v>175418812.78178245</v>
      </c>
      <c r="F96" s="139"/>
      <c r="G96" s="140"/>
      <c r="H96" s="141"/>
      <c r="I96" s="687">
        <f t="shared" si="23"/>
        <v>132827211.25670491</v>
      </c>
      <c r="J96" s="688">
        <f t="shared" si="24"/>
        <v>163414625.05403721</v>
      </c>
      <c r="K96" s="694">
        <f t="shared" si="25"/>
        <v>130847870.42953789</v>
      </c>
      <c r="L96" s="695">
        <f t="shared" si="26"/>
        <v>114161823.69048405</v>
      </c>
      <c r="M96" s="142"/>
      <c r="N96" s="126" t="s">
        <v>139</v>
      </c>
      <c r="AE96" s="37">
        <v>2037</v>
      </c>
      <c r="AF96" s="674">
        <v>118678.48712490237</v>
      </c>
      <c r="AG96" s="679">
        <v>153999.86070226869</v>
      </c>
      <c r="AH96" s="676">
        <v>94718.581415649271</v>
      </c>
      <c r="AI96" s="164"/>
      <c r="AJ96" s="165"/>
      <c r="AK96" s="166"/>
      <c r="AL96" s="674">
        <v>71720.956402108481</v>
      </c>
      <c r="AM96" s="675">
        <v>88236.838582093522</v>
      </c>
      <c r="AN96" s="681">
        <v>70652.197856121973</v>
      </c>
      <c r="AO96" s="682">
        <v>61642.453396589655</v>
      </c>
      <c r="AP96" s="41"/>
      <c r="AQ96" s="126" t="s">
        <v>180</v>
      </c>
    </row>
    <row r="97" spans="1:43" ht="28.8" x14ac:dyDescent="0.3">
      <c r="A97" s="5"/>
      <c r="B97" s="37">
        <v>2038</v>
      </c>
      <c r="C97" s="687">
        <f t="shared" si="20"/>
        <v>230816392.32737368</v>
      </c>
      <c r="D97" s="692">
        <f t="shared" si="21"/>
        <v>299842896.56433076</v>
      </c>
      <c r="E97" s="689">
        <f t="shared" si="22"/>
        <v>180705846.94997579</v>
      </c>
      <c r="F97" s="139"/>
      <c r="G97" s="140"/>
      <c r="H97" s="141"/>
      <c r="I97" s="687">
        <f t="shared" si="23"/>
        <v>134430274.69921488</v>
      </c>
      <c r="J97" s="688">
        <f t="shared" si="24"/>
        <v>163510550.13044876</v>
      </c>
      <c r="K97" s="694">
        <f t="shared" si="25"/>
        <v>132324754.66520143</v>
      </c>
      <c r="L97" s="695">
        <f t="shared" si="26"/>
        <v>114450273.70794949</v>
      </c>
      <c r="M97" s="142"/>
      <c r="N97" s="126" t="s">
        <v>139</v>
      </c>
      <c r="AE97" s="37">
        <v>2038</v>
      </c>
      <c r="AF97" s="674">
        <v>124630.88138627089</v>
      </c>
      <c r="AG97" s="679">
        <v>161902.21196778119</v>
      </c>
      <c r="AH97" s="676">
        <v>97573.351484868137</v>
      </c>
      <c r="AI97" s="164"/>
      <c r="AJ97" s="165"/>
      <c r="AK97" s="166"/>
      <c r="AL97" s="674">
        <v>72586.541414262887</v>
      </c>
      <c r="AM97" s="675">
        <v>88288.633979723949</v>
      </c>
      <c r="AN97" s="681">
        <v>71449.651547084999</v>
      </c>
      <c r="AO97" s="682">
        <v>61798.203945977046</v>
      </c>
      <c r="AP97" s="41"/>
      <c r="AQ97" s="126" t="s">
        <v>180</v>
      </c>
    </row>
    <row r="98" spans="1:43" ht="28.8" x14ac:dyDescent="0.3">
      <c r="A98" s="5"/>
      <c r="B98" s="37">
        <v>2039</v>
      </c>
      <c r="C98" s="687">
        <f t="shared" si="20"/>
        <v>242593839.71948045</v>
      </c>
      <c r="D98" s="692">
        <f t="shared" si="21"/>
        <v>315162332.39996958</v>
      </c>
      <c r="E98" s="689">
        <f t="shared" si="22"/>
        <v>186275994.64155623</v>
      </c>
      <c r="F98" s="139"/>
      <c r="G98" s="140"/>
      <c r="H98" s="141"/>
      <c r="I98" s="687">
        <f t="shared" si="23"/>
        <v>136169789.12944788</v>
      </c>
      <c r="J98" s="688">
        <f t="shared" si="24"/>
        <v>163205413.07423493</v>
      </c>
      <c r="K98" s="694">
        <f t="shared" si="25"/>
        <v>133937796.32483582</v>
      </c>
      <c r="L98" s="695">
        <f t="shared" si="26"/>
        <v>114852849.07340188</v>
      </c>
      <c r="M98" s="142"/>
      <c r="N98" s="126" t="s">
        <v>139</v>
      </c>
      <c r="AE98" s="37">
        <v>2039</v>
      </c>
      <c r="AF98" s="674">
        <v>130990.19423298081</v>
      </c>
      <c r="AG98" s="679">
        <v>170174.04557233778</v>
      </c>
      <c r="AH98" s="676">
        <v>100580.99062719019</v>
      </c>
      <c r="AI98" s="164"/>
      <c r="AJ98" s="165"/>
      <c r="AK98" s="166"/>
      <c r="AL98" s="674">
        <v>73525.804065576609</v>
      </c>
      <c r="AM98" s="675">
        <v>88123.873150234838</v>
      </c>
      <c r="AN98" s="681">
        <v>72320.624365462107</v>
      </c>
      <c r="AO98" s="682">
        <v>62015.577253456737</v>
      </c>
      <c r="AP98" s="41"/>
      <c r="AQ98" s="126" t="s">
        <v>180</v>
      </c>
    </row>
    <row r="99" spans="1:43" ht="28.8" x14ac:dyDescent="0.3">
      <c r="A99" s="5"/>
      <c r="B99" s="37">
        <v>2040</v>
      </c>
      <c r="C99" s="687">
        <f t="shared" si="20"/>
        <v>255433019.466876</v>
      </c>
      <c r="D99" s="692">
        <f t="shared" si="21"/>
        <v>331180335.09549367</v>
      </c>
      <c r="E99" s="689">
        <f t="shared" si="22"/>
        <v>194933002.28928408</v>
      </c>
      <c r="F99" s="139"/>
      <c r="G99" s="140"/>
      <c r="H99" s="141"/>
      <c r="I99" s="687">
        <f t="shared" si="23"/>
        <v>136774418.22517118</v>
      </c>
      <c r="J99" s="688">
        <f t="shared" si="24"/>
        <v>162478432.5237399</v>
      </c>
      <c r="K99" s="694">
        <f t="shared" si="25"/>
        <v>134385630.36609736</v>
      </c>
      <c r="L99" s="695">
        <f t="shared" si="26"/>
        <v>113843417.08749944</v>
      </c>
      <c r="M99" s="142"/>
      <c r="N99" s="126" t="s">
        <v>139</v>
      </c>
      <c r="AE99" s="37">
        <v>2040</v>
      </c>
      <c r="AF99" s="674">
        <v>137922.79668837797</v>
      </c>
      <c r="AG99" s="679">
        <v>178823.07510555815</v>
      </c>
      <c r="AH99" s="676">
        <v>105255.40080414907</v>
      </c>
      <c r="AI99" s="164"/>
      <c r="AJ99" s="165"/>
      <c r="AK99" s="166"/>
      <c r="AL99" s="674">
        <v>73852.277659379688</v>
      </c>
      <c r="AM99" s="675">
        <v>87731.335056015072</v>
      </c>
      <c r="AN99" s="681">
        <v>72562.435402860341</v>
      </c>
      <c r="AO99" s="682">
        <v>61470.527585042895</v>
      </c>
      <c r="AP99" s="41"/>
      <c r="AQ99" s="126" t="s">
        <v>180</v>
      </c>
    </row>
    <row r="100" spans="1:43" ht="28.8" x14ac:dyDescent="0.3">
      <c r="A100" s="5"/>
      <c r="B100" s="37">
        <v>2041</v>
      </c>
      <c r="C100" s="687">
        <f t="shared" si="20"/>
        <v>268530487.66483182</v>
      </c>
      <c r="D100" s="692">
        <f t="shared" si="21"/>
        <v>347912833.78176159</v>
      </c>
      <c r="E100" s="689">
        <f t="shared" si="22"/>
        <v>198318135.65962616</v>
      </c>
      <c r="F100" s="139"/>
      <c r="G100" s="140"/>
      <c r="H100" s="141"/>
      <c r="I100" s="687">
        <f t="shared" si="23"/>
        <v>140113543.93452218</v>
      </c>
      <c r="J100" s="688">
        <f t="shared" si="24"/>
        <v>161310058.57178566</v>
      </c>
      <c r="K100" s="694">
        <f t="shared" si="25"/>
        <v>137629143.95084596</v>
      </c>
      <c r="L100" s="695">
        <f t="shared" si="26"/>
        <v>116064969.22655143</v>
      </c>
      <c r="M100" s="142"/>
      <c r="N100" s="126" t="s">
        <v>139</v>
      </c>
      <c r="AE100" s="37">
        <v>2041</v>
      </c>
      <c r="AF100" s="674">
        <v>144994.86374990919</v>
      </c>
      <c r="AG100" s="679">
        <v>187857.90161002244</v>
      </c>
      <c r="AH100" s="676">
        <v>107083.22659807028</v>
      </c>
      <c r="AI100" s="164"/>
      <c r="AJ100" s="165"/>
      <c r="AK100" s="166"/>
      <c r="AL100" s="674">
        <v>75655.261303737672</v>
      </c>
      <c r="AM100" s="675">
        <v>87100.463591676918</v>
      </c>
      <c r="AN100" s="681">
        <v>74313.792630046417</v>
      </c>
      <c r="AO100" s="682">
        <v>62670.069776755634</v>
      </c>
      <c r="AP100" s="41"/>
      <c r="AQ100" s="126" t="s">
        <v>180</v>
      </c>
    </row>
    <row r="101" spans="1:43" ht="28.8" x14ac:dyDescent="0.3">
      <c r="A101" s="5"/>
      <c r="B101" s="37">
        <v>2042</v>
      </c>
      <c r="C101" s="687">
        <f t="shared" si="20"/>
        <v>282752425.41427964</v>
      </c>
      <c r="D101" s="692">
        <f t="shared" si="21"/>
        <v>365376648.78231788</v>
      </c>
      <c r="E101" s="689">
        <f t="shared" si="22"/>
        <v>204818428.02245918</v>
      </c>
      <c r="F101" s="139"/>
      <c r="G101" s="140"/>
      <c r="H101" s="141"/>
      <c r="I101" s="687">
        <f t="shared" si="23"/>
        <v>142346989.40678737</v>
      </c>
      <c r="J101" s="688">
        <f t="shared" si="24"/>
        <v>159681401.05070806</v>
      </c>
      <c r="K101" s="694">
        <f t="shared" si="25"/>
        <v>139737334.10914472</v>
      </c>
      <c r="L101" s="695">
        <f t="shared" si="26"/>
        <v>116908061.02223021</v>
      </c>
      <c r="M101" s="142"/>
      <c r="N101" s="126" t="s">
        <v>139</v>
      </c>
      <c r="AE101" s="37">
        <v>2042</v>
      </c>
      <c r="AF101" s="674">
        <v>152674.09579604733</v>
      </c>
      <c r="AG101" s="679">
        <v>197287.60733386496</v>
      </c>
      <c r="AH101" s="676">
        <v>110593.10368383325</v>
      </c>
      <c r="AI101" s="164"/>
      <c r="AJ101" s="165"/>
      <c r="AK101" s="166"/>
      <c r="AL101" s="674">
        <v>76861.225381634649</v>
      </c>
      <c r="AM101" s="675">
        <v>86221.058882671728</v>
      </c>
      <c r="AN101" s="681">
        <v>75452.124248998225</v>
      </c>
      <c r="AO101" s="682">
        <v>63125.302927770092</v>
      </c>
      <c r="AP101" s="41"/>
      <c r="AQ101" s="126" t="s">
        <v>180</v>
      </c>
    </row>
    <row r="102" spans="1:43" ht="28.8" x14ac:dyDescent="0.3">
      <c r="A102" s="5"/>
      <c r="B102" s="37">
        <v>2043</v>
      </c>
      <c r="C102" s="687">
        <f t="shared" si="20"/>
        <v>297851191.93306386</v>
      </c>
      <c r="D102" s="692">
        <f t="shared" si="21"/>
        <v>383587322.37611151</v>
      </c>
      <c r="E102" s="689">
        <f t="shared" si="22"/>
        <v>211656660.15116176</v>
      </c>
      <c r="F102" s="139"/>
      <c r="G102" s="140"/>
      <c r="H102" s="141"/>
      <c r="I102" s="687">
        <f t="shared" si="23"/>
        <v>144773970.12289909</v>
      </c>
      <c r="J102" s="688">
        <f t="shared" si="24"/>
        <v>157573201.88428622</v>
      </c>
      <c r="K102" s="694">
        <f t="shared" si="25"/>
        <v>142040144.37100923</v>
      </c>
      <c r="L102" s="695">
        <f t="shared" si="26"/>
        <v>117931238.47301865</v>
      </c>
      <c r="M102" s="142"/>
      <c r="N102" s="126" t="s">
        <v>139</v>
      </c>
      <c r="AE102" s="37">
        <v>2043</v>
      </c>
      <c r="AF102" s="674">
        <v>160826.77750165435</v>
      </c>
      <c r="AG102" s="679">
        <v>207120.58443634529</v>
      </c>
      <c r="AH102" s="676">
        <v>114285.45364533573</v>
      </c>
      <c r="AI102" s="164"/>
      <c r="AJ102" s="165"/>
      <c r="AK102" s="166"/>
      <c r="AL102" s="674">
        <v>78171.690131155017</v>
      </c>
      <c r="AM102" s="675">
        <v>85082.722399722581</v>
      </c>
      <c r="AN102" s="681">
        <v>76695.542316959632</v>
      </c>
      <c r="AO102" s="682">
        <v>63677.774553465795</v>
      </c>
      <c r="AP102" s="41"/>
      <c r="AQ102" s="126" t="s">
        <v>180</v>
      </c>
    </row>
    <row r="103" spans="1:43" ht="28.8" x14ac:dyDescent="0.3">
      <c r="A103" s="5"/>
      <c r="B103" s="37">
        <v>2044</v>
      </c>
      <c r="C103" s="687">
        <f t="shared" si="20"/>
        <v>313857117.92281699</v>
      </c>
      <c r="D103" s="692">
        <f t="shared" si="21"/>
        <v>402560305.28861851</v>
      </c>
      <c r="E103" s="689">
        <f t="shared" si="22"/>
        <v>218846439.86111948</v>
      </c>
      <c r="F103" s="139"/>
      <c r="G103" s="140"/>
      <c r="H103" s="141"/>
      <c r="I103" s="687">
        <f t="shared" si="23"/>
        <v>147408674.9045437</v>
      </c>
      <c r="J103" s="688">
        <f t="shared" si="24"/>
        <v>154966441.20568714</v>
      </c>
      <c r="K103" s="694">
        <f t="shared" si="25"/>
        <v>144552102.15579638</v>
      </c>
      <c r="L103" s="695">
        <f t="shared" si="26"/>
        <v>119150874.02140419</v>
      </c>
      <c r="M103" s="142"/>
      <c r="N103" s="126" t="s">
        <v>139</v>
      </c>
      <c r="AE103" s="37">
        <v>2044</v>
      </c>
      <c r="AF103" s="674">
        <v>169469.28613543033</v>
      </c>
      <c r="AG103" s="679">
        <v>217365.17564180263</v>
      </c>
      <c r="AH103" s="676">
        <v>118167.62411507532</v>
      </c>
      <c r="AI103" s="164"/>
      <c r="AJ103" s="165"/>
      <c r="AK103" s="166"/>
      <c r="AL103" s="674">
        <v>79594.316903101353</v>
      </c>
      <c r="AM103" s="675">
        <v>83675.184236332148</v>
      </c>
      <c r="AN103" s="681">
        <v>78051.89101284901</v>
      </c>
      <c r="AO103" s="682">
        <v>64336.325065553021</v>
      </c>
      <c r="AP103" s="41"/>
      <c r="AQ103" s="126" t="s">
        <v>180</v>
      </c>
    </row>
    <row r="104" spans="1:43" ht="28.8" x14ac:dyDescent="0.3">
      <c r="A104" s="5"/>
      <c r="B104" s="37">
        <v>2045</v>
      </c>
      <c r="C104" s="687">
        <f t="shared" si="20"/>
        <v>330800185.33305335</v>
      </c>
      <c r="D104" s="692">
        <f t="shared" si="21"/>
        <v>422310779.04334676</v>
      </c>
      <c r="E104" s="689">
        <f t="shared" si="22"/>
        <v>226401222.41456634</v>
      </c>
      <c r="F104" s="139"/>
      <c r="G104" s="140"/>
      <c r="H104" s="141"/>
      <c r="I104" s="687">
        <f t="shared" si="23"/>
        <v>150265176.52062362</v>
      </c>
      <c r="J104" s="688">
        <f t="shared" si="24"/>
        <v>151842264.85335168</v>
      </c>
      <c r="K104" s="694">
        <f t="shared" si="25"/>
        <v>147287617.51391011</v>
      </c>
      <c r="L104" s="695">
        <f t="shared" si="26"/>
        <v>120583221.07754675</v>
      </c>
      <c r="M104" s="142"/>
      <c r="N104" s="126" t="s">
        <v>139</v>
      </c>
      <c r="AE104" s="37">
        <v>2045</v>
      </c>
      <c r="AF104" s="674">
        <v>178617.8106549964</v>
      </c>
      <c r="AG104" s="679">
        <v>228029.57831714189</v>
      </c>
      <c r="AH104" s="676">
        <v>122246.88035343755</v>
      </c>
      <c r="AI104" s="164"/>
      <c r="AJ104" s="165"/>
      <c r="AK104" s="166"/>
      <c r="AL104" s="674">
        <v>81136.704384785975</v>
      </c>
      <c r="AM104" s="675">
        <v>81988.263959693126</v>
      </c>
      <c r="AN104" s="681">
        <v>79528.951141420155</v>
      </c>
      <c r="AO104" s="682">
        <v>65109.730603426971</v>
      </c>
      <c r="AP104" s="41"/>
      <c r="AQ104" s="126" t="s">
        <v>180</v>
      </c>
    </row>
    <row r="105" spans="1:43" ht="28.8" x14ac:dyDescent="0.3">
      <c r="A105" s="5"/>
      <c r="B105" s="37">
        <v>2046</v>
      </c>
      <c r="C105" s="687">
        <f t="shared" si="20"/>
        <v>348709942.89994651</v>
      </c>
      <c r="D105" s="692">
        <f t="shared" si="21"/>
        <v>442853557.02445966</v>
      </c>
      <c r="E105" s="689">
        <f t="shared" si="22"/>
        <v>234334258.15850061</v>
      </c>
      <c r="F105" s="139"/>
      <c r="G105" s="140"/>
      <c r="H105" s="141"/>
      <c r="I105" s="687">
        <f t="shared" si="23"/>
        <v>153357397.01851499</v>
      </c>
      <c r="J105" s="688">
        <f t="shared" si="24"/>
        <v>148181964.67352498</v>
      </c>
      <c r="K105" s="694">
        <f t="shared" si="25"/>
        <v>150260948.99924541</v>
      </c>
      <c r="L105" s="695">
        <f t="shared" si="26"/>
        <v>122244385.2958903</v>
      </c>
      <c r="M105" s="142"/>
      <c r="N105" s="126" t="s">
        <v>139</v>
      </c>
      <c r="AE105" s="37">
        <v>2046</v>
      </c>
      <c r="AF105" s="674">
        <v>188288.306101483</v>
      </c>
      <c r="AG105" s="679">
        <v>239121.79104992421</v>
      </c>
      <c r="AH105" s="676">
        <v>126530.3769754323</v>
      </c>
      <c r="AI105" s="164"/>
      <c r="AJ105" s="165"/>
      <c r="AK105" s="166"/>
      <c r="AL105" s="674">
        <v>82806.369880407656</v>
      </c>
      <c r="AM105" s="675">
        <v>80011.859974905499</v>
      </c>
      <c r="AN105" s="681">
        <v>81134.421705856046</v>
      </c>
      <c r="AO105" s="682">
        <v>66006.687524778783</v>
      </c>
      <c r="AP105" s="41"/>
      <c r="AQ105" s="126" t="s">
        <v>180</v>
      </c>
    </row>
    <row r="106" spans="1:43" ht="28.8" x14ac:dyDescent="0.3">
      <c r="A106" s="5"/>
      <c r="B106" s="37">
        <v>2047</v>
      </c>
      <c r="C106" s="687">
        <f t="shared" si="20"/>
        <v>367615623.44291288</v>
      </c>
      <c r="D106" s="692">
        <f t="shared" si="21"/>
        <v>464203243.83842885</v>
      </c>
      <c r="E106" s="689">
        <f t="shared" si="22"/>
        <v>242658678.37613794</v>
      </c>
      <c r="F106" s="139"/>
      <c r="G106" s="140"/>
      <c r="H106" s="141"/>
      <c r="I106" s="687">
        <f t="shared" si="23"/>
        <v>156699164.56083825</v>
      </c>
      <c r="J106" s="688">
        <f t="shared" si="24"/>
        <v>143967052.24198633</v>
      </c>
      <c r="K106" s="694">
        <f t="shared" si="25"/>
        <v>153486259.21152538</v>
      </c>
      <c r="L106" s="695">
        <f t="shared" si="26"/>
        <v>124150369.09278391</v>
      </c>
      <c r="M106" s="142"/>
      <c r="N106" s="126" t="s">
        <v>139</v>
      </c>
      <c r="AE106" s="37">
        <v>2047</v>
      </c>
      <c r="AF106" s="674">
        <v>198496.55693461819</v>
      </c>
      <c r="AG106" s="679">
        <v>250649.69969677585</v>
      </c>
      <c r="AH106" s="676">
        <v>131025.20430676994</v>
      </c>
      <c r="AI106" s="164"/>
      <c r="AJ106" s="165"/>
      <c r="AK106" s="166"/>
      <c r="AL106" s="674">
        <v>84610.780000452622</v>
      </c>
      <c r="AM106" s="675">
        <v>77735.9893315261</v>
      </c>
      <c r="AN106" s="681">
        <v>82875.949898231847</v>
      </c>
      <c r="AO106" s="682">
        <v>67035.836443187858</v>
      </c>
      <c r="AP106" s="41"/>
      <c r="AQ106" s="126" t="s">
        <v>180</v>
      </c>
    </row>
    <row r="107" spans="1:43" ht="28.8" x14ac:dyDescent="0.3">
      <c r="A107" s="5"/>
      <c r="B107" s="37">
        <v>2048</v>
      </c>
      <c r="C107" s="687">
        <f t="shared" si="20"/>
        <v>387546288.56776047</v>
      </c>
      <c r="D107" s="692">
        <f t="shared" si="21"/>
        <v>486374423.90475178</v>
      </c>
      <c r="E107" s="689">
        <f t="shared" si="22"/>
        <v>251387589.35371315</v>
      </c>
      <c r="F107" s="139"/>
      <c r="G107" s="140"/>
      <c r="H107" s="141"/>
      <c r="I107" s="687">
        <f t="shared" si="23"/>
        <v>160304270.45718926</v>
      </c>
      <c r="J107" s="688">
        <f t="shared" si="24"/>
        <v>139179316.12942624</v>
      </c>
      <c r="K107" s="694">
        <f t="shared" si="25"/>
        <v>156977670.39278081</v>
      </c>
      <c r="L107" s="695">
        <f t="shared" si="26"/>
        <v>126317114.35182992</v>
      </c>
      <c r="M107" s="142"/>
      <c r="N107" s="126" t="s">
        <v>139</v>
      </c>
      <c r="AE107" s="37">
        <v>2048</v>
      </c>
      <c r="AF107" s="674">
        <v>209258.25516617735</v>
      </c>
      <c r="AG107" s="679">
        <v>262621.17921422882</v>
      </c>
      <c r="AH107" s="676">
        <v>135738.43917587103</v>
      </c>
      <c r="AI107" s="164"/>
      <c r="AJ107" s="165"/>
      <c r="AK107" s="166"/>
      <c r="AL107" s="674">
        <v>86557.381456365692</v>
      </c>
      <c r="AM107" s="675">
        <v>75150.81864439862</v>
      </c>
      <c r="AN107" s="681">
        <v>84761.161119212105</v>
      </c>
      <c r="AO107" s="682">
        <v>68205.785287165185</v>
      </c>
      <c r="AP107" s="41"/>
      <c r="AQ107" s="126" t="s">
        <v>180</v>
      </c>
    </row>
    <row r="108" spans="1:43" ht="28.8" x14ac:dyDescent="0.3">
      <c r="A108" s="5"/>
      <c r="B108" s="37">
        <v>2049</v>
      </c>
      <c r="C108" s="687">
        <f t="shared" si="20"/>
        <v>408530757.80737466</v>
      </c>
      <c r="D108" s="692">
        <f t="shared" si="21"/>
        <v>509381573.35178941</v>
      </c>
      <c r="E108" s="689">
        <f t="shared" si="22"/>
        <v>260534018.943077</v>
      </c>
      <c r="F108" s="139"/>
      <c r="G108" s="140"/>
      <c r="H108" s="141"/>
      <c r="I108" s="687">
        <f t="shared" si="23"/>
        <v>164186428.97221771</v>
      </c>
      <c r="J108" s="688">
        <f t="shared" si="24"/>
        <v>133800779.24163269</v>
      </c>
      <c r="K108" s="694">
        <f t="shared" si="25"/>
        <v>160749224.78215405</v>
      </c>
      <c r="L108" s="695">
        <f t="shared" si="26"/>
        <v>128760467.60343346</v>
      </c>
      <c r="M108" s="142"/>
      <c r="N108" s="126" t="s">
        <v>139</v>
      </c>
      <c r="AE108" s="37">
        <v>2049</v>
      </c>
      <c r="AF108" s="674">
        <v>220588.9620990144</v>
      </c>
      <c r="AG108" s="679">
        <v>275044.04608627938</v>
      </c>
      <c r="AH108" s="676">
        <v>140677.11605997678</v>
      </c>
      <c r="AI108" s="164"/>
      <c r="AJ108" s="165"/>
      <c r="AK108" s="166"/>
      <c r="AL108" s="674">
        <v>88653.579358648873</v>
      </c>
      <c r="AM108" s="675">
        <v>72246.641059196918</v>
      </c>
      <c r="AN108" s="681">
        <v>86797.637571357482</v>
      </c>
      <c r="AO108" s="682">
        <v>69525.090498614183</v>
      </c>
      <c r="AP108" s="41"/>
      <c r="AQ108" s="126" t="s">
        <v>180</v>
      </c>
    </row>
    <row r="109" spans="1:43" ht="28.8" x14ac:dyDescent="0.3">
      <c r="A109" s="5"/>
      <c r="B109" s="37">
        <v>2050</v>
      </c>
      <c r="C109" s="687">
        <f t="shared" si="20"/>
        <v>430629312.14330786</v>
      </c>
      <c r="D109" s="692">
        <f t="shared" si="21"/>
        <v>533236683.59004444</v>
      </c>
      <c r="E109" s="689">
        <f t="shared" si="22"/>
        <v>269470848.524903</v>
      </c>
      <c r="F109" s="139"/>
      <c r="G109" s="140"/>
      <c r="H109" s="141"/>
      <c r="I109" s="687">
        <f t="shared" si="23"/>
        <v>168856721.98150456</v>
      </c>
      <c r="J109" s="688">
        <f t="shared" si="24"/>
        <v>127816578.15167694</v>
      </c>
      <c r="K109" s="694">
        <f t="shared" si="25"/>
        <v>165324007.067981</v>
      </c>
      <c r="L109" s="695">
        <f t="shared" si="26"/>
        <v>132092414.5236267</v>
      </c>
      <c r="M109" s="142"/>
      <c r="N109" s="126" t="s">
        <v>139</v>
      </c>
      <c r="AE109" s="37">
        <v>2050</v>
      </c>
      <c r="AF109" s="674">
        <v>232521.2268592375</v>
      </c>
      <c r="AG109" s="679">
        <v>287924.77515661146</v>
      </c>
      <c r="AH109" s="676">
        <v>145502.61799400809</v>
      </c>
      <c r="AI109" s="164"/>
      <c r="AJ109" s="165"/>
      <c r="AK109" s="166"/>
      <c r="AL109" s="674">
        <v>91175.335843145003</v>
      </c>
      <c r="AM109" s="675">
        <v>69015.430967428154</v>
      </c>
      <c r="AN109" s="681">
        <v>89267.822390918474</v>
      </c>
      <c r="AO109" s="682">
        <v>71324.197906925867</v>
      </c>
      <c r="AP109" s="41"/>
      <c r="AQ109" s="126" t="s">
        <v>180</v>
      </c>
    </row>
    <row r="110" spans="1:43" ht="28.8" x14ac:dyDescent="0.3">
      <c r="A110" s="5"/>
      <c r="B110" s="37">
        <v>2051</v>
      </c>
      <c r="C110" s="687">
        <f t="shared" si="20"/>
        <v>453774343.87182844</v>
      </c>
      <c r="D110" s="692">
        <f t="shared" si="21"/>
        <v>557960128.83177876</v>
      </c>
      <c r="E110" s="689">
        <f t="shared" si="22"/>
        <v>280130616.05161047</v>
      </c>
      <c r="F110" s="139"/>
      <c r="G110" s="140"/>
      <c r="H110" s="141"/>
      <c r="I110" s="687">
        <f t="shared" si="23"/>
        <v>172836021.84724143</v>
      </c>
      <c r="J110" s="688">
        <f t="shared" si="24"/>
        <v>121200295.05867928</v>
      </c>
      <c r="K110" s="694">
        <f t="shared" si="25"/>
        <v>169188184.60226822</v>
      </c>
      <c r="L110" s="695">
        <f t="shared" si="26"/>
        <v>134539619.69058466</v>
      </c>
      <c r="M110" s="142"/>
      <c r="N110" s="126" t="s">
        <v>139</v>
      </c>
      <c r="AE110" s="37">
        <v>2051</v>
      </c>
      <c r="AF110" s="674">
        <v>245018.54420725079</v>
      </c>
      <c r="AG110" s="679">
        <v>301274.36761975096</v>
      </c>
      <c r="AH110" s="676">
        <v>151258.43199331019</v>
      </c>
      <c r="AI110" s="164"/>
      <c r="AJ110" s="165"/>
      <c r="AK110" s="166"/>
      <c r="AL110" s="674">
        <v>93323.985878640087</v>
      </c>
      <c r="AM110" s="675">
        <v>65442.923897774992</v>
      </c>
      <c r="AN110" s="681">
        <v>91354.31134031761</v>
      </c>
      <c r="AO110" s="682">
        <v>72645.582986276815</v>
      </c>
      <c r="AP110" s="41"/>
      <c r="AQ110" s="126" t="s">
        <v>180</v>
      </c>
    </row>
    <row r="111" spans="1:43" ht="28.8" x14ac:dyDescent="0.3">
      <c r="A111" s="5"/>
      <c r="B111" s="37">
        <v>2052</v>
      </c>
      <c r="C111" s="687">
        <f t="shared" si="20"/>
        <v>478089007.67764711</v>
      </c>
      <c r="D111" s="692">
        <f t="shared" si="21"/>
        <v>583558894.91297662</v>
      </c>
      <c r="E111" s="689">
        <f t="shared" si="22"/>
        <v>290605892.95469451</v>
      </c>
      <c r="F111" s="139"/>
      <c r="G111" s="140"/>
      <c r="H111" s="141"/>
      <c r="I111" s="687">
        <f t="shared" si="23"/>
        <v>177630134.83200005</v>
      </c>
      <c r="J111" s="688">
        <f t="shared" si="24"/>
        <v>113943329.24626848</v>
      </c>
      <c r="K111" s="694">
        <f t="shared" si="25"/>
        <v>173882915.92356837</v>
      </c>
      <c r="L111" s="695">
        <f t="shared" si="26"/>
        <v>137906335.77367562</v>
      </c>
      <c r="M111" s="142"/>
      <c r="N111" s="126" t="s">
        <v>139</v>
      </c>
      <c r="AE111" s="37">
        <v>2052</v>
      </c>
      <c r="AF111" s="674">
        <v>258147.4123529412</v>
      </c>
      <c r="AG111" s="679">
        <v>315096.59552536532</v>
      </c>
      <c r="AH111" s="676">
        <v>156914.62902521301</v>
      </c>
      <c r="AI111" s="164"/>
      <c r="AJ111" s="165"/>
      <c r="AK111" s="166"/>
      <c r="AL111" s="674">
        <v>95912.599801295917</v>
      </c>
      <c r="AM111" s="675">
        <v>61524.475834918187</v>
      </c>
      <c r="AN111" s="681">
        <v>93889.263457650304</v>
      </c>
      <c r="AO111" s="682">
        <v>74463.464240645582</v>
      </c>
      <c r="AP111" s="41"/>
      <c r="AQ111" s="126" t="s">
        <v>180</v>
      </c>
    </row>
    <row r="112" spans="1:43" ht="28.8" x14ac:dyDescent="0.3">
      <c r="A112" s="5"/>
      <c r="B112" s="37">
        <v>2053</v>
      </c>
      <c r="C112" s="687">
        <f t="shared" si="20"/>
        <v>503568518.50944793</v>
      </c>
      <c r="D112" s="692">
        <f t="shared" si="21"/>
        <v>610048305.73837793</v>
      </c>
      <c r="E112" s="689">
        <f t="shared" si="22"/>
        <v>301548885.01764482</v>
      </c>
      <c r="F112" s="139"/>
      <c r="G112" s="140"/>
      <c r="H112" s="141"/>
      <c r="I112" s="687">
        <f t="shared" si="23"/>
        <v>182754643.2524167</v>
      </c>
      <c r="J112" s="688">
        <f t="shared" si="24"/>
        <v>106025546.50002804</v>
      </c>
      <c r="K112" s="694">
        <f t="shared" si="25"/>
        <v>178912427.75795308</v>
      </c>
      <c r="L112" s="695">
        <f t="shared" si="26"/>
        <v>141611480.75028032</v>
      </c>
      <c r="M112" s="142"/>
      <c r="N112" s="126" t="s">
        <v>139</v>
      </c>
      <c r="AE112" s="37">
        <v>2053</v>
      </c>
      <c r="AF112" s="674">
        <v>271905.24757529586</v>
      </c>
      <c r="AG112" s="679">
        <v>329399.7331200745</v>
      </c>
      <c r="AH112" s="676">
        <v>162823.37203976503</v>
      </c>
      <c r="AI112" s="164"/>
      <c r="AJ112" s="165"/>
      <c r="AK112" s="166"/>
      <c r="AL112" s="674">
        <v>98679.612987266039</v>
      </c>
      <c r="AM112" s="675">
        <v>57249.21517280132</v>
      </c>
      <c r="AN112" s="681">
        <v>96604.982590687403</v>
      </c>
      <c r="AO112" s="682">
        <v>76464.082478553086</v>
      </c>
      <c r="AP112" s="41"/>
      <c r="AQ112" s="126" t="s">
        <v>180</v>
      </c>
    </row>
    <row r="113" spans="1:44" ht="28.8" x14ac:dyDescent="0.3">
      <c r="A113" s="5"/>
      <c r="B113" s="37">
        <v>2054</v>
      </c>
      <c r="C113" s="687">
        <f t="shared" si="20"/>
        <v>530239519.23374701</v>
      </c>
      <c r="D113" s="692">
        <f t="shared" si="21"/>
        <v>637441194.30465734</v>
      </c>
      <c r="E113" s="689">
        <f t="shared" si="22"/>
        <v>312971648.4281292</v>
      </c>
      <c r="F113" s="139"/>
      <c r="G113" s="140"/>
      <c r="H113" s="141"/>
      <c r="I113" s="687">
        <f t="shared" si="23"/>
        <v>188222493.31975594</v>
      </c>
      <c r="J113" s="688">
        <f t="shared" si="24"/>
        <v>97429983.204923615</v>
      </c>
      <c r="K113" s="694">
        <f t="shared" si="25"/>
        <v>184289984.94954473</v>
      </c>
      <c r="L113" s="695">
        <f t="shared" si="26"/>
        <v>145670104.07450882</v>
      </c>
      <c r="M113" s="142"/>
      <c r="N113" s="126" t="s">
        <v>139</v>
      </c>
      <c r="AE113" s="37">
        <v>2054</v>
      </c>
      <c r="AF113" s="674">
        <v>286306.43587135366</v>
      </c>
      <c r="AG113" s="679">
        <v>344190.70966774155</v>
      </c>
      <c r="AH113" s="676">
        <v>168991.17085752115</v>
      </c>
      <c r="AI113" s="164"/>
      <c r="AJ113" s="165"/>
      <c r="AK113" s="166"/>
      <c r="AL113" s="674">
        <v>101632.0158314017</v>
      </c>
      <c r="AM113" s="675">
        <v>52607.982292075387</v>
      </c>
      <c r="AN113" s="681">
        <v>99508.631182259574</v>
      </c>
      <c r="AO113" s="682">
        <v>78655.563755134353</v>
      </c>
      <c r="AP113" s="41"/>
      <c r="AQ113" s="126" t="s">
        <v>180</v>
      </c>
    </row>
    <row r="114" spans="1:44" ht="28.8" x14ac:dyDescent="0.3">
      <c r="A114" s="5"/>
      <c r="B114" s="37">
        <v>2055</v>
      </c>
      <c r="C114" s="687">
        <f t="shared" si="20"/>
        <v>558128320.25715303</v>
      </c>
      <c r="D114" s="692">
        <f t="shared" si="21"/>
        <v>665750213.50469339</v>
      </c>
      <c r="E114" s="689">
        <f t="shared" si="22"/>
        <v>324886115.816333</v>
      </c>
      <c r="F114" s="139"/>
      <c r="G114" s="140"/>
      <c r="H114" s="141"/>
      <c r="I114" s="687">
        <f t="shared" si="23"/>
        <v>194046517.18043754</v>
      </c>
      <c r="J114" s="688">
        <f t="shared" si="24"/>
        <v>88139938.33712317</v>
      </c>
      <c r="K114" s="694">
        <f t="shared" si="25"/>
        <v>190028735.00661808</v>
      </c>
      <c r="L114" s="695">
        <f t="shared" si="26"/>
        <v>150097122.05580172</v>
      </c>
      <c r="M114" s="142"/>
      <c r="N114" s="126" t="s">
        <v>139</v>
      </c>
      <c r="AE114" s="37">
        <v>2055</v>
      </c>
      <c r="AF114" s="674">
        <v>301365.18372416473</v>
      </c>
      <c r="AG114" s="679">
        <v>359476.35718395968</v>
      </c>
      <c r="AH114" s="676">
        <v>175424.46858333316</v>
      </c>
      <c r="AI114" s="164"/>
      <c r="AJ114" s="165"/>
      <c r="AK114" s="166"/>
      <c r="AL114" s="674">
        <v>104776.73713846519</v>
      </c>
      <c r="AM114" s="675">
        <v>47591.759361297605</v>
      </c>
      <c r="AN114" s="681">
        <v>102607.30831890825</v>
      </c>
      <c r="AO114" s="682">
        <v>81045.962233154278</v>
      </c>
      <c r="AP114" s="41"/>
      <c r="AQ114" s="126" t="s">
        <v>180</v>
      </c>
    </row>
    <row r="115" spans="1:44" ht="28.8" x14ac:dyDescent="0.3">
      <c r="A115" s="5"/>
      <c r="B115" s="37">
        <v>2056</v>
      </c>
      <c r="C115" s="687">
        <f t="shared" si="20"/>
        <v>587260961.82447398</v>
      </c>
      <c r="D115" s="692">
        <f t="shared" si="21"/>
        <v>694987912.21225977</v>
      </c>
      <c r="E115" s="689">
        <f t="shared" si="22"/>
        <v>337304129.64370978</v>
      </c>
      <c r="F115" s="139"/>
      <c r="G115" s="140"/>
      <c r="H115" s="141"/>
      <c r="I115" s="687">
        <f t="shared" si="23"/>
        <v>200239449.718225</v>
      </c>
      <c r="J115" s="688">
        <f t="shared" si="24"/>
        <v>78138977.663412303</v>
      </c>
      <c r="K115" s="694">
        <f t="shared" si="25"/>
        <v>196141724.39084235</v>
      </c>
      <c r="L115" s="695">
        <f t="shared" si="26"/>
        <v>154907329.08327988</v>
      </c>
      <c r="M115" s="142"/>
      <c r="N115" s="126" t="s">
        <v>139</v>
      </c>
      <c r="AE115" s="37">
        <v>2056</v>
      </c>
      <c r="AF115" s="674">
        <v>317095.55174107663</v>
      </c>
      <c r="AG115" s="679">
        <v>375263.45151849877</v>
      </c>
      <c r="AH115" s="676">
        <v>182129.6596348325</v>
      </c>
      <c r="AI115" s="164"/>
      <c r="AJ115" s="165"/>
      <c r="AK115" s="166"/>
      <c r="AL115" s="674">
        <v>108120.65319558585</v>
      </c>
      <c r="AM115" s="675">
        <v>42191.672604434287</v>
      </c>
      <c r="AN115" s="681">
        <v>105908.05852637276</v>
      </c>
      <c r="AO115" s="682">
        <v>83643.266243671635</v>
      </c>
      <c r="AP115" s="41"/>
      <c r="AQ115" s="126" t="s">
        <v>180</v>
      </c>
    </row>
    <row r="116" spans="1:44" ht="28.8" x14ac:dyDescent="0.3">
      <c r="A116" s="5"/>
      <c r="B116" s="37">
        <v>2057</v>
      </c>
      <c r="C116" s="687">
        <f t="shared" si="20"/>
        <v>617663231.50284469</v>
      </c>
      <c r="D116" s="692">
        <f t="shared" si="21"/>
        <v>725166754.59340775</v>
      </c>
      <c r="E116" s="689">
        <f t="shared" si="22"/>
        <v>350237447.52679312</v>
      </c>
      <c r="F116" s="139"/>
      <c r="G116" s="140"/>
      <c r="H116" s="141"/>
      <c r="I116" s="687">
        <f t="shared" si="23"/>
        <v>206813928.46597415</v>
      </c>
      <c r="J116" s="688">
        <f t="shared" si="24"/>
        <v>67410923.867030129</v>
      </c>
      <c r="K116" s="694">
        <f t="shared" si="25"/>
        <v>202641898.32066664</v>
      </c>
      <c r="L116" s="695">
        <f t="shared" si="26"/>
        <v>160115396.10211167</v>
      </c>
      <c r="M116" s="142"/>
      <c r="N116" s="126" t="s">
        <v>139</v>
      </c>
      <c r="AE116" s="37">
        <v>2057</v>
      </c>
      <c r="AF116" s="674">
        <v>333511.46409440855</v>
      </c>
      <c r="AG116" s="679">
        <v>391558.72278261755</v>
      </c>
      <c r="AH116" s="676">
        <v>189113.09261705892</v>
      </c>
      <c r="AI116" s="164"/>
      <c r="AJ116" s="165"/>
      <c r="AK116" s="166"/>
      <c r="AL116" s="674">
        <v>111670.58772460808</v>
      </c>
      <c r="AM116" s="675">
        <v>36398.986969238729</v>
      </c>
      <c r="AN116" s="681">
        <v>109417.87166342691</v>
      </c>
      <c r="AO116" s="682">
        <v>86455.397463343237</v>
      </c>
      <c r="AP116" s="41"/>
      <c r="AQ116" s="126" t="s">
        <v>180</v>
      </c>
    </row>
    <row r="117" spans="1:44" ht="28.8" x14ac:dyDescent="0.3">
      <c r="A117" s="5"/>
      <c r="B117" s="37">
        <v>2058</v>
      </c>
      <c r="C117" s="687">
        <f t="shared" si="20"/>
        <v>649360693.51287889</v>
      </c>
      <c r="D117" s="692">
        <f t="shared" si="21"/>
        <v>756299151.71238232</v>
      </c>
      <c r="E117" s="689">
        <f t="shared" si="22"/>
        <v>363697753.94451332</v>
      </c>
      <c r="F117" s="139"/>
      <c r="G117" s="140"/>
      <c r="H117" s="141"/>
      <c r="I117" s="687">
        <f t="shared" si="23"/>
        <v>213782497.73135608</v>
      </c>
      <c r="J117" s="688">
        <f t="shared" si="24"/>
        <v>55939846.057848707</v>
      </c>
      <c r="K117" s="694">
        <f t="shared" si="25"/>
        <v>209542104.75179285</v>
      </c>
      <c r="L117" s="695">
        <f t="shared" si="26"/>
        <v>165735872.76120082</v>
      </c>
      <c r="M117" s="142"/>
      <c r="N117" s="126" t="s">
        <v>139</v>
      </c>
      <c r="AE117" s="37">
        <v>2058</v>
      </c>
      <c r="AF117" s="674">
        <v>350626.72435900586</v>
      </c>
      <c r="AG117" s="679">
        <v>408368.87241489324</v>
      </c>
      <c r="AH117" s="676">
        <v>196381.07664390569</v>
      </c>
      <c r="AI117" s="164"/>
      <c r="AJ117" s="165"/>
      <c r="AK117" s="166"/>
      <c r="AL117" s="674">
        <v>115433.3141098035</v>
      </c>
      <c r="AM117" s="675">
        <v>30205.100463201245</v>
      </c>
      <c r="AN117" s="681">
        <v>113143.68507116244</v>
      </c>
      <c r="AO117" s="682">
        <v>89490.212074082519</v>
      </c>
      <c r="AP117" s="41"/>
      <c r="AQ117" s="126" t="s">
        <v>180</v>
      </c>
    </row>
    <row r="118" spans="1:44" ht="29.4" x14ac:dyDescent="0.35">
      <c r="A118" s="5"/>
      <c r="B118" s="37">
        <v>2059</v>
      </c>
      <c r="C118" s="687">
        <f t="shared" si="20"/>
        <v>682378707.61192894</v>
      </c>
      <c r="D118" s="692">
        <f t="shared" si="21"/>
        <v>788397479.06868625</v>
      </c>
      <c r="E118" s="689">
        <f t="shared" si="22"/>
        <v>377696665.56082892</v>
      </c>
      <c r="F118" s="139"/>
      <c r="G118" s="140"/>
      <c r="H118" s="141"/>
      <c r="I118" s="687">
        <f t="shared" si="23"/>
        <v>221157609.37871844</v>
      </c>
      <c r="J118" s="688">
        <f t="shared" si="24"/>
        <v>43710045.804832481</v>
      </c>
      <c r="K118" s="694">
        <f t="shared" si="25"/>
        <v>216855095.13208598</v>
      </c>
      <c r="L118" s="695">
        <f t="shared" si="26"/>
        <v>171783187.39370435</v>
      </c>
      <c r="M118" s="142"/>
      <c r="N118" s="126" t="s">
        <v>139</v>
      </c>
      <c r="AE118" s="37">
        <v>2059</v>
      </c>
      <c r="AF118" s="674">
        <v>368455.02570838493</v>
      </c>
      <c r="AG118" s="679">
        <v>425700.58265047852</v>
      </c>
      <c r="AH118" s="676">
        <v>203939.88421211066</v>
      </c>
      <c r="AI118" s="164"/>
      <c r="AJ118" s="165"/>
      <c r="AK118" s="166"/>
      <c r="AL118" s="674">
        <v>119415.55582004235</v>
      </c>
      <c r="AM118" s="675">
        <v>23601.536611680604</v>
      </c>
      <c r="AN118" s="681">
        <v>117092.38398060798</v>
      </c>
      <c r="AO118" s="682">
        <v>92755.500752540145</v>
      </c>
      <c r="AP118" s="41"/>
      <c r="AQ118" s="126" t="s">
        <v>180</v>
      </c>
      <c r="AR118" s="248" t="s">
        <v>246</v>
      </c>
    </row>
    <row r="119" spans="1:44" ht="15.75" customHeight="1" thickBot="1" x14ac:dyDescent="0.35">
      <c r="A119" s="5"/>
      <c r="B119" s="37">
        <v>2060</v>
      </c>
      <c r="C119" s="687">
        <f t="shared" si="20"/>
        <v>716742311.69705105</v>
      </c>
      <c r="D119" s="692">
        <f t="shared" si="21"/>
        <v>821473936.70297194</v>
      </c>
      <c r="E119" s="689">
        <f t="shared" si="22"/>
        <v>392245661.9345029</v>
      </c>
      <c r="F119" s="139"/>
      <c r="G119" s="140"/>
      <c r="H119" s="141"/>
      <c r="I119" s="687">
        <f t="shared" si="23"/>
        <v>228951580.58531621</v>
      </c>
      <c r="J119" s="688">
        <f t="shared" si="24"/>
        <v>30706036.402574915</v>
      </c>
      <c r="K119" s="694">
        <f t="shared" si="25"/>
        <v>224593482.99374112</v>
      </c>
      <c r="L119" s="695">
        <f t="shared" si="26"/>
        <v>178271613.89841229</v>
      </c>
      <c r="M119" s="151"/>
      <c r="N119" s="126" t="s">
        <v>139</v>
      </c>
      <c r="AE119" s="37">
        <v>2060</v>
      </c>
      <c r="AF119" s="674">
        <v>387009.88752540556</v>
      </c>
      <c r="AG119" s="679">
        <v>443560.44098432612</v>
      </c>
      <c r="AH119" s="676">
        <v>211795.71378752857</v>
      </c>
      <c r="AI119" s="164"/>
      <c r="AJ119" s="165"/>
      <c r="AK119" s="166"/>
      <c r="AL119" s="674">
        <v>123623.96359898284</v>
      </c>
      <c r="AM119" s="675">
        <v>16579.933262729435</v>
      </c>
      <c r="AN119" s="681">
        <v>121270.77915428787</v>
      </c>
      <c r="AO119" s="682">
        <v>96258.970787479644</v>
      </c>
      <c r="AP119" s="63"/>
      <c r="AQ119" s="126" t="s">
        <v>180</v>
      </c>
    </row>
    <row r="120" spans="1:44" ht="14.4" x14ac:dyDescent="0.3">
      <c r="A120" s="5"/>
      <c r="B120" s="5"/>
      <c r="C120" s="5"/>
      <c r="D120" s="5"/>
      <c r="E120" s="5"/>
      <c r="F120" s="5"/>
      <c r="G120" s="5"/>
      <c r="H120" s="5"/>
      <c r="I120" s="5"/>
      <c r="J120" s="5"/>
      <c r="K120" s="5"/>
      <c r="L120" s="5"/>
      <c r="M120" s="5"/>
      <c r="N120" s="5"/>
      <c r="AF120" s="5"/>
      <c r="AG120" s="5"/>
      <c r="AH120" s="5"/>
      <c r="AI120" s="5"/>
      <c r="AJ120" s="5"/>
      <c r="AK120" s="5"/>
      <c r="AL120" s="5"/>
      <c r="AM120" s="5"/>
      <c r="AN120" s="5"/>
      <c r="AQ120" s="5"/>
    </row>
    <row r="121" spans="1:44" ht="15" customHeight="1" x14ac:dyDescent="0.35">
      <c r="D121" s="248" t="s">
        <v>246</v>
      </c>
      <c r="AH121" s="248" t="s">
        <v>246</v>
      </c>
    </row>
  </sheetData>
  <mergeCells count="23">
    <mergeCell ref="AS72:AU78"/>
    <mergeCell ref="R2:T3"/>
    <mergeCell ref="A2:J4"/>
    <mergeCell ref="L2:M2"/>
    <mergeCell ref="L3:M3"/>
    <mergeCell ref="N2:P2"/>
    <mergeCell ref="N3:P3"/>
    <mergeCell ref="AI69:AK69"/>
    <mergeCell ref="AL69:AN69"/>
    <mergeCell ref="AO69:AP69"/>
    <mergeCell ref="C9:E9"/>
    <mergeCell ref="F9:H9"/>
    <mergeCell ref="I9:K9"/>
    <mergeCell ref="L9:M9"/>
    <mergeCell ref="C69:E69"/>
    <mergeCell ref="F69:H69"/>
    <mergeCell ref="AL9:AN9"/>
    <mergeCell ref="AO9:AP9"/>
    <mergeCell ref="I69:K69"/>
    <mergeCell ref="L69:M69"/>
    <mergeCell ref="AF69:AH69"/>
    <mergeCell ref="AF9:AH9"/>
    <mergeCell ref="AI9:AK9"/>
  </mergeCells>
  <hyperlinks>
    <hyperlink ref="AH121" location="'Freight TAM Data'!A1" display="Back to Top Left" xr:uid="{8BECCC49-2C14-40BA-8E46-089C8C870E98}"/>
    <hyperlink ref="D121" location="'Freight TAM Data'!A1" display="Back to Top Left" xr:uid="{D9280B3C-27A4-4FB1-82EF-E62F42F2E24E}"/>
    <hyperlink ref="D61" location="'Freight TAM Data'!A1" display="Back to Top Left" xr:uid="{8C5D892E-BCE4-4ACB-ADCC-C7F1CC0782FB}"/>
    <hyperlink ref="AG61" location="'Freight TAM Data'!A1" display="Back to Top Left" xr:uid="{DFED4597-9FF8-45A9-9950-B1D31F8D0E7C}"/>
    <hyperlink ref="AR58" location="'Freight TAM Data'!A1" display="Back to Top Left" xr:uid="{2FBA70CD-0252-4E8C-ACAE-AAAD7C1CB19B}"/>
    <hyperlink ref="AR118" location="'Freight TAM Data'!A1" display="Back to Top Left" xr:uid="{9210A3DE-BF67-4A7B-9B56-E9EA89D873E9}"/>
    <hyperlink ref="L2:M2" location="'Freight TAM Data'!C9:N59" display="All Freight - Million ton-km" xr:uid="{3D8E953F-82A5-4593-AFF8-3A1DCD078FC6}"/>
    <hyperlink ref="L3:M3" location="'Freight TAM Data'!C69:N119" display="Maritime Freight - Million ton-km" xr:uid="{36289486-3DD5-45EC-89AA-93649D00ADF6}"/>
    <hyperlink ref="N2:P2" location="'Freight TAM Data'!AF9:AQ59" display="All Freight - Billion Ton-nautical Mile" xr:uid="{81115F21-329E-4617-BA91-91180E0602E3}"/>
    <hyperlink ref="N3:P3" location="'Freight TAM Data'!AF69:AQ119" display="Maritime Freight - Billion Ton-nautical Mile" xr:uid="{EC8FEE16-C136-403F-AC0D-762A9154CC5E}"/>
    <hyperlink ref="R2:T3" location="'Table of Contents'!A1" display="Back to Table of Contents" xr:uid="{73E4300A-139E-4C8B-B83C-5A31DF598FB6}"/>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4" tint="0.39997558519241921"/>
  </sheetPr>
  <dimension ref="A1:AB983"/>
  <sheetViews>
    <sheetView zoomScale="70" zoomScaleNormal="70" workbookViewId="0">
      <selection activeCell="P536" sqref="P536"/>
    </sheetView>
  </sheetViews>
  <sheetFormatPr defaultColWidth="15.21875" defaultRowHeight="15" customHeight="1" x14ac:dyDescent="0.3"/>
  <cols>
    <col min="1" max="1" width="29.77734375" customWidth="1"/>
    <col min="2" max="2" width="7.5546875" customWidth="1"/>
    <col min="3" max="3" width="7.44140625" customWidth="1"/>
    <col min="4" max="4" width="7.5546875" hidden="1" customWidth="1"/>
    <col min="5" max="9" width="15" customWidth="1"/>
    <col min="10" max="11" width="9.77734375" customWidth="1"/>
    <col min="12" max="15" width="7.5546875" customWidth="1"/>
    <col min="16" max="16" width="34.5546875" bestFit="1" customWidth="1"/>
    <col min="17" max="19" width="12.5546875" customWidth="1"/>
    <col min="20" max="20" width="2.44140625" customWidth="1"/>
    <col min="21" max="21" width="27.5546875" customWidth="1"/>
    <col min="22" max="26" width="7.5546875" customWidth="1"/>
  </cols>
  <sheetData>
    <row r="1" spans="1:28" ht="21.6" thickBot="1" x14ac:dyDescent="0.45">
      <c r="A1" s="115" t="s">
        <v>212</v>
      </c>
      <c r="B1" s="115"/>
      <c r="C1" s="115"/>
      <c r="D1" s="115"/>
      <c r="E1" s="115"/>
      <c r="F1" s="115"/>
      <c r="G1" s="115"/>
      <c r="H1" s="2"/>
      <c r="I1" s="2"/>
      <c r="J1" s="2"/>
      <c r="K1" s="2"/>
    </row>
    <row r="2" spans="1:28" ht="14.4" x14ac:dyDescent="0.3">
      <c r="A2" s="864" t="s">
        <v>214</v>
      </c>
      <c r="B2" s="864"/>
      <c r="C2" s="864"/>
      <c r="D2" s="864"/>
      <c r="E2" s="864"/>
      <c r="F2" s="864"/>
      <c r="G2" s="864"/>
      <c r="H2" s="864"/>
      <c r="I2" s="864"/>
      <c r="J2" s="864"/>
      <c r="K2" s="864"/>
      <c r="L2" s="864"/>
      <c r="M2" s="864"/>
      <c r="N2" s="864"/>
      <c r="O2" s="864"/>
      <c r="Q2" s="815" t="s">
        <v>467</v>
      </c>
      <c r="R2" s="816"/>
      <c r="S2" s="817"/>
    </row>
    <row r="3" spans="1:28" s="184" customFormat="1" thickBot="1" x14ac:dyDescent="0.35">
      <c r="A3" s="864"/>
      <c r="B3" s="864"/>
      <c r="C3" s="864"/>
      <c r="D3" s="864"/>
      <c r="E3" s="864"/>
      <c r="F3" s="864"/>
      <c r="G3" s="864"/>
      <c r="H3" s="864"/>
      <c r="I3" s="864"/>
      <c r="J3" s="864"/>
      <c r="K3" s="864"/>
      <c r="L3" s="864"/>
      <c r="M3" s="864"/>
      <c r="N3" s="864"/>
      <c r="O3" s="864"/>
      <c r="Q3" s="818"/>
      <c r="R3" s="819"/>
      <c r="S3" s="820"/>
    </row>
    <row r="4" spans="1:28" s="184" customFormat="1" ht="14.4" x14ac:dyDescent="0.3">
      <c r="A4" s="864"/>
      <c r="B4" s="864"/>
      <c r="C4" s="864"/>
      <c r="D4" s="864"/>
      <c r="E4" s="864"/>
      <c r="F4" s="864"/>
      <c r="G4" s="864"/>
      <c r="H4" s="864"/>
      <c r="I4" s="864"/>
      <c r="J4" s="864"/>
      <c r="K4" s="864"/>
      <c r="L4" s="864"/>
      <c r="M4" s="864"/>
      <c r="N4" s="864"/>
      <c r="O4" s="864"/>
    </row>
    <row r="5" spans="1:28" s="184" customFormat="1" ht="14.4" x14ac:dyDescent="0.3">
      <c r="A5" s="5"/>
      <c r="C5" s="5"/>
      <c r="E5" s="5"/>
      <c r="F5" s="5"/>
      <c r="G5" s="5"/>
      <c r="H5" s="5"/>
      <c r="I5" s="5"/>
      <c r="J5" s="5"/>
      <c r="K5" s="5"/>
    </row>
    <row r="6" spans="1:28" ht="14.4" x14ac:dyDescent="0.3">
      <c r="A6" s="2"/>
      <c r="C6" s="2"/>
      <c r="E6" s="2"/>
      <c r="F6" s="2"/>
      <c r="G6" s="2"/>
      <c r="H6" s="2"/>
      <c r="I6" s="2"/>
      <c r="J6" s="2"/>
      <c r="K6" s="2"/>
    </row>
    <row r="7" spans="1:28" s="137" customFormat="1" ht="15.75" customHeight="1" x14ac:dyDescent="0.4">
      <c r="A7" s="115" t="s">
        <v>166</v>
      </c>
      <c r="B7" s="138"/>
      <c r="C7" s="116"/>
      <c r="D7" s="138"/>
      <c r="E7" s="116"/>
      <c r="F7" s="116"/>
      <c r="G7" s="116"/>
      <c r="H7" s="116"/>
      <c r="I7" s="116"/>
      <c r="J7" s="116"/>
      <c r="K7" s="116"/>
      <c r="L7" s="138"/>
      <c r="M7" s="138"/>
      <c r="N7" s="138"/>
      <c r="O7" s="138"/>
      <c r="P7" s="138"/>
      <c r="Q7" s="138"/>
      <c r="R7" s="138"/>
      <c r="S7" s="138"/>
      <c r="T7" s="138"/>
      <c r="U7" s="138"/>
      <c r="V7" s="138"/>
      <c r="W7" s="138"/>
      <c r="X7" s="138"/>
      <c r="Y7" s="138"/>
      <c r="Z7" s="138"/>
      <c r="AA7" s="138"/>
      <c r="AB7" s="138"/>
    </row>
    <row r="8" spans="1:28" ht="14.4" x14ac:dyDescent="0.3">
      <c r="A8" s="2"/>
      <c r="C8" s="2"/>
      <c r="E8" s="2"/>
      <c r="F8" s="2"/>
      <c r="G8" s="2"/>
      <c r="H8" s="2"/>
      <c r="I8" s="2"/>
      <c r="J8" s="2"/>
      <c r="K8" s="2"/>
    </row>
    <row r="9" spans="1:28" s="186" customFormat="1" ht="21" x14ac:dyDescent="0.4">
      <c r="A9" s="185" t="s">
        <v>186</v>
      </c>
      <c r="B9" s="185"/>
      <c r="C9" s="185"/>
      <c r="D9" s="185"/>
      <c r="E9" s="185"/>
      <c r="F9" s="185"/>
      <c r="G9" s="185"/>
      <c r="H9" s="185"/>
      <c r="I9" s="185"/>
      <c r="J9" s="185"/>
      <c r="K9" s="185"/>
      <c r="L9" s="185"/>
      <c r="M9" s="185"/>
      <c r="N9" s="185"/>
    </row>
    <row r="10" spans="1:28" ht="14.4" x14ac:dyDescent="0.3">
      <c r="A10" s="2"/>
      <c r="C10" s="2"/>
      <c r="E10" s="2"/>
      <c r="F10" s="2"/>
      <c r="G10" s="2"/>
      <c r="H10" s="2"/>
      <c r="I10" s="2"/>
      <c r="J10" s="2"/>
      <c r="K10" s="2"/>
    </row>
    <row r="11" spans="1:28" s="186" customFormat="1" ht="15" customHeight="1" x14ac:dyDescent="0.3">
      <c r="A11" s="187">
        <v>1</v>
      </c>
      <c r="B11" s="188" t="s">
        <v>187</v>
      </c>
      <c r="C11" s="189"/>
      <c r="D11" s="189"/>
      <c r="E11" s="189"/>
      <c r="F11" s="189"/>
      <c r="G11" s="189"/>
      <c r="H11" s="189"/>
      <c r="I11" s="189"/>
      <c r="J11" s="189"/>
      <c r="K11" s="189"/>
    </row>
    <row r="12" spans="1:28" s="186" customFormat="1" ht="15" customHeight="1" x14ac:dyDescent="0.3">
      <c r="A12" s="190" t="s">
        <v>74</v>
      </c>
      <c r="B12" s="191"/>
      <c r="C12" s="191"/>
      <c r="D12" s="192"/>
      <c r="E12" s="193"/>
      <c r="F12" s="928"/>
      <c r="G12" s="193"/>
      <c r="H12" s="194"/>
      <c r="I12" s="195"/>
      <c r="J12" s="195"/>
      <c r="K12" s="195"/>
    </row>
    <row r="13" spans="1:28" s="186" customFormat="1" ht="15" customHeight="1" thickBot="1" x14ac:dyDescent="0.35">
      <c r="A13" s="196" t="s">
        <v>75</v>
      </c>
      <c r="B13" s="197"/>
      <c r="C13" s="197"/>
      <c r="D13" s="198"/>
      <c r="E13" s="199" t="s">
        <v>78</v>
      </c>
      <c r="F13" s="929"/>
      <c r="G13" s="200" t="s">
        <v>188</v>
      </c>
      <c r="H13" s="194"/>
      <c r="I13" s="195"/>
      <c r="J13" s="195"/>
      <c r="K13" s="195"/>
    </row>
    <row r="14" spans="1:28" s="186" customFormat="1" ht="33.450000000000003" customHeight="1" thickBot="1" x14ac:dyDescent="0.35">
      <c r="A14" s="201"/>
      <c r="B14" s="201"/>
      <c r="C14" s="201"/>
      <c r="D14" s="202"/>
      <c r="E14" s="203" t="s">
        <v>124</v>
      </c>
      <c r="F14" s="203" t="s">
        <v>179</v>
      </c>
      <c r="G14" s="200" t="s">
        <v>81</v>
      </c>
      <c r="H14" s="203" t="s">
        <v>126</v>
      </c>
      <c r="I14" s="203" t="s">
        <v>83</v>
      </c>
      <c r="J14" s="921" t="s">
        <v>84</v>
      </c>
      <c r="K14" s="922"/>
    </row>
    <row r="15" spans="1:28" s="186" customFormat="1" ht="15" customHeight="1" x14ac:dyDescent="0.3">
      <c r="A15" s="190" t="s">
        <v>85</v>
      </c>
      <c r="B15" s="201"/>
      <c r="C15" s="204">
        <v>2005</v>
      </c>
      <c r="D15" s="205">
        <v>-9</v>
      </c>
      <c r="E15" s="762">
        <v>153.69800000000001</v>
      </c>
      <c r="F15" s="763">
        <v>153698</v>
      </c>
      <c r="G15" s="764">
        <v>153698</v>
      </c>
      <c r="H15" s="765">
        <v>153698</v>
      </c>
      <c r="I15" s="927" t="s">
        <v>86</v>
      </c>
      <c r="J15" s="923"/>
      <c r="K15" s="924"/>
      <c r="P15" s="652" t="s">
        <v>690</v>
      </c>
      <c r="Q15" s="652"/>
      <c r="R15" s="652"/>
      <c r="S15" s="652"/>
      <c r="T15" s="652"/>
      <c r="U15" s="652"/>
    </row>
    <row r="16" spans="1:28" s="186" customFormat="1" ht="15" customHeight="1" x14ac:dyDescent="0.3">
      <c r="A16" s="196" t="s">
        <v>87</v>
      </c>
      <c r="B16" s="201"/>
      <c r="C16" s="206">
        <v>2006</v>
      </c>
      <c r="D16" s="207">
        <v>-8</v>
      </c>
      <c r="E16" s="766">
        <v>163.85</v>
      </c>
      <c r="F16" s="763">
        <v>163850</v>
      </c>
      <c r="G16" s="767">
        <v>163850</v>
      </c>
      <c r="H16" s="768">
        <v>163850</v>
      </c>
      <c r="I16" s="923"/>
      <c r="J16" s="923"/>
      <c r="K16" s="924"/>
      <c r="P16" s="656" t="s">
        <v>696</v>
      </c>
      <c r="Q16" s="650"/>
      <c r="R16" s="650"/>
      <c r="S16" s="650"/>
      <c r="T16" s="650"/>
      <c r="U16" s="650"/>
    </row>
    <row r="17" spans="1:21" s="186" customFormat="1" ht="15" customHeight="1" thickBot="1" x14ac:dyDescent="0.35">
      <c r="A17" s="201"/>
      <c r="B17" s="201"/>
      <c r="C17" s="206">
        <v>2007</v>
      </c>
      <c r="D17" s="207">
        <v>-7</v>
      </c>
      <c r="E17" s="766">
        <v>171.72300000000001</v>
      </c>
      <c r="F17" s="763">
        <v>171723</v>
      </c>
      <c r="G17" s="767">
        <v>171723</v>
      </c>
      <c r="H17" s="768">
        <v>171723</v>
      </c>
      <c r="I17" s="923"/>
      <c r="J17" s="923"/>
      <c r="K17" s="924"/>
      <c r="P17" s="658"/>
      <c r="Q17" s="664" t="s">
        <v>667</v>
      </c>
      <c r="R17" s="664" t="s">
        <v>668</v>
      </c>
      <c r="S17" s="664" t="s">
        <v>669</v>
      </c>
      <c r="T17" s="665"/>
      <c r="U17" s="665" t="s">
        <v>677</v>
      </c>
    </row>
    <row r="18" spans="1:21" s="186" customFormat="1" ht="15" customHeight="1" x14ac:dyDescent="0.3">
      <c r="A18" s="208" t="s">
        <v>88</v>
      </c>
      <c r="B18" s="201"/>
      <c r="C18" s="206">
        <v>2008</v>
      </c>
      <c r="D18" s="207">
        <v>-6</v>
      </c>
      <c r="E18" s="766">
        <v>170.07300000000001</v>
      </c>
      <c r="F18" s="763">
        <v>170073</v>
      </c>
      <c r="G18" s="767">
        <v>170073</v>
      </c>
      <c r="H18" s="768">
        <v>170073</v>
      </c>
      <c r="I18" s="923"/>
      <c r="J18" s="925"/>
      <c r="K18" s="926"/>
      <c r="P18" s="186" t="s">
        <v>674</v>
      </c>
      <c r="Q18" s="660" t="s">
        <v>688</v>
      </c>
      <c r="R18" s="660" t="s">
        <v>688</v>
      </c>
      <c r="S18" s="660" t="s">
        <v>688</v>
      </c>
      <c r="U18" s="186" t="s">
        <v>694</v>
      </c>
    </row>
    <row r="19" spans="1:21" s="186" customFormat="1" ht="15" customHeight="1" x14ac:dyDescent="0.3">
      <c r="A19" s="935" t="s">
        <v>189</v>
      </c>
      <c r="B19" s="201"/>
      <c r="C19" s="206">
        <v>2009</v>
      </c>
      <c r="D19" s="207">
        <v>-5</v>
      </c>
      <c r="E19" s="766">
        <v>154.976</v>
      </c>
      <c r="F19" s="763">
        <v>154976</v>
      </c>
      <c r="G19" s="767">
        <v>154976</v>
      </c>
      <c r="H19" s="768">
        <v>154976</v>
      </c>
      <c r="I19" s="923"/>
      <c r="J19" s="195"/>
      <c r="K19" s="195"/>
      <c r="P19" s="657" t="s">
        <v>676</v>
      </c>
      <c r="Q19" s="654" t="s">
        <v>688</v>
      </c>
      <c r="R19" s="655"/>
      <c r="S19" s="655"/>
      <c r="T19" s="657"/>
      <c r="U19" s="657" t="s">
        <v>683</v>
      </c>
    </row>
    <row r="20" spans="1:21" s="186" customFormat="1" ht="15" customHeight="1" thickBot="1" x14ac:dyDescent="0.35">
      <c r="A20" s="936"/>
      <c r="B20" s="201"/>
      <c r="C20" s="206">
        <v>2010</v>
      </c>
      <c r="D20" s="207">
        <v>-4</v>
      </c>
      <c r="E20" s="766">
        <v>185.62100000000001</v>
      </c>
      <c r="F20" s="763">
        <v>185621</v>
      </c>
      <c r="G20" s="767">
        <v>185621</v>
      </c>
      <c r="H20" s="768">
        <v>185621</v>
      </c>
      <c r="I20" s="923"/>
      <c r="J20" s="195"/>
      <c r="K20" s="195"/>
      <c r="P20" s="658" t="s">
        <v>675</v>
      </c>
      <c r="Q20" s="659" t="s">
        <v>691</v>
      </c>
      <c r="R20" s="659" t="s">
        <v>692</v>
      </c>
      <c r="S20" s="659" t="s">
        <v>693</v>
      </c>
      <c r="T20" s="658"/>
      <c r="U20" s="658" t="s">
        <v>683</v>
      </c>
    </row>
    <row r="21" spans="1:21" s="186" customFormat="1" ht="15" customHeight="1" x14ac:dyDescent="0.3">
      <c r="A21" s="936"/>
      <c r="B21" s="201"/>
      <c r="C21" s="206">
        <v>2011</v>
      </c>
      <c r="D21" s="207">
        <v>-3</v>
      </c>
      <c r="E21" s="766">
        <v>186.178</v>
      </c>
      <c r="F21" s="763">
        <v>186178</v>
      </c>
      <c r="G21" s="767">
        <v>186178</v>
      </c>
      <c r="H21" s="768">
        <v>186178</v>
      </c>
      <c r="I21" s="925"/>
      <c r="J21" s="195"/>
      <c r="K21" s="195"/>
      <c r="P21" s="661" t="s">
        <v>679</v>
      </c>
      <c r="Q21" s="662" t="s">
        <v>479</v>
      </c>
      <c r="R21" s="662" t="s">
        <v>481</v>
      </c>
      <c r="S21" s="662" t="s">
        <v>482</v>
      </c>
      <c r="T21" s="661"/>
      <c r="U21" s="661" t="s">
        <v>681</v>
      </c>
    </row>
    <row r="22" spans="1:21" s="186" customFormat="1" ht="15" customHeight="1" thickBot="1" x14ac:dyDescent="0.35">
      <c r="A22" s="937"/>
      <c r="B22" s="201"/>
      <c r="C22" s="206">
        <v>2012</v>
      </c>
      <c r="D22" s="207">
        <v>-2</v>
      </c>
      <c r="E22" s="766">
        <v>184.23599999999999</v>
      </c>
      <c r="F22" s="763">
        <v>184236</v>
      </c>
      <c r="G22" s="769">
        <v>184236</v>
      </c>
      <c r="H22" s="770">
        <v>184236</v>
      </c>
      <c r="I22" s="209" t="s">
        <v>90</v>
      </c>
      <c r="J22" s="195"/>
      <c r="K22" s="195"/>
      <c r="P22" s="658" t="s">
        <v>680</v>
      </c>
      <c r="Q22" s="659" t="s">
        <v>692</v>
      </c>
      <c r="R22" s="663"/>
      <c r="S22" s="663"/>
      <c r="T22" s="658"/>
      <c r="U22" s="658" t="s">
        <v>681</v>
      </c>
    </row>
    <row r="23" spans="1:21" s="186" customFormat="1" ht="15" customHeight="1" x14ac:dyDescent="0.3">
      <c r="A23" s="201"/>
      <c r="B23" s="201"/>
      <c r="C23" s="206">
        <v>2013</v>
      </c>
      <c r="D23" s="207">
        <v>-1</v>
      </c>
      <c r="E23" s="766"/>
      <c r="F23" s="763"/>
      <c r="G23" s="769">
        <v>196327.13573576749</v>
      </c>
      <c r="H23" s="770">
        <v>196327.13573576749</v>
      </c>
      <c r="I23" s="201"/>
      <c r="J23" s="195"/>
      <c r="K23" s="195"/>
      <c r="P23" s="100" t="s">
        <v>672</v>
      </c>
      <c r="Q23" s="660" t="s">
        <v>686</v>
      </c>
      <c r="R23" s="660" t="s">
        <v>686</v>
      </c>
      <c r="S23" s="660" t="s">
        <v>687</v>
      </c>
      <c r="U23" s="186" t="s">
        <v>682</v>
      </c>
    </row>
    <row r="24" spans="1:21" s="186" customFormat="1" ht="15" customHeight="1" x14ac:dyDescent="0.3">
      <c r="A24" s="193" t="s">
        <v>91</v>
      </c>
      <c r="B24" s="201"/>
      <c r="C24" s="206">
        <v>2014</v>
      </c>
      <c r="D24" s="207">
        <v>0</v>
      </c>
      <c r="E24" s="766">
        <v>194.012</v>
      </c>
      <c r="F24" s="763">
        <v>194012</v>
      </c>
      <c r="G24" s="769">
        <v>194012</v>
      </c>
      <c r="H24" s="770">
        <v>195822.23249473353</v>
      </c>
      <c r="I24" s="195"/>
      <c r="J24" s="195"/>
      <c r="K24" s="195"/>
      <c r="P24" s="100" t="s">
        <v>673</v>
      </c>
      <c r="Q24" s="653" t="s">
        <v>686</v>
      </c>
      <c r="R24" s="653" t="s">
        <v>686</v>
      </c>
      <c r="S24" s="653" t="s">
        <v>687</v>
      </c>
      <c r="U24" s="186" t="s">
        <v>682</v>
      </c>
    </row>
    <row r="25" spans="1:21" s="186" customFormat="1" ht="15" customHeight="1" x14ac:dyDescent="0.3">
      <c r="A25" s="196">
        <v>2014</v>
      </c>
      <c r="B25" s="197"/>
      <c r="C25" s="206">
        <v>2015</v>
      </c>
      <c r="D25" s="207">
        <v>1</v>
      </c>
      <c r="E25" s="766">
        <v>211.460663232</v>
      </c>
      <c r="F25" s="763">
        <v>211460.66323199999</v>
      </c>
      <c r="G25" s="769">
        <v>211460.66323199999</v>
      </c>
      <c r="H25" s="770">
        <v>213519.85066267365</v>
      </c>
      <c r="I25" s="195"/>
      <c r="J25" s="195"/>
      <c r="K25" s="195"/>
      <c r="P25" s="649" t="s">
        <v>671</v>
      </c>
      <c r="Q25" s="653" t="s">
        <v>686</v>
      </c>
      <c r="R25" s="653" t="s">
        <v>686</v>
      </c>
      <c r="S25" s="653" t="s">
        <v>687</v>
      </c>
      <c r="U25" s="186" t="s">
        <v>682</v>
      </c>
    </row>
    <row r="26" spans="1:21" s="186" customFormat="1" ht="15" customHeight="1" x14ac:dyDescent="0.3">
      <c r="A26" s="195"/>
      <c r="B26" s="197"/>
      <c r="C26" s="206">
        <v>2016</v>
      </c>
      <c r="D26" s="207">
        <v>2</v>
      </c>
      <c r="E26" s="766"/>
      <c r="F26" s="763"/>
      <c r="G26" s="769">
        <v>219231.48903051895</v>
      </c>
      <c r="H26" s="770">
        <v>221469.42524634145</v>
      </c>
      <c r="I26" s="195"/>
      <c r="J26" s="195"/>
      <c r="K26" s="195"/>
      <c r="P26" s="657" t="s">
        <v>670</v>
      </c>
      <c r="Q26" s="655"/>
      <c r="R26" s="655"/>
      <c r="S26" s="654" t="s">
        <v>688</v>
      </c>
      <c r="T26" s="657"/>
      <c r="U26" s="657" t="s">
        <v>682</v>
      </c>
    </row>
    <row r="27" spans="1:21" s="186" customFormat="1" ht="15" customHeight="1" thickBot="1" x14ac:dyDescent="0.35">
      <c r="A27" s="193" t="s">
        <v>92</v>
      </c>
      <c r="B27" s="197"/>
      <c r="C27" s="206">
        <v>2017</v>
      </c>
      <c r="D27" s="207">
        <v>3</v>
      </c>
      <c r="E27" s="766"/>
      <c r="F27" s="763"/>
      <c r="G27" s="769">
        <v>227943.62962934136</v>
      </c>
      <c r="H27" s="770">
        <v>230389.60495693318</v>
      </c>
      <c r="I27" s="195"/>
      <c r="J27" s="195"/>
      <c r="K27" s="195"/>
      <c r="P27" s="658" t="s">
        <v>695</v>
      </c>
      <c r="Q27" s="666" t="s">
        <v>688</v>
      </c>
      <c r="R27" s="666" t="s">
        <v>688</v>
      </c>
      <c r="S27" s="666" t="s">
        <v>688</v>
      </c>
      <c r="T27" s="658"/>
      <c r="U27" s="658" t="s">
        <v>730</v>
      </c>
    </row>
    <row r="28" spans="1:21" s="186" customFormat="1" ht="15" customHeight="1" x14ac:dyDescent="0.3">
      <c r="A28" s="196" t="s">
        <v>124</v>
      </c>
      <c r="B28" s="197"/>
      <c r="C28" s="206">
        <v>2018</v>
      </c>
      <c r="D28" s="207">
        <v>4</v>
      </c>
      <c r="E28" s="766"/>
      <c r="F28" s="763"/>
      <c r="G28" s="769">
        <v>237226.44636104649</v>
      </c>
      <c r="H28" s="770">
        <v>239903.41476914103</v>
      </c>
      <c r="I28" s="195"/>
      <c r="J28" s="195"/>
      <c r="K28" s="195"/>
    </row>
    <row r="29" spans="1:21" s="186" customFormat="1" ht="15" customHeight="1" x14ac:dyDescent="0.3">
      <c r="A29" s="195"/>
      <c r="B29" s="197"/>
      <c r="C29" s="206">
        <v>2019</v>
      </c>
      <c r="D29" s="207">
        <v>5</v>
      </c>
      <c r="E29" s="766"/>
      <c r="F29" s="763"/>
      <c r="G29" s="769">
        <v>247099.13805519245</v>
      </c>
      <c r="H29" s="770">
        <v>250024.98187724789</v>
      </c>
      <c r="I29" s="195"/>
      <c r="J29" s="195"/>
      <c r="K29" s="195"/>
      <c r="P29" s="652" t="s">
        <v>685</v>
      </c>
      <c r="Q29" s="652"/>
      <c r="R29" s="652"/>
      <c r="S29" s="652"/>
      <c r="T29" s="652"/>
      <c r="U29" s="652"/>
    </row>
    <row r="30" spans="1:21" s="186" customFormat="1" ht="15" customHeight="1" x14ac:dyDescent="0.3">
      <c r="A30" s="193" t="s">
        <v>93</v>
      </c>
      <c r="B30" s="197"/>
      <c r="C30" s="206">
        <v>2020</v>
      </c>
      <c r="D30" s="207">
        <v>6</v>
      </c>
      <c r="E30" s="766">
        <v>262.26001598220324</v>
      </c>
      <c r="F30" s="763">
        <v>262260.01598220324</v>
      </c>
      <c r="G30" s="769">
        <v>262260.01598220324</v>
      </c>
      <c r="H30" s="770">
        <v>265527.75124434277</v>
      </c>
      <c r="I30" s="195"/>
      <c r="J30" s="195"/>
      <c r="K30" s="195"/>
      <c r="P30" s="652" t="s">
        <v>684</v>
      </c>
      <c r="Q30" s="652"/>
      <c r="R30" s="652"/>
      <c r="S30" s="652"/>
      <c r="T30" s="652"/>
      <c r="U30" s="652"/>
    </row>
    <row r="31" spans="1:21" s="186" customFormat="1" ht="15" customHeight="1" x14ac:dyDescent="0.3">
      <c r="A31" s="193"/>
      <c r="B31" s="197"/>
      <c r="C31" s="206">
        <v>2021</v>
      </c>
      <c r="D31" s="207">
        <v>7</v>
      </c>
      <c r="E31" s="766"/>
      <c r="F31" s="763"/>
      <c r="G31" s="769">
        <v>268690.94164903904</v>
      </c>
      <c r="H31" s="770">
        <v>272003.01512838714</v>
      </c>
      <c r="I31" s="195"/>
      <c r="J31" s="195"/>
      <c r="K31" s="195"/>
      <c r="P31" s="920" t="s">
        <v>697</v>
      </c>
      <c r="Q31" s="920"/>
      <c r="R31" s="920"/>
      <c r="S31" s="920"/>
      <c r="T31" s="920"/>
      <c r="U31" s="920"/>
    </row>
    <row r="32" spans="1:21" s="186" customFormat="1" ht="15" customHeight="1" x14ac:dyDescent="0.3">
      <c r="A32" s="210"/>
      <c r="B32" s="197"/>
      <c r="C32" s="206">
        <v>2022</v>
      </c>
      <c r="D32" s="207">
        <v>8</v>
      </c>
      <c r="E32" s="766"/>
      <c r="F32" s="763"/>
      <c r="G32" s="769">
        <v>280448.45120785589</v>
      </c>
      <c r="H32" s="770">
        <v>283849.31049516337</v>
      </c>
      <c r="I32" s="195"/>
      <c r="J32" s="195"/>
      <c r="K32" s="195"/>
      <c r="P32" s="920"/>
      <c r="Q32" s="920"/>
      <c r="R32" s="920"/>
      <c r="S32" s="920"/>
      <c r="T32" s="920"/>
      <c r="U32" s="920"/>
    </row>
    <row r="33" spans="1:21" s="186" customFormat="1" ht="15" customHeight="1" x14ac:dyDescent="0.3">
      <c r="A33" s="196">
        <v>1000</v>
      </c>
      <c r="B33" s="197"/>
      <c r="C33" s="206">
        <v>2023</v>
      </c>
      <c r="D33" s="207">
        <v>9</v>
      </c>
      <c r="E33" s="766"/>
      <c r="F33" s="763"/>
      <c r="G33" s="769">
        <v>292872.63104734581</v>
      </c>
      <c r="H33" s="770">
        <v>296346.26957161358</v>
      </c>
      <c r="I33" s="195"/>
      <c r="J33" s="195"/>
      <c r="K33" s="195"/>
      <c r="P33" s="652" t="s">
        <v>698</v>
      </c>
      <c r="Q33" s="652"/>
      <c r="R33" s="652"/>
      <c r="S33" s="652"/>
      <c r="T33" s="652"/>
      <c r="U33" s="652"/>
    </row>
    <row r="34" spans="1:21" s="186" customFormat="1" ht="15" customHeight="1" x14ac:dyDescent="0.3">
      <c r="A34" s="195"/>
      <c r="B34" s="197"/>
      <c r="C34" s="206">
        <v>2024</v>
      </c>
      <c r="D34" s="207">
        <v>10</v>
      </c>
      <c r="E34" s="766"/>
      <c r="F34" s="763"/>
      <c r="G34" s="769">
        <v>305982.67999706685</v>
      </c>
      <c r="H34" s="770">
        <v>309505.98402024648</v>
      </c>
      <c r="I34" s="195"/>
      <c r="J34" s="195"/>
      <c r="K34" s="195"/>
      <c r="P34" s="652" t="s">
        <v>678</v>
      </c>
      <c r="Q34" s="652"/>
      <c r="R34" s="652"/>
      <c r="S34" s="652"/>
      <c r="T34" s="652"/>
      <c r="U34" s="652"/>
    </row>
    <row r="35" spans="1:21" s="186" customFormat="1" ht="15" customHeight="1" x14ac:dyDescent="0.3">
      <c r="A35" s="211"/>
      <c r="B35" s="197"/>
      <c r="C35" s="206">
        <v>2025</v>
      </c>
      <c r="D35" s="207">
        <v>11</v>
      </c>
      <c r="E35" s="766">
        <v>325.26293510923352</v>
      </c>
      <c r="F35" s="763">
        <v>325262.93510923354</v>
      </c>
      <c r="G35" s="769">
        <v>325262.93510923354</v>
      </c>
      <c r="H35" s="770">
        <v>328866.87731434254</v>
      </c>
      <c r="I35" s="195"/>
      <c r="J35" s="195"/>
      <c r="K35" s="195"/>
    </row>
    <row r="36" spans="1:21" s="186" customFormat="1" ht="15" customHeight="1" x14ac:dyDescent="0.3">
      <c r="A36" s="211"/>
      <c r="B36" s="197"/>
      <c r="C36" s="206">
        <v>2026</v>
      </c>
      <c r="D36" s="207">
        <v>12</v>
      </c>
      <c r="E36" s="766"/>
      <c r="F36" s="763"/>
      <c r="G36" s="769">
        <v>334337.1805454347</v>
      </c>
      <c r="H36" s="770">
        <v>337868.96712024737</v>
      </c>
      <c r="I36" s="195"/>
      <c r="J36" s="195"/>
      <c r="K36" s="195"/>
    </row>
    <row r="37" spans="1:21" s="186" customFormat="1" ht="15" customHeight="1" x14ac:dyDescent="0.3">
      <c r="A37" s="211"/>
      <c r="B37" s="197"/>
      <c r="C37" s="206">
        <v>2027</v>
      </c>
      <c r="D37" s="207">
        <v>13</v>
      </c>
      <c r="E37" s="766"/>
      <c r="F37" s="763"/>
      <c r="G37" s="769">
        <v>349620.02980319766</v>
      </c>
      <c r="H37" s="770">
        <v>353109.05445183592</v>
      </c>
      <c r="I37" s="195"/>
      <c r="J37" s="195"/>
      <c r="K37" s="195"/>
    </row>
    <row r="38" spans="1:21" s="186" customFormat="1" ht="15" customHeight="1" x14ac:dyDescent="0.3">
      <c r="A38" s="211"/>
      <c r="B38" s="197"/>
      <c r="C38" s="206">
        <v>2028</v>
      </c>
      <c r="D38" s="207">
        <v>14</v>
      </c>
      <c r="E38" s="766"/>
      <c r="F38" s="763"/>
      <c r="G38" s="769">
        <v>365665.54348942405</v>
      </c>
      <c r="H38" s="770">
        <v>369078.35218833829</v>
      </c>
      <c r="I38" s="195"/>
      <c r="J38" s="195"/>
      <c r="K38" s="195"/>
    </row>
    <row r="39" spans="1:21" s="186" customFormat="1" ht="15" customHeight="1" x14ac:dyDescent="0.3">
      <c r="A39" s="211"/>
      <c r="B39" s="197"/>
      <c r="C39" s="206">
        <v>2029</v>
      </c>
      <c r="D39" s="207">
        <v>15</v>
      </c>
      <c r="E39" s="766"/>
      <c r="F39" s="763"/>
      <c r="G39" s="769">
        <v>382492.92043367197</v>
      </c>
      <c r="H39" s="770">
        <v>385793.83241375297</v>
      </c>
      <c r="I39" s="195"/>
      <c r="J39" s="195"/>
      <c r="K39" s="195"/>
    </row>
    <row r="40" spans="1:21" s="186" customFormat="1" ht="15" customHeight="1" x14ac:dyDescent="0.3">
      <c r="A40" s="211"/>
      <c r="B40" s="197"/>
      <c r="C40" s="206">
        <v>2030</v>
      </c>
      <c r="D40" s="207">
        <v>16</v>
      </c>
      <c r="E40" s="766">
        <v>403.40109246028834</v>
      </c>
      <c r="F40" s="763">
        <v>403401.09246028832</v>
      </c>
      <c r="G40" s="769">
        <v>403401.09246028832</v>
      </c>
      <c r="H40" s="770">
        <v>406577.68531711516</v>
      </c>
      <c r="I40" s="195"/>
      <c r="J40" s="195"/>
      <c r="K40" s="195"/>
    </row>
    <row r="41" spans="1:21" s="186" customFormat="1" ht="15" customHeight="1" x14ac:dyDescent="0.3">
      <c r="A41" s="211"/>
      <c r="B41" s="197"/>
      <c r="C41" s="206">
        <v>2031</v>
      </c>
      <c r="D41" s="207">
        <v>17</v>
      </c>
      <c r="E41" s="766"/>
      <c r="F41" s="763"/>
      <c r="G41" s="769">
        <v>418570.05941446463</v>
      </c>
      <c r="H41" s="770">
        <v>421529.52762745158</v>
      </c>
      <c r="I41" s="195"/>
      <c r="J41" s="195"/>
      <c r="K41" s="195"/>
    </row>
    <row r="42" spans="1:21" s="186" customFormat="1" ht="15" customHeight="1" x14ac:dyDescent="0.3">
      <c r="A42" s="211"/>
      <c r="B42" s="197"/>
      <c r="C42" s="206">
        <v>2032</v>
      </c>
      <c r="D42" s="207">
        <v>18</v>
      </c>
      <c r="E42" s="766"/>
      <c r="F42" s="763"/>
      <c r="G42" s="769">
        <v>437858.21911012544</v>
      </c>
      <c r="H42" s="770">
        <v>440583.60900363233</v>
      </c>
      <c r="I42" s="195"/>
      <c r="J42" s="195"/>
      <c r="K42" s="195"/>
    </row>
    <row r="43" spans="1:21" s="186" customFormat="1" ht="15" customHeight="1" x14ac:dyDescent="0.3">
      <c r="A43" s="211"/>
      <c r="B43" s="197"/>
      <c r="C43" s="206">
        <v>2033</v>
      </c>
      <c r="D43" s="207">
        <v>19</v>
      </c>
      <c r="E43" s="766"/>
      <c r="F43" s="763"/>
      <c r="G43" s="769">
        <v>458005.03738204011</v>
      </c>
      <c r="H43" s="770">
        <v>460455.31159578351</v>
      </c>
      <c r="I43" s="195"/>
      <c r="J43" s="195"/>
      <c r="K43" s="195"/>
    </row>
    <row r="44" spans="1:21" s="186" customFormat="1" ht="15" customHeight="1" x14ac:dyDescent="0.3">
      <c r="A44" s="211"/>
      <c r="B44" s="197"/>
      <c r="C44" s="206">
        <v>2034</v>
      </c>
      <c r="D44" s="207">
        <v>20</v>
      </c>
      <c r="E44" s="766"/>
      <c r="F44" s="763"/>
      <c r="G44" s="769">
        <v>479029.71305976663</v>
      </c>
      <c r="H44" s="770">
        <v>481167.64531115029</v>
      </c>
      <c r="I44" s="195"/>
      <c r="J44" s="195"/>
      <c r="K44" s="195"/>
    </row>
    <row r="45" spans="1:21" s="186" customFormat="1" ht="15" customHeight="1" x14ac:dyDescent="0.3">
      <c r="A45" s="211"/>
      <c r="B45" s="197"/>
      <c r="C45" s="206">
        <v>2035</v>
      </c>
      <c r="D45" s="207">
        <v>21</v>
      </c>
      <c r="E45" s="766">
        <v>500.3104375956745</v>
      </c>
      <c r="F45" s="763">
        <v>500310.43759567448</v>
      </c>
      <c r="G45" s="769">
        <v>500310.43759567448</v>
      </c>
      <c r="H45" s="770">
        <v>502099.3178064797</v>
      </c>
      <c r="I45" s="195"/>
      <c r="J45" s="195"/>
      <c r="K45" s="195"/>
    </row>
    <row r="46" spans="1:21" s="186" customFormat="1" ht="15" customHeight="1" x14ac:dyDescent="0.3">
      <c r="A46" s="211"/>
      <c r="B46" s="197"/>
      <c r="C46" s="206">
        <v>2036</v>
      </c>
      <c r="D46" s="207">
        <v>22</v>
      </c>
      <c r="E46" s="766"/>
      <c r="F46" s="763"/>
      <c r="G46" s="769">
        <v>523789.43195088749</v>
      </c>
      <c r="H46" s="770">
        <v>525199.83593061683</v>
      </c>
      <c r="I46" s="195"/>
      <c r="J46" s="195"/>
      <c r="K46" s="195"/>
    </row>
    <row r="47" spans="1:21" s="186" customFormat="1" ht="15" customHeight="1" x14ac:dyDescent="0.3">
      <c r="A47" s="211"/>
      <c r="B47" s="197"/>
      <c r="C47" s="206">
        <v>2037</v>
      </c>
      <c r="D47" s="207">
        <v>23</v>
      </c>
      <c r="E47" s="766"/>
      <c r="F47" s="763"/>
      <c r="G47" s="769">
        <v>547562.87282339786</v>
      </c>
      <c r="H47" s="770">
        <v>548555.98452526692</v>
      </c>
      <c r="I47" s="195"/>
      <c r="J47" s="195"/>
      <c r="K47" s="195"/>
    </row>
    <row r="48" spans="1:21" s="186" customFormat="1" ht="15" customHeight="1" x14ac:dyDescent="0.3">
      <c r="A48" s="197"/>
      <c r="B48" s="197"/>
      <c r="C48" s="206">
        <v>2038</v>
      </c>
      <c r="D48" s="207">
        <v>24</v>
      </c>
      <c r="E48" s="766"/>
      <c r="F48" s="763"/>
      <c r="G48" s="769">
        <v>572290.96641995269</v>
      </c>
      <c r="H48" s="770">
        <v>572826.62023056694</v>
      </c>
      <c r="I48" s="195"/>
      <c r="J48" s="195"/>
      <c r="K48" s="195"/>
    </row>
    <row r="49" spans="1:11" s="186" customFormat="1" ht="15" customHeight="1" x14ac:dyDescent="0.3">
      <c r="A49" s="197"/>
      <c r="B49" s="197"/>
      <c r="C49" s="206">
        <v>2039</v>
      </c>
      <c r="D49" s="207">
        <v>25</v>
      </c>
      <c r="E49" s="766"/>
      <c r="F49" s="763"/>
      <c r="G49" s="769">
        <v>597992.91157010943</v>
      </c>
      <c r="H49" s="770">
        <v>598025.36715296807</v>
      </c>
      <c r="I49" s="195"/>
      <c r="J49" s="195"/>
      <c r="K49" s="195"/>
    </row>
    <row r="50" spans="1:11" s="186" customFormat="1" ht="15" customHeight="1" x14ac:dyDescent="0.3">
      <c r="A50" s="197"/>
      <c r="B50" s="197"/>
      <c r="C50" s="206">
        <v>2040</v>
      </c>
      <c r="D50" s="207">
        <v>26</v>
      </c>
      <c r="E50" s="766">
        <v>620.50038694879436</v>
      </c>
      <c r="F50" s="763">
        <v>620500.38694879436</v>
      </c>
      <c r="G50" s="769">
        <v>620500.38694879436</v>
      </c>
      <c r="H50" s="770">
        <v>619981.88815531682</v>
      </c>
      <c r="I50" s="195"/>
      <c r="J50" s="195"/>
      <c r="K50" s="195"/>
    </row>
    <row r="51" spans="1:11" s="186" customFormat="1" ht="15" customHeight="1" x14ac:dyDescent="0.3">
      <c r="A51" s="197"/>
      <c r="B51" s="197"/>
      <c r="C51" s="206">
        <v>2041</v>
      </c>
      <c r="D51" s="207">
        <v>27</v>
      </c>
      <c r="E51" s="766"/>
      <c r="F51" s="763"/>
      <c r="G51" s="769">
        <v>652395.15184946195</v>
      </c>
      <c r="H51" s="770">
        <v>651263.86628606461</v>
      </c>
      <c r="I51" s="195"/>
      <c r="J51" s="195"/>
      <c r="K51" s="195"/>
    </row>
    <row r="52" spans="1:11" s="186" customFormat="1" ht="15" customHeight="1" x14ac:dyDescent="0.3">
      <c r="A52" s="197"/>
      <c r="B52" s="197"/>
      <c r="C52" s="206">
        <v>2042</v>
      </c>
      <c r="D52" s="207">
        <v>28</v>
      </c>
      <c r="E52" s="766"/>
      <c r="F52" s="763"/>
      <c r="G52" s="769">
        <v>681133.84463777393</v>
      </c>
      <c r="H52" s="770">
        <v>679335.47320152854</v>
      </c>
      <c r="I52" s="195"/>
      <c r="J52" s="195"/>
      <c r="K52" s="195"/>
    </row>
    <row r="53" spans="1:11" s="186" customFormat="1" ht="15" customHeight="1" x14ac:dyDescent="0.3">
      <c r="A53" s="197"/>
      <c r="B53" s="197"/>
      <c r="C53" s="206">
        <v>2043</v>
      </c>
      <c r="D53" s="207">
        <v>29</v>
      </c>
      <c r="E53" s="766"/>
      <c r="F53" s="763"/>
      <c r="G53" s="769">
        <v>710923.1842979202</v>
      </c>
      <c r="H53" s="770">
        <v>708394.80026346759</v>
      </c>
      <c r="I53" s="195"/>
      <c r="J53" s="195"/>
      <c r="K53" s="195"/>
    </row>
    <row r="54" spans="1:11" s="186" customFormat="1" ht="15" customHeight="1" x14ac:dyDescent="0.3">
      <c r="A54" s="197"/>
      <c r="B54" s="197"/>
      <c r="C54" s="206">
        <v>2044</v>
      </c>
      <c r="D54" s="207">
        <v>30</v>
      </c>
      <c r="E54" s="766"/>
      <c r="F54" s="763"/>
      <c r="G54" s="769">
        <v>741782.36965945922</v>
      </c>
      <c r="H54" s="770">
        <v>738455.28904520674</v>
      </c>
      <c r="I54" s="195"/>
      <c r="J54" s="195"/>
      <c r="K54" s="195"/>
    </row>
    <row r="55" spans="1:11" s="186" customFormat="1" ht="15" customHeight="1" x14ac:dyDescent="0.3">
      <c r="A55" s="197"/>
      <c r="B55" s="197"/>
      <c r="C55" s="206">
        <v>2045</v>
      </c>
      <c r="D55" s="207">
        <v>31</v>
      </c>
      <c r="E55" s="766">
        <v>769.56365742414869</v>
      </c>
      <c r="F55" s="763">
        <v>769563.65742414864</v>
      </c>
      <c r="G55" s="769">
        <v>769563.65742414864</v>
      </c>
      <c r="H55" s="770">
        <v>765385.63160691736</v>
      </c>
      <c r="I55" s="195"/>
      <c r="J55" s="195"/>
      <c r="K55" s="195"/>
    </row>
    <row r="56" spans="1:11" s="186" customFormat="1" ht="15" customHeight="1" x14ac:dyDescent="0.3">
      <c r="A56" s="197"/>
      <c r="B56" s="197"/>
      <c r="C56" s="206">
        <v>2046</v>
      </c>
      <c r="D56" s="207">
        <v>32</v>
      </c>
      <c r="E56" s="766"/>
      <c r="F56" s="763"/>
      <c r="G56" s="769">
        <v>806787.07280494715</v>
      </c>
      <c r="H56" s="770">
        <v>801631.98831746983</v>
      </c>
      <c r="I56" s="195"/>
      <c r="J56" s="195"/>
      <c r="K56" s="195"/>
    </row>
    <row r="57" spans="1:11" s="186" customFormat="1" ht="15" customHeight="1" x14ac:dyDescent="0.3">
      <c r="A57" s="212"/>
      <c r="B57" s="197"/>
      <c r="C57" s="206">
        <v>2047</v>
      </c>
      <c r="D57" s="207">
        <v>33</v>
      </c>
      <c r="E57" s="766"/>
      <c r="F57" s="763"/>
      <c r="G57" s="769">
        <v>840970.98824801203</v>
      </c>
      <c r="H57" s="770">
        <v>834774.10432749742</v>
      </c>
      <c r="I57" s="195"/>
      <c r="J57" s="195"/>
      <c r="K57" s="195"/>
    </row>
    <row r="58" spans="1:11" s="186" customFormat="1" ht="15" customHeight="1" x14ac:dyDescent="0.3">
      <c r="A58" s="195"/>
      <c r="B58" s="197"/>
      <c r="C58" s="206">
        <v>2048</v>
      </c>
      <c r="D58" s="207">
        <v>34</v>
      </c>
      <c r="E58" s="766"/>
      <c r="F58" s="763"/>
      <c r="G58" s="769">
        <v>876301.54471070203</v>
      </c>
      <c r="H58" s="770">
        <v>868967.68300148426</v>
      </c>
      <c r="I58" s="195"/>
      <c r="J58" s="195"/>
      <c r="K58" s="195"/>
    </row>
    <row r="59" spans="1:11" s="186" customFormat="1" ht="15" customHeight="1" x14ac:dyDescent="0.3">
      <c r="A59" s="195"/>
      <c r="B59" s="195"/>
      <c r="C59" s="206">
        <v>2049</v>
      </c>
      <c r="D59" s="207">
        <v>35</v>
      </c>
      <c r="E59" s="766"/>
      <c r="F59" s="763"/>
      <c r="G59" s="769">
        <v>912797.94102257467</v>
      </c>
      <c r="H59" s="770">
        <v>904223.29282861413</v>
      </c>
      <c r="I59" s="195"/>
      <c r="J59" s="195"/>
      <c r="K59" s="195"/>
    </row>
    <row r="60" spans="1:11" s="186" customFormat="1" ht="15" customHeight="1" x14ac:dyDescent="0.3">
      <c r="A60" s="195"/>
      <c r="B60" s="195"/>
      <c r="C60" s="206">
        <v>2050</v>
      </c>
      <c r="D60" s="213">
        <v>36</v>
      </c>
      <c r="E60" s="771">
        <v>954.43650847699632</v>
      </c>
      <c r="F60" s="763">
        <v>954436.50847699633</v>
      </c>
      <c r="G60" s="772">
        <v>954436.50847699633</v>
      </c>
      <c r="H60" s="773">
        <v>944466.88038065645</v>
      </c>
      <c r="I60" s="195"/>
      <c r="J60" s="195"/>
      <c r="K60" s="195"/>
    </row>
    <row r="61" spans="1:11" s="186" customFormat="1" ht="15" customHeight="1" x14ac:dyDescent="0.3">
      <c r="A61" s="195"/>
      <c r="B61" s="195"/>
      <c r="C61" s="206">
        <v>2051</v>
      </c>
      <c r="D61" s="207">
        <v>37</v>
      </c>
      <c r="E61" s="766"/>
      <c r="F61" s="763"/>
      <c r="G61" s="769">
        <v>989365.04851210117</v>
      </c>
      <c r="H61" s="770">
        <v>977962.03745430231</v>
      </c>
      <c r="I61" s="195"/>
      <c r="J61" s="195"/>
      <c r="K61" s="195"/>
    </row>
    <row r="62" spans="1:11" s="186" customFormat="1" ht="15" customHeight="1" x14ac:dyDescent="0.3">
      <c r="A62" s="195"/>
      <c r="B62" s="195"/>
      <c r="C62" s="206">
        <v>2052</v>
      </c>
      <c r="D62" s="207">
        <v>38</v>
      </c>
      <c r="E62" s="766"/>
      <c r="F62" s="763"/>
      <c r="G62" s="769">
        <v>1029474.1573488712</v>
      </c>
      <c r="H62" s="770">
        <v>1016466.4462436879</v>
      </c>
      <c r="I62" s="195"/>
      <c r="J62" s="195"/>
      <c r="K62" s="195"/>
    </row>
    <row r="63" spans="1:11" s="186" customFormat="1" ht="15" customHeight="1" x14ac:dyDescent="0.3">
      <c r="A63" s="195"/>
      <c r="B63" s="195"/>
      <c r="C63" s="206">
        <v>2053</v>
      </c>
      <c r="D63" s="207">
        <v>39</v>
      </c>
      <c r="E63" s="766"/>
      <c r="F63" s="763"/>
      <c r="G63" s="769">
        <v>1070825.9013530563</v>
      </c>
      <c r="H63" s="770">
        <v>1056072.373355262</v>
      </c>
      <c r="I63" s="195"/>
      <c r="J63" s="195"/>
      <c r="K63" s="195"/>
    </row>
    <row r="64" spans="1:11" s="186" customFormat="1" ht="15" customHeight="1" x14ac:dyDescent="0.3">
      <c r="A64" s="195"/>
      <c r="B64" s="195"/>
      <c r="C64" s="206">
        <v>2054</v>
      </c>
      <c r="D64" s="207">
        <v>40</v>
      </c>
      <c r="E64" s="766"/>
      <c r="F64" s="763"/>
      <c r="G64" s="769">
        <v>1113439.4793542146</v>
      </c>
      <c r="H64" s="770">
        <v>1096786.7036542215</v>
      </c>
      <c r="I64" s="195"/>
      <c r="J64" s="195"/>
      <c r="K64" s="195"/>
    </row>
    <row r="65" spans="1:11" s="186" customFormat="1" ht="15" customHeight="1" x14ac:dyDescent="0.3">
      <c r="A65" s="195"/>
      <c r="B65" s="195"/>
      <c r="C65" s="206">
        <v>2055</v>
      </c>
      <c r="D65" s="213">
        <v>41</v>
      </c>
      <c r="E65" s="771"/>
      <c r="F65" s="763"/>
      <c r="G65" s="772">
        <v>1157334.0901819041</v>
      </c>
      <c r="H65" s="773">
        <v>1138616.6270704721</v>
      </c>
      <c r="I65" s="195"/>
      <c r="J65" s="195"/>
      <c r="K65" s="195"/>
    </row>
    <row r="66" spans="1:11" s="186" customFormat="1" ht="15" customHeight="1" x14ac:dyDescent="0.3">
      <c r="A66" s="195"/>
      <c r="B66" s="195"/>
      <c r="C66" s="206">
        <v>2056</v>
      </c>
      <c r="D66" s="207">
        <v>42</v>
      </c>
      <c r="E66" s="766"/>
      <c r="F66" s="763"/>
      <c r="G66" s="769">
        <v>1202528.9326656833</v>
      </c>
      <c r="H66" s="770">
        <v>1181570.0618987517</v>
      </c>
      <c r="I66" s="195"/>
      <c r="J66" s="195"/>
      <c r="K66" s="195"/>
    </row>
    <row r="67" spans="1:11" s="186" customFormat="1" ht="15" customHeight="1" x14ac:dyDescent="0.3">
      <c r="A67" s="195"/>
      <c r="B67" s="195"/>
      <c r="C67" s="206">
        <v>2057</v>
      </c>
      <c r="D67" s="207">
        <v>43</v>
      </c>
      <c r="E67" s="766"/>
      <c r="F67" s="763"/>
      <c r="G67" s="769">
        <v>1249043.2056351099</v>
      </c>
      <c r="H67" s="770">
        <v>1225656.236451423</v>
      </c>
      <c r="I67" s="195"/>
      <c r="J67" s="195"/>
      <c r="K67" s="195"/>
    </row>
    <row r="68" spans="1:11" s="186" customFormat="1" ht="15" customHeight="1" x14ac:dyDescent="0.3">
      <c r="A68" s="195"/>
      <c r="B68" s="195"/>
      <c r="C68" s="206">
        <v>2058</v>
      </c>
      <c r="D68" s="207">
        <v>44</v>
      </c>
      <c r="E68" s="766"/>
      <c r="F68" s="763"/>
      <c r="G68" s="769">
        <v>1296896.1079197419</v>
      </c>
      <c r="H68" s="770">
        <v>1270885.1915868418</v>
      </c>
      <c r="I68" s="195"/>
      <c r="J68" s="195"/>
      <c r="K68" s="195"/>
    </row>
    <row r="69" spans="1:11" s="186" customFormat="1" ht="15" customHeight="1" x14ac:dyDescent="0.3">
      <c r="A69" s="195"/>
      <c r="B69" s="195"/>
      <c r="C69" s="206">
        <v>2059</v>
      </c>
      <c r="D69" s="207">
        <v>45</v>
      </c>
      <c r="E69" s="766"/>
      <c r="F69" s="763"/>
      <c r="G69" s="769">
        <v>1346106.8383491377</v>
      </c>
      <c r="H69" s="770">
        <v>1317267.9774393714</v>
      </c>
      <c r="I69" s="195"/>
      <c r="J69" s="195"/>
      <c r="K69" s="195"/>
    </row>
    <row r="70" spans="1:11" s="186" customFormat="1" ht="15" customHeight="1" x14ac:dyDescent="0.3">
      <c r="A70" s="706"/>
      <c r="B70" s="706"/>
      <c r="C70" s="214">
        <v>2060</v>
      </c>
      <c r="D70" s="213">
        <v>46</v>
      </c>
      <c r="E70" s="771"/>
      <c r="F70" s="763"/>
      <c r="G70" s="772">
        <v>1396694.5957528548</v>
      </c>
      <c r="H70" s="773">
        <v>1364815.4019885187</v>
      </c>
      <c r="I70" s="195"/>
      <c r="J70" s="195"/>
      <c r="K70" s="195"/>
    </row>
    <row r="71" spans="1:11" s="186" customFormat="1" ht="15" customHeight="1" x14ac:dyDescent="0.3">
      <c r="A71" s="706"/>
      <c r="B71" s="706"/>
      <c r="C71" s="211"/>
      <c r="E71" s="211"/>
      <c r="F71" s="211"/>
      <c r="G71" s="211"/>
      <c r="H71" s="211"/>
      <c r="I71" s="211"/>
      <c r="J71" s="211"/>
      <c r="K71" s="211"/>
    </row>
    <row r="72" spans="1:11" s="186" customFormat="1" ht="15" customHeight="1" x14ac:dyDescent="0.3">
      <c r="A72" s="706"/>
      <c r="B72" s="706"/>
      <c r="C72" s="211"/>
      <c r="E72" s="211"/>
      <c r="F72" s="211"/>
      <c r="G72" s="211"/>
      <c r="H72" s="211"/>
      <c r="I72" s="211"/>
      <c r="J72" s="211"/>
      <c r="K72" s="211"/>
    </row>
    <row r="73" spans="1:11" s="186" customFormat="1" ht="15" customHeight="1" x14ac:dyDescent="0.3">
      <c r="A73" s="748" t="str">
        <f>HYPERLINK("#'Interp-FREIGHT'!a1","Back to top")</f>
        <v>Back to top</v>
      </c>
      <c r="B73" s="706"/>
      <c r="C73" s="211"/>
      <c r="E73" s="211"/>
      <c r="F73" s="211"/>
      <c r="G73" s="211"/>
      <c r="H73" s="211"/>
      <c r="I73" s="211"/>
      <c r="J73" s="211"/>
      <c r="K73" s="211"/>
    </row>
    <row r="74" spans="1:11" s="186" customFormat="1" ht="15" customHeight="1" x14ac:dyDescent="0.3">
      <c r="A74" s="211"/>
      <c r="C74" s="211"/>
      <c r="E74" s="211"/>
      <c r="F74" s="211"/>
      <c r="G74" s="211"/>
      <c r="H74" s="211"/>
      <c r="I74" s="211"/>
      <c r="J74" s="211"/>
      <c r="K74" s="211"/>
    </row>
    <row r="75" spans="1:11" s="186" customFormat="1" ht="15" customHeight="1" x14ac:dyDescent="0.3">
      <c r="A75" s="211"/>
      <c r="C75" s="211"/>
      <c r="E75" s="211"/>
      <c r="F75" s="211"/>
      <c r="G75" s="211"/>
      <c r="H75" s="211"/>
      <c r="I75" s="211"/>
      <c r="J75" s="211"/>
      <c r="K75" s="211"/>
    </row>
    <row r="76" spans="1:11" s="186" customFormat="1" ht="15" customHeight="1" x14ac:dyDescent="0.3">
      <c r="A76" s="187">
        <f>1+A11</f>
        <v>2</v>
      </c>
      <c r="B76" s="188" t="s">
        <v>191</v>
      </c>
      <c r="C76" s="189"/>
      <c r="D76" s="189"/>
      <c r="E76" s="189"/>
      <c r="F76" s="189"/>
      <c r="G76" s="189"/>
      <c r="H76" s="189"/>
      <c r="I76" s="189"/>
      <c r="J76" s="189"/>
      <c r="K76" s="189"/>
    </row>
    <row r="77" spans="1:11" s="186" customFormat="1" ht="15" customHeight="1" x14ac:dyDescent="0.3">
      <c r="A77" s="190" t="s">
        <v>74</v>
      </c>
      <c r="B77" s="191"/>
      <c r="C77" s="191"/>
      <c r="D77" s="192"/>
      <c r="E77" s="193"/>
      <c r="F77" s="928"/>
      <c r="G77" s="193"/>
      <c r="H77" s="194"/>
      <c r="I77" s="195"/>
      <c r="J77" s="195"/>
      <c r="K77" s="195"/>
    </row>
    <row r="78" spans="1:11" s="186" customFormat="1" ht="15" customHeight="1" thickBot="1" x14ac:dyDescent="0.35">
      <c r="A78" s="196" t="s">
        <v>75</v>
      </c>
      <c r="B78" s="197"/>
      <c r="C78" s="197"/>
      <c r="D78" s="198"/>
      <c r="E78" s="199" t="s">
        <v>78</v>
      </c>
      <c r="F78" s="929"/>
      <c r="G78" s="200" t="s">
        <v>188</v>
      </c>
      <c r="H78" s="194"/>
      <c r="I78" s="195"/>
      <c r="J78" s="195"/>
      <c r="K78" s="195"/>
    </row>
    <row r="79" spans="1:11" s="186" customFormat="1" ht="31.95" customHeight="1" thickBot="1" x14ac:dyDescent="0.35">
      <c r="A79" s="201"/>
      <c r="B79" s="201"/>
      <c r="C79" s="201"/>
      <c r="D79" s="202"/>
      <c r="E79" s="203" t="s">
        <v>124</v>
      </c>
      <c r="F79" s="203" t="s">
        <v>179</v>
      </c>
      <c r="G79" s="200" t="s">
        <v>81</v>
      </c>
      <c r="H79" s="203" t="s">
        <v>98</v>
      </c>
      <c r="I79" s="203" t="s">
        <v>83</v>
      </c>
      <c r="J79" s="921" t="s">
        <v>84</v>
      </c>
      <c r="K79" s="922"/>
    </row>
    <row r="80" spans="1:11" s="186" customFormat="1" ht="15" customHeight="1" x14ac:dyDescent="0.3">
      <c r="A80" s="190" t="s">
        <v>85</v>
      </c>
      <c r="B80" s="201"/>
      <c r="C80" s="204">
        <v>2005</v>
      </c>
      <c r="D80" s="205">
        <v>-9</v>
      </c>
      <c r="E80" s="762">
        <v>153.69800000000001</v>
      </c>
      <c r="F80" s="763">
        <v>153698</v>
      </c>
      <c r="G80" s="764">
        <v>153698</v>
      </c>
      <c r="H80" s="765">
        <v>153698</v>
      </c>
      <c r="I80" s="927" t="s">
        <v>86</v>
      </c>
      <c r="J80" s="923"/>
      <c r="K80" s="924"/>
    </row>
    <row r="81" spans="1:11" s="186" customFormat="1" ht="15" customHeight="1" x14ac:dyDescent="0.3">
      <c r="A81" s="196" t="s">
        <v>87</v>
      </c>
      <c r="B81" s="201"/>
      <c r="C81" s="206">
        <v>2006</v>
      </c>
      <c r="D81" s="207">
        <v>-8</v>
      </c>
      <c r="E81" s="766">
        <v>163.85</v>
      </c>
      <c r="F81" s="763">
        <v>163850</v>
      </c>
      <c r="G81" s="767">
        <v>163850</v>
      </c>
      <c r="H81" s="768">
        <v>163850</v>
      </c>
      <c r="I81" s="923"/>
      <c r="J81" s="923"/>
      <c r="K81" s="924"/>
    </row>
    <row r="82" spans="1:11" s="186" customFormat="1" ht="15" customHeight="1" x14ac:dyDescent="0.3">
      <c r="A82" s="201"/>
      <c r="B82" s="201"/>
      <c r="C82" s="206">
        <v>2007</v>
      </c>
      <c r="D82" s="207">
        <v>-7</v>
      </c>
      <c r="E82" s="766">
        <v>171.72300000000001</v>
      </c>
      <c r="F82" s="763">
        <v>171723</v>
      </c>
      <c r="G82" s="767">
        <v>171723</v>
      </c>
      <c r="H82" s="768">
        <v>171723</v>
      </c>
      <c r="I82" s="923"/>
      <c r="J82" s="923"/>
      <c r="K82" s="924"/>
    </row>
    <row r="83" spans="1:11" s="186" customFormat="1" ht="15" customHeight="1" x14ac:dyDescent="0.3">
      <c r="A83" s="208" t="s">
        <v>88</v>
      </c>
      <c r="B83" s="201"/>
      <c r="C83" s="206">
        <v>2008</v>
      </c>
      <c r="D83" s="207">
        <v>-6</v>
      </c>
      <c r="E83" s="766">
        <v>170.07300000000001</v>
      </c>
      <c r="F83" s="763">
        <v>170073</v>
      </c>
      <c r="G83" s="767">
        <v>170073</v>
      </c>
      <c r="H83" s="768">
        <v>170073</v>
      </c>
      <c r="I83" s="923"/>
      <c r="J83" s="925"/>
      <c r="K83" s="926"/>
    </row>
    <row r="84" spans="1:11" s="186" customFormat="1" ht="15" customHeight="1" x14ac:dyDescent="0.3">
      <c r="A84" s="935" t="s">
        <v>192</v>
      </c>
      <c r="B84" s="201"/>
      <c r="C84" s="206">
        <v>2009</v>
      </c>
      <c r="D84" s="207">
        <v>-5</v>
      </c>
      <c r="E84" s="766">
        <v>154.976</v>
      </c>
      <c r="F84" s="763">
        <v>154976</v>
      </c>
      <c r="G84" s="767">
        <v>154976</v>
      </c>
      <c r="H84" s="768">
        <v>154976</v>
      </c>
      <c r="I84" s="923"/>
      <c r="J84" s="195"/>
      <c r="K84" s="195"/>
    </row>
    <row r="85" spans="1:11" s="186" customFormat="1" ht="15" customHeight="1" x14ac:dyDescent="0.3">
      <c r="A85" s="936"/>
      <c r="B85" s="201"/>
      <c r="C85" s="206">
        <v>2010</v>
      </c>
      <c r="D85" s="207">
        <v>-4</v>
      </c>
      <c r="E85" s="766">
        <v>185.62100000000001</v>
      </c>
      <c r="F85" s="763">
        <v>185621</v>
      </c>
      <c r="G85" s="767">
        <v>185621</v>
      </c>
      <c r="H85" s="768">
        <v>185621</v>
      </c>
      <c r="I85" s="923"/>
      <c r="J85" s="195"/>
      <c r="K85" s="195"/>
    </row>
    <row r="86" spans="1:11" s="186" customFormat="1" ht="15" customHeight="1" x14ac:dyDescent="0.3">
      <c r="A86" s="936"/>
      <c r="B86" s="201"/>
      <c r="C86" s="206">
        <v>2011</v>
      </c>
      <c r="D86" s="207">
        <v>-3</v>
      </c>
      <c r="E86" s="766">
        <v>186.178</v>
      </c>
      <c r="F86" s="763">
        <v>186178</v>
      </c>
      <c r="G86" s="767">
        <v>186178</v>
      </c>
      <c r="H86" s="768">
        <v>186178</v>
      </c>
      <c r="I86" s="925"/>
      <c r="J86" s="195"/>
      <c r="K86" s="195"/>
    </row>
    <row r="87" spans="1:11" s="186" customFormat="1" ht="15" customHeight="1" x14ac:dyDescent="0.3">
      <c r="A87" s="937"/>
      <c r="B87" s="201"/>
      <c r="C87" s="206">
        <v>2012</v>
      </c>
      <c r="D87" s="207">
        <v>-2</v>
      </c>
      <c r="E87" s="766">
        <v>184.23599999999999</v>
      </c>
      <c r="F87" s="763">
        <v>184236</v>
      </c>
      <c r="G87" s="769">
        <v>184236</v>
      </c>
      <c r="H87" s="770">
        <v>184236</v>
      </c>
      <c r="I87" s="209" t="s">
        <v>90</v>
      </c>
      <c r="J87" s="195"/>
      <c r="K87" s="195"/>
    </row>
    <row r="88" spans="1:11" s="186" customFormat="1" ht="15" customHeight="1" x14ac:dyDescent="0.3">
      <c r="A88" s="201"/>
      <c r="B88" s="201"/>
      <c r="C88" s="206">
        <v>2013</v>
      </c>
      <c r="D88" s="207">
        <v>-1</v>
      </c>
      <c r="E88" s="766">
        <v>207.8</v>
      </c>
      <c r="F88" s="763">
        <v>207800</v>
      </c>
      <c r="G88" s="769">
        <v>207800</v>
      </c>
      <c r="H88" s="770">
        <v>207800</v>
      </c>
      <c r="I88" s="201"/>
      <c r="J88" s="195"/>
      <c r="K88" s="195"/>
    </row>
    <row r="89" spans="1:11" s="186" customFormat="1" ht="15" customHeight="1" x14ac:dyDescent="0.3">
      <c r="A89" s="193" t="s">
        <v>91</v>
      </c>
      <c r="B89" s="201"/>
      <c r="C89" s="206">
        <v>2014</v>
      </c>
      <c r="D89" s="207">
        <v>0</v>
      </c>
      <c r="E89" s="766"/>
      <c r="F89" s="763"/>
      <c r="G89" s="769">
        <v>211838.3415165522</v>
      </c>
      <c r="H89" s="770">
        <v>213814.90301503541</v>
      </c>
      <c r="I89" s="195"/>
      <c r="J89" s="195"/>
      <c r="K89" s="195"/>
    </row>
    <row r="90" spans="1:11" s="186" customFormat="1" ht="15" customHeight="1" x14ac:dyDescent="0.3">
      <c r="A90" s="196">
        <v>2013</v>
      </c>
      <c r="B90" s="197"/>
      <c r="C90" s="206">
        <v>2015</v>
      </c>
      <c r="D90" s="207">
        <v>1</v>
      </c>
      <c r="E90" s="766">
        <v>224.75648000000004</v>
      </c>
      <c r="F90" s="763">
        <v>224756.48000000004</v>
      </c>
      <c r="G90" s="769">
        <v>224756.48000000004</v>
      </c>
      <c r="H90" s="770">
        <v>226945.14105640978</v>
      </c>
      <c r="I90" s="195"/>
      <c r="J90" s="195"/>
      <c r="K90" s="195"/>
    </row>
    <row r="91" spans="1:11" s="186" customFormat="1" ht="15" customHeight="1" x14ac:dyDescent="0.3">
      <c r="A91" s="195"/>
      <c r="B91" s="197"/>
      <c r="C91" s="206">
        <v>2016</v>
      </c>
      <c r="D91" s="207">
        <v>2</v>
      </c>
      <c r="E91" s="766"/>
      <c r="F91" s="763"/>
      <c r="G91" s="769">
        <v>228958.52632352887</v>
      </c>
      <c r="H91" s="770">
        <v>231295.75707558313</v>
      </c>
      <c r="I91" s="195"/>
      <c r="J91" s="195"/>
      <c r="K91" s="195"/>
    </row>
    <row r="92" spans="1:11" s="186" customFormat="1" ht="15" customHeight="1" x14ac:dyDescent="0.3">
      <c r="A92" s="193" t="s">
        <v>92</v>
      </c>
      <c r="B92" s="197"/>
      <c r="C92" s="206">
        <v>2017</v>
      </c>
      <c r="D92" s="207">
        <v>3</v>
      </c>
      <c r="E92" s="766"/>
      <c r="F92" s="763"/>
      <c r="G92" s="769">
        <v>238140.09832777866</v>
      </c>
      <c r="H92" s="770">
        <v>240695.48803516911</v>
      </c>
      <c r="I92" s="195"/>
      <c r="J92" s="195"/>
      <c r="K92" s="195"/>
    </row>
    <row r="93" spans="1:11" s="186" customFormat="1" ht="15" customHeight="1" x14ac:dyDescent="0.3">
      <c r="A93" s="196" t="s">
        <v>124</v>
      </c>
      <c r="B93" s="197"/>
      <c r="C93" s="206">
        <v>2018</v>
      </c>
      <c r="D93" s="207">
        <v>4</v>
      </c>
      <c r="E93" s="766"/>
      <c r="F93" s="763"/>
      <c r="G93" s="769">
        <v>247757.77340495746</v>
      </c>
      <c r="H93" s="770">
        <v>250553.58197705698</v>
      </c>
      <c r="I93" s="195"/>
      <c r="J93" s="195"/>
      <c r="K93" s="195"/>
    </row>
    <row r="94" spans="1:11" s="186" customFormat="1" ht="15" customHeight="1" x14ac:dyDescent="0.3">
      <c r="A94" s="195"/>
      <c r="B94" s="197"/>
      <c r="C94" s="206">
        <v>2019</v>
      </c>
      <c r="D94" s="207">
        <v>5</v>
      </c>
      <c r="E94" s="766"/>
      <c r="F94" s="763"/>
      <c r="G94" s="769">
        <v>257827.88905938124</v>
      </c>
      <c r="H94" s="770">
        <v>260880.76954409378</v>
      </c>
      <c r="I94" s="195"/>
      <c r="J94" s="195"/>
      <c r="K94" s="195"/>
    </row>
    <row r="95" spans="1:11" s="186" customFormat="1" ht="15" customHeight="1" x14ac:dyDescent="0.3">
      <c r="A95" s="193" t="s">
        <v>93</v>
      </c>
      <c r="B95" s="197"/>
      <c r="C95" s="206">
        <v>2020</v>
      </c>
      <c r="D95" s="207">
        <v>6</v>
      </c>
      <c r="E95" s="766">
        <v>273.45062372520766</v>
      </c>
      <c r="F95" s="763">
        <v>273450.62372520764</v>
      </c>
      <c r="G95" s="769">
        <v>273450.62372520764</v>
      </c>
      <c r="H95" s="770">
        <v>276857.7929128338</v>
      </c>
      <c r="I95" s="195"/>
      <c r="J95" s="195"/>
      <c r="K95" s="195"/>
    </row>
    <row r="96" spans="1:11" s="186" customFormat="1" ht="15" customHeight="1" x14ac:dyDescent="0.3">
      <c r="A96" s="193"/>
      <c r="B96" s="197"/>
      <c r="C96" s="206">
        <v>2021</v>
      </c>
      <c r="D96" s="207">
        <v>7</v>
      </c>
      <c r="E96" s="766"/>
      <c r="F96" s="763"/>
      <c r="G96" s="769">
        <v>279390.7921172278</v>
      </c>
      <c r="H96" s="770">
        <v>282834.75947714807</v>
      </c>
      <c r="I96" s="195"/>
      <c r="J96" s="195"/>
      <c r="K96" s="195"/>
    </row>
    <row r="97" spans="1:11" s="186" customFormat="1" ht="15" customHeight="1" x14ac:dyDescent="0.3">
      <c r="A97" s="210"/>
      <c r="B97" s="197"/>
      <c r="C97" s="206">
        <v>2022</v>
      </c>
      <c r="D97" s="207">
        <v>8</v>
      </c>
      <c r="E97" s="766"/>
      <c r="F97" s="763"/>
      <c r="G97" s="769">
        <v>290916.25452928257</v>
      </c>
      <c r="H97" s="770">
        <v>294444.05167625751</v>
      </c>
      <c r="I97" s="195"/>
      <c r="J97" s="195"/>
      <c r="K97" s="195"/>
    </row>
    <row r="98" spans="1:11" s="186" customFormat="1" ht="15" customHeight="1" x14ac:dyDescent="0.3">
      <c r="A98" s="196">
        <v>1000</v>
      </c>
      <c r="B98" s="197"/>
      <c r="C98" s="206">
        <v>2023</v>
      </c>
      <c r="D98" s="207">
        <v>9</v>
      </c>
      <c r="E98" s="766"/>
      <c r="F98" s="763"/>
      <c r="G98" s="769">
        <v>302959.50753584632</v>
      </c>
      <c r="H98" s="770">
        <v>306552.78223996022</v>
      </c>
      <c r="I98" s="195"/>
      <c r="J98" s="195"/>
      <c r="K98" s="195"/>
    </row>
    <row r="99" spans="1:11" s="186" customFormat="1" ht="15" customHeight="1" x14ac:dyDescent="0.3">
      <c r="A99" s="195"/>
      <c r="B99" s="197"/>
      <c r="C99" s="206">
        <v>2024</v>
      </c>
      <c r="D99" s="207">
        <v>10</v>
      </c>
      <c r="E99" s="766"/>
      <c r="F99" s="763"/>
      <c r="G99" s="769">
        <v>315536.88864123513</v>
      </c>
      <c r="H99" s="770">
        <v>319170.20667486341</v>
      </c>
      <c r="I99" s="195"/>
      <c r="J99" s="195"/>
      <c r="K99" s="195"/>
    </row>
    <row r="100" spans="1:11" s="186" customFormat="1" ht="15" customHeight="1" x14ac:dyDescent="0.3">
      <c r="A100" s="211"/>
      <c r="B100" s="197"/>
      <c r="C100" s="206">
        <v>2025</v>
      </c>
      <c r="D100" s="207">
        <v>11</v>
      </c>
      <c r="E100" s="766">
        <v>332.69449501836431</v>
      </c>
      <c r="F100" s="763">
        <v>332694.49501836428</v>
      </c>
      <c r="G100" s="769">
        <v>332694.49501836428</v>
      </c>
      <c r="H100" s="770">
        <v>336380.7795672061</v>
      </c>
      <c r="I100" s="195"/>
      <c r="J100" s="195"/>
      <c r="K100" s="195"/>
    </row>
    <row r="101" spans="1:11" s="186" customFormat="1" ht="15" customHeight="1" x14ac:dyDescent="0.3">
      <c r="A101" s="211"/>
      <c r="B101" s="197"/>
      <c r="C101" s="206">
        <v>2026</v>
      </c>
      <c r="D101" s="207">
        <v>12</v>
      </c>
      <c r="E101" s="766"/>
      <c r="F101" s="763"/>
      <c r="G101" s="769">
        <v>342359.38516575174</v>
      </c>
      <c r="H101" s="770">
        <v>345975.91467741696</v>
      </c>
      <c r="I101" s="195"/>
      <c r="J101" s="195"/>
      <c r="K101" s="195"/>
    </row>
    <row r="102" spans="1:11" s="186" customFormat="1" ht="15" customHeight="1" x14ac:dyDescent="0.3">
      <c r="A102" s="211"/>
      <c r="B102" s="197"/>
      <c r="C102" s="206">
        <v>2027</v>
      </c>
      <c r="D102" s="207">
        <v>13</v>
      </c>
      <c r="E102" s="766"/>
      <c r="F102" s="763"/>
      <c r="G102" s="769">
        <v>356637.17559351155</v>
      </c>
      <c r="H102" s="770">
        <v>360196.22767919133</v>
      </c>
      <c r="I102" s="195"/>
      <c r="J102" s="195"/>
      <c r="K102" s="195"/>
    </row>
    <row r="103" spans="1:11" s="186" customFormat="1" ht="15" customHeight="1" x14ac:dyDescent="0.3">
      <c r="A103" s="211"/>
      <c r="B103" s="197"/>
      <c r="C103" s="206">
        <v>2028</v>
      </c>
      <c r="D103" s="207">
        <v>14</v>
      </c>
      <c r="E103" s="766"/>
      <c r="F103" s="763"/>
      <c r="G103" s="769">
        <v>371514.44413736043</v>
      </c>
      <c r="H103" s="770">
        <v>374981.84146067686</v>
      </c>
      <c r="I103" s="195"/>
      <c r="J103" s="195"/>
      <c r="K103" s="195"/>
    </row>
    <row r="104" spans="1:11" s="186" customFormat="1" ht="15" customHeight="1" x14ac:dyDescent="0.3">
      <c r="A104" s="211"/>
      <c r="B104" s="197"/>
      <c r="C104" s="206">
        <v>2029</v>
      </c>
      <c r="D104" s="207">
        <v>15</v>
      </c>
      <c r="E104" s="766"/>
      <c r="F104" s="763"/>
      <c r="G104" s="769">
        <v>387007.52830161434</v>
      </c>
      <c r="H104" s="770">
        <v>390347.40132489521</v>
      </c>
      <c r="I104" s="195"/>
      <c r="J104" s="195"/>
      <c r="K104" s="195"/>
    </row>
    <row r="105" spans="1:11" s="186" customFormat="1" ht="15" customHeight="1" x14ac:dyDescent="0.3">
      <c r="A105" s="211"/>
      <c r="B105" s="197"/>
      <c r="C105" s="206">
        <v>2030</v>
      </c>
      <c r="D105" s="207">
        <v>16</v>
      </c>
      <c r="E105" s="766">
        <v>404.77372297659537</v>
      </c>
      <c r="F105" s="763">
        <v>404773.72297659534</v>
      </c>
      <c r="G105" s="769">
        <v>404773.72297659534</v>
      </c>
      <c r="H105" s="770">
        <v>407961.12464969623</v>
      </c>
      <c r="I105" s="195"/>
      <c r="J105" s="195"/>
      <c r="K105" s="195"/>
    </row>
    <row r="106" spans="1:11" s="186" customFormat="1" ht="15" customHeight="1" x14ac:dyDescent="0.3">
      <c r="A106" s="211"/>
      <c r="B106" s="197"/>
      <c r="C106" s="206">
        <v>2031</v>
      </c>
      <c r="D106" s="207">
        <v>17</v>
      </c>
      <c r="E106" s="766"/>
      <c r="F106" s="763"/>
      <c r="G106" s="769">
        <v>419906.49350860121</v>
      </c>
      <c r="H106" s="770">
        <v>422875.41087862029</v>
      </c>
      <c r="I106" s="195"/>
      <c r="J106" s="195"/>
      <c r="K106" s="195"/>
    </row>
    <row r="107" spans="1:11" s="186" customFormat="1" ht="15" customHeight="1" x14ac:dyDescent="0.3">
      <c r="A107" s="211"/>
      <c r="B107" s="197"/>
      <c r="C107" s="206">
        <v>2032</v>
      </c>
      <c r="D107" s="207">
        <v>18</v>
      </c>
      <c r="E107" s="766"/>
      <c r="F107" s="763"/>
      <c r="G107" s="769">
        <v>437345.0495599662</v>
      </c>
      <c r="H107" s="770">
        <v>440067.24529827712</v>
      </c>
      <c r="I107" s="195"/>
      <c r="J107" s="195"/>
      <c r="K107" s="195"/>
    </row>
    <row r="108" spans="1:11" s="186" customFormat="1" ht="15" customHeight="1" x14ac:dyDescent="0.3">
      <c r="A108" s="211"/>
      <c r="B108" s="197"/>
      <c r="C108" s="206">
        <v>2033</v>
      </c>
      <c r="D108" s="207">
        <v>19</v>
      </c>
      <c r="E108" s="766"/>
      <c r="F108" s="763"/>
      <c r="G108" s="769">
        <v>455464.77124900022</v>
      </c>
      <c r="H108" s="770">
        <v>457901.4553314267</v>
      </c>
      <c r="I108" s="195"/>
      <c r="J108" s="195"/>
      <c r="K108" s="195"/>
    </row>
    <row r="109" spans="1:11" s="186" customFormat="1" ht="15" customHeight="1" x14ac:dyDescent="0.3">
      <c r="A109" s="211"/>
      <c r="B109" s="197"/>
      <c r="C109" s="206">
        <v>2034</v>
      </c>
      <c r="D109" s="207">
        <v>20</v>
      </c>
      <c r="E109" s="766"/>
      <c r="F109" s="763"/>
      <c r="G109" s="769">
        <v>474281.99608001934</v>
      </c>
      <c r="H109" s="770">
        <v>476398.73904611502</v>
      </c>
      <c r="I109" s="195"/>
      <c r="J109" s="195"/>
      <c r="K109" s="195"/>
    </row>
    <row r="110" spans="1:11" s="186" customFormat="1" ht="15" customHeight="1" x14ac:dyDescent="0.3">
      <c r="A110" s="211"/>
      <c r="B110" s="197"/>
      <c r="C110" s="206">
        <v>2035</v>
      </c>
      <c r="D110" s="207">
        <v>21</v>
      </c>
      <c r="E110" s="766">
        <v>492.46912487472844</v>
      </c>
      <c r="F110" s="763">
        <v>492469.12487472844</v>
      </c>
      <c r="G110" s="769">
        <v>492469.12487472844</v>
      </c>
      <c r="H110" s="770">
        <v>494229.968154662</v>
      </c>
      <c r="I110" s="195"/>
      <c r="J110" s="195"/>
      <c r="K110" s="195"/>
    </row>
    <row r="111" spans="1:11" s="186" customFormat="1" ht="15" customHeight="1" x14ac:dyDescent="0.3">
      <c r="A111" s="211"/>
      <c r="B111" s="197"/>
      <c r="C111" s="206">
        <v>2036</v>
      </c>
      <c r="D111" s="207">
        <v>22</v>
      </c>
      <c r="E111" s="766"/>
      <c r="F111" s="763"/>
      <c r="G111" s="769">
        <v>514074.30518527667</v>
      </c>
      <c r="H111" s="770">
        <v>515458.54931408504</v>
      </c>
      <c r="I111" s="195"/>
      <c r="J111" s="195"/>
      <c r="K111" s="195"/>
    </row>
    <row r="112" spans="1:11" s="186" customFormat="1" ht="15" customHeight="1" x14ac:dyDescent="0.3">
      <c r="A112" s="211"/>
      <c r="B112" s="197"/>
      <c r="C112" s="206">
        <v>2037</v>
      </c>
      <c r="D112" s="207">
        <v>23</v>
      </c>
      <c r="E112" s="766"/>
      <c r="F112" s="763"/>
      <c r="G112" s="769">
        <v>535082.064468147</v>
      </c>
      <c r="H112" s="770">
        <v>536052.53979811876</v>
      </c>
      <c r="I112" s="195"/>
      <c r="J112" s="195"/>
      <c r="K112" s="195"/>
    </row>
    <row r="113" spans="1:11" s="186" customFormat="1" ht="15" customHeight="1" x14ac:dyDescent="0.3">
      <c r="A113" s="197"/>
      <c r="B113" s="197"/>
      <c r="C113" s="206">
        <v>2038</v>
      </c>
      <c r="D113" s="207">
        <v>24</v>
      </c>
      <c r="E113" s="766"/>
      <c r="F113" s="763"/>
      <c r="G113" s="769">
        <v>556852.67691026628</v>
      </c>
      <c r="H113" s="770">
        <v>557373.88076606661</v>
      </c>
      <c r="I113" s="195"/>
      <c r="J113" s="195"/>
      <c r="K113" s="195"/>
    </row>
    <row r="114" spans="1:11" s="186" customFormat="1" ht="15" customHeight="1" x14ac:dyDescent="0.3">
      <c r="A114" s="197"/>
      <c r="B114" s="197"/>
      <c r="C114" s="206">
        <v>2039</v>
      </c>
      <c r="D114" s="207">
        <v>25</v>
      </c>
      <c r="E114" s="766"/>
      <c r="F114" s="763"/>
      <c r="G114" s="769">
        <v>579402.48001595051</v>
      </c>
      <c r="H114" s="770">
        <v>579433.92661813402</v>
      </c>
      <c r="I114" s="195"/>
      <c r="J114" s="195"/>
      <c r="K114" s="195"/>
    </row>
    <row r="115" spans="1:11" s="186" customFormat="1" ht="15" customHeight="1" x14ac:dyDescent="0.3">
      <c r="A115" s="197"/>
      <c r="B115" s="197"/>
      <c r="C115" s="206">
        <v>2040</v>
      </c>
      <c r="D115" s="207">
        <v>26</v>
      </c>
      <c r="E115" s="766">
        <v>599.16399012122656</v>
      </c>
      <c r="F115" s="763">
        <v>599163.99012122652</v>
      </c>
      <c r="G115" s="769">
        <v>599163.99012122652</v>
      </c>
      <c r="H115" s="770">
        <v>598663.3203190678</v>
      </c>
      <c r="I115" s="195"/>
      <c r="J115" s="195"/>
      <c r="K115" s="195"/>
    </row>
    <row r="116" spans="1:11" s="186" customFormat="1" ht="15" customHeight="1" x14ac:dyDescent="0.3">
      <c r="A116" s="197"/>
      <c r="B116" s="197"/>
      <c r="C116" s="206">
        <v>2041</v>
      </c>
      <c r="D116" s="207">
        <v>27</v>
      </c>
      <c r="E116" s="766"/>
      <c r="F116" s="763"/>
      <c r="G116" s="769">
        <v>626905.00823527854</v>
      </c>
      <c r="H116" s="770">
        <v>625817.92384566041</v>
      </c>
      <c r="I116" s="195"/>
      <c r="J116" s="195"/>
      <c r="K116" s="195"/>
    </row>
    <row r="117" spans="1:11" s="186" customFormat="1" ht="15" customHeight="1" x14ac:dyDescent="0.3">
      <c r="A117" s="197"/>
      <c r="B117" s="197"/>
      <c r="C117" s="206">
        <v>2042</v>
      </c>
      <c r="D117" s="207">
        <v>28</v>
      </c>
      <c r="E117" s="766"/>
      <c r="F117" s="763"/>
      <c r="G117" s="769">
        <v>651890.40835755412</v>
      </c>
      <c r="H117" s="770">
        <v>650169.24723895488</v>
      </c>
      <c r="I117" s="195"/>
      <c r="J117" s="195"/>
      <c r="K117" s="195"/>
    </row>
    <row r="118" spans="1:11" s="186" customFormat="1" ht="15" customHeight="1" x14ac:dyDescent="0.3">
      <c r="A118" s="197"/>
      <c r="B118" s="197"/>
      <c r="C118" s="206">
        <v>2043</v>
      </c>
      <c r="D118" s="207">
        <v>29</v>
      </c>
      <c r="E118" s="766"/>
      <c r="F118" s="763"/>
      <c r="G118" s="769">
        <v>677720.34916065889</v>
      </c>
      <c r="H118" s="770">
        <v>675310.05034288485</v>
      </c>
      <c r="I118" s="195"/>
      <c r="J118" s="195"/>
      <c r="K118" s="195"/>
    </row>
    <row r="119" spans="1:11" s="186" customFormat="1" ht="15" customHeight="1" x14ac:dyDescent="0.3">
      <c r="A119" s="197"/>
      <c r="B119" s="197"/>
      <c r="C119" s="206">
        <v>2044</v>
      </c>
      <c r="D119" s="207">
        <v>30</v>
      </c>
      <c r="E119" s="766"/>
      <c r="F119" s="763"/>
      <c r="G119" s="769">
        <v>704411.16814890853</v>
      </c>
      <c r="H119" s="770">
        <v>701251.70677873993</v>
      </c>
      <c r="I119" s="195"/>
      <c r="J119" s="195"/>
      <c r="K119" s="195"/>
    </row>
    <row r="120" spans="1:11" s="186" customFormat="1" ht="15" customHeight="1" x14ac:dyDescent="0.3">
      <c r="A120" s="197"/>
      <c r="B120" s="197"/>
      <c r="C120" s="206">
        <v>2045</v>
      </c>
      <c r="D120" s="207">
        <v>31</v>
      </c>
      <c r="E120" s="766">
        <v>728.97460759455544</v>
      </c>
      <c r="F120" s="763">
        <v>728974.60759455548</v>
      </c>
      <c r="G120" s="769">
        <v>728974.60759455548</v>
      </c>
      <c r="H120" s="770">
        <v>725016.94314242888</v>
      </c>
      <c r="I120" s="195"/>
      <c r="J120" s="195"/>
      <c r="K120" s="195"/>
    </row>
    <row r="121" spans="1:11" s="186" customFormat="1" ht="15" customHeight="1" x14ac:dyDescent="0.3">
      <c r="A121" s="197"/>
      <c r="B121" s="197"/>
      <c r="C121" s="206">
        <v>2046</v>
      </c>
      <c r="D121" s="207">
        <v>32</v>
      </c>
      <c r="E121" s="766"/>
      <c r="F121" s="763"/>
      <c r="G121" s="769">
        <v>760440.79069810733</v>
      </c>
      <c r="H121" s="770">
        <v>755581.84258662653</v>
      </c>
      <c r="I121" s="195"/>
      <c r="J121" s="195"/>
      <c r="K121" s="195"/>
    </row>
    <row r="122" spans="1:11" s="186" customFormat="1" ht="15" customHeight="1" x14ac:dyDescent="0.3">
      <c r="A122" s="212"/>
      <c r="B122" s="197"/>
      <c r="C122" s="206">
        <v>2047</v>
      </c>
      <c r="D122" s="207">
        <v>33</v>
      </c>
      <c r="E122" s="766"/>
      <c r="F122" s="763"/>
      <c r="G122" s="769">
        <v>789812.26926768851</v>
      </c>
      <c r="H122" s="770">
        <v>783992.35987717973</v>
      </c>
      <c r="I122" s="195"/>
      <c r="J122" s="195"/>
      <c r="K122" s="195"/>
    </row>
    <row r="123" spans="1:11" s="186" customFormat="1" ht="15" customHeight="1" x14ac:dyDescent="0.3">
      <c r="A123" s="195"/>
      <c r="B123" s="197"/>
      <c r="C123" s="206">
        <v>2048</v>
      </c>
      <c r="D123" s="207">
        <v>34</v>
      </c>
      <c r="E123" s="766"/>
      <c r="F123" s="763"/>
      <c r="G123" s="769">
        <v>820109.97603967856</v>
      </c>
      <c r="H123" s="770">
        <v>813246.38760151074</v>
      </c>
      <c r="I123" s="195"/>
      <c r="J123" s="195"/>
      <c r="K123" s="195"/>
    </row>
    <row r="124" spans="1:11" s="186" customFormat="1" ht="15" customHeight="1" x14ac:dyDescent="0.3">
      <c r="A124" s="195"/>
      <c r="B124" s="195"/>
      <c r="C124" s="206">
        <v>2049</v>
      </c>
      <c r="D124" s="207">
        <v>35</v>
      </c>
      <c r="E124" s="766"/>
      <c r="F124" s="763"/>
      <c r="G124" s="769">
        <v>851350.24851839384</v>
      </c>
      <c r="H124" s="770">
        <v>843352.82812247565</v>
      </c>
      <c r="I124" s="195"/>
      <c r="J124" s="195"/>
      <c r="K124" s="195"/>
    </row>
    <row r="125" spans="1:11" s="186" customFormat="1" ht="15" customHeight="1" x14ac:dyDescent="0.3">
      <c r="A125" s="195"/>
      <c r="B125" s="195"/>
      <c r="C125" s="206">
        <v>2050</v>
      </c>
      <c r="D125" s="213">
        <v>36</v>
      </c>
      <c r="E125" s="771">
        <v>886.90907210581724</v>
      </c>
      <c r="F125" s="763">
        <v>886909.07210581726</v>
      </c>
      <c r="G125" s="772">
        <v>886909.07210581726</v>
      </c>
      <c r="H125" s="773">
        <v>877644.80620061385</v>
      </c>
      <c r="I125" s="195"/>
      <c r="J125" s="195"/>
      <c r="K125" s="195"/>
    </row>
    <row r="126" spans="1:11" s="186" customFormat="1" ht="15" customHeight="1" x14ac:dyDescent="0.3">
      <c r="A126" s="195"/>
      <c r="B126" s="195"/>
      <c r="C126" s="206">
        <v>2051</v>
      </c>
      <c r="D126" s="207">
        <v>37</v>
      </c>
      <c r="E126" s="766"/>
      <c r="F126" s="763"/>
      <c r="G126" s="769">
        <v>916723.84061326366</v>
      </c>
      <c r="H126" s="770">
        <v>906158.06197859114</v>
      </c>
      <c r="I126" s="195"/>
      <c r="J126" s="195"/>
      <c r="K126" s="195"/>
    </row>
    <row r="127" spans="1:11" s="186" customFormat="1" ht="15" customHeight="1" x14ac:dyDescent="0.3">
      <c r="A127" s="195"/>
      <c r="B127" s="195"/>
      <c r="C127" s="206">
        <v>2052</v>
      </c>
      <c r="D127" s="207">
        <v>38</v>
      </c>
      <c r="E127" s="766"/>
      <c r="F127" s="763"/>
      <c r="G127" s="769">
        <v>950889.8352380502</v>
      </c>
      <c r="H127" s="770">
        <v>938875.06033443857</v>
      </c>
      <c r="I127" s="195"/>
      <c r="J127" s="195"/>
      <c r="K127" s="195"/>
    </row>
    <row r="128" spans="1:11" s="186" customFormat="1" ht="15" customHeight="1" x14ac:dyDescent="0.3">
      <c r="A128" s="195"/>
      <c r="B128" s="195"/>
      <c r="C128" s="206">
        <v>2053</v>
      </c>
      <c r="D128" s="207">
        <v>39</v>
      </c>
      <c r="E128" s="766"/>
      <c r="F128" s="763"/>
      <c r="G128" s="769">
        <v>986063.745586826</v>
      </c>
      <c r="H128" s="770">
        <v>972478.04593224812</v>
      </c>
      <c r="I128" s="195"/>
      <c r="J128" s="195"/>
      <c r="K128" s="195"/>
    </row>
    <row r="129" spans="1:11" s="186" customFormat="1" ht="15" customHeight="1" x14ac:dyDescent="0.3">
      <c r="A129" s="195"/>
      <c r="B129" s="195"/>
      <c r="C129" s="206">
        <v>2054</v>
      </c>
      <c r="D129" s="207">
        <v>40</v>
      </c>
      <c r="E129" s="766"/>
      <c r="F129" s="763"/>
      <c r="G129" s="769">
        <v>1022261.9091639067</v>
      </c>
      <c r="H129" s="770">
        <v>1006972.7995215696</v>
      </c>
      <c r="I129" s="195"/>
      <c r="J129" s="195"/>
      <c r="K129" s="195"/>
    </row>
    <row r="130" spans="1:11" s="186" customFormat="1" ht="15" customHeight="1" x14ac:dyDescent="0.3">
      <c r="A130" s="195"/>
      <c r="B130" s="195"/>
      <c r="C130" s="206">
        <v>2055</v>
      </c>
      <c r="D130" s="213">
        <v>41</v>
      </c>
      <c r="E130" s="771"/>
      <c r="F130" s="763"/>
      <c r="G130" s="772">
        <v>1059500.6634736087</v>
      </c>
      <c r="H130" s="773">
        <v>1042365.4518235413</v>
      </c>
      <c r="I130" s="195"/>
      <c r="J130" s="195"/>
      <c r="K130" s="195"/>
    </row>
    <row r="131" spans="1:11" s="186" customFormat="1" ht="15" customHeight="1" x14ac:dyDescent="0.3">
      <c r="A131" s="195"/>
      <c r="B131" s="195"/>
      <c r="C131" s="206">
        <v>2056</v>
      </c>
      <c r="D131" s="207">
        <v>42</v>
      </c>
      <c r="E131" s="766"/>
      <c r="F131" s="763"/>
      <c r="G131" s="769">
        <v>1097796.3460202478</v>
      </c>
      <c r="H131" s="770">
        <v>1078662.8589833542</v>
      </c>
      <c r="I131" s="195"/>
      <c r="J131" s="195"/>
      <c r="K131" s="195"/>
    </row>
    <row r="132" spans="1:11" s="186" customFormat="1" ht="15" customHeight="1" x14ac:dyDescent="0.3">
      <c r="A132" s="195"/>
      <c r="B132" s="195"/>
      <c r="C132" s="206">
        <v>2057</v>
      </c>
      <c r="D132" s="207">
        <v>43</v>
      </c>
      <c r="E132" s="766"/>
      <c r="F132" s="763"/>
      <c r="G132" s="769">
        <v>1137165.2943081399</v>
      </c>
      <c r="H132" s="770">
        <v>1115873.1167639534</v>
      </c>
      <c r="I132" s="195"/>
      <c r="J132" s="195"/>
      <c r="K132" s="195"/>
    </row>
    <row r="133" spans="1:11" s="186" customFormat="1" ht="15" customHeight="1" x14ac:dyDescent="0.3">
      <c r="A133" s="195"/>
      <c r="B133" s="195"/>
      <c r="C133" s="206">
        <v>2058</v>
      </c>
      <c r="D133" s="207">
        <v>44</v>
      </c>
      <c r="E133" s="766"/>
      <c r="F133" s="763"/>
      <c r="G133" s="769">
        <v>1177623.8458416013</v>
      </c>
      <c r="H133" s="770">
        <v>1154005.0878402784</v>
      </c>
      <c r="I133" s="195"/>
      <c r="J133" s="195"/>
      <c r="K133" s="195"/>
    </row>
    <row r="134" spans="1:11" s="186" customFormat="1" ht="15" customHeight="1" x14ac:dyDescent="0.3">
      <c r="A134" s="195"/>
      <c r="B134" s="195"/>
      <c r="C134" s="206">
        <v>2059</v>
      </c>
      <c r="D134" s="207">
        <v>45</v>
      </c>
      <c r="E134" s="766"/>
      <c r="F134" s="763"/>
      <c r="G134" s="769">
        <v>1219188.3381249479</v>
      </c>
      <c r="H134" s="770">
        <v>1193068.5667187534</v>
      </c>
      <c r="I134" s="195"/>
      <c r="J134" s="195"/>
      <c r="K134" s="195"/>
    </row>
    <row r="135" spans="1:11" s="186" customFormat="1" ht="15" customHeight="1" x14ac:dyDescent="0.3">
      <c r="A135" s="706"/>
      <c r="B135" s="706"/>
      <c r="C135" s="214">
        <v>2060</v>
      </c>
      <c r="D135" s="213">
        <v>46</v>
      </c>
      <c r="E135" s="771"/>
      <c r="F135" s="763"/>
      <c r="G135" s="772">
        <v>1261875.1086624954</v>
      </c>
      <c r="H135" s="773">
        <v>1233073.1349040442</v>
      </c>
      <c r="I135" s="195"/>
      <c r="J135" s="195"/>
      <c r="K135" s="195"/>
    </row>
    <row r="136" spans="1:11" s="186" customFormat="1" ht="15" customHeight="1" x14ac:dyDescent="0.3">
      <c r="A136" s="706"/>
      <c r="B136" s="706"/>
      <c r="C136" s="211"/>
      <c r="E136" s="211"/>
      <c r="F136" s="211"/>
      <c r="G136" s="211"/>
      <c r="H136" s="211"/>
      <c r="I136" s="211"/>
      <c r="J136" s="211"/>
      <c r="K136" s="211"/>
    </row>
    <row r="137" spans="1:11" s="186" customFormat="1" ht="15" customHeight="1" x14ac:dyDescent="0.3">
      <c r="A137" s="706"/>
      <c r="B137" s="706"/>
      <c r="C137" s="211"/>
      <c r="E137" s="211"/>
      <c r="F137" s="211"/>
      <c r="G137" s="211"/>
      <c r="H137" s="211"/>
      <c r="I137" s="211"/>
      <c r="J137" s="211"/>
      <c r="K137" s="211"/>
    </row>
    <row r="138" spans="1:11" s="186" customFormat="1" ht="15" customHeight="1" x14ac:dyDescent="0.3">
      <c r="A138" s="748" t="str">
        <f>HYPERLINK("#'Interp-FREIGHT'!a1","Back to top")</f>
        <v>Back to top</v>
      </c>
      <c r="B138" s="706"/>
      <c r="C138" s="211"/>
      <c r="E138" s="211"/>
      <c r="F138" s="211"/>
      <c r="G138" s="211"/>
      <c r="H138" s="211"/>
      <c r="I138" s="211"/>
      <c r="J138" s="211"/>
      <c r="K138" s="211"/>
    </row>
    <row r="139" spans="1:11" s="186" customFormat="1" ht="15" customHeight="1" x14ac:dyDescent="0.3">
      <c r="A139" s="211"/>
      <c r="C139" s="211"/>
      <c r="E139" s="211"/>
      <c r="F139" s="211"/>
      <c r="G139" s="211"/>
      <c r="H139" s="211"/>
      <c r="I139" s="211"/>
      <c r="J139" s="211"/>
      <c r="K139" s="211"/>
    </row>
    <row r="140" spans="1:11" s="186" customFormat="1" ht="15" customHeight="1" x14ac:dyDescent="0.3"/>
    <row r="141" spans="1:11" s="186" customFormat="1" ht="15" customHeight="1" x14ac:dyDescent="0.3">
      <c r="A141" s="187">
        <f>1+A76</f>
        <v>3</v>
      </c>
      <c r="B141" s="188" t="s">
        <v>193</v>
      </c>
      <c r="C141" s="189"/>
      <c r="D141" s="189"/>
      <c r="E141" s="189"/>
      <c r="F141" s="189"/>
      <c r="G141" s="189"/>
      <c r="H141" s="189"/>
      <c r="I141" s="189"/>
      <c r="J141" s="189"/>
      <c r="K141" s="189"/>
    </row>
    <row r="142" spans="1:11" s="186" customFormat="1" ht="15" customHeight="1" x14ac:dyDescent="0.3">
      <c r="A142" s="190" t="s">
        <v>74</v>
      </c>
      <c r="B142" s="191"/>
      <c r="C142" s="191"/>
      <c r="D142" s="192"/>
      <c r="E142" s="193"/>
      <c r="F142" s="928"/>
      <c r="G142" s="193"/>
      <c r="H142" s="194"/>
      <c r="I142" s="195"/>
      <c r="J142" s="195"/>
      <c r="K142" s="195"/>
    </row>
    <row r="143" spans="1:11" s="186" customFormat="1" ht="15" customHeight="1" thickBot="1" x14ac:dyDescent="0.35">
      <c r="A143" s="196" t="s">
        <v>75</v>
      </c>
      <c r="B143" s="197"/>
      <c r="C143" s="197"/>
      <c r="D143" s="198"/>
      <c r="E143" s="199" t="s">
        <v>78</v>
      </c>
      <c r="F143" s="929"/>
      <c r="G143" s="200" t="s">
        <v>188</v>
      </c>
      <c r="H143" s="194"/>
      <c r="I143" s="195"/>
      <c r="J143" s="195"/>
      <c r="K143" s="195"/>
    </row>
    <row r="144" spans="1:11" s="186" customFormat="1" ht="39.450000000000003" customHeight="1" thickBot="1" x14ac:dyDescent="0.35">
      <c r="A144" s="201"/>
      <c r="B144" s="201"/>
      <c r="C144" s="201"/>
      <c r="D144" s="202"/>
      <c r="E144" s="203" t="s">
        <v>124</v>
      </c>
      <c r="F144" s="203" t="s">
        <v>179</v>
      </c>
      <c r="G144" s="200" t="s">
        <v>81</v>
      </c>
      <c r="H144" s="203" t="s">
        <v>98</v>
      </c>
      <c r="I144" s="203" t="s">
        <v>83</v>
      </c>
      <c r="J144" s="921" t="s">
        <v>84</v>
      </c>
      <c r="K144" s="922"/>
    </row>
    <row r="145" spans="1:11" s="186" customFormat="1" ht="15" customHeight="1" x14ac:dyDescent="0.3">
      <c r="A145" s="190" t="s">
        <v>85</v>
      </c>
      <c r="B145" s="201"/>
      <c r="C145" s="204">
        <v>2005</v>
      </c>
      <c r="D145" s="205">
        <v>-9</v>
      </c>
      <c r="E145" s="762">
        <v>153.69800000000001</v>
      </c>
      <c r="F145" s="763">
        <v>153698</v>
      </c>
      <c r="G145" s="764">
        <v>153698</v>
      </c>
      <c r="H145" s="765">
        <v>153698</v>
      </c>
      <c r="I145" s="927" t="s">
        <v>86</v>
      </c>
      <c r="J145" s="923"/>
      <c r="K145" s="924"/>
    </row>
    <row r="146" spans="1:11" s="186" customFormat="1" ht="15" customHeight="1" x14ac:dyDescent="0.3">
      <c r="A146" s="196" t="s">
        <v>87</v>
      </c>
      <c r="B146" s="201"/>
      <c r="C146" s="206">
        <v>2006</v>
      </c>
      <c r="D146" s="207">
        <v>-8</v>
      </c>
      <c r="E146" s="766">
        <v>163.85</v>
      </c>
      <c r="F146" s="763">
        <v>163850</v>
      </c>
      <c r="G146" s="767">
        <v>163850</v>
      </c>
      <c r="H146" s="768">
        <v>163850</v>
      </c>
      <c r="I146" s="923"/>
      <c r="J146" s="923"/>
      <c r="K146" s="924"/>
    </row>
    <row r="147" spans="1:11" s="186" customFormat="1" ht="15" customHeight="1" x14ac:dyDescent="0.3">
      <c r="A147" s="201"/>
      <c r="B147" s="201"/>
      <c r="C147" s="206">
        <v>2007</v>
      </c>
      <c r="D147" s="207">
        <v>-7</v>
      </c>
      <c r="E147" s="766">
        <v>171.72300000000001</v>
      </c>
      <c r="F147" s="763">
        <v>171723</v>
      </c>
      <c r="G147" s="767">
        <v>171723</v>
      </c>
      <c r="H147" s="768">
        <v>171723</v>
      </c>
      <c r="I147" s="923"/>
      <c r="J147" s="923"/>
      <c r="K147" s="924"/>
    </row>
    <row r="148" spans="1:11" s="186" customFormat="1" ht="15" customHeight="1" x14ac:dyDescent="0.3">
      <c r="A148" s="208" t="s">
        <v>88</v>
      </c>
      <c r="B148" s="201"/>
      <c r="C148" s="206">
        <v>2008</v>
      </c>
      <c r="D148" s="207">
        <v>-6</v>
      </c>
      <c r="E148" s="766">
        <v>170.07300000000001</v>
      </c>
      <c r="F148" s="763">
        <v>170073</v>
      </c>
      <c r="G148" s="767">
        <v>170073</v>
      </c>
      <c r="H148" s="768">
        <v>170073</v>
      </c>
      <c r="I148" s="923"/>
      <c r="J148" s="925"/>
      <c r="K148" s="926"/>
    </row>
    <row r="149" spans="1:11" s="186" customFormat="1" ht="15" customHeight="1" x14ac:dyDescent="0.3">
      <c r="A149" s="935" t="s">
        <v>194</v>
      </c>
      <c r="B149" s="201"/>
      <c r="C149" s="206">
        <v>2009</v>
      </c>
      <c r="D149" s="207">
        <v>-5</v>
      </c>
      <c r="E149" s="766">
        <v>154.976</v>
      </c>
      <c r="F149" s="763">
        <v>154976</v>
      </c>
      <c r="G149" s="767">
        <v>154976</v>
      </c>
      <c r="H149" s="768">
        <v>154976</v>
      </c>
      <c r="I149" s="923"/>
      <c r="J149" s="195"/>
      <c r="K149" s="195"/>
    </row>
    <row r="150" spans="1:11" s="186" customFormat="1" ht="15" customHeight="1" x14ac:dyDescent="0.3">
      <c r="A150" s="936"/>
      <c r="B150" s="201"/>
      <c r="C150" s="206">
        <v>2010</v>
      </c>
      <c r="D150" s="207">
        <v>-4</v>
      </c>
      <c r="E150" s="766">
        <v>185.62100000000001</v>
      </c>
      <c r="F150" s="763">
        <v>185621</v>
      </c>
      <c r="G150" s="767">
        <v>185621</v>
      </c>
      <c r="H150" s="768">
        <v>185621</v>
      </c>
      <c r="I150" s="923"/>
      <c r="J150" s="195"/>
      <c r="K150" s="195"/>
    </row>
    <row r="151" spans="1:11" s="186" customFormat="1" ht="15" customHeight="1" x14ac:dyDescent="0.3">
      <c r="A151" s="936"/>
      <c r="B151" s="201"/>
      <c r="C151" s="206">
        <v>2011</v>
      </c>
      <c r="D151" s="207">
        <v>-3</v>
      </c>
      <c r="E151" s="766">
        <v>186.178</v>
      </c>
      <c r="F151" s="763">
        <v>186178</v>
      </c>
      <c r="G151" s="767">
        <v>186178</v>
      </c>
      <c r="H151" s="768">
        <v>186178</v>
      </c>
      <c r="I151" s="925"/>
      <c r="J151" s="195"/>
      <c r="K151" s="195"/>
    </row>
    <row r="152" spans="1:11" s="186" customFormat="1" ht="15" customHeight="1" x14ac:dyDescent="0.3">
      <c r="A152" s="937"/>
      <c r="B152" s="201"/>
      <c r="C152" s="206">
        <v>2012</v>
      </c>
      <c r="D152" s="207">
        <v>-2</v>
      </c>
      <c r="E152" s="766">
        <v>184.23599999999999</v>
      </c>
      <c r="F152" s="763">
        <v>184236</v>
      </c>
      <c r="G152" s="769">
        <v>184236</v>
      </c>
      <c r="H152" s="770">
        <v>184236</v>
      </c>
      <c r="I152" s="209" t="s">
        <v>90</v>
      </c>
      <c r="J152" s="195"/>
      <c r="K152" s="195"/>
    </row>
    <row r="153" spans="1:11" s="186" customFormat="1" ht="15" customHeight="1" x14ac:dyDescent="0.3">
      <c r="A153" s="201"/>
      <c r="B153" s="201"/>
      <c r="C153" s="206">
        <v>2013</v>
      </c>
      <c r="D153" s="207">
        <v>-1</v>
      </c>
      <c r="E153" s="766">
        <v>207.8</v>
      </c>
      <c r="F153" s="763">
        <v>207800</v>
      </c>
      <c r="G153" s="769">
        <v>207800</v>
      </c>
      <c r="H153" s="770">
        <v>207800</v>
      </c>
      <c r="I153" s="201"/>
      <c r="J153" s="195"/>
      <c r="K153" s="195"/>
    </row>
    <row r="154" spans="1:11" s="186" customFormat="1" ht="15" customHeight="1" x14ac:dyDescent="0.3">
      <c r="A154" s="193" t="s">
        <v>91</v>
      </c>
      <c r="B154" s="201"/>
      <c r="C154" s="206">
        <v>2014</v>
      </c>
      <c r="D154" s="207">
        <v>0</v>
      </c>
      <c r="E154" s="766"/>
      <c r="F154" s="763"/>
      <c r="G154" s="769">
        <v>214858.41107252493</v>
      </c>
      <c r="H154" s="770">
        <v>216863.15138492984</v>
      </c>
      <c r="I154" s="195"/>
      <c r="J154" s="195"/>
      <c r="K154" s="195"/>
    </row>
    <row r="155" spans="1:11" s="186" customFormat="1" ht="15" customHeight="1" x14ac:dyDescent="0.3">
      <c r="A155" s="196">
        <v>2013</v>
      </c>
      <c r="B155" s="197"/>
      <c r="C155" s="206">
        <v>2015</v>
      </c>
      <c r="D155" s="207">
        <v>1</v>
      </c>
      <c r="E155" s="766">
        <v>227.79223019999998</v>
      </c>
      <c r="F155" s="763">
        <v>227792.23019999999</v>
      </c>
      <c r="G155" s="769">
        <v>227792.23019999999</v>
      </c>
      <c r="H155" s="770">
        <v>230010.45315486859</v>
      </c>
      <c r="I155" s="195"/>
      <c r="J155" s="195"/>
      <c r="K155" s="195"/>
    </row>
    <row r="156" spans="1:11" s="186" customFormat="1" ht="15" customHeight="1" x14ac:dyDescent="0.3">
      <c r="A156" s="195"/>
      <c r="B156" s="197"/>
      <c r="C156" s="206">
        <v>2016</v>
      </c>
      <c r="D156" s="207">
        <v>2</v>
      </c>
      <c r="E156" s="766"/>
      <c r="F156" s="763"/>
      <c r="G156" s="769">
        <v>234146.58323532686</v>
      </c>
      <c r="H156" s="770">
        <v>236536.77417345659</v>
      </c>
      <c r="I156" s="195"/>
      <c r="J156" s="195"/>
      <c r="K156" s="195"/>
    </row>
    <row r="157" spans="1:11" s="186" customFormat="1" ht="15" customHeight="1" x14ac:dyDescent="0.3">
      <c r="A157" s="193" t="s">
        <v>92</v>
      </c>
      <c r="B157" s="197"/>
      <c r="C157" s="206">
        <v>2017</v>
      </c>
      <c r="D157" s="207">
        <v>3</v>
      </c>
      <c r="E157" s="766"/>
      <c r="F157" s="763"/>
      <c r="G157" s="769">
        <v>244675.35733826281</v>
      </c>
      <c r="H157" s="770">
        <v>247300.874393915</v>
      </c>
      <c r="I157" s="195"/>
      <c r="J157" s="195"/>
      <c r="K157" s="195"/>
    </row>
    <row r="158" spans="1:11" s="186" customFormat="1" ht="15" customHeight="1" x14ac:dyDescent="0.3">
      <c r="A158" s="196" t="s">
        <v>124</v>
      </c>
      <c r="B158" s="197"/>
      <c r="C158" s="206">
        <v>2018</v>
      </c>
      <c r="D158" s="207">
        <v>4</v>
      </c>
      <c r="E158" s="766"/>
      <c r="F158" s="763"/>
      <c r="G158" s="769">
        <v>255835.20243612092</v>
      </c>
      <c r="H158" s="770">
        <v>258722.16029897929</v>
      </c>
      <c r="I158" s="195"/>
      <c r="J158" s="195"/>
      <c r="K158" s="195"/>
    </row>
    <row r="159" spans="1:11" s="186" customFormat="1" ht="15" customHeight="1" x14ac:dyDescent="0.3">
      <c r="A159" s="195"/>
      <c r="B159" s="197"/>
      <c r="C159" s="206">
        <v>2019</v>
      </c>
      <c r="D159" s="207">
        <v>5</v>
      </c>
      <c r="E159" s="766"/>
      <c r="F159" s="763"/>
      <c r="G159" s="769">
        <v>267657.07776432531</v>
      </c>
      <c r="H159" s="770">
        <v>270826.34340227849</v>
      </c>
      <c r="I159" s="195"/>
      <c r="J159" s="195"/>
      <c r="K159" s="195"/>
    </row>
    <row r="160" spans="1:11" s="186" customFormat="1" ht="15" customHeight="1" x14ac:dyDescent="0.3">
      <c r="A160" s="193" t="s">
        <v>93</v>
      </c>
      <c r="B160" s="197"/>
      <c r="C160" s="206">
        <v>2020</v>
      </c>
      <c r="D160" s="207">
        <v>6</v>
      </c>
      <c r="E160" s="766">
        <v>286.59744539937731</v>
      </c>
      <c r="F160" s="763">
        <v>286597.44539937732</v>
      </c>
      <c r="G160" s="769">
        <v>286597.44539937732</v>
      </c>
      <c r="H160" s="770">
        <v>290168.42275504943</v>
      </c>
      <c r="I160" s="195"/>
      <c r="J160" s="195"/>
      <c r="K160" s="195"/>
    </row>
    <row r="161" spans="1:11" s="186" customFormat="1" ht="15" customHeight="1" x14ac:dyDescent="0.3">
      <c r="A161" s="193"/>
      <c r="B161" s="197"/>
      <c r="C161" s="206">
        <v>2021</v>
      </c>
      <c r="D161" s="207">
        <v>7</v>
      </c>
      <c r="E161" s="766"/>
      <c r="F161" s="763"/>
      <c r="G161" s="769">
        <v>293410.75605346949</v>
      </c>
      <c r="H161" s="770">
        <v>297027.54334713839</v>
      </c>
      <c r="I161" s="195"/>
      <c r="J161" s="195"/>
      <c r="K161" s="195"/>
    </row>
    <row r="162" spans="1:11" s="186" customFormat="1" ht="15" customHeight="1" x14ac:dyDescent="0.3">
      <c r="A162" s="210"/>
      <c r="B162" s="197"/>
      <c r="C162" s="206">
        <v>2022</v>
      </c>
      <c r="D162" s="207">
        <v>8</v>
      </c>
      <c r="E162" s="766"/>
      <c r="F162" s="763"/>
      <c r="G162" s="769">
        <v>307404.47748525755</v>
      </c>
      <c r="H162" s="770">
        <v>311132.21913515107</v>
      </c>
      <c r="I162" s="195"/>
      <c r="J162" s="195"/>
      <c r="K162" s="195"/>
    </row>
    <row r="163" spans="1:11" s="186" customFormat="1" ht="15" customHeight="1" x14ac:dyDescent="0.3">
      <c r="A163" s="196">
        <v>1000</v>
      </c>
      <c r="B163" s="197"/>
      <c r="C163" s="206">
        <v>2023</v>
      </c>
      <c r="D163" s="207">
        <v>9</v>
      </c>
      <c r="E163" s="766"/>
      <c r="F163" s="763"/>
      <c r="G163" s="769">
        <v>322184.06608908845</v>
      </c>
      <c r="H163" s="770">
        <v>326005.35515891406</v>
      </c>
      <c r="I163" s="195"/>
      <c r="J163" s="195"/>
      <c r="K163" s="195"/>
    </row>
    <row r="164" spans="1:11" s="186" customFormat="1" ht="15" customHeight="1" x14ac:dyDescent="0.3">
      <c r="A164" s="195"/>
      <c r="B164" s="197"/>
      <c r="C164" s="206">
        <v>2024</v>
      </c>
      <c r="D164" s="207">
        <v>10</v>
      </c>
      <c r="E164" s="766"/>
      <c r="F164" s="763"/>
      <c r="G164" s="769">
        <v>337780.48110038624</v>
      </c>
      <c r="H164" s="770">
        <v>341669.92781032406</v>
      </c>
      <c r="I164" s="195"/>
      <c r="J164" s="195"/>
      <c r="K164" s="195"/>
    </row>
    <row r="165" spans="1:11" s="186" customFormat="1" ht="15" customHeight="1" x14ac:dyDescent="0.3">
      <c r="A165" s="211"/>
      <c r="B165" s="197"/>
      <c r="C165" s="206">
        <v>2025</v>
      </c>
      <c r="D165" s="207">
        <v>11</v>
      </c>
      <c r="E165" s="766">
        <v>360.58339495307803</v>
      </c>
      <c r="F165" s="763">
        <v>360583.39495307801</v>
      </c>
      <c r="G165" s="769">
        <v>360583.39495307801</v>
      </c>
      <c r="H165" s="770">
        <v>364578.69098979508</v>
      </c>
      <c r="I165" s="195"/>
      <c r="J165" s="195"/>
      <c r="K165" s="195"/>
    </row>
    <row r="166" spans="1:11" s="186" customFormat="1" ht="15" customHeight="1" x14ac:dyDescent="0.3">
      <c r="A166" s="211"/>
      <c r="B166" s="197"/>
      <c r="C166" s="206">
        <v>2026</v>
      </c>
      <c r="D166" s="207">
        <v>12</v>
      </c>
      <c r="E166" s="766"/>
      <c r="F166" s="763"/>
      <c r="G166" s="769">
        <v>371547.62728707923</v>
      </c>
      <c r="H166" s="770">
        <v>375472.48817097867</v>
      </c>
      <c r="I166" s="195"/>
      <c r="J166" s="195"/>
      <c r="K166" s="195"/>
    </row>
    <row r="167" spans="1:11" s="186" customFormat="1" ht="15" customHeight="1" x14ac:dyDescent="0.3">
      <c r="A167" s="211"/>
      <c r="B167" s="197"/>
      <c r="C167" s="206">
        <v>2027</v>
      </c>
      <c r="D167" s="207">
        <v>13</v>
      </c>
      <c r="E167" s="766"/>
      <c r="F167" s="763"/>
      <c r="G167" s="769">
        <v>389780.27693332266</v>
      </c>
      <c r="H167" s="770">
        <v>393670.07979884767</v>
      </c>
      <c r="I167" s="195"/>
      <c r="J167" s="195"/>
      <c r="K167" s="195"/>
    </row>
    <row r="168" spans="1:11" s="186" customFormat="1" ht="15" customHeight="1" x14ac:dyDescent="0.3">
      <c r="A168" s="211"/>
      <c r="B168" s="197"/>
      <c r="C168" s="206">
        <v>2028</v>
      </c>
      <c r="D168" s="207">
        <v>14</v>
      </c>
      <c r="E168" s="766"/>
      <c r="F168" s="763"/>
      <c r="G168" s="769">
        <v>408953.58992872958</v>
      </c>
      <c r="H168" s="770">
        <v>412770.41214239091</v>
      </c>
      <c r="I168" s="195"/>
      <c r="J168" s="195"/>
      <c r="K168" s="195"/>
    </row>
    <row r="169" spans="1:11" s="186" customFormat="1" ht="15" customHeight="1" x14ac:dyDescent="0.3">
      <c r="A169" s="211"/>
      <c r="B169" s="197"/>
      <c r="C169" s="206">
        <v>2029</v>
      </c>
      <c r="D169" s="207">
        <v>15</v>
      </c>
      <c r="E169" s="766"/>
      <c r="F169" s="763"/>
      <c r="G169" s="769">
        <v>429098.52550872415</v>
      </c>
      <c r="H169" s="770">
        <v>432801.64362625923</v>
      </c>
      <c r="I169" s="195"/>
      <c r="J169" s="195"/>
      <c r="K169" s="195"/>
    </row>
    <row r="170" spans="1:11" s="186" customFormat="1" ht="15" customHeight="1" x14ac:dyDescent="0.3">
      <c r="A170" s="211"/>
      <c r="B170" s="197"/>
      <c r="C170" s="206">
        <v>2030</v>
      </c>
      <c r="D170" s="207">
        <v>16</v>
      </c>
      <c r="E170" s="766">
        <v>453.66902881741441</v>
      </c>
      <c r="F170" s="763">
        <v>453669.02881741442</v>
      </c>
      <c r="G170" s="769">
        <v>453669.02881741442</v>
      </c>
      <c r="H170" s="770">
        <v>457241.45790409774</v>
      </c>
      <c r="I170" s="195"/>
      <c r="J170" s="195"/>
      <c r="K170" s="195"/>
    </row>
    <row r="171" spans="1:11" s="186" customFormat="1" ht="15" customHeight="1" x14ac:dyDescent="0.3">
      <c r="A171" s="211"/>
      <c r="B171" s="197"/>
      <c r="C171" s="206">
        <v>2031</v>
      </c>
      <c r="D171" s="207">
        <v>17</v>
      </c>
      <c r="E171" s="766"/>
      <c r="F171" s="763"/>
      <c r="G171" s="769">
        <v>472427.10136417253</v>
      </c>
      <c r="H171" s="770">
        <v>475767.36175307055</v>
      </c>
      <c r="I171" s="195"/>
      <c r="J171" s="195"/>
      <c r="K171" s="195"/>
    </row>
    <row r="172" spans="1:11" s="186" customFormat="1" ht="15" customHeight="1" x14ac:dyDescent="0.3">
      <c r="A172" s="211"/>
      <c r="B172" s="197"/>
      <c r="C172" s="206">
        <v>2032</v>
      </c>
      <c r="D172" s="207">
        <v>18</v>
      </c>
      <c r="E172" s="766"/>
      <c r="F172" s="763"/>
      <c r="G172" s="769">
        <v>495672.66011047468</v>
      </c>
      <c r="H172" s="770">
        <v>498757.90825563512</v>
      </c>
      <c r="I172" s="195"/>
      <c r="J172" s="195"/>
      <c r="K172" s="195"/>
    </row>
    <row r="173" spans="1:11" s="186" customFormat="1" ht="15" customHeight="1" x14ac:dyDescent="0.3">
      <c r="A173" s="211"/>
      <c r="B173" s="197"/>
      <c r="C173" s="206">
        <v>2033</v>
      </c>
      <c r="D173" s="207">
        <v>19</v>
      </c>
      <c r="E173" s="766"/>
      <c r="F173" s="763"/>
      <c r="G173" s="769">
        <v>520013.67838306085</v>
      </c>
      <c r="H173" s="770">
        <v>522795.69168627489</v>
      </c>
      <c r="I173" s="195"/>
      <c r="J173" s="195"/>
      <c r="K173" s="195"/>
    </row>
    <row r="174" spans="1:11" s="186" customFormat="1" ht="15" customHeight="1" x14ac:dyDescent="0.3">
      <c r="A174" s="211"/>
      <c r="B174" s="197"/>
      <c r="C174" s="206">
        <v>2034</v>
      </c>
      <c r="D174" s="207">
        <v>20</v>
      </c>
      <c r="E174" s="766"/>
      <c r="F174" s="763"/>
      <c r="G174" s="769">
        <v>545481.11541735544</v>
      </c>
      <c r="H174" s="770">
        <v>547915.62341837795</v>
      </c>
      <c r="I174" s="195"/>
      <c r="J174" s="195"/>
      <c r="K174" s="195"/>
    </row>
    <row r="175" spans="1:11" s="186" customFormat="1" ht="15" customHeight="1" x14ac:dyDescent="0.3">
      <c r="A175" s="211"/>
      <c r="B175" s="197"/>
      <c r="C175" s="206">
        <v>2035</v>
      </c>
      <c r="D175" s="207">
        <v>21</v>
      </c>
      <c r="E175" s="766">
        <v>570.78498507929999</v>
      </c>
      <c r="F175" s="763">
        <v>570784.98507930001</v>
      </c>
      <c r="G175" s="769">
        <v>570784.98507930001</v>
      </c>
      <c r="H175" s="770">
        <v>572825.84988583892</v>
      </c>
      <c r="I175" s="195"/>
      <c r="J175" s="195"/>
      <c r="K175" s="195"/>
    </row>
    <row r="176" spans="1:11" s="186" customFormat="1" ht="15" customHeight="1" x14ac:dyDescent="0.3">
      <c r="A176" s="211"/>
      <c r="B176" s="197"/>
      <c r="C176" s="206">
        <v>2036</v>
      </c>
      <c r="D176" s="207">
        <v>22</v>
      </c>
      <c r="E176" s="766"/>
      <c r="F176" s="763"/>
      <c r="G176" s="769">
        <v>599919.08271276578</v>
      </c>
      <c r="H176" s="770">
        <v>601534.48044735193</v>
      </c>
      <c r="I176" s="195"/>
      <c r="J176" s="195"/>
      <c r="K176" s="195"/>
    </row>
    <row r="177" spans="1:11" s="186" customFormat="1" ht="15" customHeight="1" x14ac:dyDescent="0.3">
      <c r="A177" s="211"/>
      <c r="B177" s="197"/>
      <c r="C177" s="206">
        <v>2037</v>
      </c>
      <c r="D177" s="207">
        <v>23</v>
      </c>
      <c r="E177" s="766"/>
      <c r="F177" s="763"/>
      <c r="G177" s="769">
        <v>628951.53144472977</v>
      </c>
      <c r="H177" s="770">
        <v>630092.25729885034</v>
      </c>
      <c r="I177" s="195"/>
      <c r="J177" s="195"/>
      <c r="K177" s="195"/>
    </row>
    <row r="178" spans="1:11" s="186" customFormat="1" ht="15" customHeight="1" x14ac:dyDescent="0.3">
      <c r="A178" s="197"/>
      <c r="B178" s="197"/>
      <c r="C178" s="206">
        <v>2038</v>
      </c>
      <c r="D178" s="207">
        <v>24</v>
      </c>
      <c r="E178" s="766"/>
      <c r="F178" s="763"/>
      <c r="G178" s="769">
        <v>659234.23588009865</v>
      </c>
      <c r="H178" s="770">
        <v>659851.26699059398</v>
      </c>
      <c r="I178" s="195"/>
      <c r="J178" s="195"/>
      <c r="K178" s="195"/>
    </row>
    <row r="179" spans="1:11" s="186" customFormat="1" ht="15" customHeight="1" x14ac:dyDescent="0.3">
      <c r="A179" s="197"/>
      <c r="B179" s="197"/>
      <c r="C179" s="206">
        <v>2039</v>
      </c>
      <c r="D179" s="207">
        <v>25</v>
      </c>
      <c r="E179" s="766"/>
      <c r="F179" s="763"/>
      <c r="G179" s="769">
        <v>690798.15525429638</v>
      </c>
      <c r="H179" s="770">
        <v>690835.64776688756</v>
      </c>
      <c r="I179" s="195"/>
      <c r="J179" s="195"/>
      <c r="K179" s="195"/>
    </row>
    <row r="180" spans="1:11" s="186" customFormat="1" ht="15" customHeight="1" x14ac:dyDescent="0.3">
      <c r="A180" s="197"/>
      <c r="B180" s="197"/>
      <c r="C180" s="206">
        <v>2040</v>
      </c>
      <c r="D180" s="207">
        <v>26</v>
      </c>
      <c r="E180" s="766">
        <v>718.1347601383161</v>
      </c>
      <c r="F180" s="763">
        <v>718134.76013831608</v>
      </c>
      <c r="G180" s="769">
        <v>718134.76013831608</v>
      </c>
      <c r="H180" s="770">
        <v>717534.6766983734</v>
      </c>
      <c r="I180" s="195"/>
      <c r="J180" s="195"/>
      <c r="K180" s="195"/>
    </row>
    <row r="181" spans="1:11" s="186" customFormat="1" ht="15" customHeight="1" x14ac:dyDescent="0.3">
      <c r="A181" s="197"/>
      <c r="B181" s="197"/>
      <c r="C181" s="206">
        <v>2041</v>
      </c>
      <c r="D181" s="207">
        <v>27</v>
      </c>
      <c r="E181" s="766"/>
      <c r="F181" s="763"/>
      <c r="G181" s="769">
        <v>757893.47576087527</v>
      </c>
      <c r="H181" s="770">
        <v>756579.25086927274</v>
      </c>
      <c r="I181" s="195"/>
      <c r="J181" s="195"/>
      <c r="K181" s="195"/>
    </row>
    <row r="182" spans="1:11" s="186" customFormat="1" ht="15" customHeight="1" x14ac:dyDescent="0.3">
      <c r="A182" s="197"/>
      <c r="B182" s="197"/>
      <c r="C182" s="206">
        <v>2042</v>
      </c>
      <c r="D182" s="207">
        <v>28</v>
      </c>
      <c r="E182" s="766"/>
      <c r="F182" s="763"/>
      <c r="G182" s="769">
        <v>793486.79536410456</v>
      </c>
      <c r="H182" s="770">
        <v>791391.78276260989</v>
      </c>
      <c r="I182" s="195"/>
      <c r="J182" s="195"/>
      <c r="K182" s="195"/>
    </row>
    <row r="183" spans="1:11" s="186" customFormat="1" ht="15" customHeight="1" x14ac:dyDescent="0.3">
      <c r="A183" s="197"/>
      <c r="B183" s="197"/>
      <c r="C183" s="206">
        <v>2043</v>
      </c>
      <c r="D183" s="207">
        <v>29</v>
      </c>
      <c r="E183" s="766"/>
      <c r="F183" s="763"/>
      <c r="G183" s="769">
        <v>830485.16684785928</v>
      </c>
      <c r="H183" s="770">
        <v>827531.56302245939</v>
      </c>
      <c r="I183" s="195"/>
      <c r="J183" s="195"/>
      <c r="K183" s="195"/>
    </row>
    <row r="184" spans="1:11" s="186" customFormat="1" ht="15" customHeight="1" x14ac:dyDescent="0.3">
      <c r="A184" s="197"/>
      <c r="B184" s="197"/>
      <c r="C184" s="206">
        <v>2044</v>
      </c>
      <c r="D184" s="207">
        <v>30</v>
      </c>
      <c r="E184" s="766"/>
      <c r="F184" s="763"/>
      <c r="G184" s="769">
        <v>868919.54944756371</v>
      </c>
      <c r="H184" s="770">
        <v>865022.22658501146</v>
      </c>
      <c r="I184" s="195"/>
      <c r="J184" s="195"/>
      <c r="K184" s="195"/>
    </row>
    <row r="185" spans="1:11" s="186" customFormat="1" ht="15" customHeight="1" x14ac:dyDescent="0.3">
      <c r="A185" s="197"/>
      <c r="B185" s="197"/>
      <c r="C185" s="206">
        <v>2045</v>
      </c>
      <c r="D185" s="207">
        <v>31</v>
      </c>
      <c r="E185" s="766">
        <v>903.52330071763788</v>
      </c>
      <c r="F185" s="763">
        <v>903523.30071763787</v>
      </c>
      <c r="G185" s="769">
        <v>903523.30071763787</v>
      </c>
      <c r="H185" s="770">
        <v>898617.99673082586</v>
      </c>
      <c r="I185" s="195"/>
      <c r="J185" s="195"/>
      <c r="K185" s="195"/>
    </row>
    <row r="186" spans="1:11" s="186" customFormat="1" ht="15" customHeight="1" x14ac:dyDescent="0.3">
      <c r="A186" s="197"/>
      <c r="B186" s="197"/>
      <c r="C186" s="206">
        <v>2046</v>
      </c>
      <c r="D186" s="207">
        <v>32</v>
      </c>
      <c r="E186" s="766"/>
      <c r="F186" s="763"/>
      <c r="G186" s="769">
        <v>950220.18493651762</v>
      </c>
      <c r="H186" s="770">
        <v>944148.61351430381</v>
      </c>
      <c r="I186" s="195"/>
      <c r="J186" s="195"/>
      <c r="K186" s="195"/>
    </row>
    <row r="187" spans="1:11" s="186" customFormat="1" ht="15" customHeight="1" x14ac:dyDescent="0.3">
      <c r="A187" s="212"/>
      <c r="B187" s="197"/>
      <c r="C187" s="206">
        <v>2047</v>
      </c>
      <c r="D187" s="207">
        <v>33</v>
      </c>
      <c r="E187" s="766"/>
      <c r="F187" s="763"/>
      <c r="G187" s="769">
        <v>993148.35629661544</v>
      </c>
      <c r="H187" s="770">
        <v>985830.11920422607</v>
      </c>
      <c r="I187" s="195"/>
      <c r="J187" s="195"/>
      <c r="K187" s="195"/>
    </row>
    <row r="188" spans="1:11" s="186" customFormat="1" ht="15" customHeight="1" x14ac:dyDescent="0.3">
      <c r="A188" s="195"/>
      <c r="B188" s="197"/>
      <c r="C188" s="206">
        <v>2048</v>
      </c>
      <c r="D188" s="207">
        <v>34</v>
      </c>
      <c r="E188" s="766"/>
      <c r="F188" s="763"/>
      <c r="G188" s="769">
        <v>1037636.3757143593</v>
      </c>
      <c r="H188" s="770">
        <v>1028952.285483233</v>
      </c>
      <c r="I188" s="195"/>
      <c r="J188" s="195"/>
      <c r="K188" s="195"/>
    </row>
    <row r="189" spans="1:11" s="186" customFormat="1" ht="15" customHeight="1" x14ac:dyDescent="0.3">
      <c r="A189" s="195"/>
      <c r="B189" s="195"/>
      <c r="C189" s="206">
        <v>2049</v>
      </c>
      <c r="D189" s="207">
        <v>35</v>
      </c>
      <c r="E189" s="766"/>
      <c r="F189" s="763"/>
      <c r="G189" s="769">
        <v>1083715.2024251735</v>
      </c>
      <c r="H189" s="770">
        <v>1073534.9903698827</v>
      </c>
      <c r="I189" s="195"/>
      <c r="J189" s="195"/>
      <c r="K189" s="195"/>
    </row>
    <row r="190" spans="1:11" s="186" customFormat="1" ht="15" customHeight="1" x14ac:dyDescent="0.3">
      <c r="A190" s="195"/>
      <c r="B190" s="195"/>
      <c r="C190" s="206">
        <v>2050</v>
      </c>
      <c r="D190" s="213">
        <v>36</v>
      </c>
      <c r="E190" s="771">
        <v>1136.7704228416146</v>
      </c>
      <c r="F190" s="763">
        <v>1136770.4228416146</v>
      </c>
      <c r="G190" s="772">
        <v>1136770.4228416146</v>
      </c>
      <c r="H190" s="773">
        <v>1124896.2140849375</v>
      </c>
      <c r="I190" s="195"/>
      <c r="J190" s="195"/>
      <c r="K190" s="195"/>
    </row>
    <row r="191" spans="1:11" s="186" customFormat="1" ht="15" customHeight="1" x14ac:dyDescent="0.3">
      <c r="A191" s="195"/>
      <c r="B191" s="195"/>
      <c r="C191" s="206">
        <v>2051</v>
      </c>
      <c r="D191" s="207">
        <v>37</v>
      </c>
      <c r="E191" s="766"/>
      <c r="F191" s="763"/>
      <c r="G191" s="769">
        <v>1180769.114667709</v>
      </c>
      <c r="H191" s="770">
        <v>1167160.0597576813</v>
      </c>
      <c r="I191" s="195"/>
      <c r="J191" s="195"/>
      <c r="K191" s="195"/>
    </row>
    <row r="192" spans="1:11" s="186" customFormat="1" ht="15" customHeight="1" x14ac:dyDescent="0.3">
      <c r="A192" s="195"/>
      <c r="B192" s="195"/>
      <c r="C192" s="206">
        <v>2052</v>
      </c>
      <c r="D192" s="207">
        <v>38</v>
      </c>
      <c r="E192" s="766"/>
      <c r="F192" s="763"/>
      <c r="G192" s="769">
        <v>1231806.1186702787</v>
      </c>
      <c r="H192" s="770">
        <v>1216241.8832643866</v>
      </c>
      <c r="I192" s="195"/>
      <c r="J192" s="195"/>
      <c r="K192" s="195"/>
    </row>
    <row r="193" spans="1:11" s="186" customFormat="1" ht="15" customHeight="1" x14ac:dyDescent="0.3">
      <c r="A193" s="195"/>
      <c r="B193" s="195"/>
      <c r="C193" s="206">
        <v>2053</v>
      </c>
      <c r="D193" s="207">
        <v>39</v>
      </c>
      <c r="E193" s="766"/>
      <c r="F193" s="763"/>
      <c r="G193" s="769">
        <v>1284557.7669076151</v>
      </c>
      <c r="H193" s="770">
        <v>1266859.5033944624</v>
      </c>
      <c r="I193" s="195"/>
      <c r="J193" s="195"/>
      <c r="K193" s="195"/>
    </row>
    <row r="194" spans="1:11" s="186" customFormat="1" ht="15" customHeight="1" x14ac:dyDescent="0.3">
      <c r="A194" s="195"/>
      <c r="B194" s="195"/>
      <c r="C194" s="206">
        <v>2054</v>
      </c>
      <c r="D194" s="207">
        <v>40</v>
      </c>
      <c r="E194" s="766"/>
      <c r="F194" s="763"/>
      <c r="G194" s="769">
        <v>1339055.0186151422</v>
      </c>
      <c r="H194" s="770">
        <v>1319027.9014808717</v>
      </c>
      <c r="I194" s="195"/>
      <c r="J194" s="195"/>
      <c r="K194" s="195"/>
    </row>
    <row r="195" spans="1:11" s="186" customFormat="1" ht="15" customHeight="1" x14ac:dyDescent="0.3">
      <c r="A195" s="195"/>
      <c r="B195" s="195"/>
      <c r="C195" s="206">
        <v>2055</v>
      </c>
      <c r="D195" s="213">
        <v>41</v>
      </c>
      <c r="E195" s="771"/>
      <c r="F195" s="763"/>
      <c r="G195" s="772">
        <v>1395328.8330282846</v>
      </c>
      <c r="H195" s="773">
        <v>1372762.301737031</v>
      </c>
      <c r="I195" s="195"/>
      <c r="J195" s="195"/>
      <c r="K195" s="195"/>
    </row>
    <row r="196" spans="1:11" s="186" customFormat="1" ht="15" customHeight="1" x14ac:dyDescent="0.3">
      <c r="A196" s="195"/>
      <c r="B196" s="195"/>
      <c r="C196" s="206">
        <v>2056</v>
      </c>
      <c r="D196" s="207">
        <v>42</v>
      </c>
      <c r="E196" s="766"/>
      <c r="F196" s="763"/>
      <c r="G196" s="769">
        <v>1453410.169382466</v>
      </c>
      <c r="H196" s="770">
        <v>1428078.6907926695</v>
      </c>
      <c r="I196" s="195"/>
      <c r="J196" s="195"/>
      <c r="K196" s="195"/>
    </row>
    <row r="197" spans="1:11" s="186" customFormat="1" ht="15" customHeight="1" x14ac:dyDescent="0.3">
      <c r="A197" s="195"/>
      <c r="B197" s="195"/>
      <c r="C197" s="206">
        <v>2057</v>
      </c>
      <c r="D197" s="207">
        <v>43</v>
      </c>
      <c r="E197" s="766"/>
      <c r="F197" s="763"/>
      <c r="G197" s="769">
        <v>1513329.9869131108</v>
      </c>
      <c r="H197" s="770">
        <v>1484994.536538766</v>
      </c>
      <c r="I197" s="195"/>
      <c r="J197" s="195"/>
      <c r="K197" s="195"/>
    </row>
    <row r="198" spans="1:11" s="186" customFormat="1" ht="15" customHeight="1" x14ac:dyDescent="0.3">
      <c r="A198" s="195"/>
      <c r="B198" s="195"/>
      <c r="C198" s="206">
        <v>2058</v>
      </c>
      <c r="D198" s="207">
        <v>44</v>
      </c>
      <c r="E198" s="766"/>
      <c r="F198" s="763"/>
      <c r="G198" s="769">
        <v>1575119.2448556428</v>
      </c>
      <c r="H198" s="770">
        <v>1543528.2063429293</v>
      </c>
      <c r="I198" s="195"/>
      <c r="J198" s="195"/>
      <c r="K198" s="195"/>
    </row>
    <row r="199" spans="1:11" s="186" customFormat="1" ht="15" customHeight="1" x14ac:dyDescent="0.3">
      <c r="A199" s="195"/>
      <c r="B199" s="195"/>
      <c r="C199" s="206">
        <v>2059</v>
      </c>
      <c r="D199" s="207">
        <v>45</v>
      </c>
      <c r="E199" s="766"/>
      <c r="F199" s="763"/>
      <c r="G199" s="769">
        <v>1638808.9024454865</v>
      </c>
      <c r="H199" s="770">
        <v>1603699.2212159687</v>
      </c>
      <c r="I199" s="195"/>
      <c r="J199" s="195"/>
      <c r="K199" s="195"/>
    </row>
    <row r="200" spans="1:11" s="186" customFormat="1" ht="15" customHeight="1" x14ac:dyDescent="0.3">
      <c r="A200" s="706"/>
      <c r="B200" s="706"/>
      <c r="C200" s="214">
        <v>2060</v>
      </c>
      <c r="D200" s="213">
        <v>46</v>
      </c>
      <c r="E200" s="771"/>
      <c r="F200" s="763"/>
      <c r="G200" s="772">
        <v>1704429.918918066</v>
      </c>
      <c r="H200" s="773">
        <v>1665526.745806243</v>
      </c>
      <c r="I200" s="195"/>
      <c r="J200" s="195"/>
      <c r="K200" s="195"/>
    </row>
    <row r="201" spans="1:11" s="186" customFormat="1" ht="15" customHeight="1" x14ac:dyDescent="0.3">
      <c r="A201" s="706"/>
      <c r="B201" s="706"/>
      <c r="C201" s="211"/>
      <c r="E201" s="211"/>
      <c r="F201" s="211"/>
      <c r="G201" s="211"/>
      <c r="H201" s="211"/>
      <c r="I201" s="211"/>
      <c r="J201" s="211"/>
      <c r="K201" s="211"/>
    </row>
    <row r="202" spans="1:11" s="186" customFormat="1" ht="15" customHeight="1" x14ac:dyDescent="0.3">
      <c r="A202" s="706"/>
      <c r="B202" s="706"/>
      <c r="C202" s="211"/>
      <c r="E202" s="211"/>
      <c r="F202" s="211"/>
      <c r="G202" s="211"/>
      <c r="H202" s="211"/>
      <c r="I202" s="211"/>
      <c r="J202" s="211"/>
      <c r="K202" s="211"/>
    </row>
    <row r="203" spans="1:11" s="186" customFormat="1" ht="15" customHeight="1" x14ac:dyDescent="0.3">
      <c r="A203" s="748" t="str">
        <f>HYPERLINK("#'Interp-FREIGHT'!a1","Back to top")</f>
        <v>Back to top</v>
      </c>
      <c r="B203" s="706"/>
    </row>
    <row r="204" spans="1:11" s="186" customFormat="1" ht="15" customHeight="1" x14ac:dyDescent="0.3"/>
    <row r="205" spans="1:11" s="186" customFormat="1" ht="15" customHeight="1" x14ac:dyDescent="0.3"/>
    <row r="206" spans="1:11" s="186" customFormat="1" ht="15" customHeight="1" x14ac:dyDescent="0.3">
      <c r="A206" s="187">
        <f>1+A141</f>
        <v>4</v>
      </c>
      <c r="B206" s="188" t="s">
        <v>195</v>
      </c>
      <c r="C206" s="189"/>
      <c r="D206" s="189"/>
      <c r="E206" s="189"/>
      <c r="F206" s="189"/>
      <c r="G206" s="189"/>
      <c r="H206" s="189"/>
      <c r="I206" s="189"/>
      <c r="J206" s="189"/>
      <c r="K206" s="189"/>
    </row>
    <row r="207" spans="1:11" s="186" customFormat="1" ht="15" customHeight="1" x14ac:dyDescent="0.3">
      <c r="A207" s="190" t="s">
        <v>74</v>
      </c>
      <c r="B207" s="191"/>
      <c r="C207" s="191"/>
      <c r="D207" s="192"/>
      <c r="E207" s="193"/>
      <c r="F207" s="928"/>
      <c r="G207" s="193"/>
      <c r="H207" s="194"/>
      <c r="I207" s="195"/>
      <c r="J207" s="195"/>
      <c r="K207" s="195"/>
    </row>
    <row r="208" spans="1:11" s="186" customFormat="1" ht="15" customHeight="1" thickBot="1" x14ac:dyDescent="0.35">
      <c r="A208" s="196" t="s">
        <v>75</v>
      </c>
      <c r="B208" s="197"/>
      <c r="C208" s="197"/>
      <c r="D208" s="198"/>
      <c r="E208" s="199" t="s">
        <v>78</v>
      </c>
      <c r="F208" s="929"/>
      <c r="G208" s="200" t="s">
        <v>188</v>
      </c>
      <c r="H208" s="194"/>
      <c r="I208" s="195"/>
      <c r="J208" s="195"/>
      <c r="K208" s="195"/>
    </row>
    <row r="209" spans="1:11" s="186" customFormat="1" ht="38.549999999999997" customHeight="1" thickBot="1" x14ac:dyDescent="0.35">
      <c r="A209" s="201"/>
      <c r="B209" s="201"/>
      <c r="C209" s="201"/>
      <c r="D209" s="202"/>
      <c r="E209" s="203" t="s">
        <v>124</v>
      </c>
      <c r="F209" s="203" t="s">
        <v>179</v>
      </c>
      <c r="G209" s="200" t="s">
        <v>81</v>
      </c>
      <c r="H209" s="203" t="s">
        <v>98</v>
      </c>
      <c r="I209" s="203" t="s">
        <v>83</v>
      </c>
      <c r="J209" s="921" t="s">
        <v>84</v>
      </c>
      <c r="K209" s="922"/>
    </row>
    <row r="210" spans="1:11" s="186" customFormat="1" ht="15" customHeight="1" x14ac:dyDescent="0.3">
      <c r="A210" s="190" t="s">
        <v>85</v>
      </c>
      <c r="B210" s="201"/>
      <c r="C210" s="204">
        <v>2005</v>
      </c>
      <c r="D210" s="205">
        <v>-9</v>
      </c>
      <c r="E210" s="762">
        <v>153.69800000000001</v>
      </c>
      <c r="F210" s="763">
        <v>153698</v>
      </c>
      <c r="G210" s="764">
        <v>153698</v>
      </c>
      <c r="H210" s="765">
        <v>153698</v>
      </c>
      <c r="I210" s="927" t="s">
        <v>86</v>
      </c>
      <c r="J210" s="923"/>
      <c r="K210" s="924"/>
    </row>
    <row r="211" spans="1:11" s="186" customFormat="1" ht="15" customHeight="1" x14ac:dyDescent="0.3">
      <c r="A211" s="196" t="s">
        <v>87</v>
      </c>
      <c r="B211" s="201"/>
      <c r="C211" s="206">
        <v>2006</v>
      </c>
      <c r="D211" s="207">
        <v>-8</v>
      </c>
      <c r="E211" s="766">
        <v>163.85</v>
      </c>
      <c r="F211" s="763">
        <v>163850</v>
      </c>
      <c r="G211" s="767">
        <v>163850</v>
      </c>
      <c r="H211" s="768">
        <v>163850</v>
      </c>
      <c r="I211" s="923"/>
      <c r="J211" s="923"/>
      <c r="K211" s="924"/>
    </row>
    <row r="212" spans="1:11" s="186" customFormat="1" ht="15" customHeight="1" x14ac:dyDescent="0.3">
      <c r="A212" s="201"/>
      <c r="B212" s="201"/>
      <c r="C212" s="206">
        <v>2007</v>
      </c>
      <c r="D212" s="207">
        <v>-7</v>
      </c>
      <c r="E212" s="766">
        <v>171.72300000000001</v>
      </c>
      <c r="F212" s="763">
        <v>171723</v>
      </c>
      <c r="G212" s="767">
        <v>171723</v>
      </c>
      <c r="H212" s="768">
        <v>171723</v>
      </c>
      <c r="I212" s="923"/>
      <c r="J212" s="923"/>
      <c r="K212" s="924"/>
    </row>
    <row r="213" spans="1:11" s="186" customFormat="1" ht="15" customHeight="1" x14ac:dyDescent="0.3">
      <c r="A213" s="208" t="s">
        <v>88</v>
      </c>
      <c r="B213" s="201"/>
      <c r="C213" s="206">
        <v>2008</v>
      </c>
      <c r="D213" s="207">
        <v>-6</v>
      </c>
      <c r="E213" s="766">
        <v>170.07300000000001</v>
      </c>
      <c r="F213" s="763">
        <v>170073</v>
      </c>
      <c r="G213" s="767">
        <v>170073</v>
      </c>
      <c r="H213" s="768">
        <v>170073</v>
      </c>
      <c r="I213" s="923"/>
      <c r="J213" s="925"/>
      <c r="K213" s="926"/>
    </row>
    <row r="214" spans="1:11" s="186" customFormat="1" ht="15" customHeight="1" x14ac:dyDescent="0.3">
      <c r="A214" s="935" t="s">
        <v>196</v>
      </c>
      <c r="B214" s="201"/>
      <c r="C214" s="206">
        <v>2009</v>
      </c>
      <c r="D214" s="207">
        <v>-5</v>
      </c>
      <c r="E214" s="766">
        <v>154.976</v>
      </c>
      <c r="F214" s="763">
        <v>154976</v>
      </c>
      <c r="G214" s="767">
        <v>154976</v>
      </c>
      <c r="H214" s="768">
        <v>154976</v>
      </c>
      <c r="I214" s="923"/>
      <c r="J214" s="195"/>
      <c r="K214" s="195"/>
    </row>
    <row r="215" spans="1:11" s="186" customFormat="1" ht="15" customHeight="1" x14ac:dyDescent="0.3">
      <c r="A215" s="936"/>
      <c r="B215" s="201"/>
      <c r="C215" s="206">
        <v>2010</v>
      </c>
      <c r="D215" s="207">
        <v>-4</v>
      </c>
      <c r="E215" s="766">
        <v>185.62100000000001</v>
      </c>
      <c r="F215" s="763">
        <v>185621</v>
      </c>
      <c r="G215" s="767">
        <v>185621</v>
      </c>
      <c r="H215" s="768">
        <v>185621</v>
      </c>
      <c r="I215" s="923"/>
      <c r="J215" s="195"/>
      <c r="K215" s="195"/>
    </row>
    <row r="216" spans="1:11" s="186" customFormat="1" ht="15" customHeight="1" x14ac:dyDescent="0.3">
      <c r="A216" s="936"/>
      <c r="B216" s="201"/>
      <c r="C216" s="206">
        <v>2011</v>
      </c>
      <c r="D216" s="207">
        <v>-3</v>
      </c>
      <c r="E216" s="766">
        <v>186.178</v>
      </c>
      <c r="F216" s="763">
        <v>186178</v>
      </c>
      <c r="G216" s="767">
        <v>186178</v>
      </c>
      <c r="H216" s="768">
        <v>186178</v>
      </c>
      <c r="I216" s="925"/>
      <c r="J216" s="195"/>
      <c r="K216" s="195"/>
    </row>
    <row r="217" spans="1:11" s="186" customFormat="1" ht="15" customHeight="1" x14ac:dyDescent="0.3">
      <c r="A217" s="937"/>
      <c r="B217" s="201"/>
      <c r="C217" s="206">
        <v>2012</v>
      </c>
      <c r="D217" s="207">
        <v>-2</v>
      </c>
      <c r="E217" s="766">
        <v>184.23599999999999</v>
      </c>
      <c r="F217" s="763">
        <v>184236</v>
      </c>
      <c r="G217" s="769">
        <v>184236</v>
      </c>
      <c r="H217" s="770">
        <v>184236</v>
      </c>
      <c r="I217" s="209" t="s">
        <v>90</v>
      </c>
      <c r="J217" s="195"/>
      <c r="K217" s="195"/>
    </row>
    <row r="218" spans="1:11" s="186" customFormat="1" ht="15" customHeight="1" x14ac:dyDescent="0.3">
      <c r="A218" s="201"/>
      <c r="B218" s="201"/>
      <c r="C218" s="206">
        <v>2013</v>
      </c>
      <c r="D218" s="207">
        <v>-1</v>
      </c>
      <c r="E218" s="766">
        <v>207.8</v>
      </c>
      <c r="F218" s="763">
        <v>207800</v>
      </c>
      <c r="G218" s="769">
        <v>207800</v>
      </c>
      <c r="H218" s="770">
        <v>207800</v>
      </c>
      <c r="I218" s="201"/>
      <c r="J218" s="195"/>
      <c r="K218" s="195"/>
    </row>
    <row r="219" spans="1:11" s="186" customFormat="1" ht="15" customHeight="1" x14ac:dyDescent="0.3">
      <c r="A219" s="193" t="s">
        <v>91</v>
      </c>
      <c r="B219" s="201"/>
      <c r="C219" s="206">
        <v>2014</v>
      </c>
      <c r="D219" s="207">
        <v>0</v>
      </c>
      <c r="E219" s="766"/>
      <c r="F219" s="763"/>
      <c r="G219" s="769">
        <v>217249.03502286723</v>
      </c>
      <c r="H219" s="770">
        <v>219276.08109552201</v>
      </c>
      <c r="I219" s="195"/>
      <c r="J219" s="195"/>
      <c r="K219" s="195"/>
    </row>
    <row r="220" spans="1:11" s="186" customFormat="1" ht="15" customHeight="1" x14ac:dyDescent="0.3">
      <c r="A220" s="196">
        <v>2013</v>
      </c>
      <c r="B220" s="197"/>
      <c r="C220" s="206">
        <v>2015</v>
      </c>
      <c r="D220" s="207">
        <v>1</v>
      </c>
      <c r="E220" s="766">
        <v>229.97309120000003</v>
      </c>
      <c r="F220" s="763">
        <v>229973.09120000002</v>
      </c>
      <c r="G220" s="769">
        <v>229973.09120000002</v>
      </c>
      <c r="H220" s="770">
        <v>232212.55120903562</v>
      </c>
      <c r="I220" s="195"/>
      <c r="J220" s="195"/>
      <c r="K220" s="195"/>
    </row>
    <row r="221" spans="1:11" s="186" customFormat="1" ht="15" customHeight="1" x14ac:dyDescent="0.3">
      <c r="A221" s="195"/>
      <c r="B221" s="197"/>
      <c r="C221" s="206">
        <v>2016</v>
      </c>
      <c r="D221" s="207">
        <v>2</v>
      </c>
      <c r="E221" s="766"/>
      <c r="F221" s="763"/>
      <c r="G221" s="769">
        <v>238014.13569756321</v>
      </c>
      <c r="H221" s="770">
        <v>240443.80698479837</v>
      </c>
      <c r="I221" s="195"/>
      <c r="J221" s="195"/>
      <c r="K221" s="195"/>
    </row>
    <row r="222" spans="1:11" s="186" customFormat="1" ht="15" customHeight="1" x14ac:dyDescent="0.3">
      <c r="A222" s="193" t="s">
        <v>92</v>
      </c>
      <c r="B222" s="197"/>
      <c r="C222" s="206">
        <v>2017</v>
      </c>
      <c r="D222" s="207">
        <v>3</v>
      </c>
      <c r="E222" s="766"/>
      <c r="F222" s="763"/>
      <c r="G222" s="769">
        <v>249473.18301416151</v>
      </c>
      <c r="H222" s="770">
        <v>252150.18368990178</v>
      </c>
      <c r="I222" s="195"/>
      <c r="J222" s="195"/>
      <c r="K222" s="195"/>
    </row>
    <row r="223" spans="1:11" s="186" customFormat="1" ht="15" customHeight="1" x14ac:dyDescent="0.3">
      <c r="A223" s="196" t="s">
        <v>124</v>
      </c>
      <c r="B223" s="197"/>
      <c r="C223" s="206">
        <v>2018</v>
      </c>
      <c r="D223" s="207">
        <v>4</v>
      </c>
      <c r="E223" s="766"/>
      <c r="F223" s="763"/>
      <c r="G223" s="769">
        <v>261712.93049131057</v>
      </c>
      <c r="H223" s="770">
        <v>264666.21524375683</v>
      </c>
      <c r="I223" s="195"/>
      <c r="J223" s="195"/>
      <c r="K223" s="195"/>
    </row>
    <row r="224" spans="1:11" s="186" customFormat="1" ht="15" customHeight="1" x14ac:dyDescent="0.3">
      <c r="A224" s="195"/>
      <c r="B224" s="197"/>
      <c r="C224" s="206">
        <v>2019</v>
      </c>
      <c r="D224" s="207">
        <v>5</v>
      </c>
      <c r="E224" s="766"/>
      <c r="F224" s="763"/>
      <c r="G224" s="769">
        <v>274780.65475979837</v>
      </c>
      <c r="H224" s="770">
        <v>278034.26902764634</v>
      </c>
      <c r="I224" s="195"/>
      <c r="J224" s="195"/>
      <c r="K224" s="195"/>
    </row>
    <row r="225" spans="1:11" s="186" customFormat="1" ht="15" customHeight="1" x14ac:dyDescent="0.3">
      <c r="A225" s="193" t="s">
        <v>93</v>
      </c>
      <c r="B225" s="197"/>
      <c r="C225" s="206">
        <v>2020</v>
      </c>
      <c r="D225" s="207">
        <v>6</v>
      </c>
      <c r="E225" s="766">
        <v>296.31642267348508</v>
      </c>
      <c r="F225" s="763">
        <v>296316.42267348507</v>
      </c>
      <c r="G225" s="769">
        <v>296316.42267348507</v>
      </c>
      <c r="H225" s="770">
        <v>300008.49757668684</v>
      </c>
      <c r="I225" s="195"/>
      <c r="J225" s="195"/>
      <c r="K225" s="195"/>
    </row>
    <row r="226" spans="1:11" s="186" customFormat="1" ht="15" customHeight="1" x14ac:dyDescent="0.3">
      <c r="A226" s="193"/>
      <c r="B226" s="197"/>
      <c r="C226" s="206">
        <v>2021</v>
      </c>
      <c r="D226" s="207">
        <v>7</v>
      </c>
      <c r="E226" s="766"/>
      <c r="F226" s="763"/>
      <c r="G226" s="769">
        <v>303589.14019394183</v>
      </c>
      <c r="H226" s="770">
        <v>307331.39340755343</v>
      </c>
      <c r="I226" s="195"/>
      <c r="J226" s="195"/>
      <c r="K226" s="195"/>
    </row>
    <row r="227" spans="1:11" s="186" customFormat="1" ht="15" customHeight="1" x14ac:dyDescent="0.3">
      <c r="A227" s="210"/>
      <c r="B227" s="197"/>
      <c r="C227" s="206">
        <v>2022</v>
      </c>
      <c r="D227" s="207">
        <v>8</v>
      </c>
      <c r="E227" s="766"/>
      <c r="F227" s="763"/>
      <c r="G227" s="769">
        <v>319424.45462117344</v>
      </c>
      <c r="H227" s="770">
        <v>323297.95657282596</v>
      </c>
      <c r="I227" s="195"/>
      <c r="J227" s="195"/>
      <c r="K227" s="195"/>
    </row>
    <row r="228" spans="1:11" s="186" customFormat="1" ht="15" customHeight="1" x14ac:dyDescent="0.3">
      <c r="A228" s="196">
        <v>1000</v>
      </c>
      <c r="B228" s="197"/>
      <c r="C228" s="206">
        <v>2023</v>
      </c>
      <c r="D228" s="207">
        <v>9</v>
      </c>
      <c r="E228" s="766"/>
      <c r="F228" s="763"/>
      <c r="G228" s="769">
        <v>336276.8523628955</v>
      </c>
      <c r="H228" s="770">
        <v>340265.29001584376</v>
      </c>
      <c r="I228" s="195"/>
      <c r="J228" s="195"/>
      <c r="K228" s="195"/>
    </row>
    <row r="229" spans="1:11" s="186" customFormat="1" ht="15" customHeight="1" x14ac:dyDescent="0.3">
      <c r="A229" s="195"/>
      <c r="B229" s="197"/>
      <c r="C229" s="206">
        <v>2024</v>
      </c>
      <c r="D229" s="207">
        <v>10</v>
      </c>
      <c r="E229" s="766"/>
      <c r="F229" s="763"/>
      <c r="G229" s="769">
        <v>354193.61004989594</v>
      </c>
      <c r="H229" s="770">
        <v>358272.04929778178</v>
      </c>
      <c r="I229" s="195"/>
      <c r="J229" s="195"/>
      <c r="K229" s="195"/>
    </row>
    <row r="230" spans="1:11" s="186" customFormat="1" ht="15" customHeight="1" x14ac:dyDescent="0.3">
      <c r="A230" s="211"/>
      <c r="B230" s="197"/>
      <c r="C230" s="206">
        <v>2025</v>
      </c>
      <c r="D230" s="207">
        <v>11</v>
      </c>
      <c r="E230" s="766">
        <v>381.79867865345915</v>
      </c>
      <c r="F230" s="763">
        <v>381798.67865345912</v>
      </c>
      <c r="G230" s="769">
        <v>381798.67865345912</v>
      </c>
      <c r="H230" s="770">
        <v>386029.04191754252</v>
      </c>
      <c r="I230" s="195"/>
      <c r="J230" s="195"/>
      <c r="K230" s="195"/>
    </row>
    <row r="231" spans="1:11" s="186" customFormat="1" ht="15" customHeight="1" x14ac:dyDescent="0.3">
      <c r="A231" s="211"/>
      <c r="B231" s="197"/>
      <c r="C231" s="206">
        <v>2026</v>
      </c>
      <c r="D231" s="207">
        <v>12</v>
      </c>
      <c r="E231" s="766"/>
      <c r="F231" s="763"/>
      <c r="G231" s="769">
        <v>393409.31178288383</v>
      </c>
      <c r="H231" s="770">
        <v>397565.10960200272</v>
      </c>
      <c r="I231" s="195"/>
      <c r="J231" s="195"/>
      <c r="K231" s="195"/>
    </row>
    <row r="232" spans="1:11" s="186" customFormat="1" ht="15" customHeight="1" x14ac:dyDescent="0.3">
      <c r="A232" s="211"/>
      <c r="B232" s="197"/>
      <c r="C232" s="206">
        <v>2027</v>
      </c>
      <c r="D232" s="207">
        <v>13</v>
      </c>
      <c r="E232" s="766"/>
      <c r="F232" s="763"/>
      <c r="G232" s="769">
        <v>414802.80909044726</v>
      </c>
      <c r="H232" s="770">
        <v>418942.32371166511</v>
      </c>
      <c r="I232" s="195"/>
      <c r="J232" s="195"/>
      <c r="K232" s="195"/>
    </row>
    <row r="233" spans="1:11" s="186" customFormat="1" ht="15" customHeight="1" x14ac:dyDescent="0.3">
      <c r="A233" s="211"/>
      <c r="B233" s="197"/>
      <c r="C233" s="206">
        <v>2028</v>
      </c>
      <c r="D233" s="207">
        <v>14</v>
      </c>
      <c r="E233" s="766"/>
      <c r="F233" s="763"/>
      <c r="G233" s="769">
        <v>437449.7728664407</v>
      </c>
      <c r="H233" s="770">
        <v>441532.5540219472</v>
      </c>
      <c r="I233" s="195"/>
      <c r="J233" s="195"/>
      <c r="K233" s="195"/>
    </row>
    <row r="234" spans="1:11" s="186" customFormat="1" ht="15" customHeight="1" x14ac:dyDescent="0.3">
      <c r="A234" s="211"/>
      <c r="B234" s="197"/>
      <c r="C234" s="206">
        <v>2029</v>
      </c>
      <c r="D234" s="207">
        <v>15</v>
      </c>
      <c r="E234" s="766"/>
      <c r="F234" s="763"/>
      <c r="G234" s="769">
        <v>461397.47974165238</v>
      </c>
      <c r="H234" s="770">
        <v>465379.33767181117</v>
      </c>
      <c r="I234" s="195"/>
      <c r="J234" s="195"/>
      <c r="K234" s="195"/>
    </row>
    <row r="235" spans="1:11" s="186" customFormat="1" ht="15" customHeight="1" x14ac:dyDescent="0.3">
      <c r="A235" s="211"/>
      <c r="B235" s="197"/>
      <c r="C235" s="206">
        <v>2030</v>
      </c>
      <c r="D235" s="207">
        <v>16</v>
      </c>
      <c r="E235" s="766">
        <v>491.94111384826437</v>
      </c>
      <c r="F235" s="763">
        <v>491941.11384826439</v>
      </c>
      <c r="G235" s="769">
        <v>491941.11384826439</v>
      </c>
      <c r="H235" s="770">
        <v>495814.91750779131</v>
      </c>
      <c r="I235" s="195"/>
      <c r="J235" s="195"/>
      <c r="K235" s="195"/>
    </row>
    <row r="236" spans="1:11" s="186" customFormat="1" ht="15" customHeight="1" x14ac:dyDescent="0.3">
      <c r="A236" s="211"/>
      <c r="B236" s="197"/>
      <c r="C236" s="206">
        <v>2031</v>
      </c>
      <c r="D236" s="207">
        <v>17</v>
      </c>
      <c r="E236" s="766"/>
      <c r="F236" s="763"/>
      <c r="G236" s="769">
        <v>513384.22931288171</v>
      </c>
      <c r="H236" s="770">
        <v>517014.07400322024</v>
      </c>
      <c r="I236" s="195"/>
      <c r="J236" s="195"/>
      <c r="K236" s="195"/>
    </row>
    <row r="237" spans="1:11" s="186" customFormat="1" ht="15" customHeight="1" x14ac:dyDescent="0.3">
      <c r="A237" s="211"/>
      <c r="B237" s="197"/>
      <c r="C237" s="206">
        <v>2032</v>
      </c>
      <c r="D237" s="207">
        <v>18</v>
      </c>
      <c r="E237" s="766"/>
      <c r="F237" s="763"/>
      <c r="G237" s="769">
        <v>541517.82527047535</v>
      </c>
      <c r="H237" s="770">
        <v>544888.43051147182</v>
      </c>
      <c r="I237" s="195"/>
      <c r="J237" s="195"/>
      <c r="K237" s="195"/>
    </row>
    <row r="238" spans="1:11" s="186" customFormat="1" ht="15" customHeight="1" x14ac:dyDescent="0.3">
      <c r="A238" s="211"/>
      <c r="B238" s="197"/>
      <c r="C238" s="206">
        <v>2033</v>
      </c>
      <c r="D238" s="207">
        <v>19</v>
      </c>
      <c r="E238" s="766"/>
      <c r="F238" s="763"/>
      <c r="G238" s="769">
        <v>571141.27085043874</v>
      </c>
      <c r="H238" s="770">
        <v>574196.81088634918</v>
      </c>
      <c r="I238" s="195"/>
      <c r="J238" s="195"/>
      <c r="K238" s="195"/>
    </row>
    <row r="239" spans="1:11" s="186" customFormat="1" ht="15" customHeight="1" x14ac:dyDescent="0.3">
      <c r="A239" s="211"/>
      <c r="B239" s="197"/>
      <c r="C239" s="206">
        <v>2034</v>
      </c>
      <c r="D239" s="207">
        <v>20</v>
      </c>
      <c r="E239" s="766"/>
      <c r="F239" s="763"/>
      <c r="G239" s="769">
        <v>602301.8426835601</v>
      </c>
      <c r="H239" s="770">
        <v>604989.9442760814</v>
      </c>
      <c r="I239" s="195"/>
      <c r="J239" s="195"/>
      <c r="K239" s="195"/>
    </row>
    <row r="240" spans="1:11" s="186" customFormat="1" ht="15" customHeight="1" x14ac:dyDescent="0.3">
      <c r="A240" s="211"/>
      <c r="B240" s="197"/>
      <c r="C240" s="206">
        <v>2035</v>
      </c>
      <c r="D240" s="207">
        <v>21</v>
      </c>
      <c r="E240" s="766">
        <v>633.85777118922044</v>
      </c>
      <c r="F240" s="763">
        <v>633857.77118922048</v>
      </c>
      <c r="G240" s="769">
        <v>633857.77118922048</v>
      </c>
      <c r="H240" s="770">
        <v>636124.15529424662</v>
      </c>
      <c r="I240" s="195"/>
      <c r="J240" s="195"/>
      <c r="K240" s="195"/>
    </row>
    <row r="241" spans="1:11" s="186" customFormat="1" ht="15" customHeight="1" x14ac:dyDescent="0.3">
      <c r="A241" s="211"/>
      <c r="B241" s="197"/>
      <c r="C241" s="206">
        <v>2036</v>
      </c>
      <c r="D241" s="207">
        <v>22</v>
      </c>
      <c r="E241" s="766"/>
      <c r="F241" s="763"/>
      <c r="G241" s="769">
        <v>669423.47163242765</v>
      </c>
      <c r="H241" s="770">
        <v>671226.02332767285</v>
      </c>
      <c r="I241" s="195"/>
      <c r="J241" s="195"/>
      <c r="K241" s="195"/>
    </row>
    <row r="242" spans="1:11" s="186" customFormat="1" ht="15" customHeight="1" x14ac:dyDescent="0.3">
      <c r="A242" s="211"/>
      <c r="B242" s="197"/>
      <c r="C242" s="206">
        <v>2037</v>
      </c>
      <c r="D242" s="207">
        <v>23</v>
      </c>
      <c r="E242" s="766"/>
      <c r="F242" s="763"/>
      <c r="G242" s="769">
        <v>705479.08200974995</v>
      </c>
      <c r="H242" s="770">
        <v>706758.60545178887</v>
      </c>
      <c r="I242" s="195"/>
      <c r="J242" s="195"/>
      <c r="K242" s="195"/>
    </row>
    <row r="243" spans="1:11" s="186" customFormat="1" ht="15" customHeight="1" x14ac:dyDescent="0.3">
      <c r="A243" s="197"/>
      <c r="B243" s="197"/>
      <c r="C243" s="206">
        <v>2038</v>
      </c>
      <c r="D243" s="207">
        <v>24</v>
      </c>
      <c r="E243" s="766"/>
      <c r="F243" s="763"/>
      <c r="G243" s="769">
        <v>743260.92516338185</v>
      </c>
      <c r="H243" s="770">
        <v>743956.60370839725</v>
      </c>
      <c r="I243" s="195"/>
      <c r="J243" s="195"/>
      <c r="K243" s="195"/>
    </row>
    <row r="244" spans="1:11" s="186" customFormat="1" ht="15" customHeight="1" x14ac:dyDescent="0.3">
      <c r="A244" s="197"/>
      <c r="B244" s="197"/>
      <c r="C244" s="206">
        <v>2039</v>
      </c>
      <c r="D244" s="207">
        <v>25</v>
      </c>
      <c r="E244" s="766"/>
      <c r="F244" s="763"/>
      <c r="G244" s="769">
        <v>782816.27772411134</v>
      </c>
      <c r="H244" s="770">
        <v>782858.76444606611</v>
      </c>
      <c r="I244" s="195"/>
      <c r="J244" s="195"/>
      <c r="K244" s="195"/>
    </row>
    <row r="245" spans="1:11" s="186" customFormat="1" ht="15" customHeight="1" x14ac:dyDescent="0.3">
      <c r="A245" s="197"/>
      <c r="B245" s="197"/>
      <c r="C245" s="206">
        <v>2040</v>
      </c>
      <c r="D245" s="207">
        <v>26</v>
      </c>
      <c r="E245" s="766">
        <v>816.71497418467629</v>
      </c>
      <c r="F245" s="763">
        <v>816714.97418467631</v>
      </c>
      <c r="G245" s="769">
        <v>816714.97418467631</v>
      </c>
      <c r="H245" s="770">
        <v>816032.51574043243</v>
      </c>
      <c r="I245" s="195"/>
      <c r="J245" s="195"/>
      <c r="K245" s="195"/>
    </row>
    <row r="246" spans="1:11" s="186" customFormat="1" ht="15" customHeight="1" x14ac:dyDescent="0.3">
      <c r="A246" s="197"/>
      <c r="B246" s="197"/>
      <c r="C246" s="206">
        <v>2041</v>
      </c>
      <c r="D246" s="207">
        <v>27</v>
      </c>
      <c r="E246" s="766"/>
      <c r="F246" s="763"/>
      <c r="G246" s="769">
        <v>867436.61759001424</v>
      </c>
      <c r="H246" s="770">
        <v>865932.43945524434</v>
      </c>
      <c r="I246" s="195"/>
      <c r="J246" s="195"/>
      <c r="K246" s="195"/>
    </row>
    <row r="247" spans="1:11" s="186" customFormat="1" ht="15" customHeight="1" x14ac:dyDescent="0.3">
      <c r="A247" s="197"/>
      <c r="B247" s="197"/>
      <c r="C247" s="206">
        <v>2042</v>
      </c>
      <c r="D247" s="207">
        <v>28</v>
      </c>
      <c r="E247" s="766"/>
      <c r="F247" s="763"/>
      <c r="G247" s="769">
        <v>912596.15815676376</v>
      </c>
      <c r="H247" s="770">
        <v>910186.66569566133</v>
      </c>
      <c r="I247" s="195"/>
      <c r="J247" s="195"/>
      <c r="K247" s="195"/>
    </row>
    <row r="248" spans="1:11" s="186" customFormat="1" ht="15" customHeight="1" x14ac:dyDescent="0.3">
      <c r="A248" s="197"/>
      <c r="B248" s="197"/>
      <c r="C248" s="206">
        <v>2043</v>
      </c>
      <c r="D248" s="207">
        <v>29</v>
      </c>
      <c r="E248" s="766"/>
      <c r="F248" s="763"/>
      <c r="G248" s="769">
        <v>959718.31465376262</v>
      </c>
      <c r="H248" s="770">
        <v>956305.09573231381</v>
      </c>
      <c r="I248" s="195"/>
      <c r="J248" s="195"/>
      <c r="K248" s="195"/>
    </row>
    <row r="249" spans="1:11" s="186" customFormat="1" ht="15" customHeight="1" x14ac:dyDescent="0.3">
      <c r="A249" s="197"/>
      <c r="B249" s="197"/>
      <c r="C249" s="206">
        <v>2044</v>
      </c>
      <c r="D249" s="207">
        <v>30</v>
      </c>
      <c r="E249" s="766"/>
      <c r="F249" s="763"/>
      <c r="G249" s="769">
        <v>1008850.3637117986</v>
      </c>
      <c r="H249" s="770">
        <v>1004325.4159305133</v>
      </c>
      <c r="I249" s="195"/>
      <c r="J249" s="195"/>
      <c r="K249" s="195"/>
    </row>
    <row r="250" spans="1:11" s="186" customFormat="1" ht="15" customHeight="1" x14ac:dyDescent="0.3">
      <c r="A250" s="197"/>
      <c r="B250" s="197"/>
      <c r="C250" s="206">
        <v>2045</v>
      </c>
      <c r="D250" s="207">
        <v>31</v>
      </c>
      <c r="E250" s="766">
        <v>1052.3233750152372</v>
      </c>
      <c r="F250" s="763">
        <v>1052323.3750152371</v>
      </c>
      <c r="G250" s="769">
        <v>1052323.3750152371</v>
      </c>
      <c r="H250" s="770">
        <v>1046610.222910828</v>
      </c>
      <c r="I250" s="195"/>
      <c r="J250" s="195"/>
      <c r="K250" s="195"/>
    </row>
    <row r="251" spans="1:11" s="186" customFormat="1" ht="15" customHeight="1" x14ac:dyDescent="0.3">
      <c r="A251" s="197"/>
      <c r="B251" s="197"/>
      <c r="C251" s="206">
        <v>2046</v>
      </c>
      <c r="D251" s="207">
        <v>32</v>
      </c>
      <c r="E251" s="766"/>
      <c r="F251" s="763"/>
      <c r="G251" s="769">
        <v>1113333.2460341337</v>
      </c>
      <c r="H251" s="770">
        <v>1106219.4397530423</v>
      </c>
      <c r="I251" s="195"/>
      <c r="J251" s="195"/>
      <c r="K251" s="195"/>
    </row>
    <row r="252" spans="1:11" s="186" customFormat="1" ht="15" customHeight="1" x14ac:dyDescent="0.3">
      <c r="A252" s="212"/>
      <c r="B252" s="197"/>
      <c r="C252" s="206">
        <v>2047</v>
      </c>
      <c r="D252" s="207">
        <v>33</v>
      </c>
      <c r="E252" s="766"/>
      <c r="F252" s="763"/>
      <c r="G252" s="769">
        <v>1168778.6325600091</v>
      </c>
      <c r="H252" s="770">
        <v>1160166.2242653533</v>
      </c>
      <c r="I252" s="195"/>
      <c r="J252" s="195"/>
      <c r="K252" s="195"/>
    </row>
    <row r="253" spans="1:11" s="186" customFormat="1" ht="15" customHeight="1" x14ac:dyDescent="0.3">
      <c r="A253" s="195"/>
      <c r="B253" s="197"/>
      <c r="C253" s="206">
        <v>2048</v>
      </c>
      <c r="D253" s="207">
        <v>34</v>
      </c>
      <c r="E253" s="766"/>
      <c r="F253" s="763"/>
      <c r="G253" s="769">
        <v>1226423.0181700732</v>
      </c>
      <c r="H253" s="770">
        <v>1216158.9522597133</v>
      </c>
      <c r="I253" s="195"/>
      <c r="J253" s="195"/>
      <c r="K253" s="195"/>
    </row>
    <row r="254" spans="1:11" s="186" customFormat="1" ht="15" customHeight="1" x14ac:dyDescent="0.3">
      <c r="A254" s="195"/>
      <c r="B254" s="195"/>
      <c r="C254" s="206">
        <v>2049</v>
      </c>
      <c r="D254" s="207">
        <v>35</v>
      </c>
      <c r="E254" s="766"/>
      <c r="F254" s="763"/>
      <c r="G254" s="769">
        <v>1286313.6794951141</v>
      </c>
      <c r="H254" s="770">
        <v>1274230.2963354266</v>
      </c>
      <c r="I254" s="195"/>
      <c r="J254" s="195"/>
      <c r="K254" s="195"/>
    </row>
    <row r="255" spans="1:11" s="186" customFormat="1" ht="15" customHeight="1" x14ac:dyDescent="0.3">
      <c r="A255" s="195"/>
      <c r="B255" s="195"/>
      <c r="C255" s="206">
        <v>2050</v>
      </c>
      <c r="D255" s="213">
        <v>36</v>
      </c>
      <c r="E255" s="771">
        <v>1355.9007984504724</v>
      </c>
      <c r="F255" s="763">
        <v>1355900.7984504723</v>
      </c>
      <c r="G255" s="772">
        <v>1355900.7984504723</v>
      </c>
      <c r="H255" s="773">
        <v>1341737.6492247034</v>
      </c>
      <c r="I255" s="195"/>
      <c r="J255" s="195"/>
      <c r="K255" s="195"/>
    </row>
    <row r="256" spans="1:11" s="186" customFormat="1" ht="15" customHeight="1" x14ac:dyDescent="0.3">
      <c r="A256" s="195"/>
      <c r="B256" s="195"/>
      <c r="C256" s="206">
        <v>2051</v>
      </c>
      <c r="D256" s="207">
        <v>37</v>
      </c>
      <c r="E256" s="766"/>
      <c r="F256" s="763"/>
      <c r="G256" s="769">
        <v>1413022.9358132787</v>
      </c>
      <c r="H256" s="770">
        <v>1396737.0197237281</v>
      </c>
      <c r="I256" s="195"/>
      <c r="J256" s="195"/>
      <c r="K256" s="195"/>
    </row>
    <row r="257" spans="1:23" s="186" customFormat="1" ht="15" customHeight="1" x14ac:dyDescent="0.3">
      <c r="A257" s="195"/>
      <c r="B257" s="195"/>
      <c r="C257" s="206">
        <v>2052</v>
      </c>
      <c r="D257" s="207">
        <v>38</v>
      </c>
      <c r="E257" s="766"/>
      <c r="F257" s="763"/>
      <c r="G257" s="769">
        <v>1479936.084067978</v>
      </c>
      <c r="H257" s="770">
        <v>1461236.6530057478</v>
      </c>
      <c r="I257" s="195"/>
      <c r="J257" s="195"/>
      <c r="K257" s="195"/>
    </row>
    <row r="258" spans="1:23" s="186" customFormat="1" ht="15" customHeight="1" x14ac:dyDescent="0.3">
      <c r="A258" s="195"/>
      <c r="B258" s="195"/>
      <c r="C258" s="206">
        <v>2053</v>
      </c>
      <c r="D258" s="207">
        <v>39</v>
      </c>
      <c r="E258" s="766"/>
      <c r="F258" s="763"/>
      <c r="G258" s="769">
        <v>1549284.614560806</v>
      </c>
      <c r="H258" s="770">
        <v>1527939.021492322</v>
      </c>
      <c r="I258" s="195"/>
      <c r="J258" s="195"/>
      <c r="K258" s="195"/>
    </row>
    <row r="259" spans="1:23" s="186" customFormat="1" ht="15" customHeight="1" x14ac:dyDescent="0.3">
      <c r="A259" s="195"/>
      <c r="B259" s="195"/>
      <c r="C259" s="206">
        <v>2054</v>
      </c>
      <c r="D259" s="207">
        <v>40</v>
      </c>
      <c r="E259" s="766"/>
      <c r="F259" s="763"/>
      <c r="G259" s="769">
        <v>1621115.8039225505</v>
      </c>
      <c r="H259" s="770">
        <v>1596870.1413903637</v>
      </c>
      <c r="I259" s="195"/>
      <c r="J259" s="195"/>
      <c r="K259" s="195"/>
    </row>
    <row r="260" spans="1:23" s="186" customFormat="1" ht="15" customHeight="1" x14ac:dyDescent="0.3">
      <c r="A260" s="195"/>
      <c r="B260" s="195"/>
      <c r="C260" s="206">
        <v>2055</v>
      </c>
      <c r="D260" s="213">
        <v>41</v>
      </c>
      <c r="E260" s="771"/>
      <c r="F260" s="763"/>
      <c r="G260" s="772">
        <v>1695476.9287839995</v>
      </c>
      <c r="H260" s="773">
        <v>1668056.1285673475</v>
      </c>
      <c r="I260" s="195"/>
      <c r="J260" s="195"/>
      <c r="K260" s="195"/>
    </row>
    <row r="261" spans="1:23" s="186" customFormat="1" ht="15" customHeight="1" x14ac:dyDescent="0.3">
      <c r="A261" s="195"/>
      <c r="B261" s="195"/>
      <c r="C261" s="206">
        <v>2056</v>
      </c>
      <c r="D261" s="207">
        <v>42</v>
      </c>
      <c r="E261" s="766"/>
      <c r="F261" s="763"/>
      <c r="G261" s="769">
        <v>1772415.2657759413</v>
      </c>
      <c r="H261" s="770">
        <v>1741523.8489529064</v>
      </c>
      <c r="I261" s="195"/>
      <c r="J261" s="195"/>
      <c r="K261" s="195"/>
    </row>
    <row r="262" spans="1:23" s="186" customFormat="1" ht="15" customHeight="1" x14ac:dyDescent="0.3">
      <c r="A262" s="195"/>
      <c r="B262" s="195"/>
      <c r="C262" s="206">
        <v>2057</v>
      </c>
      <c r="D262" s="207">
        <v>43</v>
      </c>
      <c r="E262" s="766"/>
      <c r="F262" s="763"/>
      <c r="G262" s="769">
        <v>1851978.0915291631</v>
      </c>
      <c r="H262" s="770">
        <v>1817301.8254400066</v>
      </c>
      <c r="I262" s="195"/>
      <c r="J262" s="195"/>
      <c r="K262" s="195"/>
    </row>
    <row r="263" spans="1:23" s="186" customFormat="1" ht="15" customHeight="1" x14ac:dyDescent="0.3">
      <c r="A263" s="195"/>
      <c r="B263" s="195"/>
      <c r="C263" s="206">
        <v>2058</v>
      </c>
      <c r="D263" s="207">
        <v>44</v>
      </c>
      <c r="E263" s="766"/>
      <c r="F263" s="763"/>
      <c r="G263" s="769">
        <v>1934212.6826744534</v>
      </c>
      <c r="H263" s="770">
        <v>1895419.5642805835</v>
      </c>
      <c r="I263" s="195"/>
      <c r="J263" s="195"/>
      <c r="K263" s="195"/>
    </row>
    <row r="264" spans="1:23" s="186" customFormat="1" ht="15" customHeight="1" x14ac:dyDescent="0.3">
      <c r="A264" s="195"/>
      <c r="B264" s="195"/>
      <c r="C264" s="206">
        <v>2059</v>
      </c>
      <c r="D264" s="207">
        <v>45</v>
      </c>
      <c r="E264" s="766"/>
      <c r="F264" s="763"/>
      <c r="G264" s="769">
        <v>2019166.3158426001</v>
      </c>
      <c r="H264" s="770">
        <v>1975907.8946851206</v>
      </c>
      <c r="I264" s="195"/>
      <c r="J264" s="195"/>
      <c r="K264" s="195"/>
    </row>
    <row r="265" spans="1:23" s="186" customFormat="1" ht="15" customHeight="1" x14ac:dyDescent="0.3">
      <c r="A265" s="706"/>
      <c r="B265" s="706"/>
      <c r="C265" s="214">
        <v>2060</v>
      </c>
      <c r="D265" s="213">
        <v>46</v>
      </c>
      <c r="E265" s="771"/>
      <c r="F265" s="763"/>
      <c r="G265" s="772">
        <v>2106886.2676643911</v>
      </c>
      <c r="H265" s="773">
        <v>2058797.1322366938</v>
      </c>
      <c r="I265" s="195"/>
      <c r="J265" s="195"/>
      <c r="K265" s="195"/>
    </row>
    <row r="266" spans="1:23" s="186" customFormat="1" ht="15" customHeight="1" x14ac:dyDescent="0.3">
      <c r="A266" s="706"/>
      <c r="B266" s="706"/>
      <c r="C266" s="211"/>
      <c r="E266" s="211"/>
      <c r="F266" s="211"/>
      <c r="G266" s="211"/>
      <c r="H266" s="211"/>
      <c r="I266" s="211"/>
      <c r="J266" s="211"/>
      <c r="K266" s="211"/>
    </row>
    <row r="267" spans="1:23" s="186" customFormat="1" ht="15" customHeight="1" x14ac:dyDescent="0.3">
      <c r="A267" s="706"/>
      <c r="B267" s="706"/>
      <c r="C267" s="211"/>
      <c r="E267" s="211"/>
      <c r="F267" s="211"/>
      <c r="G267" s="211"/>
      <c r="H267" s="211"/>
      <c r="I267" s="211"/>
      <c r="J267" s="211"/>
      <c r="K267" s="211"/>
    </row>
    <row r="268" spans="1:23" s="186" customFormat="1" ht="15" customHeight="1" x14ac:dyDescent="0.3">
      <c r="A268" s="748" t="str">
        <f>HYPERLINK("#'Interp-FREIGHT'!a1","Back to top")</f>
        <v>Back to top</v>
      </c>
      <c r="B268" s="706"/>
    </row>
    <row r="269" spans="1:23" s="186" customFormat="1" ht="21" x14ac:dyDescent="0.4">
      <c r="A269" s="185" t="s">
        <v>197</v>
      </c>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row>
    <row r="271" spans="1:23" s="186" customFormat="1" ht="15" customHeight="1" x14ac:dyDescent="0.3">
      <c r="A271" s="187">
        <v>1</v>
      </c>
      <c r="B271" s="188" t="s">
        <v>198</v>
      </c>
      <c r="C271" s="189"/>
      <c r="D271" s="189"/>
      <c r="E271" s="189"/>
      <c r="F271" s="189"/>
      <c r="G271" s="189"/>
      <c r="H271" s="189"/>
      <c r="I271" s="189"/>
      <c r="J271" s="189"/>
      <c r="K271" s="189"/>
    </row>
    <row r="272" spans="1:23" s="186" customFormat="1" ht="15" customHeight="1" x14ac:dyDescent="0.3">
      <c r="A272" s="190" t="s">
        <v>74</v>
      </c>
      <c r="B272" s="191"/>
      <c r="C272" s="191"/>
      <c r="D272" s="192"/>
      <c r="E272" s="193"/>
      <c r="F272" s="928"/>
      <c r="G272" s="193"/>
      <c r="H272" s="194"/>
      <c r="I272" s="195"/>
      <c r="J272" s="195"/>
      <c r="K272" s="195"/>
    </row>
    <row r="273" spans="1:11" s="186" customFormat="1" ht="15" customHeight="1" thickBot="1" x14ac:dyDescent="0.35">
      <c r="A273" s="196" t="s">
        <v>75</v>
      </c>
      <c r="B273" s="197"/>
      <c r="C273" s="197"/>
      <c r="D273" s="198"/>
      <c r="E273" s="199" t="s">
        <v>78</v>
      </c>
      <c r="F273" s="929"/>
      <c r="G273" s="200" t="s">
        <v>188</v>
      </c>
      <c r="H273" s="194"/>
      <c r="I273" s="195"/>
      <c r="J273" s="195"/>
      <c r="K273" s="195"/>
    </row>
    <row r="274" spans="1:11" s="186" customFormat="1" ht="29.55" customHeight="1" thickBot="1" x14ac:dyDescent="0.35">
      <c r="A274" s="201"/>
      <c r="B274" s="201"/>
      <c r="C274" s="201"/>
      <c r="D274" s="202"/>
      <c r="E274" s="203" t="s">
        <v>124</v>
      </c>
      <c r="F274" s="203" t="s">
        <v>179</v>
      </c>
      <c r="G274" s="200" t="s">
        <v>81</v>
      </c>
      <c r="H274" s="203" t="s">
        <v>82</v>
      </c>
      <c r="I274" s="203" t="s">
        <v>83</v>
      </c>
      <c r="J274" s="921" t="s">
        <v>84</v>
      </c>
      <c r="K274" s="922"/>
    </row>
    <row r="275" spans="1:11" s="186" customFormat="1" ht="15" customHeight="1" x14ac:dyDescent="0.3">
      <c r="A275" s="190" t="s">
        <v>85</v>
      </c>
      <c r="B275" s="201"/>
      <c r="C275" s="204">
        <v>2005</v>
      </c>
      <c r="D275" s="205">
        <v>-9</v>
      </c>
      <c r="E275" s="762"/>
      <c r="F275" s="763"/>
      <c r="G275" s="764">
        <v>17143987.506302517</v>
      </c>
      <c r="H275" s="765">
        <v>17143987.506302517</v>
      </c>
      <c r="I275" s="927" t="s">
        <v>86</v>
      </c>
      <c r="J275" s="923"/>
      <c r="K275" s="924"/>
    </row>
    <row r="276" spans="1:11" s="186" customFormat="1" ht="15" customHeight="1" x14ac:dyDescent="0.3">
      <c r="A276" s="196" t="s">
        <v>87</v>
      </c>
      <c r="B276" s="201"/>
      <c r="C276" s="206">
        <v>2006</v>
      </c>
      <c r="D276" s="207">
        <v>-8</v>
      </c>
      <c r="E276" s="766"/>
      <c r="F276" s="763"/>
      <c r="G276" s="767">
        <v>17339201.00445424</v>
      </c>
      <c r="H276" s="768">
        <v>17339201.00445424</v>
      </c>
      <c r="I276" s="923"/>
      <c r="J276" s="923"/>
      <c r="K276" s="924"/>
    </row>
    <row r="277" spans="1:11" s="186" customFormat="1" ht="15" customHeight="1" x14ac:dyDescent="0.3">
      <c r="A277" s="201"/>
      <c r="B277" s="201"/>
      <c r="C277" s="206">
        <v>2007</v>
      </c>
      <c r="D277" s="207">
        <v>-7</v>
      </c>
      <c r="E277" s="766"/>
      <c r="F277" s="763"/>
      <c r="G277" s="767">
        <v>17562902.812413774</v>
      </c>
      <c r="H277" s="768">
        <v>17562902.812413774</v>
      </c>
      <c r="I277" s="923"/>
      <c r="J277" s="923"/>
      <c r="K277" s="924"/>
    </row>
    <row r="278" spans="1:11" s="186" customFormat="1" ht="15" customHeight="1" x14ac:dyDescent="0.3">
      <c r="A278" s="208" t="s">
        <v>88</v>
      </c>
      <c r="B278" s="201"/>
      <c r="C278" s="206">
        <v>2008</v>
      </c>
      <c r="D278" s="207">
        <v>-6</v>
      </c>
      <c r="E278" s="766"/>
      <c r="F278" s="763"/>
      <c r="G278" s="767">
        <v>17813908.086265422</v>
      </c>
      <c r="H278" s="768">
        <v>17813908.086265422</v>
      </c>
      <c r="I278" s="923"/>
      <c r="J278" s="925"/>
      <c r="K278" s="926"/>
    </row>
    <row r="279" spans="1:11" s="186" customFormat="1" ht="15" customHeight="1" x14ac:dyDescent="0.3">
      <c r="A279" s="935" t="s">
        <v>199</v>
      </c>
      <c r="B279" s="201"/>
      <c r="C279" s="206">
        <v>2009</v>
      </c>
      <c r="D279" s="207">
        <v>-5</v>
      </c>
      <c r="E279" s="766"/>
      <c r="F279" s="763"/>
      <c r="G279" s="767">
        <v>18091031.982093472</v>
      </c>
      <c r="H279" s="768">
        <v>18091031.982093472</v>
      </c>
      <c r="I279" s="923"/>
      <c r="J279" s="195"/>
      <c r="K279" s="195"/>
    </row>
    <row r="280" spans="1:11" s="186" customFormat="1" ht="15" customHeight="1" x14ac:dyDescent="0.3">
      <c r="A280" s="936"/>
      <c r="B280" s="201"/>
      <c r="C280" s="206">
        <v>2010</v>
      </c>
      <c r="D280" s="207">
        <v>-4</v>
      </c>
      <c r="E280" s="766">
        <v>18447.543337527793</v>
      </c>
      <c r="F280" s="763">
        <v>18447543.337527793</v>
      </c>
      <c r="G280" s="767">
        <v>18447543.337527793</v>
      </c>
      <c r="H280" s="768">
        <v>18447543.337527793</v>
      </c>
      <c r="I280" s="923"/>
      <c r="J280" s="195"/>
      <c r="K280" s="195"/>
    </row>
    <row r="281" spans="1:11" s="186" customFormat="1" ht="15" customHeight="1" x14ac:dyDescent="0.3">
      <c r="A281" s="936"/>
      <c r="B281" s="201"/>
      <c r="C281" s="206">
        <v>2011</v>
      </c>
      <c r="D281" s="207">
        <v>-3</v>
      </c>
      <c r="E281" s="766"/>
      <c r="F281" s="763"/>
      <c r="G281" s="767">
        <v>18718896.264015991</v>
      </c>
      <c r="H281" s="768">
        <v>18718896.264015991</v>
      </c>
      <c r="I281" s="925"/>
      <c r="J281" s="195"/>
      <c r="K281" s="195"/>
    </row>
    <row r="282" spans="1:11" s="186" customFormat="1" ht="15" customHeight="1" x14ac:dyDescent="0.3">
      <c r="A282" s="937"/>
      <c r="B282" s="201"/>
      <c r="C282" s="206">
        <v>2012</v>
      </c>
      <c r="D282" s="207">
        <v>-2</v>
      </c>
      <c r="E282" s="766"/>
      <c r="F282" s="763"/>
      <c r="G282" s="769">
        <v>19067266.962279055</v>
      </c>
      <c r="H282" s="770">
        <v>19067266.962279055</v>
      </c>
      <c r="I282" s="209" t="s">
        <v>90</v>
      </c>
      <c r="J282" s="195"/>
      <c r="K282" s="195"/>
    </row>
    <row r="283" spans="1:11" s="186" customFormat="1" ht="15" customHeight="1" x14ac:dyDescent="0.3">
      <c r="A283" s="201"/>
      <c r="B283" s="201"/>
      <c r="C283" s="206">
        <v>2013</v>
      </c>
      <c r="D283" s="207">
        <v>-1</v>
      </c>
      <c r="E283" s="766"/>
      <c r="F283" s="763"/>
      <c r="G283" s="769">
        <v>19437016.906855714</v>
      </c>
      <c r="H283" s="770">
        <v>19437016.906855714</v>
      </c>
      <c r="I283" s="201"/>
      <c r="J283" s="195"/>
      <c r="K283" s="195"/>
    </row>
    <row r="284" spans="1:11" s="186" customFormat="1" ht="15" customHeight="1" x14ac:dyDescent="0.3">
      <c r="A284" s="193" t="s">
        <v>91</v>
      </c>
      <c r="B284" s="201"/>
      <c r="C284" s="206">
        <v>2014</v>
      </c>
      <c r="D284" s="207">
        <v>0</v>
      </c>
      <c r="E284" s="766"/>
      <c r="F284" s="763"/>
      <c r="G284" s="769">
        <v>19826961.253830273</v>
      </c>
      <c r="H284" s="770">
        <v>19951271.416172192</v>
      </c>
      <c r="I284" s="195"/>
      <c r="J284" s="195"/>
      <c r="K284" s="195"/>
    </row>
    <row r="285" spans="1:11" s="186" customFormat="1" ht="15" customHeight="1" x14ac:dyDescent="0.3">
      <c r="A285" s="196">
        <v>2016</v>
      </c>
      <c r="B285" s="197"/>
      <c r="C285" s="206">
        <v>2015</v>
      </c>
      <c r="D285" s="207">
        <v>1</v>
      </c>
      <c r="E285" s="766">
        <v>20179.210507472933</v>
      </c>
      <c r="F285" s="763">
        <v>20179210.507472932</v>
      </c>
      <c r="G285" s="769">
        <v>20179210.507472932</v>
      </c>
      <c r="H285" s="770">
        <v>20307300.851329241</v>
      </c>
      <c r="I285" s="195"/>
      <c r="J285" s="195"/>
      <c r="K285" s="195"/>
    </row>
    <row r="286" spans="1:11" s="186" customFormat="1" ht="15" customHeight="1" x14ac:dyDescent="0.3">
      <c r="A286" s="195"/>
      <c r="B286" s="197"/>
      <c r="C286" s="206">
        <v>2016</v>
      </c>
      <c r="D286" s="207">
        <v>2</v>
      </c>
      <c r="E286" s="766"/>
      <c r="F286" s="763"/>
      <c r="G286" s="769">
        <v>20662693.779310271</v>
      </c>
      <c r="H286" s="770">
        <v>20795938.679131869</v>
      </c>
      <c r="I286" s="195"/>
      <c r="J286" s="195"/>
      <c r="K286" s="195"/>
    </row>
    <row r="287" spans="1:11" s="186" customFormat="1" ht="15" customHeight="1" x14ac:dyDescent="0.3">
      <c r="A287" s="193" t="s">
        <v>92</v>
      </c>
      <c r="B287" s="197"/>
      <c r="C287" s="206">
        <v>2017</v>
      </c>
      <c r="D287" s="207">
        <v>3</v>
      </c>
      <c r="E287" s="766"/>
      <c r="F287" s="763"/>
      <c r="G287" s="769">
        <v>21106112.269984309</v>
      </c>
      <c r="H287" s="770">
        <v>21244821.687364552</v>
      </c>
      <c r="I287" s="195"/>
      <c r="J287" s="195"/>
      <c r="K287" s="195"/>
    </row>
    <row r="288" spans="1:11" s="186" customFormat="1" ht="15" customHeight="1" x14ac:dyDescent="0.3">
      <c r="A288" s="196" t="s">
        <v>124</v>
      </c>
      <c r="B288" s="197"/>
      <c r="C288" s="206">
        <v>2018</v>
      </c>
      <c r="D288" s="207">
        <v>4</v>
      </c>
      <c r="E288" s="766"/>
      <c r="F288" s="763"/>
      <c r="G288" s="769">
        <v>21564985.787393432</v>
      </c>
      <c r="H288" s="770">
        <v>21709681.91834271</v>
      </c>
      <c r="I288" s="195"/>
      <c r="J288" s="195"/>
      <c r="K288" s="195"/>
    </row>
    <row r="289" spans="1:11" s="186" customFormat="1" ht="15" customHeight="1" x14ac:dyDescent="0.3">
      <c r="A289" s="195"/>
      <c r="B289" s="197"/>
      <c r="C289" s="206">
        <v>2019</v>
      </c>
      <c r="D289" s="207">
        <v>5</v>
      </c>
      <c r="E289" s="766"/>
      <c r="F289" s="763"/>
      <c r="G289" s="769">
        <v>22038129.487621944</v>
      </c>
      <c r="H289" s="770">
        <v>22189096.034177858</v>
      </c>
      <c r="I289" s="195"/>
      <c r="J289" s="195"/>
      <c r="K289" s="195"/>
    </row>
    <row r="290" spans="1:11" s="186" customFormat="1" ht="15" customHeight="1" x14ac:dyDescent="0.3">
      <c r="A290" s="193" t="s">
        <v>93</v>
      </c>
      <c r="B290" s="197"/>
      <c r="C290" s="206">
        <v>2020</v>
      </c>
      <c r="D290" s="207">
        <v>6</v>
      </c>
      <c r="E290" s="766">
        <v>22438.057461418328</v>
      </c>
      <c r="F290" s="763">
        <v>22438057.461418327</v>
      </c>
      <c r="G290" s="769">
        <v>22438057.461418327</v>
      </c>
      <c r="H290" s="770">
        <v>22596591.823739614</v>
      </c>
      <c r="I290" s="195"/>
      <c r="J290" s="195"/>
      <c r="K290" s="195"/>
    </row>
    <row r="291" spans="1:11" s="186" customFormat="1" ht="15" customHeight="1" x14ac:dyDescent="0.3">
      <c r="A291" s="193"/>
      <c r="B291" s="197"/>
      <c r="C291" s="206">
        <v>2021</v>
      </c>
      <c r="D291" s="207">
        <v>7</v>
      </c>
      <c r="E291" s="766"/>
      <c r="F291" s="763"/>
      <c r="G291" s="769">
        <v>23022488.060874321</v>
      </c>
      <c r="H291" s="770">
        <v>23173240.614518568</v>
      </c>
      <c r="I291" s="195"/>
      <c r="J291" s="195"/>
      <c r="K291" s="195"/>
    </row>
    <row r="292" spans="1:11" s="186" customFormat="1" ht="15" customHeight="1" x14ac:dyDescent="0.3">
      <c r="A292" s="210"/>
      <c r="B292" s="197"/>
      <c r="C292" s="206">
        <v>2022</v>
      </c>
      <c r="D292" s="207">
        <v>8</v>
      </c>
      <c r="E292" s="766"/>
      <c r="F292" s="763"/>
      <c r="G292" s="769">
        <v>23531333.246066783</v>
      </c>
      <c r="H292" s="770">
        <v>23671979.081408422</v>
      </c>
      <c r="I292" s="195"/>
      <c r="J292" s="195"/>
      <c r="K292" s="195"/>
    </row>
    <row r="293" spans="1:11" s="186" customFormat="1" ht="15" customHeight="1" x14ac:dyDescent="0.3">
      <c r="A293" s="196">
        <v>1000</v>
      </c>
      <c r="B293" s="197"/>
      <c r="C293" s="206">
        <v>2023</v>
      </c>
      <c r="D293" s="207">
        <v>9</v>
      </c>
      <c r="E293" s="766"/>
      <c r="F293" s="763"/>
      <c r="G293" s="769">
        <v>24049709.238415819</v>
      </c>
      <c r="H293" s="770">
        <v>24178390.876165021</v>
      </c>
      <c r="I293" s="195"/>
      <c r="J293" s="195"/>
      <c r="K293" s="195"/>
    </row>
    <row r="294" spans="1:11" s="186" customFormat="1" ht="15" customHeight="1" x14ac:dyDescent="0.3">
      <c r="A294" s="195"/>
      <c r="B294" s="197"/>
      <c r="C294" s="206">
        <v>2024</v>
      </c>
      <c r="D294" s="207">
        <v>10</v>
      </c>
      <c r="E294" s="766"/>
      <c r="F294" s="763"/>
      <c r="G294" s="769">
        <v>24576431.194005735</v>
      </c>
      <c r="H294" s="770">
        <v>24690713.573667686</v>
      </c>
      <c r="I294" s="195"/>
      <c r="J294" s="195"/>
      <c r="K294" s="195"/>
    </row>
    <row r="295" spans="1:11" s="186" customFormat="1" ht="15" customHeight="1" x14ac:dyDescent="0.3">
      <c r="A295" s="211"/>
      <c r="B295" s="197"/>
      <c r="C295" s="206">
        <v>2025</v>
      </c>
      <c r="D295" s="207">
        <v>11</v>
      </c>
      <c r="E295" s="766">
        <v>25127.038206069017</v>
      </c>
      <c r="F295" s="763">
        <v>25127038.206069019</v>
      </c>
      <c r="G295" s="769">
        <v>25127038.206069019</v>
      </c>
      <c r="H295" s="770">
        <v>25224097.289208513</v>
      </c>
      <c r="I295" s="195"/>
      <c r="J295" s="195"/>
      <c r="K295" s="195"/>
    </row>
    <row r="296" spans="1:11" s="186" customFormat="1" ht="15" customHeight="1" x14ac:dyDescent="0.3">
      <c r="A296" s="211"/>
      <c r="B296" s="197"/>
      <c r="C296" s="206">
        <v>2026</v>
      </c>
      <c r="D296" s="207">
        <v>12</v>
      </c>
      <c r="E296" s="766"/>
      <c r="F296" s="763"/>
      <c r="G296" s="769">
        <v>25650173.619245384</v>
      </c>
      <c r="H296" s="770">
        <v>25726997.790140219</v>
      </c>
      <c r="I296" s="195"/>
      <c r="J296" s="195"/>
      <c r="K296" s="195"/>
    </row>
    <row r="297" spans="1:11" s="186" customFormat="1" ht="15" customHeight="1" x14ac:dyDescent="0.3">
      <c r="A297" s="211"/>
      <c r="B297" s="197"/>
      <c r="C297" s="206">
        <v>2027</v>
      </c>
      <c r="D297" s="207">
        <v>13</v>
      </c>
      <c r="E297" s="766"/>
      <c r="F297" s="763"/>
      <c r="G297" s="769">
        <v>26194824.401063718</v>
      </c>
      <c r="H297" s="770">
        <v>26248840.584717434</v>
      </c>
      <c r="I297" s="195"/>
      <c r="J297" s="195"/>
      <c r="K297" s="195"/>
    </row>
    <row r="298" spans="1:11" s="186" customFormat="1" ht="15" customHeight="1" x14ac:dyDescent="0.3">
      <c r="A298" s="211"/>
      <c r="B298" s="197"/>
      <c r="C298" s="206">
        <v>2028</v>
      </c>
      <c r="D298" s="207">
        <v>14</v>
      </c>
      <c r="E298" s="766"/>
      <c r="F298" s="763"/>
      <c r="G298" s="769">
        <v>26743081.770460114</v>
      </c>
      <c r="H298" s="770">
        <v>26771630.514862187</v>
      </c>
      <c r="I298" s="195"/>
      <c r="J298" s="195"/>
      <c r="K298" s="195"/>
    </row>
    <row r="299" spans="1:11" s="186" customFormat="1" ht="15" customHeight="1" x14ac:dyDescent="0.3">
      <c r="A299" s="211"/>
      <c r="B299" s="197"/>
      <c r="C299" s="206">
        <v>2029</v>
      </c>
      <c r="D299" s="207">
        <v>15</v>
      </c>
      <c r="E299" s="766"/>
      <c r="F299" s="763"/>
      <c r="G299" s="769">
        <v>27293760.883518882</v>
      </c>
      <c r="H299" s="770">
        <v>27294171.781853549</v>
      </c>
      <c r="I299" s="195"/>
      <c r="J299" s="195"/>
      <c r="K299" s="195"/>
    </row>
    <row r="300" spans="1:11" s="186" customFormat="1" ht="15" customHeight="1" x14ac:dyDescent="0.3">
      <c r="A300" s="211"/>
      <c r="B300" s="197"/>
      <c r="C300" s="206">
        <v>2030</v>
      </c>
      <c r="D300" s="207">
        <v>16</v>
      </c>
      <c r="E300" s="766">
        <v>27949.869638732991</v>
      </c>
      <c r="F300" s="763">
        <v>27949869.638732992</v>
      </c>
      <c r="G300" s="769">
        <v>27949869.638732992</v>
      </c>
      <c r="H300" s="770">
        <v>27919337.968639348</v>
      </c>
      <c r="I300" s="195"/>
      <c r="J300" s="195"/>
      <c r="K300" s="195"/>
    </row>
    <row r="301" spans="1:11" s="186" customFormat="1" ht="15" customHeight="1" x14ac:dyDescent="0.3">
      <c r="A301" s="211"/>
      <c r="B301" s="197"/>
      <c r="C301" s="206">
        <v>2031</v>
      </c>
      <c r="D301" s="207">
        <v>17</v>
      </c>
      <c r="E301" s="766"/>
      <c r="F301" s="763"/>
      <c r="G301" s="769">
        <v>28397644.964960702</v>
      </c>
      <c r="H301" s="770">
        <v>28333695.876672376</v>
      </c>
      <c r="I301" s="195"/>
      <c r="J301" s="195"/>
      <c r="K301" s="195"/>
    </row>
    <row r="302" spans="1:11" s="186" customFormat="1" ht="15" customHeight="1" x14ac:dyDescent="0.3">
      <c r="A302" s="211"/>
      <c r="B302" s="197"/>
      <c r="C302" s="206">
        <v>2032</v>
      </c>
      <c r="D302" s="207">
        <v>18</v>
      </c>
      <c r="E302" s="766"/>
      <c r="F302" s="763"/>
      <c r="G302" s="769">
        <v>28948480.245512355</v>
      </c>
      <c r="H302" s="770">
        <v>28848379.599488631</v>
      </c>
      <c r="I302" s="195"/>
      <c r="J302" s="195"/>
      <c r="K302" s="195"/>
    </row>
    <row r="303" spans="1:11" s="186" customFormat="1" ht="15" customHeight="1" x14ac:dyDescent="0.3">
      <c r="A303" s="211"/>
      <c r="B303" s="197"/>
      <c r="C303" s="206">
        <v>2033</v>
      </c>
      <c r="D303" s="207">
        <v>19</v>
      </c>
      <c r="E303" s="766"/>
      <c r="F303" s="763"/>
      <c r="G303" s="769">
        <v>29496997.894063566</v>
      </c>
      <c r="H303" s="770">
        <v>29358402.828003116</v>
      </c>
      <c r="I303" s="195"/>
      <c r="J303" s="195"/>
      <c r="K303" s="195"/>
    </row>
    <row r="304" spans="1:11" s="186" customFormat="1" ht="15" customHeight="1" x14ac:dyDescent="0.3">
      <c r="A304" s="211"/>
      <c r="B304" s="197"/>
      <c r="C304" s="206">
        <v>2034</v>
      </c>
      <c r="D304" s="207">
        <v>20</v>
      </c>
      <c r="E304" s="766"/>
      <c r="F304" s="763"/>
      <c r="G304" s="769">
        <v>30042013.066698633</v>
      </c>
      <c r="H304" s="770">
        <v>29862959.318139371</v>
      </c>
      <c r="I304" s="195"/>
      <c r="J304" s="195"/>
      <c r="K304" s="195"/>
    </row>
    <row r="305" spans="1:11" s="186" customFormat="1" ht="15" customHeight="1" x14ac:dyDescent="0.3">
      <c r="A305" s="211"/>
      <c r="B305" s="197"/>
      <c r="C305" s="206">
        <v>2035</v>
      </c>
      <c r="D305" s="207">
        <v>21</v>
      </c>
      <c r="E305" s="766">
        <v>30659.608532043123</v>
      </c>
      <c r="F305" s="763">
        <v>30659608.532043122</v>
      </c>
      <c r="G305" s="769">
        <v>30659608.532043122</v>
      </c>
      <c r="H305" s="770">
        <v>30437869.616304338</v>
      </c>
      <c r="I305" s="195"/>
      <c r="J305" s="195"/>
      <c r="K305" s="195"/>
    </row>
    <row r="306" spans="1:11" s="186" customFormat="1" ht="15" customHeight="1" x14ac:dyDescent="0.3">
      <c r="A306" s="211"/>
      <c r="B306" s="197"/>
      <c r="C306" s="206">
        <v>2036</v>
      </c>
      <c r="D306" s="207">
        <v>22</v>
      </c>
      <c r="E306" s="766"/>
      <c r="F306" s="763"/>
      <c r="G306" s="769">
        <v>31116796.608557522</v>
      </c>
      <c r="H306" s="770">
        <v>30851989.409423593</v>
      </c>
      <c r="I306" s="195"/>
      <c r="J306" s="195"/>
      <c r="K306" s="195"/>
    </row>
    <row r="307" spans="1:11" s="186" customFormat="1" ht="15" customHeight="1" x14ac:dyDescent="0.3">
      <c r="A307" s="211"/>
      <c r="B307" s="197"/>
      <c r="C307" s="206">
        <v>2037</v>
      </c>
      <c r="D307" s="207">
        <v>23</v>
      </c>
      <c r="E307" s="766"/>
      <c r="F307" s="763"/>
      <c r="G307" s="769">
        <v>31644195.289949939</v>
      </c>
      <c r="H307" s="770">
        <v>31334256.165992405</v>
      </c>
      <c r="I307" s="195"/>
      <c r="J307" s="195"/>
      <c r="K307" s="195"/>
    </row>
    <row r="308" spans="1:11" s="186" customFormat="1" ht="15" customHeight="1" x14ac:dyDescent="0.3">
      <c r="A308" s="197"/>
      <c r="B308" s="197"/>
      <c r="C308" s="206">
        <v>2038</v>
      </c>
      <c r="D308" s="207">
        <v>24</v>
      </c>
      <c r="E308" s="766"/>
      <c r="F308" s="763"/>
      <c r="G308" s="769">
        <v>32163352.119763412</v>
      </c>
      <c r="H308" s="770">
        <v>31806692.517822336</v>
      </c>
      <c r="I308" s="195"/>
      <c r="J308" s="195"/>
      <c r="K308" s="195"/>
    </row>
    <row r="309" spans="1:11" s="186" customFormat="1" ht="15" customHeight="1" x14ac:dyDescent="0.3">
      <c r="A309" s="197"/>
      <c r="B309" s="197"/>
      <c r="C309" s="206">
        <v>2039</v>
      </c>
      <c r="D309" s="207">
        <v>25</v>
      </c>
      <c r="E309" s="766"/>
      <c r="F309" s="763"/>
      <c r="G309" s="769">
        <v>32673082.254082225</v>
      </c>
      <c r="H309" s="770">
        <v>32267939.98894456</v>
      </c>
      <c r="I309" s="195"/>
      <c r="J309" s="195"/>
      <c r="K309" s="195"/>
    </row>
    <row r="310" spans="1:11" s="186" customFormat="1" ht="15" customHeight="1" x14ac:dyDescent="0.3">
      <c r="A310" s="197"/>
      <c r="B310" s="197"/>
      <c r="C310" s="206">
        <v>2040</v>
      </c>
      <c r="D310" s="207">
        <v>26</v>
      </c>
      <c r="E310" s="766">
        <v>33108.612770290129</v>
      </c>
      <c r="F310" s="763">
        <v>33108612.770290129</v>
      </c>
      <c r="G310" s="769">
        <v>33108612.770290129</v>
      </c>
      <c r="H310" s="770">
        <v>32653977.939710971</v>
      </c>
      <c r="I310" s="195"/>
      <c r="J310" s="195"/>
      <c r="K310" s="195"/>
    </row>
    <row r="311" spans="1:11" s="186" customFormat="1" ht="15" customHeight="1" x14ac:dyDescent="0.3">
      <c r="A311" s="197"/>
      <c r="B311" s="197"/>
      <c r="C311" s="206">
        <v>2041</v>
      </c>
      <c r="D311" s="207">
        <v>27</v>
      </c>
      <c r="E311" s="766"/>
      <c r="F311" s="763"/>
      <c r="G311" s="769">
        <v>33659523.060573079</v>
      </c>
      <c r="H311" s="770">
        <v>33151790.363634061</v>
      </c>
      <c r="I311" s="195"/>
      <c r="J311" s="195"/>
      <c r="K311" s="195"/>
    </row>
    <row r="312" spans="1:11" s="186" customFormat="1" ht="15" customHeight="1" x14ac:dyDescent="0.3">
      <c r="A312" s="197"/>
      <c r="B312" s="197"/>
      <c r="C312" s="206">
        <v>2042</v>
      </c>
      <c r="D312" s="207">
        <v>28</v>
      </c>
      <c r="E312" s="766"/>
      <c r="F312" s="763"/>
      <c r="G312" s="769">
        <v>34133864.044913717</v>
      </c>
      <c r="H312" s="770">
        <v>33572155.198524758</v>
      </c>
      <c r="I312" s="195"/>
      <c r="J312" s="195"/>
      <c r="K312" s="195"/>
    </row>
    <row r="313" spans="1:11" s="186" customFormat="1" ht="15" customHeight="1" x14ac:dyDescent="0.3">
      <c r="A313" s="197"/>
      <c r="B313" s="197"/>
      <c r="C313" s="206">
        <v>2043</v>
      </c>
      <c r="D313" s="207">
        <v>29</v>
      </c>
      <c r="E313" s="766"/>
      <c r="F313" s="763"/>
      <c r="G313" s="769">
        <v>34594038.958096892</v>
      </c>
      <c r="H313" s="770">
        <v>33976651.395985141</v>
      </c>
      <c r="I313" s="195"/>
      <c r="J313" s="195"/>
      <c r="K313" s="195"/>
    </row>
    <row r="314" spans="1:11" s="186" customFormat="1" ht="15" customHeight="1" x14ac:dyDescent="0.3">
      <c r="A314" s="197"/>
      <c r="B314" s="197"/>
      <c r="C314" s="206">
        <v>2044</v>
      </c>
      <c r="D314" s="207">
        <v>30</v>
      </c>
      <c r="E314" s="766"/>
      <c r="F314" s="763"/>
      <c r="G314" s="769">
        <v>35038862.956206903</v>
      </c>
      <c r="H314" s="770">
        <v>34364162.571815714</v>
      </c>
      <c r="I314" s="195"/>
      <c r="J314" s="195"/>
      <c r="K314" s="195"/>
    </row>
    <row r="315" spans="1:11" s="186" customFormat="1" ht="15" customHeight="1" x14ac:dyDescent="0.3">
      <c r="A315" s="197"/>
      <c r="B315" s="197"/>
      <c r="C315" s="206">
        <v>2045</v>
      </c>
      <c r="D315" s="207">
        <v>31</v>
      </c>
      <c r="E315" s="766">
        <v>35341.243362078603</v>
      </c>
      <c r="F315" s="763">
        <v>35341243.3620786</v>
      </c>
      <c r="G315" s="769">
        <v>35341243.3620786</v>
      </c>
      <c r="H315" s="770">
        <v>34610267.726182714</v>
      </c>
      <c r="I315" s="195"/>
      <c r="J315" s="195"/>
      <c r="K315" s="195"/>
    </row>
    <row r="316" spans="1:11" s="186" customFormat="1" ht="15" customHeight="1" x14ac:dyDescent="0.3">
      <c r="A316" s="197"/>
      <c r="B316" s="197"/>
      <c r="C316" s="206">
        <v>2046</v>
      </c>
      <c r="D316" s="207">
        <v>32</v>
      </c>
      <c r="E316" s="766"/>
      <c r="F316" s="763"/>
      <c r="G316" s="769">
        <v>35877718.831544623</v>
      </c>
      <c r="H316" s="770">
        <v>35083765.7566052</v>
      </c>
      <c r="I316" s="195"/>
      <c r="J316" s="195"/>
      <c r="K316" s="195"/>
    </row>
    <row r="317" spans="1:11" s="186" customFormat="1" ht="15" customHeight="1" x14ac:dyDescent="0.3">
      <c r="A317" s="212"/>
      <c r="B317" s="197"/>
      <c r="C317" s="206">
        <v>2047</v>
      </c>
      <c r="D317" s="207">
        <v>33</v>
      </c>
      <c r="E317" s="766"/>
      <c r="F317" s="763"/>
      <c r="G317" s="769">
        <v>36269381.020940922</v>
      </c>
      <c r="H317" s="770">
        <v>35413625.068882763</v>
      </c>
      <c r="I317" s="195"/>
      <c r="J317" s="195"/>
      <c r="K317" s="195"/>
    </row>
    <row r="318" spans="1:11" s="186" customFormat="1" ht="15" customHeight="1" x14ac:dyDescent="0.3">
      <c r="A318" s="195"/>
      <c r="B318" s="197"/>
      <c r="C318" s="206">
        <v>2048</v>
      </c>
      <c r="D318" s="207">
        <v>34</v>
      </c>
      <c r="E318" s="766"/>
      <c r="F318" s="763"/>
      <c r="G318" s="769">
        <v>36640952.919601254</v>
      </c>
      <c r="H318" s="770">
        <v>35722020.72213386</v>
      </c>
      <c r="I318" s="195"/>
      <c r="J318" s="195"/>
      <c r="K318" s="195"/>
    </row>
    <row r="319" spans="1:11" s="186" customFormat="1" ht="15" customHeight="1" x14ac:dyDescent="0.3">
      <c r="A319" s="195"/>
      <c r="B319" s="195"/>
      <c r="C319" s="206">
        <v>2049</v>
      </c>
      <c r="D319" s="207">
        <v>35</v>
      </c>
      <c r="E319" s="766"/>
      <c r="F319" s="763"/>
      <c r="G319" s="769">
        <v>36991249.683609903</v>
      </c>
      <c r="H319" s="770">
        <v>36007825.09096925</v>
      </c>
      <c r="I319" s="195"/>
      <c r="J319" s="195"/>
      <c r="K319" s="195"/>
    </row>
    <row r="320" spans="1:11" s="186" customFormat="1" ht="15" customHeight="1" x14ac:dyDescent="0.3">
      <c r="A320" s="195"/>
      <c r="B320" s="195"/>
      <c r="C320" s="206">
        <v>2050</v>
      </c>
      <c r="D320" s="213">
        <v>36</v>
      </c>
      <c r="E320" s="771">
        <v>37398.950124507362</v>
      </c>
      <c r="F320" s="763">
        <v>37398950.12450736</v>
      </c>
      <c r="G320" s="772">
        <v>37398950.12450736</v>
      </c>
      <c r="H320" s="773">
        <v>36347549.008793302</v>
      </c>
      <c r="I320" s="195"/>
      <c r="J320" s="195"/>
      <c r="K320" s="195"/>
    </row>
    <row r="321" spans="1:11" s="186" customFormat="1" ht="15" customHeight="1" x14ac:dyDescent="0.3">
      <c r="A321" s="195"/>
      <c r="B321" s="195"/>
      <c r="C321" s="206">
        <v>2051</v>
      </c>
      <c r="D321" s="207">
        <v>37</v>
      </c>
      <c r="E321" s="766"/>
      <c r="F321" s="763"/>
      <c r="G321" s="769">
        <v>37623278.432009384</v>
      </c>
      <c r="H321" s="770">
        <v>36507253.558273844</v>
      </c>
      <c r="I321" s="195"/>
      <c r="J321" s="195"/>
      <c r="K321" s="195"/>
    </row>
    <row r="322" spans="1:11" s="186" customFormat="1" ht="15" customHeight="1" x14ac:dyDescent="0.3">
      <c r="A322" s="195"/>
      <c r="B322" s="195"/>
      <c r="C322" s="206">
        <v>2052</v>
      </c>
      <c r="D322" s="207">
        <v>38</v>
      </c>
      <c r="E322" s="766"/>
      <c r="F322" s="763"/>
      <c r="G322" s="769">
        <v>37902640.728568807</v>
      </c>
      <c r="H322" s="770">
        <v>36718748.979193762</v>
      </c>
      <c r="I322" s="195"/>
      <c r="J322" s="195"/>
      <c r="K322" s="195"/>
    </row>
    <row r="323" spans="1:11" s="186" customFormat="1" ht="15" customHeight="1" x14ac:dyDescent="0.3">
      <c r="A323" s="195"/>
      <c r="B323" s="195"/>
      <c r="C323" s="206">
        <v>2053</v>
      </c>
      <c r="D323" s="207">
        <v>39</v>
      </c>
      <c r="E323" s="766"/>
      <c r="F323" s="763"/>
      <c r="G323" s="769">
        <v>38155988.514813736</v>
      </c>
      <c r="H323" s="770">
        <v>36903404.102169715</v>
      </c>
      <c r="I323" s="195"/>
      <c r="J323" s="195"/>
      <c r="K323" s="195"/>
    </row>
    <row r="324" spans="1:11" s="186" customFormat="1" ht="15" customHeight="1" x14ac:dyDescent="0.3">
      <c r="A324" s="195"/>
      <c r="B324" s="195"/>
      <c r="C324" s="206">
        <v>2054</v>
      </c>
      <c r="D324" s="207">
        <v>40</v>
      </c>
      <c r="E324" s="766"/>
      <c r="F324" s="763"/>
      <c r="G324" s="769">
        <v>38382136.946828485</v>
      </c>
      <c r="H324" s="770">
        <v>37060233.233546808</v>
      </c>
      <c r="I324" s="195"/>
      <c r="J324" s="195"/>
      <c r="K324" s="195"/>
    </row>
    <row r="325" spans="1:11" s="186" customFormat="1" ht="15" customHeight="1" x14ac:dyDescent="0.3">
      <c r="A325" s="195"/>
      <c r="B325" s="195"/>
      <c r="C325" s="206">
        <v>2055</v>
      </c>
      <c r="D325" s="213">
        <v>41</v>
      </c>
      <c r="E325" s="771"/>
      <c r="F325" s="763"/>
      <c r="G325" s="772">
        <v>38579901.180697352</v>
      </c>
      <c r="H325" s="773">
        <v>37188248.98365166</v>
      </c>
      <c r="I325" s="195"/>
      <c r="J325" s="195"/>
      <c r="K325" s="195"/>
    </row>
    <row r="326" spans="1:11" s="186" customFormat="1" ht="15" customHeight="1" x14ac:dyDescent="0.3">
      <c r="A326" s="195"/>
      <c r="B326" s="195"/>
      <c r="C326" s="206">
        <v>2056</v>
      </c>
      <c r="D326" s="207">
        <v>42</v>
      </c>
      <c r="E326" s="766"/>
      <c r="F326" s="763"/>
      <c r="G326" s="769">
        <v>38748096.372504622</v>
      </c>
      <c r="H326" s="770">
        <v>37286436.716002226</v>
      </c>
      <c r="I326" s="195"/>
      <c r="J326" s="195"/>
      <c r="K326" s="195"/>
    </row>
    <row r="327" spans="1:11" s="186" customFormat="1" ht="15" customHeight="1" x14ac:dyDescent="0.3">
      <c r="A327" s="195"/>
      <c r="B327" s="195"/>
      <c r="C327" s="206">
        <v>2057</v>
      </c>
      <c r="D327" s="207">
        <v>43</v>
      </c>
      <c r="E327" s="766"/>
      <c r="F327" s="763"/>
      <c r="G327" s="769">
        <v>38885537.678334609</v>
      </c>
      <c r="H327" s="770">
        <v>37353780.545741774</v>
      </c>
      <c r="I327" s="195"/>
      <c r="J327" s="195"/>
      <c r="K327" s="195"/>
    </row>
    <row r="328" spans="1:11" s="186" customFormat="1" ht="15" customHeight="1" x14ac:dyDescent="0.3">
      <c r="A328" s="195"/>
      <c r="B328" s="195"/>
      <c r="C328" s="206">
        <v>2058</v>
      </c>
      <c r="D328" s="207">
        <v>44</v>
      </c>
      <c r="E328" s="766"/>
      <c r="F328" s="763"/>
      <c r="G328" s="769">
        <v>38991040.254271597</v>
      </c>
      <c r="H328" s="770">
        <v>37389299.316996485</v>
      </c>
      <c r="I328" s="195"/>
      <c r="J328" s="195"/>
      <c r="K328" s="195"/>
    </row>
    <row r="329" spans="1:11" s="186" customFormat="1" ht="15" customHeight="1" x14ac:dyDescent="0.3">
      <c r="A329" s="195"/>
      <c r="B329" s="195"/>
      <c r="C329" s="206">
        <v>2059</v>
      </c>
      <c r="D329" s="207">
        <v>45</v>
      </c>
      <c r="E329" s="766"/>
      <c r="F329" s="763"/>
      <c r="G329" s="769">
        <v>39063419.256399885</v>
      </c>
      <c r="H329" s="770">
        <v>37392024.790803157</v>
      </c>
      <c r="I329" s="195"/>
      <c r="J329" s="195"/>
      <c r="K329" s="195"/>
    </row>
    <row r="330" spans="1:11" s="186" customFormat="1" ht="15" customHeight="1" x14ac:dyDescent="0.3">
      <c r="A330" s="706"/>
      <c r="B330" s="706"/>
      <c r="C330" s="214">
        <v>2060</v>
      </c>
      <c r="D330" s="213">
        <v>46</v>
      </c>
      <c r="E330" s="771"/>
      <c r="F330" s="763"/>
      <c r="G330" s="772">
        <v>39101489.840803772</v>
      </c>
      <c r="H330" s="773">
        <v>37360993.440021791</v>
      </c>
      <c r="I330" s="195"/>
      <c r="J330" s="195"/>
      <c r="K330" s="195"/>
    </row>
    <row r="331" spans="1:11" s="186" customFormat="1" ht="15" customHeight="1" x14ac:dyDescent="0.3">
      <c r="A331" s="706"/>
      <c r="B331" s="706"/>
      <c r="C331" s="211"/>
      <c r="E331" s="211"/>
      <c r="F331" s="211"/>
      <c r="G331" s="211"/>
      <c r="H331" s="211"/>
      <c r="I331" s="211"/>
      <c r="J331" s="211"/>
      <c r="K331" s="211"/>
    </row>
    <row r="332" spans="1:11" s="186" customFormat="1" ht="15" customHeight="1" x14ac:dyDescent="0.3">
      <c r="A332" s="706"/>
      <c r="B332" s="706"/>
    </row>
    <row r="333" spans="1:11" s="186" customFormat="1" ht="15" customHeight="1" x14ac:dyDescent="0.3">
      <c r="A333" s="748" t="str">
        <f>HYPERLINK("#'Interp-FREIGHT'!a1","Back to top")</f>
        <v>Back to top</v>
      </c>
      <c r="B333" s="706"/>
    </row>
    <row r="334" spans="1:11" s="186" customFormat="1" ht="15" customHeight="1" x14ac:dyDescent="0.3"/>
    <row r="335" spans="1:11" s="186" customFormat="1" ht="15" customHeight="1" x14ac:dyDescent="0.3"/>
    <row r="336" spans="1:11" s="186" customFormat="1" ht="15" customHeight="1" x14ac:dyDescent="0.3">
      <c r="A336" s="187">
        <f>1+A271</f>
        <v>2</v>
      </c>
      <c r="B336" s="188" t="s">
        <v>200</v>
      </c>
      <c r="C336" s="189"/>
      <c r="D336" s="189"/>
      <c r="E336" s="189"/>
      <c r="F336" s="189"/>
      <c r="G336" s="189"/>
      <c r="H336" s="189"/>
      <c r="I336" s="189"/>
      <c r="J336" s="189"/>
      <c r="K336" s="189"/>
    </row>
    <row r="337" spans="1:11" s="186" customFormat="1" ht="15" customHeight="1" x14ac:dyDescent="0.3">
      <c r="A337" s="190" t="s">
        <v>74</v>
      </c>
      <c r="B337" s="191"/>
      <c r="C337" s="191"/>
      <c r="D337" s="192"/>
      <c r="E337" s="193"/>
      <c r="F337" s="928"/>
      <c r="G337" s="193"/>
      <c r="H337" s="194"/>
      <c r="I337" s="195"/>
      <c r="J337" s="195"/>
      <c r="K337" s="195"/>
    </row>
    <row r="338" spans="1:11" s="186" customFormat="1" ht="15" customHeight="1" thickBot="1" x14ac:dyDescent="0.35">
      <c r="A338" s="196" t="s">
        <v>75</v>
      </c>
      <c r="B338" s="197"/>
      <c r="C338" s="197"/>
      <c r="D338" s="198"/>
      <c r="E338" s="199" t="s">
        <v>78</v>
      </c>
      <c r="F338" s="929"/>
      <c r="G338" s="200" t="s">
        <v>201</v>
      </c>
      <c r="H338" s="194"/>
      <c r="I338" s="195"/>
      <c r="J338" s="195"/>
      <c r="K338" s="195"/>
    </row>
    <row r="339" spans="1:11" s="186" customFormat="1" ht="15" customHeight="1" thickBot="1" x14ac:dyDescent="0.35">
      <c r="A339" s="201"/>
      <c r="B339" s="201"/>
      <c r="C339" s="201"/>
      <c r="D339" s="202"/>
      <c r="E339" s="203" t="s">
        <v>124</v>
      </c>
      <c r="F339" s="203" t="s">
        <v>179</v>
      </c>
      <c r="G339" s="200" t="s">
        <v>81</v>
      </c>
      <c r="H339" s="203" t="s">
        <v>82</v>
      </c>
      <c r="I339" s="203" t="s">
        <v>83</v>
      </c>
      <c r="J339" s="921" t="s">
        <v>84</v>
      </c>
      <c r="K339" s="922"/>
    </row>
    <row r="340" spans="1:11" s="186" customFormat="1" ht="15" customHeight="1" x14ac:dyDescent="0.3">
      <c r="A340" s="190" t="s">
        <v>85</v>
      </c>
      <c r="B340" s="201"/>
      <c r="C340" s="204">
        <v>2005</v>
      </c>
      <c r="D340" s="205">
        <v>-9</v>
      </c>
      <c r="E340" s="762"/>
      <c r="F340" s="763"/>
      <c r="G340" s="764">
        <v>17063894.088196374</v>
      </c>
      <c r="H340" s="765">
        <v>17063894.088196374</v>
      </c>
      <c r="I340" s="927" t="s">
        <v>86</v>
      </c>
      <c r="J340" s="923"/>
      <c r="K340" s="924"/>
    </row>
    <row r="341" spans="1:11" s="186" customFormat="1" ht="15" customHeight="1" x14ac:dyDescent="0.3">
      <c r="A341" s="196" t="s">
        <v>87</v>
      </c>
      <c r="B341" s="201"/>
      <c r="C341" s="206">
        <v>2006</v>
      </c>
      <c r="D341" s="207">
        <v>-8</v>
      </c>
      <c r="E341" s="766"/>
      <c r="F341" s="763"/>
      <c r="G341" s="767">
        <v>17284944.540973924</v>
      </c>
      <c r="H341" s="768">
        <v>17284944.540973924</v>
      </c>
      <c r="I341" s="923"/>
      <c r="J341" s="923"/>
      <c r="K341" s="924"/>
    </row>
    <row r="342" spans="1:11" s="186" customFormat="1" ht="15" customHeight="1" x14ac:dyDescent="0.3">
      <c r="A342" s="201"/>
      <c r="B342" s="201"/>
      <c r="C342" s="206">
        <v>2007</v>
      </c>
      <c r="D342" s="207">
        <v>-7</v>
      </c>
      <c r="E342" s="766"/>
      <c r="F342" s="763"/>
      <c r="G342" s="767">
        <v>17530329.521479867</v>
      </c>
      <c r="H342" s="768">
        <v>17530329.521479867</v>
      </c>
      <c r="I342" s="923"/>
      <c r="J342" s="923"/>
      <c r="K342" s="924"/>
    </row>
    <row r="343" spans="1:11" s="186" customFormat="1" ht="15" customHeight="1" x14ac:dyDescent="0.3">
      <c r="A343" s="208" t="s">
        <v>88</v>
      </c>
      <c r="B343" s="201"/>
      <c r="C343" s="206">
        <v>2008</v>
      </c>
      <c r="D343" s="207">
        <v>-6</v>
      </c>
      <c r="E343" s="766"/>
      <c r="F343" s="763"/>
      <c r="G343" s="767">
        <v>17799042.979144413</v>
      </c>
      <c r="H343" s="768">
        <v>17799042.979144413</v>
      </c>
      <c r="I343" s="923"/>
      <c r="J343" s="925"/>
      <c r="K343" s="926"/>
    </row>
    <row r="344" spans="1:11" s="186" customFormat="1" ht="15" customHeight="1" x14ac:dyDescent="0.3">
      <c r="A344" s="935" t="s">
        <v>202</v>
      </c>
      <c r="B344" s="201"/>
      <c r="C344" s="206">
        <v>2009</v>
      </c>
      <c r="D344" s="207">
        <v>-5</v>
      </c>
      <c r="E344" s="766"/>
      <c r="F344" s="763"/>
      <c r="G344" s="767">
        <v>18090078.863397747</v>
      </c>
      <c r="H344" s="768">
        <v>18090078.863397747</v>
      </c>
      <c r="I344" s="923"/>
      <c r="J344" s="195"/>
      <c r="K344" s="195"/>
    </row>
    <row r="345" spans="1:11" s="186" customFormat="1" ht="15" customHeight="1" x14ac:dyDescent="0.3">
      <c r="A345" s="936"/>
      <c r="B345" s="201"/>
      <c r="C345" s="206">
        <v>2010</v>
      </c>
      <c r="D345" s="207">
        <v>-4</v>
      </c>
      <c r="E345" s="766">
        <v>18447.543337527793</v>
      </c>
      <c r="F345" s="763">
        <v>18447543.337527793</v>
      </c>
      <c r="G345" s="767">
        <v>18447543.337527793</v>
      </c>
      <c r="H345" s="768">
        <v>18447543.337527793</v>
      </c>
      <c r="I345" s="923"/>
      <c r="J345" s="195"/>
      <c r="K345" s="195"/>
    </row>
    <row r="346" spans="1:11" s="186" customFormat="1" ht="15" customHeight="1" x14ac:dyDescent="0.3">
      <c r="A346" s="936"/>
      <c r="B346" s="201"/>
      <c r="C346" s="206">
        <v>2011</v>
      </c>
      <c r="D346" s="207">
        <v>-3</v>
      </c>
      <c r="E346" s="766"/>
      <c r="F346" s="763"/>
      <c r="G346" s="767">
        <v>18735093.709391594</v>
      </c>
      <c r="H346" s="768">
        <v>18735093.709391594</v>
      </c>
      <c r="I346" s="925"/>
      <c r="J346" s="195"/>
      <c r="K346" s="195"/>
    </row>
    <row r="347" spans="1:11" s="186" customFormat="1" ht="15" customHeight="1" x14ac:dyDescent="0.3">
      <c r="A347" s="937"/>
      <c r="B347" s="201"/>
      <c r="C347" s="206">
        <v>2012</v>
      </c>
      <c r="D347" s="207">
        <v>-2</v>
      </c>
      <c r="E347" s="766"/>
      <c r="F347" s="763"/>
      <c r="G347" s="769">
        <v>19087060.569992505</v>
      </c>
      <c r="H347" s="770">
        <v>19087060.569992505</v>
      </c>
      <c r="I347" s="209" t="s">
        <v>90</v>
      </c>
      <c r="J347" s="195"/>
      <c r="K347" s="195"/>
    </row>
    <row r="348" spans="1:11" s="186" customFormat="1" ht="15" customHeight="1" x14ac:dyDescent="0.3">
      <c r="A348" s="201"/>
      <c r="B348" s="201"/>
      <c r="C348" s="206">
        <v>2013</v>
      </c>
      <c r="D348" s="207">
        <v>-1</v>
      </c>
      <c r="E348" s="766"/>
      <c r="F348" s="763"/>
      <c r="G348" s="769">
        <v>19457325.654902998</v>
      </c>
      <c r="H348" s="770">
        <v>19457325.654902998</v>
      </c>
      <c r="I348" s="201"/>
      <c r="J348" s="195"/>
      <c r="K348" s="195"/>
    </row>
    <row r="349" spans="1:11" s="186" customFormat="1" ht="15" customHeight="1" x14ac:dyDescent="0.3">
      <c r="A349" s="193" t="s">
        <v>91</v>
      </c>
      <c r="B349" s="201"/>
      <c r="C349" s="206">
        <v>2014</v>
      </c>
      <c r="D349" s="207">
        <v>0</v>
      </c>
      <c r="E349" s="766"/>
      <c r="F349" s="763"/>
      <c r="G349" s="769">
        <v>19844882.913553283</v>
      </c>
      <c r="H349" s="770">
        <v>19969305.44028635</v>
      </c>
      <c r="I349" s="195"/>
      <c r="J349" s="195"/>
      <c r="K349" s="195"/>
    </row>
    <row r="350" spans="1:11" s="186" customFormat="1" ht="15" customHeight="1" x14ac:dyDescent="0.3">
      <c r="A350" s="196">
        <v>2016</v>
      </c>
      <c r="B350" s="197"/>
      <c r="C350" s="206">
        <v>2015</v>
      </c>
      <c r="D350" s="207">
        <v>1</v>
      </c>
      <c r="E350" s="766">
        <v>20179.210507472933</v>
      </c>
      <c r="F350" s="763">
        <v>20179210.507472932</v>
      </c>
      <c r="G350" s="769">
        <v>20179210.507472932</v>
      </c>
      <c r="H350" s="770">
        <v>20307300.851329241</v>
      </c>
      <c r="I350" s="195"/>
      <c r="J350" s="195"/>
      <c r="K350" s="195"/>
    </row>
    <row r="351" spans="1:11" s="186" customFormat="1" ht="15" customHeight="1" x14ac:dyDescent="0.3">
      <c r="A351" s="195"/>
      <c r="B351" s="197"/>
      <c r="C351" s="206">
        <v>2016</v>
      </c>
      <c r="D351" s="207">
        <v>2</v>
      </c>
      <c r="E351" s="766"/>
      <c r="F351" s="763"/>
      <c r="G351" s="769">
        <v>20667849.749793999</v>
      </c>
      <c r="H351" s="770">
        <v>20801127.898270294</v>
      </c>
      <c r="I351" s="195"/>
      <c r="J351" s="195"/>
      <c r="K351" s="195"/>
    </row>
    <row r="352" spans="1:11" s="186" customFormat="1" ht="15" customHeight="1" x14ac:dyDescent="0.3">
      <c r="A352" s="193" t="s">
        <v>92</v>
      </c>
      <c r="B352" s="197"/>
      <c r="C352" s="206">
        <v>2017</v>
      </c>
      <c r="D352" s="207">
        <v>3</v>
      </c>
      <c r="E352" s="766"/>
      <c r="F352" s="763"/>
      <c r="G352" s="769">
        <v>21101247.226244833</v>
      </c>
      <c r="H352" s="770">
        <v>21239924.670546662</v>
      </c>
      <c r="I352" s="195"/>
      <c r="J352" s="195"/>
      <c r="K352" s="195"/>
    </row>
    <row r="353" spans="1:11" s="186" customFormat="1" ht="15" customHeight="1" x14ac:dyDescent="0.3">
      <c r="A353" s="196" t="s">
        <v>124</v>
      </c>
      <c r="B353" s="197"/>
      <c r="C353" s="206">
        <v>2018</v>
      </c>
      <c r="D353" s="207">
        <v>4</v>
      </c>
      <c r="E353" s="766"/>
      <c r="F353" s="763"/>
      <c r="G353" s="769">
        <v>21547912.674156245</v>
      </c>
      <c r="H353" s="770">
        <v>21692494.248413809</v>
      </c>
      <c r="I353" s="195"/>
      <c r="J353" s="195"/>
      <c r="K353" s="195"/>
    </row>
    <row r="354" spans="1:11" s="186" customFormat="1" ht="15" customHeight="1" x14ac:dyDescent="0.3">
      <c r="A354" s="195"/>
      <c r="B354" s="197"/>
      <c r="C354" s="206">
        <v>2019</v>
      </c>
      <c r="D354" s="207">
        <v>5</v>
      </c>
      <c r="E354" s="766"/>
      <c r="F354" s="763"/>
      <c r="G354" s="769">
        <v>22006840.042958435</v>
      </c>
      <c r="H354" s="770">
        <v>22157592.249208964</v>
      </c>
      <c r="I354" s="195"/>
      <c r="J354" s="195"/>
      <c r="K354" s="195"/>
    </row>
    <row r="355" spans="1:11" s="186" customFormat="1" ht="15" customHeight="1" x14ac:dyDescent="0.3">
      <c r="A355" s="193" t="s">
        <v>93</v>
      </c>
      <c r="B355" s="197"/>
      <c r="C355" s="206">
        <v>2020</v>
      </c>
      <c r="D355" s="207">
        <v>6</v>
      </c>
      <c r="E355" s="766">
        <v>22453.280205360326</v>
      </c>
      <c r="F355" s="763">
        <v>22453280.205360327</v>
      </c>
      <c r="G355" s="769">
        <v>22453280.205360327</v>
      </c>
      <c r="H355" s="770">
        <v>22611922.122803435</v>
      </c>
      <c r="I355" s="195"/>
      <c r="J355" s="195"/>
      <c r="K355" s="195"/>
    </row>
    <row r="356" spans="1:11" s="186" customFormat="1" ht="15" customHeight="1" x14ac:dyDescent="0.3">
      <c r="A356" s="193"/>
      <c r="B356" s="197"/>
      <c r="C356" s="206">
        <v>2021</v>
      </c>
      <c r="D356" s="207">
        <v>7</v>
      </c>
      <c r="E356" s="766"/>
      <c r="F356" s="763"/>
      <c r="G356" s="769">
        <v>22957456.340955947</v>
      </c>
      <c r="H356" s="770">
        <v>23107783.063220907</v>
      </c>
      <c r="I356" s="195"/>
      <c r="J356" s="195"/>
      <c r="K356" s="195"/>
    </row>
    <row r="357" spans="1:11" s="186" customFormat="1" ht="15" customHeight="1" x14ac:dyDescent="0.3">
      <c r="A357" s="210"/>
      <c r="B357" s="197"/>
      <c r="C357" s="206">
        <v>2022</v>
      </c>
      <c r="D357" s="207">
        <v>8</v>
      </c>
      <c r="E357" s="766"/>
      <c r="F357" s="763"/>
      <c r="G357" s="769">
        <v>23447133.169011664</v>
      </c>
      <c r="H357" s="770">
        <v>23587275.743868679</v>
      </c>
      <c r="I357" s="195"/>
      <c r="J357" s="195"/>
      <c r="K357" s="195"/>
    </row>
    <row r="358" spans="1:11" s="186" customFormat="1" ht="15" customHeight="1" x14ac:dyDescent="0.3">
      <c r="A358" s="196">
        <v>1000</v>
      </c>
      <c r="B358" s="197"/>
      <c r="C358" s="206">
        <v>2023</v>
      </c>
      <c r="D358" s="207">
        <v>9</v>
      </c>
      <c r="E358" s="766"/>
      <c r="F358" s="763"/>
      <c r="G358" s="769">
        <v>23945047.715678953</v>
      </c>
      <c r="H358" s="770">
        <v>24073169.345986005</v>
      </c>
      <c r="I358" s="195"/>
      <c r="J358" s="195"/>
      <c r="K358" s="195"/>
    </row>
    <row r="359" spans="1:11" s="186" customFormat="1" ht="15" customHeight="1" x14ac:dyDescent="0.3">
      <c r="A359" s="195"/>
      <c r="B359" s="197"/>
      <c r="C359" s="206">
        <v>2024</v>
      </c>
      <c r="D359" s="207">
        <v>10</v>
      </c>
      <c r="E359" s="766"/>
      <c r="F359" s="763"/>
      <c r="G359" s="769">
        <v>24450193.930388011</v>
      </c>
      <c r="H359" s="770">
        <v>24563889.296631522</v>
      </c>
      <c r="I359" s="195"/>
      <c r="J359" s="195"/>
      <c r="K359" s="195"/>
    </row>
    <row r="360" spans="1:11" s="186" customFormat="1" ht="15" customHeight="1" x14ac:dyDescent="0.3">
      <c r="A360" s="211"/>
      <c r="B360" s="197"/>
      <c r="C360" s="206">
        <v>2025</v>
      </c>
      <c r="D360" s="207">
        <v>11</v>
      </c>
      <c r="E360" s="766">
        <v>24974.647689968304</v>
      </c>
      <c r="F360" s="763">
        <v>24974647.689968303</v>
      </c>
      <c r="G360" s="769">
        <v>24974647.689968303</v>
      </c>
      <c r="H360" s="770">
        <v>25071118.128968738</v>
      </c>
      <c r="I360" s="195"/>
      <c r="J360" s="195"/>
      <c r="K360" s="195"/>
    </row>
    <row r="361" spans="1:11" s="186" customFormat="1" ht="15" customHeight="1" x14ac:dyDescent="0.3">
      <c r="A361" s="211"/>
      <c r="B361" s="197"/>
      <c r="C361" s="206">
        <v>2026</v>
      </c>
      <c r="D361" s="207">
        <v>12</v>
      </c>
      <c r="E361" s="766"/>
      <c r="F361" s="763"/>
      <c r="G361" s="769">
        <v>25478157.161652237</v>
      </c>
      <c r="H361" s="770">
        <v>25554466.130508635</v>
      </c>
      <c r="I361" s="195"/>
      <c r="J361" s="195"/>
      <c r="K361" s="195"/>
    </row>
    <row r="362" spans="1:11" s="186" customFormat="1" ht="15" customHeight="1" x14ac:dyDescent="0.3">
      <c r="A362" s="211"/>
      <c r="B362" s="197"/>
      <c r="C362" s="206">
        <v>2027</v>
      </c>
      <c r="D362" s="207">
        <v>13</v>
      </c>
      <c r="E362" s="766"/>
      <c r="F362" s="763"/>
      <c r="G362" s="769">
        <v>25998962.0770678</v>
      </c>
      <c r="H362" s="770">
        <v>26052574.37424754</v>
      </c>
      <c r="I362" s="195"/>
      <c r="J362" s="195"/>
      <c r="K362" s="195"/>
    </row>
    <row r="363" spans="1:11" s="186" customFormat="1" ht="15" customHeight="1" x14ac:dyDescent="0.3">
      <c r="A363" s="211"/>
      <c r="B363" s="197"/>
      <c r="C363" s="206">
        <v>2028</v>
      </c>
      <c r="D363" s="207">
        <v>14</v>
      </c>
      <c r="E363" s="766"/>
      <c r="F363" s="763"/>
      <c r="G363" s="769">
        <v>26522974.458245926</v>
      </c>
      <c r="H363" s="770">
        <v>26551288.233939033</v>
      </c>
      <c r="I363" s="195"/>
      <c r="J363" s="195"/>
      <c r="K363" s="195"/>
    </row>
    <row r="364" spans="1:11" s="186" customFormat="1" ht="15" customHeight="1" x14ac:dyDescent="0.3">
      <c r="A364" s="211"/>
      <c r="B364" s="197"/>
      <c r="C364" s="206">
        <v>2029</v>
      </c>
      <c r="D364" s="207">
        <v>15</v>
      </c>
      <c r="E364" s="766"/>
      <c r="F364" s="763"/>
      <c r="G364" s="769">
        <v>27049188.254616819</v>
      </c>
      <c r="H364" s="770">
        <v>27049595.470993318</v>
      </c>
      <c r="I364" s="195"/>
      <c r="J364" s="195"/>
      <c r="K364" s="195"/>
    </row>
    <row r="365" spans="1:11" s="186" customFormat="1" ht="15" customHeight="1" x14ac:dyDescent="0.3">
      <c r="A365" s="211"/>
      <c r="B365" s="197"/>
      <c r="C365" s="206">
        <v>2030</v>
      </c>
      <c r="D365" s="207">
        <v>16</v>
      </c>
      <c r="E365" s="766">
        <v>27624.245369652082</v>
      </c>
      <c r="F365" s="763">
        <v>27624245.369652081</v>
      </c>
      <c r="G365" s="769">
        <v>27624245.369652081</v>
      </c>
      <c r="H365" s="770">
        <v>27594069.402568381</v>
      </c>
      <c r="I365" s="195"/>
      <c r="J365" s="195"/>
      <c r="K365" s="195"/>
    </row>
    <row r="366" spans="1:11" s="186" customFormat="1" ht="15" customHeight="1" x14ac:dyDescent="0.3">
      <c r="A366" s="211"/>
      <c r="B366" s="197"/>
      <c r="C366" s="206">
        <v>2031</v>
      </c>
      <c r="D366" s="207">
        <v>17</v>
      </c>
      <c r="E366" s="766"/>
      <c r="F366" s="763"/>
      <c r="G366" s="769">
        <v>28104195.890657682</v>
      </c>
      <c r="H366" s="770">
        <v>28040907.624799661</v>
      </c>
      <c r="I366" s="195"/>
      <c r="J366" s="195"/>
      <c r="K366" s="195"/>
    </row>
    <row r="367" spans="1:11" s="186" customFormat="1" ht="15" customHeight="1" x14ac:dyDescent="0.3">
      <c r="A367" s="211"/>
      <c r="B367" s="197"/>
      <c r="C367" s="206">
        <v>2032</v>
      </c>
      <c r="D367" s="207">
        <v>18</v>
      </c>
      <c r="E367" s="766"/>
      <c r="F367" s="763"/>
      <c r="G367" s="769">
        <v>28630977.629188053</v>
      </c>
      <c r="H367" s="770">
        <v>28531974.872129094</v>
      </c>
      <c r="I367" s="195"/>
      <c r="J367" s="195"/>
      <c r="K367" s="195"/>
    </row>
    <row r="368" spans="1:11" s="186" customFormat="1" ht="15" customHeight="1" x14ac:dyDescent="0.3">
      <c r="A368" s="211"/>
      <c r="B368" s="197"/>
      <c r="C368" s="206">
        <v>2033</v>
      </c>
      <c r="D368" s="207">
        <v>19</v>
      </c>
      <c r="E368" s="766"/>
      <c r="F368" s="763"/>
      <c r="G368" s="769">
        <v>29155936.580631979</v>
      </c>
      <c r="H368" s="770">
        <v>29018944.030713525</v>
      </c>
      <c r="I368" s="195"/>
      <c r="J368" s="195"/>
      <c r="K368" s="195"/>
    </row>
    <row r="369" spans="1:11" s="186" customFormat="1" ht="15" customHeight="1" x14ac:dyDescent="0.3">
      <c r="A369" s="211"/>
      <c r="B369" s="197"/>
      <c r="C369" s="206">
        <v>2034</v>
      </c>
      <c r="D369" s="207">
        <v>20</v>
      </c>
      <c r="E369" s="766"/>
      <c r="F369" s="763"/>
      <c r="G369" s="769">
        <v>29678066.694419667</v>
      </c>
      <c r="H369" s="770">
        <v>29501182.10683129</v>
      </c>
      <c r="I369" s="195"/>
      <c r="J369" s="195"/>
      <c r="K369" s="195"/>
    </row>
    <row r="370" spans="1:11" s="186" customFormat="1" ht="15" customHeight="1" x14ac:dyDescent="0.3">
      <c r="A370" s="211"/>
      <c r="B370" s="197"/>
      <c r="C370" s="206">
        <v>2035</v>
      </c>
      <c r="D370" s="207">
        <v>21</v>
      </c>
      <c r="E370" s="766">
        <v>30256.58096473811</v>
      </c>
      <c r="F370" s="763">
        <v>30256580.964738112</v>
      </c>
      <c r="G370" s="769">
        <v>30256580.964738112</v>
      </c>
      <c r="H370" s="770">
        <v>30037756.857767798</v>
      </c>
      <c r="I370" s="195"/>
      <c r="J370" s="195"/>
      <c r="K370" s="195"/>
    </row>
    <row r="371" spans="1:11" s="186" customFormat="1" ht="15" customHeight="1" x14ac:dyDescent="0.3">
      <c r="A371" s="211"/>
      <c r="B371" s="197"/>
      <c r="C371" s="206">
        <v>2036</v>
      </c>
      <c r="D371" s="207">
        <v>22</v>
      </c>
      <c r="E371" s="766"/>
      <c r="F371" s="763"/>
      <c r="G371" s="769">
        <v>30709816.206747092</v>
      </c>
      <c r="H371" s="770">
        <v>30448472.453470446</v>
      </c>
      <c r="I371" s="195"/>
      <c r="J371" s="195"/>
      <c r="K371" s="195"/>
    </row>
    <row r="372" spans="1:11" s="186" customFormat="1" ht="15" customHeight="1" x14ac:dyDescent="0.3">
      <c r="A372" s="211"/>
      <c r="B372" s="197"/>
      <c r="C372" s="206">
        <v>2037</v>
      </c>
      <c r="D372" s="207">
        <v>23</v>
      </c>
      <c r="E372" s="766"/>
      <c r="F372" s="763"/>
      <c r="G372" s="769">
        <v>31217423.504147232</v>
      </c>
      <c r="H372" s="770">
        <v>30911664.397163097</v>
      </c>
      <c r="I372" s="195"/>
      <c r="J372" s="195"/>
      <c r="K372" s="195"/>
    </row>
    <row r="373" spans="1:11" s="186" customFormat="1" ht="15" customHeight="1" x14ac:dyDescent="0.3">
      <c r="A373" s="197"/>
      <c r="B373" s="197"/>
      <c r="C373" s="206">
        <v>2038</v>
      </c>
      <c r="D373" s="207">
        <v>24</v>
      </c>
      <c r="E373" s="766"/>
      <c r="F373" s="763"/>
      <c r="G373" s="769">
        <v>31718177.761611916</v>
      </c>
      <c r="H373" s="770">
        <v>31366454.700762127</v>
      </c>
      <c r="I373" s="195"/>
      <c r="J373" s="195"/>
      <c r="K373" s="195"/>
    </row>
    <row r="374" spans="1:11" s="186" customFormat="1" ht="15" customHeight="1" x14ac:dyDescent="0.3">
      <c r="A374" s="197"/>
      <c r="B374" s="197"/>
      <c r="C374" s="206">
        <v>2039</v>
      </c>
      <c r="D374" s="207">
        <v>25</v>
      </c>
      <c r="E374" s="766"/>
      <c r="F374" s="763"/>
      <c r="G374" s="769">
        <v>32211072.928571355</v>
      </c>
      <c r="H374" s="770">
        <v>31811659.523147523</v>
      </c>
      <c r="I374" s="195"/>
      <c r="J374" s="195"/>
      <c r="K374" s="195"/>
    </row>
    <row r="375" spans="1:11" s="186" customFormat="1" ht="15" customHeight="1" x14ac:dyDescent="0.3">
      <c r="A375" s="197"/>
      <c r="B375" s="197"/>
      <c r="C375" s="206">
        <v>2040</v>
      </c>
      <c r="D375" s="207">
        <v>26</v>
      </c>
      <c r="E375" s="766">
        <v>32650.574530660262</v>
      </c>
      <c r="F375" s="763">
        <v>32650574.53066026</v>
      </c>
      <c r="G375" s="769">
        <v>32650574.53066026</v>
      </c>
      <c r="H375" s="770">
        <v>32202229.306320958</v>
      </c>
      <c r="I375" s="195"/>
      <c r="J375" s="195"/>
      <c r="K375" s="195"/>
    </row>
    <row r="376" spans="1:11" s="186" customFormat="1" ht="15" customHeight="1" x14ac:dyDescent="0.3">
      <c r="A376" s="197"/>
      <c r="B376" s="197"/>
      <c r="C376" s="206">
        <v>2041</v>
      </c>
      <c r="D376" s="207">
        <v>27</v>
      </c>
      <c r="E376" s="766"/>
      <c r="F376" s="763"/>
      <c r="G376" s="769">
        <v>33169261.788695268</v>
      </c>
      <c r="H376" s="770">
        <v>32668924.374135245</v>
      </c>
      <c r="I376" s="195"/>
      <c r="J376" s="195"/>
      <c r="K376" s="195"/>
    </row>
    <row r="377" spans="1:11" s="186" customFormat="1" ht="15" customHeight="1" x14ac:dyDescent="0.3">
      <c r="A377" s="197"/>
      <c r="B377" s="197"/>
      <c r="C377" s="206">
        <v>2042</v>
      </c>
      <c r="D377" s="207">
        <v>28</v>
      </c>
      <c r="E377" s="766"/>
      <c r="F377" s="763"/>
      <c r="G377" s="769">
        <v>33632543.380720139</v>
      </c>
      <c r="H377" s="770">
        <v>33079084.296256304</v>
      </c>
      <c r="I377" s="195"/>
      <c r="J377" s="195"/>
      <c r="K377" s="195"/>
    </row>
    <row r="378" spans="1:11" s="186" customFormat="1" ht="15" customHeight="1" x14ac:dyDescent="0.3">
      <c r="A378" s="197"/>
      <c r="B378" s="197"/>
      <c r="C378" s="206">
        <v>2043</v>
      </c>
      <c r="D378" s="207">
        <v>29</v>
      </c>
      <c r="E378" s="766"/>
      <c r="F378" s="763"/>
      <c r="G378" s="769">
        <v>34083941.679960549</v>
      </c>
      <c r="H378" s="770">
        <v>33475657.643325254</v>
      </c>
      <c r="I378" s="195"/>
      <c r="J378" s="195"/>
      <c r="K378" s="195"/>
    </row>
    <row r="379" spans="1:11" s="186" customFormat="1" ht="15" customHeight="1" x14ac:dyDescent="0.3">
      <c r="A379" s="197"/>
      <c r="B379" s="197"/>
      <c r="C379" s="206">
        <v>2044</v>
      </c>
      <c r="D379" s="207">
        <v>30</v>
      </c>
      <c r="E379" s="766"/>
      <c r="F379" s="763"/>
      <c r="G379" s="769">
        <v>34522450.635846704</v>
      </c>
      <c r="H379" s="770">
        <v>33857694.169769503</v>
      </c>
      <c r="I379" s="195"/>
      <c r="J379" s="195"/>
      <c r="K379" s="195"/>
    </row>
    <row r="380" spans="1:11" s="186" customFormat="1" ht="15" customHeight="1" x14ac:dyDescent="0.3">
      <c r="A380" s="197"/>
      <c r="B380" s="197"/>
      <c r="C380" s="206">
        <v>2045</v>
      </c>
      <c r="D380" s="207">
        <v>31</v>
      </c>
      <c r="E380" s="766">
        <v>34867.63372273757</v>
      </c>
      <c r="F380" s="763">
        <v>34867633.722737573</v>
      </c>
      <c r="G380" s="769">
        <v>34867633.722737573</v>
      </c>
      <c r="H380" s="770">
        <v>34146453.925197937</v>
      </c>
      <c r="I380" s="195"/>
      <c r="J380" s="195"/>
      <c r="K380" s="195"/>
    </row>
    <row r="381" spans="1:11" s="186" customFormat="1" ht="15" customHeight="1" x14ac:dyDescent="0.3">
      <c r="A381" s="197"/>
      <c r="B381" s="197"/>
      <c r="C381" s="206">
        <v>2046</v>
      </c>
      <c r="D381" s="207">
        <v>32</v>
      </c>
      <c r="E381" s="766"/>
      <c r="F381" s="763"/>
      <c r="G381" s="769">
        <v>35356776.315277018</v>
      </c>
      <c r="H381" s="770">
        <v>34574351.395586245</v>
      </c>
      <c r="I381" s="195"/>
      <c r="J381" s="195"/>
      <c r="K381" s="195"/>
    </row>
    <row r="382" spans="1:11" s="186" customFormat="1" ht="15" customHeight="1" x14ac:dyDescent="0.3">
      <c r="A382" s="212"/>
      <c r="B382" s="197"/>
      <c r="C382" s="206">
        <v>2047</v>
      </c>
      <c r="D382" s="207">
        <v>33</v>
      </c>
      <c r="E382" s="766"/>
      <c r="F382" s="763"/>
      <c r="G382" s="769">
        <v>35750580.937681578</v>
      </c>
      <c r="H382" s="770">
        <v>34907065.786174193</v>
      </c>
      <c r="I382" s="195"/>
      <c r="J382" s="195"/>
      <c r="K382" s="195"/>
    </row>
    <row r="383" spans="1:11" s="186" customFormat="1" ht="15" customHeight="1" x14ac:dyDescent="0.3">
      <c r="A383" s="195"/>
      <c r="B383" s="197"/>
      <c r="C383" s="206">
        <v>2048</v>
      </c>
      <c r="D383" s="207">
        <v>34</v>
      </c>
      <c r="E383" s="766"/>
      <c r="F383" s="763"/>
      <c r="G383" s="769">
        <v>36127472.014452673</v>
      </c>
      <c r="H383" s="770">
        <v>35221417.597144574</v>
      </c>
      <c r="I383" s="195"/>
      <c r="J383" s="195"/>
      <c r="K383" s="195"/>
    </row>
    <row r="384" spans="1:11" s="186" customFormat="1" ht="15" customHeight="1" x14ac:dyDescent="0.3">
      <c r="A384" s="195"/>
      <c r="B384" s="195"/>
      <c r="C384" s="206">
        <v>2049</v>
      </c>
      <c r="D384" s="207">
        <v>35</v>
      </c>
      <c r="E384" s="766"/>
      <c r="F384" s="763"/>
      <c r="G384" s="769">
        <v>36486443.495020501</v>
      </c>
      <c r="H384" s="770">
        <v>35516439.341662705</v>
      </c>
      <c r="I384" s="195"/>
      <c r="J384" s="195"/>
      <c r="K384" s="195"/>
    </row>
    <row r="385" spans="1:11" s="186" customFormat="1" ht="15" customHeight="1" x14ac:dyDescent="0.3">
      <c r="A385" s="195"/>
      <c r="B385" s="195"/>
      <c r="C385" s="206">
        <v>2050</v>
      </c>
      <c r="D385" s="213">
        <v>36</v>
      </c>
      <c r="E385" s="771">
        <v>36877.645952248626</v>
      </c>
      <c r="F385" s="763">
        <v>36877645.952248625</v>
      </c>
      <c r="G385" s="772">
        <v>36877645.952248625</v>
      </c>
      <c r="H385" s="773">
        <v>35840900.322491117</v>
      </c>
      <c r="I385" s="195"/>
      <c r="J385" s="195"/>
      <c r="K385" s="195"/>
    </row>
    <row r="386" spans="1:11" s="186" customFormat="1" ht="15" customHeight="1" x14ac:dyDescent="0.3">
      <c r="A386" s="195"/>
      <c r="B386" s="195"/>
      <c r="C386" s="206">
        <v>2051</v>
      </c>
      <c r="D386" s="207">
        <v>37</v>
      </c>
      <c r="E386" s="766"/>
      <c r="F386" s="763"/>
      <c r="G386" s="769">
        <v>37146603.465267152</v>
      </c>
      <c r="H386" s="770">
        <v>36044718.271584556</v>
      </c>
      <c r="I386" s="195"/>
      <c r="J386" s="195"/>
      <c r="K386" s="195"/>
    </row>
    <row r="387" spans="1:11" s="186" customFormat="1" ht="15" customHeight="1" x14ac:dyDescent="0.3">
      <c r="A387" s="195"/>
      <c r="B387" s="195"/>
      <c r="C387" s="206">
        <v>2052</v>
      </c>
      <c r="D387" s="207">
        <v>38</v>
      </c>
      <c r="E387" s="766"/>
      <c r="F387" s="763"/>
      <c r="G387" s="769">
        <v>37445779.853806362</v>
      </c>
      <c r="H387" s="770">
        <v>36276158.187197231</v>
      </c>
      <c r="I387" s="195"/>
      <c r="J387" s="195"/>
      <c r="K387" s="195"/>
    </row>
    <row r="388" spans="1:11" s="186" customFormat="1" ht="15" customHeight="1" x14ac:dyDescent="0.3">
      <c r="A388" s="195"/>
      <c r="B388" s="195"/>
      <c r="C388" s="206">
        <v>2053</v>
      </c>
      <c r="D388" s="207">
        <v>39</v>
      </c>
      <c r="E388" s="766"/>
      <c r="F388" s="763"/>
      <c r="G388" s="769">
        <v>37723012.443863109</v>
      </c>
      <c r="H388" s="770">
        <v>36484641.765383258</v>
      </c>
      <c r="I388" s="195"/>
      <c r="J388" s="195"/>
      <c r="K388" s="195"/>
    </row>
    <row r="389" spans="1:11" s="186" customFormat="1" ht="15" customHeight="1" x14ac:dyDescent="0.3">
      <c r="A389" s="195"/>
      <c r="B389" s="195"/>
      <c r="C389" s="206">
        <v>2054</v>
      </c>
      <c r="D389" s="207">
        <v>40</v>
      </c>
      <c r="E389" s="766"/>
      <c r="F389" s="763"/>
      <c r="G389" s="769">
        <v>37977295.184867576</v>
      </c>
      <c r="H389" s="770">
        <v>36669334.463586815</v>
      </c>
      <c r="I389" s="195"/>
      <c r="J389" s="195"/>
      <c r="K389" s="195"/>
    </row>
    <row r="390" spans="1:11" s="186" customFormat="1" ht="15" customHeight="1" x14ac:dyDescent="0.3">
      <c r="A390" s="195"/>
      <c r="B390" s="195"/>
      <c r="C390" s="206">
        <v>2055</v>
      </c>
      <c r="D390" s="213">
        <v>41</v>
      </c>
      <c r="E390" s="771"/>
      <c r="F390" s="763"/>
      <c r="G390" s="772">
        <v>38207622.02624996</v>
      </c>
      <c r="H390" s="773">
        <v>36829398.663580351</v>
      </c>
      <c r="I390" s="195"/>
      <c r="J390" s="195"/>
      <c r="K390" s="195"/>
    </row>
    <row r="391" spans="1:11" s="186" customFormat="1" ht="15" customHeight="1" x14ac:dyDescent="0.3">
      <c r="A391" s="195"/>
      <c r="B391" s="195"/>
      <c r="C391" s="206">
        <v>2056</v>
      </c>
      <c r="D391" s="207">
        <v>42</v>
      </c>
      <c r="E391" s="766"/>
      <c r="F391" s="763"/>
      <c r="G391" s="769">
        <v>38412986.917440474</v>
      </c>
      <c r="H391" s="770">
        <v>36963968.294094153</v>
      </c>
      <c r="I391" s="195"/>
      <c r="J391" s="195"/>
      <c r="K391" s="195"/>
    </row>
    <row r="392" spans="1:11" s="186" customFormat="1" ht="15" customHeight="1" x14ac:dyDescent="0.3">
      <c r="A392" s="195"/>
      <c r="B392" s="195"/>
      <c r="C392" s="206">
        <v>2057</v>
      </c>
      <c r="D392" s="207">
        <v>43</v>
      </c>
      <c r="E392" s="766"/>
      <c r="F392" s="763"/>
      <c r="G392" s="769">
        <v>38592383.807869308</v>
      </c>
      <c r="H392" s="770">
        <v>37072174.426930234</v>
      </c>
      <c r="I392" s="195"/>
      <c r="J392" s="195"/>
      <c r="K392" s="195"/>
    </row>
    <row r="393" spans="1:11" s="186" customFormat="1" ht="15" customHeight="1" x14ac:dyDescent="0.3">
      <c r="A393" s="195"/>
      <c r="B393" s="195"/>
      <c r="C393" s="206">
        <v>2058</v>
      </c>
      <c r="D393" s="207">
        <v>44</v>
      </c>
      <c r="E393" s="766"/>
      <c r="F393" s="763"/>
      <c r="G393" s="769">
        <v>38744806.646966651</v>
      </c>
      <c r="H393" s="770">
        <v>37153180.916836083</v>
      </c>
      <c r="I393" s="195"/>
      <c r="J393" s="195"/>
      <c r="K393" s="195"/>
    </row>
    <row r="394" spans="1:11" s="186" customFormat="1" ht="15" customHeight="1" x14ac:dyDescent="0.3">
      <c r="A394" s="195"/>
      <c r="B394" s="195"/>
      <c r="C394" s="206">
        <v>2059</v>
      </c>
      <c r="D394" s="207">
        <v>45</v>
      </c>
      <c r="E394" s="766"/>
      <c r="F394" s="763"/>
      <c r="G394" s="769">
        <v>38869249.384162717</v>
      </c>
      <c r="H394" s="770">
        <v>37206162.804972768</v>
      </c>
      <c r="I394" s="195"/>
      <c r="J394" s="195"/>
      <c r="K394" s="195"/>
    </row>
    <row r="395" spans="1:11" s="186" customFormat="1" ht="15" customHeight="1" x14ac:dyDescent="0.3">
      <c r="A395" s="706"/>
      <c r="B395" s="706"/>
      <c r="C395" s="214">
        <v>2060</v>
      </c>
      <c r="D395" s="213">
        <v>46</v>
      </c>
      <c r="E395" s="771"/>
      <c r="F395" s="763"/>
      <c r="G395" s="772">
        <v>38964705.968887702</v>
      </c>
      <c r="H395" s="773">
        <v>37230298.129890047</v>
      </c>
      <c r="I395" s="195"/>
      <c r="J395" s="195"/>
      <c r="K395" s="195"/>
    </row>
    <row r="396" spans="1:11" s="186" customFormat="1" ht="15" customHeight="1" x14ac:dyDescent="0.3">
      <c r="A396" s="706"/>
      <c r="B396" s="706"/>
      <c r="C396" s="211"/>
      <c r="E396" s="211"/>
      <c r="F396" s="211"/>
      <c r="G396" s="211"/>
      <c r="H396" s="211"/>
      <c r="I396" s="211"/>
      <c r="J396" s="211"/>
      <c r="K396" s="211"/>
    </row>
    <row r="397" spans="1:11" s="186" customFormat="1" ht="15" customHeight="1" x14ac:dyDescent="0.3">
      <c r="A397" s="706"/>
      <c r="B397" s="706"/>
    </row>
    <row r="398" spans="1:11" s="186" customFormat="1" ht="15" customHeight="1" x14ac:dyDescent="0.3">
      <c r="A398" s="748" t="str">
        <f>HYPERLINK("#'Interp-FREIGHT'!a1","Back to top")</f>
        <v>Back to top</v>
      </c>
      <c r="B398" s="706"/>
    </row>
    <row r="399" spans="1:11" s="186" customFormat="1" ht="15" customHeight="1" x14ac:dyDescent="0.3"/>
    <row r="400" spans="1:11" s="186" customFormat="1" ht="15" customHeight="1" x14ac:dyDescent="0.3"/>
    <row r="401" spans="1:11" s="186" customFormat="1" ht="15" customHeight="1" x14ac:dyDescent="0.3">
      <c r="A401" s="187">
        <f>1+A336</f>
        <v>3</v>
      </c>
      <c r="B401" s="188" t="s">
        <v>203</v>
      </c>
      <c r="C401" s="189"/>
      <c r="D401" s="189"/>
      <c r="E401" s="189"/>
      <c r="F401" s="189"/>
      <c r="G401" s="189"/>
      <c r="H401" s="189"/>
      <c r="I401" s="189"/>
      <c r="J401" s="189"/>
      <c r="K401" s="189"/>
    </row>
    <row r="402" spans="1:11" s="186" customFormat="1" ht="15" customHeight="1" x14ac:dyDescent="0.3">
      <c r="A402" s="190" t="s">
        <v>74</v>
      </c>
      <c r="B402" s="191"/>
      <c r="C402" s="191"/>
      <c r="D402" s="192"/>
      <c r="E402" s="193"/>
      <c r="F402" s="928"/>
      <c r="G402" s="193"/>
      <c r="H402" s="194"/>
      <c r="I402" s="195"/>
      <c r="J402" s="195"/>
      <c r="K402" s="195"/>
    </row>
    <row r="403" spans="1:11" s="186" customFormat="1" ht="15" customHeight="1" thickBot="1" x14ac:dyDescent="0.35">
      <c r="A403" s="196" t="s">
        <v>75</v>
      </c>
      <c r="B403" s="197"/>
      <c r="C403" s="197"/>
      <c r="D403" s="198"/>
      <c r="E403" s="199" t="s">
        <v>78</v>
      </c>
      <c r="F403" s="929"/>
      <c r="G403" s="200" t="s">
        <v>201</v>
      </c>
      <c r="H403" s="194"/>
      <c r="I403" s="195"/>
      <c r="J403" s="195"/>
      <c r="K403" s="195"/>
    </row>
    <row r="404" spans="1:11" s="186" customFormat="1" ht="15" customHeight="1" thickBot="1" x14ac:dyDescent="0.35">
      <c r="A404" s="201"/>
      <c r="B404" s="201"/>
      <c r="C404" s="201"/>
      <c r="D404" s="202"/>
      <c r="E404" s="203" t="s">
        <v>124</v>
      </c>
      <c r="F404" s="203" t="s">
        <v>179</v>
      </c>
      <c r="G404" s="200" t="s">
        <v>81</v>
      </c>
      <c r="H404" s="203" t="s">
        <v>82</v>
      </c>
      <c r="I404" s="203" t="s">
        <v>83</v>
      </c>
      <c r="J404" s="921" t="s">
        <v>84</v>
      </c>
      <c r="K404" s="922"/>
    </row>
    <row r="405" spans="1:11" s="186" customFormat="1" ht="15" customHeight="1" x14ac:dyDescent="0.3">
      <c r="A405" s="190" t="s">
        <v>85</v>
      </c>
      <c r="B405" s="201"/>
      <c r="C405" s="204">
        <v>2005</v>
      </c>
      <c r="D405" s="205">
        <v>-9</v>
      </c>
      <c r="E405" s="762"/>
      <c r="F405" s="763"/>
      <c r="G405" s="764">
        <v>17059716.901867781</v>
      </c>
      <c r="H405" s="765">
        <v>17059716.901867781</v>
      </c>
      <c r="I405" s="927" t="s">
        <v>86</v>
      </c>
      <c r="J405" s="923"/>
      <c r="K405" s="924"/>
    </row>
    <row r="406" spans="1:11" s="186" customFormat="1" ht="15" customHeight="1" x14ac:dyDescent="0.3">
      <c r="A406" s="196" t="s">
        <v>87</v>
      </c>
      <c r="B406" s="201"/>
      <c r="C406" s="206">
        <v>2006</v>
      </c>
      <c r="D406" s="207">
        <v>-8</v>
      </c>
      <c r="E406" s="766"/>
      <c r="F406" s="763"/>
      <c r="G406" s="767">
        <v>17282166.802497208</v>
      </c>
      <c r="H406" s="768">
        <v>17282166.802497208</v>
      </c>
      <c r="I406" s="923"/>
      <c r="J406" s="923"/>
      <c r="K406" s="924"/>
    </row>
    <row r="407" spans="1:11" s="186" customFormat="1" ht="15" customHeight="1" x14ac:dyDescent="0.3">
      <c r="A407" s="201"/>
      <c r="B407" s="201"/>
      <c r="C407" s="206">
        <v>2007</v>
      </c>
      <c r="D407" s="207">
        <v>-7</v>
      </c>
      <c r="E407" s="766"/>
      <c r="F407" s="763"/>
      <c r="G407" s="767">
        <v>17528683.4896167</v>
      </c>
      <c r="H407" s="768">
        <v>17528683.4896167</v>
      </c>
      <c r="I407" s="923"/>
      <c r="J407" s="923"/>
      <c r="K407" s="924"/>
    </row>
    <row r="408" spans="1:11" s="186" customFormat="1" ht="15" customHeight="1" x14ac:dyDescent="0.3">
      <c r="A408" s="208" t="s">
        <v>88</v>
      </c>
      <c r="B408" s="201"/>
      <c r="C408" s="206">
        <v>2008</v>
      </c>
      <c r="D408" s="207">
        <v>-6</v>
      </c>
      <c r="E408" s="766"/>
      <c r="F408" s="763"/>
      <c r="G408" s="767">
        <v>17798272.077854767</v>
      </c>
      <c r="H408" s="768">
        <v>17798272.077854767</v>
      </c>
      <c r="I408" s="923"/>
      <c r="J408" s="925"/>
      <c r="K408" s="926"/>
    </row>
    <row r="409" spans="1:11" s="186" customFormat="1" ht="15" customHeight="1" x14ac:dyDescent="0.3">
      <c r="A409" s="935" t="s">
        <v>204</v>
      </c>
      <c r="B409" s="201"/>
      <c r="C409" s="206">
        <v>2009</v>
      </c>
      <c r="D409" s="207">
        <v>-5</v>
      </c>
      <c r="E409" s="766"/>
      <c r="F409" s="763"/>
      <c r="G409" s="767">
        <v>18089937.681839917</v>
      </c>
      <c r="H409" s="768">
        <v>18089937.681839917</v>
      </c>
      <c r="I409" s="923"/>
      <c r="J409" s="195"/>
      <c r="K409" s="195"/>
    </row>
    <row r="410" spans="1:11" s="186" customFormat="1" ht="15" customHeight="1" x14ac:dyDescent="0.3">
      <c r="A410" s="936"/>
      <c r="B410" s="201"/>
      <c r="C410" s="206">
        <v>2010</v>
      </c>
      <c r="D410" s="207">
        <v>-4</v>
      </c>
      <c r="E410" s="766">
        <v>18447.543337527793</v>
      </c>
      <c r="F410" s="763">
        <v>18447543.337527793</v>
      </c>
      <c r="G410" s="767">
        <v>18447543.337527793</v>
      </c>
      <c r="H410" s="768">
        <v>18447543.337527793</v>
      </c>
      <c r="I410" s="923"/>
      <c r="J410" s="195"/>
      <c r="K410" s="195"/>
    </row>
    <row r="411" spans="1:11" s="186" customFormat="1" ht="15" customHeight="1" x14ac:dyDescent="0.3">
      <c r="A411" s="936"/>
      <c r="B411" s="201"/>
      <c r="C411" s="206">
        <v>2011</v>
      </c>
      <c r="D411" s="207">
        <v>-3</v>
      </c>
      <c r="E411" s="766"/>
      <c r="F411" s="763"/>
      <c r="G411" s="767">
        <v>18735520.395565517</v>
      </c>
      <c r="H411" s="768">
        <v>18735520.395565517</v>
      </c>
      <c r="I411" s="925"/>
      <c r="J411" s="195"/>
      <c r="K411" s="195"/>
    </row>
    <row r="412" spans="1:11" s="186" customFormat="1" ht="15" customHeight="1" x14ac:dyDescent="0.3">
      <c r="A412" s="937"/>
      <c r="B412" s="201"/>
      <c r="C412" s="206">
        <v>2012</v>
      </c>
      <c r="D412" s="207">
        <v>-2</v>
      </c>
      <c r="E412" s="766"/>
      <c r="F412" s="763"/>
      <c r="G412" s="769">
        <v>19087447.734562986</v>
      </c>
      <c r="H412" s="770">
        <v>19087447.734562986</v>
      </c>
      <c r="I412" s="209" t="s">
        <v>90</v>
      </c>
      <c r="J412" s="195"/>
      <c r="K412" s="195"/>
    </row>
    <row r="413" spans="1:11" s="186" customFormat="1" ht="15" customHeight="1" x14ac:dyDescent="0.3">
      <c r="A413" s="201"/>
      <c r="B413" s="201"/>
      <c r="C413" s="206">
        <v>2013</v>
      </c>
      <c r="D413" s="207">
        <v>-1</v>
      </c>
      <c r="E413" s="766"/>
      <c r="F413" s="763"/>
      <c r="G413" s="769">
        <v>19457472.547821578</v>
      </c>
      <c r="H413" s="770">
        <v>19457472.547821578</v>
      </c>
      <c r="I413" s="201"/>
      <c r="J413" s="195"/>
      <c r="K413" s="195"/>
    </row>
    <row r="414" spans="1:11" s="186" customFormat="1" ht="15" customHeight="1" x14ac:dyDescent="0.3">
      <c r="A414" s="193" t="s">
        <v>91</v>
      </c>
      <c r="B414" s="201"/>
      <c r="C414" s="206">
        <v>2014</v>
      </c>
      <c r="D414" s="207">
        <v>0</v>
      </c>
      <c r="E414" s="766"/>
      <c r="F414" s="763"/>
      <c r="G414" s="769">
        <v>19844599.94996981</v>
      </c>
      <c r="H414" s="770">
        <v>19969020.70259092</v>
      </c>
      <c r="I414" s="195"/>
      <c r="J414" s="195"/>
      <c r="K414" s="195"/>
    </row>
    <row r="415" spans="1:11" s="186" customFormat="1" ht="15" customHeight="1" x14ac:dyDescent="0.3">
      <c r="A415" s="196">
        <v>2016</v>
      </c>
      <c r="B415" s="197"/>
      <c r="C415" s="206">
        <v>2015</v>
      </c>
      <c r="D415" s="207">
        <v>1</v>
      </c>
      <c r="E415" s="766">
        <v>20179.210507472933</v>
      </c>
      <c r="F415" s="763">
        <v>20179210.507472932</v>
      </c>
      <c r="G415" s="769">
        <v>20179210.507472932</v>
      </c>
      <c r="H415" s="770">
        <v>20307300.851329241</v>
      </c>
      <c r="I415" s="195"/>
      <c r="J415" s="195"/>
      <c r="K415" s="195"/>
    </row>
    <row r="416" spans="1:11" s="186" customFormat="1" ht="15" customHeight="1" x14ac:dyDescent="0.3">
      <c r="A416" s="195"/>
      <c r="B416" s="197"/>
      <c r="C416" s="206">
        <v>2016</v>
      </c>
      <c r="D416" s="207">
        <v>2</v>
      </c>
      <c r="E416" s="766"/>
      <c r="F416" s="763"/>
      <c r="G416" s="769">
        <v>20666182.979449224</v>
      </c>
      <c r="H416" s="770">
        <v>20799450.379634421</v>
      </c>
      <c r="I416" s="195"/>
      <c r="J416" s="195"/>
      <c r="K416" s="195"/>
    </row>
    <row r="417" spans="1:11" s="186" customFormat="1" ht="15" customHeight="1" x14ac:dyDescent="0.3">
      <c r="A417" s="193" t="s">
        <v>92</v>
      </c>
      <c r="B417" s="197"/>
      <c r="C417" s="206">
        <v>2017</v>
      </c>
      <c r="D417" s="207">
        <v>3</v>
      </c>
      <c r="E417" s="766"/>
      <c r="F417" s="763"/>
      <c r="G417" s="769">
        <v>21098648.836037427</v>
      </c>
      <c r="H417" s="770">
        <v>21237309.203712959</v>
      </c>
      <c r="I417" s="195"/>
      <c r="J417" s="195"/>
      <c r="K417" s="195"/>
    </row>
    <row r="418" spans="1:11" s="186" customFormat="1" ht="15" customHeight="1" x14ac:dyDescent="0.3">
      <c r="A418" s="196" t="s">
        <v>124</v>
      </c>
      <c r="B418" s="197"/>
      <c r="C418" s="206">
        <v>2018</v>
      </c>
      <c r="D418" s="207">
        <v>4</v>
      </c>
      <c r="E418" s="766"/>
      <c r="F418" s="763"/>
      <c r="G418" s="769">
        <v>21544237.740029309</v>
      </c>
      <c r="H418" s="770">
        <v>21688794.656317934</v>
      </c>
      <c r="I418" s="195"/>
      <c r="J418" s="195"/>
      <c r="K418" s="195"/>
    </row>
    <row r="419" spans="1:11" s="186" customFormat="1" ht="15" customHeight="1" x14ac:dyDescent="0.3">
      <c r="A419" s="195"/>
      <c r="B419" s="197"/>
      <c r="C419" s="206">
        <v>2019</v>
      </c>
      <c r="D419" s="207">
        <v>5</v>
      </c>
      <c r="E419" s="766"/>
      <c r="F419" s="763"/>
      <c r="G419" s="769">
        <v>22001954.806053378</v>
      </c>
      <c r="H419" s="770">
        <v>22152673.54724304</v>
      </c>
      <c r="I419" s="195"/>
      <c r="J419" s="195"/>
      <c r="K419" s="195"/>
    </row>
    <row r="420" spans="1:11" s="186" customFormat="1" ht="15" customHeight="1" x14ac:dyDescent="0.3">
      <c r="A420" s="193" t="s">
        <v>93</v>
      </c>
      <c r="B420" s="197"/>
      <c r="C420" s="206">
        <v>2020</v>
      </c>
      <c r="D420" s="207">
        <v>6</v>
      </c>
      <c r="E420" s="766">
        <v>22446.489406022818</v>
      </c>
      <c r="F420" s="763">
        <v>22446489.406022817</v>
      </c>
      <c r="G420" s="769">
        <v>22446489.406022817</v>
      </c>
      <c r="H420" s="770">
        <v>22605083.343597591</v>
      </c>
      <c r="I420" s="195"/>
      <c r="J420" s="195"/>
      <c r="K420" s="195"/>
    </row>
    <row r="421" spans="1:11" s="186" customFormat="1" ht="15" customHeight="1" x14ac:dyDescent="0.3">
      <c r="A421" s="193"/>
      <c r="B421" s="197"/>
      <c r="C421" s="206">
        <v>2021</v>
      </c>
      <c r="D421" s="207">
        <v>7</v>
      </c>
      <c r="E421" s="766"/>
      <c r="F421" s="763"/>
      <c r="G421" s="769">
        <v>22949793.882712122</v>
      </c>
      <c r="H421" s="770">
        <v>23100070.430767223</v>
      </c>
      <c r="I421" s="195"/>
      <c r="J421" s="195"/>
      <c r="K421" s="195"/>
    </row>
    <row r="422" spans="1:11" s="186" customFormat="1" ht="15" customHeight="1" x14ac:dyDescent="0.3">
      <c r="A422" s="210"/>
      <c r="B422" s="197"/>
      <c r="C422" s="206">
        <v>2022</v>
      </c>
      <c r="D422" s="207">
        <v>8</v>
      </c>
      <c r="E422" s="766"/>
      <c r="F422" s="763"/>
      <c r="G422" s="769">
        <v>23437926.122603819</v>
      </c>
      <c r="H422" s="770">
        <v>23578013.667313602</v>
      </c>
      <c r="I422" s="195"/>
      <c r="J422" s="195"/>
      <c r="K422" s="195"/>
    </row>
    <row r="423" spans="1:11" s="186" customFormat="1" ht="15" customHeight="1" x14ac:dyDescent="0.3">
      <c r="A423" s="196">
        <v>1000</v>
      </c>
      <c r="B423" s="197"/>
      <c r="C423" s="206">
        <v>2023</v>
      </c>
      <c r="D423" s="207">
        <v>9</v>
      </c>
      <c r="E423" s="766"/>
      <c r="F423" s="763"/>
      <c r="G423" s="769">
        <v>23934206.983041745</v>
      </c>
      <c r="H423" s="770">
        <v>24062270.608355209</v>
      </c>
      <c r="I423" s="195"/>
      <c r="J423" s="195"/>
      <c r="K423" s="195"/>
    </row>
    <row r="424" spans="1:11" s="186" customFormat="1" ht="15" customHeight="1" x14ac:dyDescent="0.3">
      <c r="A424" s="195"/>
      <c r="B424" s="197"/>
      <c r="C424" s="206">
        <v>2024</v>
      </c>
      <c r="D424" s="207">
        <v>10</v>
      </c>
      <c r="E424" s="766"/>
      <c r="F424" s="763"/>
      <c r="G424" s="769">
        <v>24437641.578654412</v>
      </c>
      <c r="H424" s="770">
        <v>24551278.575453833</v>
      </c>
      <c r="I424" s="195"/>
      <c r="J424" s="195"/>
      <c r="K424" s="195"/>
    </row>
    <row r="425" spans="1:11" s="186" customFormat="1" ht="15" customHeight="1" x14ac:dyDescent="0.3">
      <c r="A425" s="211"/>
      <c r="B425" s="197"/>
      <c r="C425" s="206">
        <v>2025</v>
      </c>
      <c r="D425" s="207">
        <v>11</v>
      </c>
      <c r="E425" s="766">
        <v>24959.958582509953</v>
      </c>
      <c r="F425" s="763">
        <v>24959958.582509954</v>
      </c>
      <c r="G425" s="769">
        <v>24959958.582509954</v>
      </c>
      <c r="H425" s="770">
        <v>25056372.281384856</v>
      </c>
      <c r="I425" s="195"/>
      <c r="J425" s="195"/>
      <c r="K425" s="195"/>
    </row>
    <row r="426" spans="1:11" s="186" customFormat="1" ht="15" customHeight="1" x14ac:dyDescent="0.3">
      <c r="A426" s="211"/>
      <c r="B426" s="197"/>
      <c r="C426" s="206">
        <v>2026</v>
      </c>
      <c r="D426" s="207">
        <v>12</v>
      </c>
      <c r="E426" s="766"/>
      <c r="F426" s="763"/>
      <c r="G426" s="769">
        <v>25461992.433918007</v>
      </c>
      <c r="H426" s="770">
        <v>25538252.988216892</v>
      </c>
      <c r="I426" s="195"/>
      <c r="J426" s="195"/>
      <c r="K426" s="195"/>
    </row>
    <row r="427" spans="1:11" s="186" customFormat="1" ht="15" customHeight="1" x14ac:dyDescent="0.3">
      <c r="A427" s="211"/>
      <c r="B427" s="197"/>
      <c r="C427" s="206">
        <v>2027</v>
      </c>
      <c r="D427" s="207">
        <v>13</v>
      </c>
      <c r="E427" s="766"/>
      <c r="F427" s="763"/>
      <c r="G427" s="769">
        <v>25980918.922825955</v>
      </c>
      <c r="H427" s="770">
        <v>26034494.013330121</v>
      </c>
      <c r="I427" s="195"/>
      <c r="J427" s="195"/>
      <c r="K427" s="195"/>
    </row>
    <row r="428" spans="1:11" s="186" customFormat="1" ht="15" customHeight="1" x14ac:dyDescent="0.3">
      <c r="A428" s="211"/>
      <c r="B428" s="197"/>
      <c r="C428" s="206">
        <v>2028</v>
      </c>
      <c r="D428" s="207">
        <v>14</v>
      </c>
      <c r="E428" s="766"/>
      <c r="F428" s="763"/>
      <c r="G428" s="769">
        <v>26503019.605422683</v>
      </c>
      <c r="H428" s="770">
        <v>26531312.078933876</v>
      </c>
      <c r="I428" s="195"/>
      <c r="J428" s="195"/>
      <c r="K428" s="195"/>
    </row>
    <row r="429" spans="1:11" s="186" customFormat="1" ht="15" customHeight="1" x14ac:dyDescent="0.3">
      <c r="A429" s="211"/>
      <c r="B429" s="197"/>
      <c r="C429" s="206">
        <v>2029</v>
      </c>
      <c r="D429" s="207">
        <v>15</v>
      </c>
      <c r="E429" s="766"/>
      <c r="F429" s="763"/>
      <c r="G429" s="769">
        <v>27027299.596336704</v>
      </c>
      <c r="H429" s="770">
        <v>27027706.483186856</v>
      </c>
      <c r="I429" s="195"/>
      <c r="J429" s="195"/>
      <c r="K429" s="195"/>
    </row>
    <row r="430" spans="1:11" s="186" customFormat="1" ht="15" customHeight="1" x14ac:dyDescent="0.3">
      <c r="A430" s="211"/>
      <c r="B430" s="197"/>
      <c r="C430" s="206">
        <v>2030</v>
      </c>
      <c r="D430" s="207">
        <v>16</v>
      </c>
      <c r="E430" s="766">
        <v>27599.901538186539</v>
      </c>
      <c r="F430" s="763">
        <v>27599901.538186539</v>
      </c>
      <c r="G430" s="769">
        <v>27599901.538186539</v>
      </c>
      <c r="H430" s="770">
        <v>27569752.163635854</v>
      </c>
      <c r="I430" s="195"/>
      <c r="J430" s="195"/>
      <c r="K430" s="195"/>
    </row>
    <row r="431" spans="1:11" s="186" customFormat="1" ht="15" customHeight="1" x14ac:dyDescent="0.3">
      <c r="A431" s="211"/>
      <c r="B431" s="197"/>
      <c r="C431" s="206">
        <v>2031</v>
      </c>
      <c r="D431" s="207">
        <v>17</v>
      </c>
      <c r="E431" s="766"/>
      <c r="F431" s="763"/>
      <c r="G431" s="769">
        <v>28078417.961630665</v>
      </c>
      <c r="H431" s="770">
        <v>28015187.745482799</v>
      </c>
      <c r="I431" s="195"/>
      <c r="J431" s="195"/>
      <c r="K431" s="195"/>
    </row>
    <row r="432" spans="1:11" s="186" customFormat="1" ht="15" customHeight="1" x14ac:dyDescent="0.3">
      <c r="A432" s="211"/>
      <c r="B432" s="197"/>
      <c r="C432" s="206">
        <v>2032</v>
      </c>
      <c r="D432" s="207">
        <v>18</v>
      </c>
      <c r="E432" s="766"/>
      <c r="F432" s="763"/>
      <c r="G432" s="769">
        <v>28603266.565267622</v>
      </c>
      <c r="H432" s="770">
        <v>28504359.630005766</v>
      </c>
      <c r="I432" s="195"/>
      <c r="J432" s="195"/>
      <c r="K432" s="195"/>
    </row>
    <row r="433" spans="1:11" s="186" customFormat="1" ht="15" customHeight="1" x14ac:dyDescent="0.3">
      <c r="A433" s="211"/>
      <c r="B433" s="197"/>
      <c r="C433" s="206">
        <v>2033</v>
      </c>
      <c r="D433" s="207">
        <v>19</v>
      </c>
      <c r="E433" s="766"/>
      <c r="F433" s="763"/>
      <c r="G433" s="769">
        <v>29126314.935735911</v>
      </c>
      <c r="H433" s="770">
        <v>28989461.566551916</v>
      </c>
      <c r="I433" s="195"/>
      <c r="J433" s="195"/>
      <c r="K433" s="195"/>
    </row>
    <row r="434" spans="1:11" s="186" customFormat="1" ht="15" customHeight="1" x14ac:dyDescent="0.3">
      <c r="A434" s="211"/>
      <c r="B434" s="197"/>
      <c r="C434" s="206">
        <v>2034</v>
      </c>
      <c r="D434" s="207">
        <v>20</v>
      </c>
      <c r="E434" s="766"/>
      <c r="F434" s="763"/>
      <c r="G434" s="769">
        <v>29646568.187664047</v>
      </c>
      <c r="H434" s="770">
        <v>29469871.334689062</v>
      </c>
      <c r="I434" s="195"/>
      <c r="J434" s="195"/>
      <c r="K434" s="195"/>
    </row>
    <row r="435" spans="1:11" s="186" customFormat="1" ht="15" customHeight="1" x14ac:dyDescent="0.3">
      <c r="A435" s="211"/>
      <c r="B435" s="197"/>
      <c r="C435" s="206">
        <v>2035</v>
      </c>
      <c r="D435" s="207">
        <v>21</v>
      </c>
      <c r="E435" s="766">
        <v>30223.376185025656</v>
      </c>
      <c r="F435" s="763">
        <v>30223376.185025655</v>
      </c>
      <c r="G435" s="769">
        <v>30223376.185025655</v>
      </c>
      <c r="H435" s="770">
        <v>30004792.224365201</v>
      </c>
      <c r="I435" s="195"/>
      <c r="J435" s="195"/>
      <c r="K435" s="195"/>
    </row>
    <row r="436" spans="1:11" s="186" customFormat="1" ht="15" customHeight="1" x14ac:dyDescent="0.3">
      <c r="A436" s="211"/>
      <c r="B436" s="197"/>
      <c r="C436" s="206">
        <v>2036</v>
      </c>
      <c r="D436" s="207">
        <v>22</v>
      </c>
      <c r="E436" s="766"/>
      <c r="F436" s="763"/>
      <c r="G436" s="769">
        <v>30674709.794413887</v>
      </c>
      <c r="H436" s="770">
        <v>30413664.800384171</v>
      </c>
      <c r="I436" s="195"/>
      <c r="J436" s="195"/>
      <c r="K436" s="195"/>
    </row>
    <row r="437" spans="1:11" s="186" customFormat="1" ht="15" customHeight="1" x14ac:dyDescent="0.3">
      <c r="A437" s="211"/>
      <c r="B437" s="197"/>
      <c r="C437" s="206">
        <v>2037</v>
      </c>
      <c r="D437" s="207">
        <v>23</v>
      </c>
      <c r="E437" s="766"/>
      <c r="F437" s="763"/>
      <c r="G437" s="769">
        <v>31180608.378492609</v>
      </c>
      <c r="H437" s="770">
        <v>30875209.85731858</v>
      </c>
      <c r="I437" s="195"/>
      <c r="J437" s="195"/>
      <c r="K437" s="195"/>
    </row>
    <row r="438" spans="1:11" s="186" customFormat="1" ht="15" customHeight="1" x14ac:dyDescent="0.3">
      <c r="A438" s="197"/>
      <c r="B438" s="197"/>
      <c r="C438" s="206">
        <v>2038</v>
      </c>
      <c r="D438" s="207">
        <v>24</v>
      </c>
      <c r="E438" s="766"/>
      <c r="F438" s="763"/>
      <c r="G438" s="769">
        <v>31679732.30254522</v>
      </c>
      <c r="H438" s="770">
        <v>31328435.56361847</v>
      </c>
      <c r="I438" s="195"/>
      <c r="J438" s="195"/>
      <c r="K438" s="195"/>
    </row>
    <row r="439" spans="1:11" s="186" customFormat="1" ht="15" customHeight="1" x14ac:dyDescent="0.3">
      <c r="A439" s="197"/>
      <c r="B439" s="197"/>
      <c r="C439" s="206">
        <v>2039</v>
      </c>
      <c r="D439" s="207">
        <v>25</v>
      </c>
      <c r="E439" s="766"/>
      <c r="F439" s="763"/>
      <c r="G439" s="769">
        <v>32171086.681200229</v>
      </c>
      <c r="H439" s="770">
        <v>31772169.100403789</v>
      </c>
      <c r="I439" s="195"/>
      <c r="J439" s="195"/>
      <c r="K439" s="195"/>
    </row>
    <row r="440" spans="1:11" s="186" customFormat="1" ht="15" customHeight="1" x14ac:dyDescent="0.3">
      <c r="A440" s="197"/>
      <c r="B440" s="197"/>
      <c r="C440" s="206">
        <v>2040</v>
      </c>
      <c r="D440" s="207">
        <v>26</v>
      </c>
      <c r="E440" s="766">
        <v>32612.411483713244</v>
      </c>
      <c r="F440" s="763">
        <v>32612411.483713243</v>
      </c>
      <c r="G440" s="769">
        <v>32612411.483713243</v>
      </c>
      <c r="H440" s="770">
        <v>32164590.299764983</v>
      </c>
      <c r="I440" s="195"/>
      <c r="J440" s="195"/>
      <c r="K440" s="195"/>
    </row>
    <row r="441" spans="1:11" s="186" customFormat="1" ht="15" customHeight="1" x14ac:dyDescent="0.3">
      <c r="A441" s="197"/>
      <c r="B441" s="197"/>
      <c r="C441" s="206">
        <v>2041</v>
      </c>
      <c r="D441" s="207">
        <v>27</v>
      </c>
      <c r="E441" s="766"/>
      <c r="F441" s="763"/>
      <c r="G441" s="769">
        <v>33126507.260831464</v>
      </c>
      <c r="H441" s="770">
        <v>32626814.771385193</v>
      </c>
      <c r="I441" s="195"/>
      <c r="J441" s="195"/>
      <c r="K441" s="195"/>
    </row>
    <row r="442" spans="1:11" s="186" customFormat="1" ht="15" customHeight="1" x14ac:dyDescent="0.3">
      <c r="A442" s="197"/>
      <c r="B442" s="197"/>
      <c r="C442" s="206">
        <v>2042</v>
      </c>
      <c r="D442" s="207">
        <v>28</v>
      </c>
      <c r="E442" s="766"/>
      <c r="F442" s="763"/>
      <c r="G442" s="769">
        <v>33588583.691064715</v>
      </c>
      <c r="H442" s="770">
        <v>33035848.009803385</v>
      </c>
      <c r="I442" s="195"/>
      <c r="J442" s="195"/>
      <c r="K442" s="195"/>
    </row>
    <row r="443" spans="1:11" s="186" customFormat="1" ht="15" customHeight="1" x14ac:dyDescent="0.3">
      <c r="A443" s="197"/>
      <c r="B443" s="197"/>
      <c r="C443" s="206">
        <v>2043</v>
      </c>
      <c r="D443" s="207">
        <v>29</v>
      </c>
      <c r="E443" s="766"/>
      <c r="F443" s="763"/>
      <c r="G443" s="769">
        <v>34038911.034414403</v>
      </c>
      <c r="H443" s="770">
        <v>33431430.643762965</v>
      </c>
      <c r="I443" s="195"/>
      <c r="J443" s="195"/>
      <c r="K443" s="195"/>
    </row>
    <row r="444" spans="1:11" s="186" customFormat="1" ht="15" customHeight="1" x14ac:dyDescent="0.3">
      <c r="A444" s="197"/>
      <c r="B444" s="197"/>
      <c r="C444" s="206">
        <v>2044</v>
      </c>
      <c r="D444" s="207">
        <v>30</v>
      </c>
      <c r="E444" s="766"/>
      <c r="F444" s="763"/>
      <c r="G444" s="769">
        <v>34476494.40550904</v>
      </c>
      <c r="H444" s="770">
        <v>33812622.862162143</v>
      </c>
      <c r="I444" s="195"/>
      <c r="J444" s="195"/>
      <c r="K444" s="195"/>
    </row>
    <row r="445" spans="1:11" s="186" customFormat="1" ht="15" customHeight="1" x14ac:dyDescent="0.3">
      <c r="A445" s="197"/>
      <c r="B445" s="197"/>
      <c r="C445" s="206">
        <v>2045</v>
      </c>
      <c r="D445" s="207">
        <v>31</v>
      </c>
      <c r="E445" s="766">
        <v>34817.069980347173</v>
      </c>
      <c r="F445" s="763">
        <v>34817069.980347171</v>
      </c>
      <c r="G445" s="769">
        <v>34817069.980347171</v>
      </c>
      <c r="H445" s="770">
        <v>34096936.010860853</v>
      </c>
      <c r="I445" s="195"/>
      <c r="J445" s="195"/>
      <c r="K445" s="195"/>
    </row>
    <row r="446" spans="1:11" s="186" customFormat="1" ht="15" customHeight="1" x14ac:dyDescent="0.3">
      <c r="A446" s="197"/>
      <c r="B446" s="197"/>
      <c r="C446" s="206">
        <v>2046</v>
      </c>
      <c r="D446" s="207">
        <v>32</v>
      </c>
      <c r="E446" s="766"/>
      <c r="F446" s="763"/>
      <c r="G446" s="769">
        <v>35309449.689447194</v>
      </c>
      <c r="H446" s="770">
        <v>34528072.080492102</v>
      </c>
      <c r="I446" s="195"/>
      <c r="J446" s="195"/>
      <c r="K446" s="195"/>
    </row>
    <row r="447" spans="1:11" s="186" customFormat="1" ht="15" customHeight="1" x14ac:dyDescent="0.3">
      <c r="A447" s="212"/>
      <c r="B447" s="197"/>
      <c r="C447" s="206">
        <v>2047</v>
      </c>
      <c r="D447" s="207">
        <v>33</v>
      </c>
      <c r="E447" s="766"/>
      <c r="F447" s="763"/>
      <c r="G447" s="769">
        <v>35702831.831547722</v>
      </c>
      <c r="H447" s="770">
        <v>34860443.293746702</v>
      </c>
      <c r="I447" s="195"/>
      <c r="J447" s="195"/>
      <c r="K447" s="195"/>
    </row>
    <row r="448" spans="1:11" s="186" customFormat="1" ht="15" customHeight="1" x14ac:dyDescent="0.3">
      <c r="A448" s="195"/>
      <c r="B448" s="197"/>
      <c r="C448" s="206">
        <v>2048</v>
      </c>
      <c r="D448" s="207">
        <v>34</v>
      </c>
      <c r="E448" s="766"/>
      <c r="F448" s="763"/>
      <c r="G448" s="769">
        <v>36079490.459907249</v>
      </c>
      <c r="H448" s="770">
        <v>35174639.389997154</v>
      </c>
      <c r="I448" s="195"/>
      <c r="J448" s="195"/>
      <c r="K448" s="195"/>
    </row>
    <row r="449" spans="1:11" s="186" customFormat="1" ht="15" customHeight="1" x14ac:dyDescent="0.3">
      <c r="A449" s="195"/>
      <c r="B449" s="195"/>
      <c r="C449" s="206">
        <v>2049</v>
      </c>
      <c r="D449" s="207">
        <v>35</v>
      </c>
      <c r="E449" s="766"/>
      <c r="F449" s="763"/>
      <c r="G449" s="769">
        <v>36438430.689154275</v>
      </c>
      <c r="H449" s="770">
        <v>35469702.97210113</v>
      </c>
      <c r="I449" s="195"/>
      <c r="J449" s="195"/>
      <c r="K449" s="195"/>
    </row>
    <row r="450" spans="1:11" s="186" customFormat="1" ht="15" customHeight="1" x14ac:dyDescent="0.3">
      <c r="A450" s="195"/>
      <c r="B450" s="195"/>
      <c r="C450" s="206">
        <v>2050</v>
      </c>
      <c r="D450" s="213">
        <v>36</v>
      </c>
      <c r="E450" s="771">
        <v>36831.068251696874</v>
      </c>
      <c r="F450" s="763">
        <v>36831068.251696877</v>
      </c>
      <c r="G450" s="772">
        <v>36831068.251696877</v>
      </c>
      <c r="H450" s="773">
        <v>35795632.066353299</v>
      </c>
      <c r="I450" s="195"/>
      <c r="J450" s="195"/>
      <c r="K450" s="195"/>
    </row>
    <row r="451" spans="1:11" s="186" customFormat="1" ht="15" customHeight="1" x14ac:dyDescent="0.3">
      <c r="A451" s="195"/>
      <c r="B451" s="195"/>
      <c r="C451" s="206">
        <v>2051</v>
      </c>
      <c r="D451" s="207">
        <v>37</v>
      </c>
      <c r="E451" s="766"/>
      <c r="F451" s="763"/>
      <c r="G451" s="769">
        <v>37099176.408824861</v>
      </c>
      <c r="H451" s="770">
        <v>35998698.050933391</v>
      </c>
      <c r="I451" s="195"/>
      <c r="J451" s="195"/>
      <c r="K451" s="195"/>
    </row>
    <row r="452" spans="1:11" s="186" customFormat="1" ht="15" customHeight="1" x14ac:dyDescent="0.3">
      <c r="A452" s="195"/>
      <c r="B452" s="195"/>
      <c r="C452" s="206">
        <v>2052</v>
      </c>
      <c r="D452" s="207">
        <v>38</v>
      </c>
      <c r="E452" s="766"/>
      <c r="F452" s="763"/>
      <c r="G452" s="769">
        <v>37398992.128505439</v>
      </c>
      <c r="H452" s="770">
        <v>36230831.879910752</v>
      </c>
      <c r="I452" s="195"/>
      <c r="J452" s="195"/>
      <c r="K452" s="195"/>
    </row>
    <row r="453" spans="1:11" s="186" customFormat="1" ht="15" customHeight="1" x14ac:dyDescent="0.3">
      <c r="A453" s="195"/>
      <c r="B453" s="195"/>
      <c r="C453" s="206">
        <v>2053</v>
      </c>
      <c r="D453" s="207">
        <v>39</v>
      </c>
      <c r="E453" s="766"/>
      <c r="F453" s="763"/>
      <c r="G453" s="769">
        <v>37677109.907587558</v>
      </c>
      <c r="H453" s="770">
        <v>36440246.117113434</v>
      </c>
      <c r="I453" s="195"/>
      <c r="J453" s="195"/>
      <c r="K453" s="195"/>
    </row>
    <row r="454" spans="1:11" s="186" customFormat="1" ht="15" customHeight="1" x14ac:dyDescent="0.3">
      <c r="A454" s="195"/>
      <c r="B454" s="195"/>
      <c r="C454" s="206">
        <v>2054</v>
      </c>
      <c r="D454" s="207">
        <v>40</v>
      </c>
      <c r="E454" s="766"/>
      <c r="F454" s="763"/>
      <c r="G454" s="769">
        <v>37932534.860699728</v>
      </c>
      <c r="H454" s="770">
        <v>36626115.711708367</v>
      </c>
      <c r="I454" s="195"/>
      <c r="J454" s="195"/>
      <c r="K454" s="195"/>
    </row>
    <row r="455" spans="1:11" s="186" customFormat="1" ht="15" customHeight="1" x14ac:dyDescent="0.3">
      <c r="A455" s="195"/>
      <c r="B455" s="195"/>
      <c r="C455" s="206">
        <v>2055</v>
      </c>
      <c r="D455" s="213">
        <v>41</v>
      </c>
      <c r="E455" s="771"/>
      <c r="F455" s="763"/>
      <c r="G455" s="772">
        <v>38164272.102470458</v>
      </c>
      <c r="H455" s="773">
        <v>36787612.456005998</v>
      </c>
      <c r="I455" s="195"/>
      <c r="J455" s="195"/>
      <c r="K455" s="195"/>
    </row>
    <row r="456" spans="1:11" s="186" customFormat="1" ht="15" customHeight="1" x14ac:dyDescent="0.3">
      <c r="A456" s="195"/>
      <c r="B456" s="195"/>
      <c r="C456" s="206">
        <v>2056</v>
      </c>
      <c r="D456" s="207">
        <v>42</v>
      </c>
      <c r="E456" s="766"/>
      <c r="F456" s="763"/>
      <c r="G456" s="769">
        <v>38371326.747528255</v>
      </c>
      <c r="H456" s="770">
        <v>36923879.633374497</v>
      </c>
      <c r="I456" s="195"/>
      <c r="J456" s="195"/>
      <c r="K456" s="195"/>
    </row>
    <row r="457" spans="1:11" s="186" customFormat="1" ht="15" customHeight="1" x14ac:dyDescent="0.3">
      <c r="A457" s="195"/>
      <c r="B457" s="195"/>
      <c r="C457" s="206">
        <v>2057</v>
      </c>
      <c r="D457" s="207">
        <v>43</v>
      </c>
      <c r="E457" s="766"/>
      <c r="F457" s="763"/>
      <c r="G457" s="769">
        <v>38552703.910501629</v>
      </c>
      <c r="H457" s="770">
        <v>37034057.577663273</v>
      </c>
      <c r="I457" s="195"/>
      <c r="J457" s="195"/>
      <c r="K457" s="195"/>
    </row>
    <row r="458" spans="1:11" s="186" customFormat="1" ht="15" customHeight="1" x14ac:dyDescent="0.3">
      <c r="A458" s="195"/>
      <c r="B458" s="195"/>
      <c r="C458" s="206">
        <v>2058</v>
      </c>
      <c r="D458" s="207">
        <v>44</v>
      </c>
      <c r="E458" s="766"/>
      <c r="F458" s="763"/>
      <c r="G458" s="769">
        <v>38707408.706019104</v>
      </c>
      <c r="H458" s="770">
        <v>37117319.272755578</v>
      </c>
      <c r="I458" s="195"/>
      <c r="J458" s="195"/>
      <c r="K458" s="195"/>
    </row>
    <row r="459" spans="1:11" s="186" customFormat="1" ht="15" customHeight="1" x14ac:dyDescent="0.3">
      <c r="A459" s="195"/>
      <c r="B459" s="195"/>
      <c r="C459" s="206">
        <v>2059</v>
      </c>
      <c r="D459" s="207">
        <v>45</v>
      </c>
      <c r="E459" s="766"/>
      <c r="F459" s="763"/>
      <c r="G459" s="769">
        <v>38834446.248709172</v>
      </c>
      <c r="H459" s="770">
        <v>37172848.780536383</v>
      </c>
      <c r="I459" s="195"/>
      <c r="J459" s="195"/>
      <c r="K459" s="195"/>
    </row>
    <row r="460" spans="1:11" s="186" customFormat="1" ht="15" customHeight="1" x14ac:dyDescent="0.3">
      <c r="A460" s="706"/>
      <c r="B460" s="706"/>
      <c r="C460" s="214">
        <v>2060</v>
      </c>
      <c r="D460" s="213">
        <v>46</v>
      </c>
      <c r="E460" s="771"/>
      <c r="F460" s="763"/>
      <c r="G460" s="772">
        <v>38932821.653200358</v>
      </c>
      <c r="H460" s="773">
        <v>37199833.057738461</v>
      </c>
      <c r="I460" s="195"/>
      <c r="J460" s="195"/>
      <c r="K460" s="195"/>
    </row>
    <row r="461" spans="1:11" s="186" customFormat="1" ht="15" customHeight="1" x14ac:dyDescent="0.3">
      <c r="A461" s="706"/>
      <c r="B461" s="706"/>
      <c r="C461" s="211"/>
      <c r="E461" s="211"/>
      <c r="F461" s="211"/>
      <c r="G461" s="211"/>
      <c r="H461" s="211"/>
      <c r="I461" s="211"/>
      <c r="J461" s="211"/>
      <c r="K461" s="211"/>
    </row>
    <row r="462" spans="1:11" s="186" customFormat="1" ht="15" customHeight="1" x14ac:dyDescent="0.3">
      <c r="A462" s="706"/>
      <c r="B462" s="706"/>
    </row>
    <row r="463" spans="1:11" s="186" customFormat="1" ht="15" customHeight="1" x14ac:dyDescent="0.3">
      <c r="A463" s="748" t="str">
        <f>HYPERLINK("#'Interp-FREIGHT'!a1","Back to top")</f>
        <v>Back to top</v>
      </c>
      <c r="B463" s="706"/>
    </row>
    <row r="464" spans="1:11" s="186" customFormat="1" ht="15" customHeight="1" x14ac:dyDescent="0.3"/>
    <row r="465" spans="1:11" s="186" customFormat="1" ht="15" customHeight="1" x14ac:dyDescent="0.3"/>
    <row r="466" spans="1:11" s="186" customFormat="1" ht="15" customHeight="1" x14ac:dyDescent="0.3">
      <c r="A466" s="187">
        <f>1+A401</f>
        <v>4</v>
      </c>
      <c r="B466" s="188" t="s">
        <v>205</v>
      </c>
      <c r="C466" s="189"/>
      <c r="D466" s="189"/>
      <c r="E466" s="189"/>
      <c r="F466" s="189"/>
      <c r="G466" s="189"/>
      <c r="H466" s="189"/>
      <c r="I466" s="189"/>
      <c r="J466" s="189"/>
      <c r="K466" s="189"/>
    </row>
    <row r="467" spans="1:11" s="186" customFormat="1" ht="15" customHeight="1" x14ac:dyDescent="0.3">
      <c r="A467" s="190" t="s">
        <v>74</v>
      </c>
      <c r="B467" s="191"/>
      <c r="C467" s="191"/>
      <c r="D467" s="192"/>
      <c r="E467" s="193"/>
      <c r="F467" s="928"/>
      <c r="G467" s="193"/>
      <c r="H467" s="194"/>
      <c r="I467" s="195"/>
      <c r="J467" s="195"/>
      <c r="K467" s="195"/>
    </row>
    <row r="468" spans="1:11" s="186" customFormat="1" ht="15" customHeight="1" thickBot="1" x14ac:dyDescent="0.35">
      <c r="A468" s="196" t="s">
        <v>75</v>
      </c>
      <c r="B468" s="197"/>
      <c r="C468" s="197"/>
      <c r="D468" s="198"/>
      <c r="E468" s="199" t="s">
        <v>78</v>
      </c>
      <c r="F468" s="929"/>
      <c r="G468" s="200" t="s">
        <v>201</v>
      </c>
      <c r="H468" s="194"/>
      <c r="I468" s="195"/>
      <c r="J468" s="195"/>
      <c r="K468" s="195"/>
    </row>
    <row r="469" spans="1:11" s="186" customFormat="1" ht="15" customHeight="1" thickBot="1" x14ac:dyDescent="0.35">
      <c r="A469" s="201"/>
      <c r="B469" s="201"/>
      <c r="C469" s="201"/>
      <c r="D469" s="202"/>
      <c r="E469" s="203" t="s">
        <v>124</v>
      </c>
      <c r="F469" s="203" t="s">
        <v>179</v>
      </c>
      <c r="G469" s="200" t="s">
        <v>81</v>
      </c>
      <c r="H469" s="203" t="s">
        <v>98</v>
      </c>
      <c r="I469" s="203" t="s">
        <v>83</v>
      </c>
      <c r="J469" s="921" t="s">
        <v>84</v>
      </c>
      <c r="K469" s="922"/>
    </row>
    <row r="470" spans="1:11" s="186" customFormat="1" ht="15" customHeight="1" x14ac:dyDescent="0.3">
      <c r="A470" s="190" t="s">
        <v>85</v>
      </c>
      <c r="B470" s="201"/>
      <c r="C470" s="204">
        <v>2005</v>
      </c>
      <c r="D470" s="205">
        <v>-9</v>
      </c>
      <c r="E470" s="762">
        <v>18042.820366858348</v>
      </c>
      <c r="F470" s="763">
        <v>18042820.366858348</v>
      </c>
      <c r="G470" s="764">
        <v>18042820.366858348</v>
      </c>
      <c r="H470" s="765">
        <v>18042820.366858348</v>
      </c>
      <c r="I470" s="927" t="s">
        <v>86</v>
      </c>
      <c r="J470" s="923"/>
      <c r="K470" s="924"/>
    </row>
    <row r="471" spans="1:11" s="186" customFormat="1" ht="15" customHeight="1" x14ac:dyDescent="0.3">
      <c r="A471" s="196" t="s">
        <v>87</v>
      </c>
      <c r="B471" s="201"/>
      <c r="C471" s="206">
        <v>2006</v>
      </c>
      <c r="D471" s="207">
        <v>-8</v>
      </c>
      <c r="E471" s="766"/>
      <c r="F471" s="763"/>
      <c r="G471" s="767">
        <v>18642436.73720333</v>
      </c>
      <c r="H471" s="768">
        <v>18642436.73720333</v>
      </c>
      <c r="I471" s="923"/>
      <c r="J471" s="923"/>
      <c r="K471" s="924"/>
    </row>
    <row r="472" spans="1:11" s="186" customFormat="1" ht="15" customHeight="1" x14ac:dyDescent="0.3">
      <c r="A472" s="201"/>
      <c r="B472" s="201"/>
      <c r="C472" s="206">
        <v>2007</v>
      </c>
      <c r="D472" s="207">
        <v>-7</v>
      </c>
      <c r="E472" s="766"/>
      <c r="F472" s="763"/>
      <c r="G472" s="767">
        <v>19242804.900001451</v>
      </c>
      <c r="H472" s="768">
        <v>19242804.900001451</v>
      </c>
      <c r="I472" s="923"/>
      <c r="J472" s="923"/>
      <c r="K472" s="924"/>
    </row>
    <row r="473" spans="1:11" s="186" customFormat="1" ht="15" customHeight="1" x14ac:dyDescent="0.3">
      <c r="A473" s="208" t="s">
        <v>88</v>
      </c>
      <c r="B473" s="201"/>
      <c r="C473" s="206">
        <v>2008</v>
      </c>
      <c r="D473" s="207">
        <v>-6</v>
      </c>
      <c r="E473" s="766"/>
      <c r="F473" s="763"/>
      <c r="G473" s="767">
        <v>19837418.404384855</v>
      </c>
      <c r="H473" s="768">
        <v>19837418.404384855</v>
      </c>
      <c r="I473" s="923"/>
      <c r="J473" s="925"/>
      <c r="K473" s="926"/>
    </row>
    <row r="474" spans="1:11" s="186" customFormat="1" ht="15" customHeight="1" x14ac:dyDescent="0.3">
      <c r="A474" s="935" t="s">
        <v>206</v>
      </c>
      <c r="B474" s="201"/>
      <c r="C474" s="206">
        <v>2009</v>
      </c>
      <c r="D474" s="207">
        <v>-5</v>
      </c>
      <c r="E474" s="766"/>
      <c r="F474" s="763"/>
      <c r="G474" s="767">
        <v>20427371.346729748</v>
      </c>
      <c r="H474" s="768">
        <v>20427371.346729748</v>
      </c>
      <c r="I474" s="923"/>
      <c r="J474" s="195"/>
      <c r="K474" s="195"/>
    </row>
    <row r="475" spans="1:11" s="186" customFormat="1" ht="15" customHeight="1" x14ac:dyDescent="0.3">
      <c r="A475" s="936"/>
      <c r="B475" s="201"/>
      <c r="C475" s="206">
        <v>2010</v>
      </c>
      <c r="D475" s="207">
        <v>-4</v>
      </c>
      <c r="E475" s="766">
        <v>20989.975387698112</v>
      </c>
      <c r="F475" s="763">
        <v>20989975.387698114</v>
      </c>
      <c r="G475" s="767">
        <v>20989975.387698114</v>
      </c>
      <c r="H475" s="768">
        <v>20989975.387698114</v>
      </c>
      <c r="I475" s="923"/>
      <c r="J475" s="195"/>
      <c r="K475" s="195"/>
    </row>
    <row r="476" spans="1:11" s="186" customFormat="1" ht="15" customHeight="1" x14ac:dyDescent="0.3">
      <c r="A476" s="936"/>
      <c r="B476" s="201"/>
      <c r="C476" s="206">
        <v>2011</v>
      </c>
      <c r="D476" s="207">
        <v>-3</v>
      </c>
      <c r="E476" s="766"/>
      <c r="F476" s="763"/>
      <c r="G476" s="767">
        <v>21597671.930808809</v>
      </c>
      <c r="H476" s="768">
        <v>21597671.930808809</v>
      </c>
      <c r="I476" s="925"/>
      <c r="J476" s="195"/>
      <c r="K476" s="195"/>
    </row>
    <row r="477" spans="1:11" s="186" customFormat="1" ht="15" customHeight="1" x14ac:dyDescent="0.3">
      <c r="A477" s="937"/>
      <c r="B477" s="201"/>
      <c r="C477" s="206">
        <v>2012</v>
      </c>
      <c r="D477" s="207">
        <v>-2</v>
      </c>
      <c r="E477" s="766"/>
      <c r="F477" s="763"/>
      <c r="G477" s="769">
        <v>22180207.765295386</v>
      </c>
      <c r="H477" s="770">
        <v>22180207.765295386</v>
      </c>
      <c r="I477" s="209" t="s">
        <v>90</v>
      </c>
      <c r="J477" s="195"/>
      <c r="K477" s="195"/>
    </row>
    <row r="478" spans="1:11" s="186" customFormat="1" ht="15" customHeight="1" x14ac:dyDescent="0.3">
      <c r="A478" s="201"/>
      <c r="B478" s="201"/>
      <c r="C478" s="206">
        <v>2013</v>
      </c>
      <c r="D478" s="207">
        <v>-1</v>
      </c>
      <c r="E478" s="766"/>
      <c r="F478" s="763"/>
      <c r="G478" s="769">
        <v>22762459.423248265</v>
      </c>
      <c r="H478" s="770">
        <v>22762459.423248265</v>
      </c>
      <c r="I478" s="201"/>
      <c r="J478" s="195"/>
      <c r="K478" s="195"/>
    </row>
    <row r="479" spans="1:11" s="186" customFormat="1" ht="15" customHeight="1" x14ac:dyDescent="0.3">
      <c r="A479" s="193" t="s">
        <v>91</v>
      </c>
      <c r="B479" s="201"/>
      <c r="C479" s="206">
        <v>2014</v>
      </c>
      <c r="D479" s="207">
        <v>0</v>
      </c>
      <c r="E479" s="766"/>
      <c r="F479" s="763"/>
      <c r="G479" s="769">
        <v>23345521.001043655</v>
      </c>
      <c r="H479" s="770">
        <v>23563346.809357435</v>
      </c>
      <c r="I479" s="195"/>
      <c r="J479" s="195"/>
      <c r="K479" s="195"/>
    </row>
    <row r="480" spans="1:11" s="186" customFormat="1" ht="15" customHeight="1" x14ac:dyDescent="0.3">
      <c r="A480" s="196">
        <v>2012</v>
      </c>
      <c r="B480" s="197"/>
      <c r="C480" s="206">
        <v>2015</v>
      </c>
      <c r="D480" s="207">
        <v>1</v>
      </c>
      <c r="E480" s="766">
        <v>23847.047042794053</v>
      </c>
      <c r="F480" s="763">
        <v>23847047.042794053</v>
      </c>
      <c r="G480" s="769">
        <v>23847047.042794053</v>
      </c>
      <c r="H480" s="770">
        <v>24079267.725254174</v>
      </c>
      <c r="I480" s="195"/>
      <c r="J480" s="195"/>
      <c r="K480" s="195"/>
    </row>
    <row r="481" spans="1:11" s="186" customFormat="1" ht="15" customHeight="1" x14ac:dyDescent="0.3">
      <c r="A481" s="195"/>
      <c r="B481" s="197"/>
      <c r="C481" s="206">
        <v>2016</v>
      </c>
      <c r="D481" s="207">
        <v>2</v>
      </c>
      <c r="E481" s="766"/>
      <c r="F481" s="763"/>
      <c r="G481" s="769">
        <v>24518450.30166677</v>
      </c>
      <c r="H481" s="770">
        <v>24768737.010608956</v>
      </c>
      <c r="I481" s="195"/>
      <c r="J481" s="195"/>
      <c r="K481" s="195"/>
    </row>
    <row r="482" spans="1:11" s="186" customFormat="1" ht="15" customHeight="1" x14ac:dyDescent="0.3">
      <c r="A482" s="193" t="s">
        <v>92</v>
      </c>
      <c r="B482" s="197"/>
      <c r="C482" s="206">
        <v>2017</v>
      </c>
      <c r="D482" s="207">
        <v>3</v>
      </c>
      <c r="E482" s="766"/>
      <c r="F482" s="763"/>
      <c r="G482" s="769">
        <v>25110506.217246905</v>
      </c>
      <c r="H482" s="770">
        <v>25379957.391515743</v>
      </c>
      <c r="I482" s="195"/>
      <c r="J482" s="195"/>
      <c r="K482" s="195"/>
    </row>
    <row r="483" spans="1:11" s="186" customFormat="1" ht="15" customHeight="1" x14ac:dyDescent="0.3">
      <c r="A483" s="196" t="s">
        <v>124</v>
      </c>
      <c r="B483" s="197"/>
      <c r="C483" s="206">
        <v>2018</v>
      </c>
      <c r="D483" s="207">
        <v>4</v>
      </c>
      <c r="E483" s="766"/>
      <c r="F483" s="763"/>
      <c r="G483" s="769">
        <v>25707748.438174367</v>
      </c>
      <c r="H483" s="770">
        <v>25997846.070491027</v>
      </c>
      <c r="I483" s="195"/>
      <c r="J483" s="195"/>
      <c r="K483" s="195"/>
    </row>
    <row r="484" spans="1:11" s="186" customFormat="1" ht="15" customHeight="1" x14ac:dyDescent="0.3">
      <c r="A484" s="195"/>
      <c r="B484" s="197"/>
      <c r="C484" s="206">
        <v>2019</v>
      </c>
      <c r="D484" s="207">
        <v>5</v>
      </c>
      <c r="E484" s="766"/>
      <c r="F484" s="763"/>
      <c r="G484" s="769">
        <v>26311271.060825355</v>
      </c>
      <c r="H484" s="770">
        <v>26622816.744430885</v>
      </c>
      <c r="I484" s="195"/>
      <c r="J484" s="195"/>
      <c r="K484" s="195"/>
    </row>
    <row r="485" spans="1:11" s="186" customFormat="1" ht="15" customHeight="1" x14ac:dyDescent="0.3">
      <c r="A485" s="193" t="s">
        <v>93</v>
      </c>
      <c r="B485" s="197"/>
      <c r="C485" s="206">
        <v>2020</v>
      </c>
      <c r="D485" s="207">
        <v>6</v>
      </c>
      <c r="E485" s="766">
        <v>27133.609996867901</v>
      </c>
      <c r="F485" s="763">
        <v>27133609.996867903</v>
      </c>
      <c r="G485" s="769">
        <v>27133609.996867903</v>
      </c>
      <c r="H485" s="770">
        <v>27471692.238813329</v>
      </c>
      <c r="I485" s="195"/>
      <c r="J485" s="195"/>
      <c r="K485" s="195"/>
    </row>
    <row r="486" spans="1:11" s="186" customFormat="1" ht="15" customHeight="1" x14ac:dyDescent="0.3">
      <c r="A486" s="193"/>
      <c r="B486" s="197"/>
      <c r="C486" s="206">
        <v>2021</v>
      </c>
      <c r="D486" s="207">
        <v>7</v>
      </c>
      <c r="E486" s="766"/>
      <c r="F486" s="763"/>
      <c r="G486" s="769">
        <v>27541533.896802731</v>
      </c>
      <c r="H486" s="770">
        <v>27881030.209705297</v>
      </c>
      <c r="I486" s="195"/>
      <c r="J486" s="195"/>
      <c r="K486" s="195"/>
    </row>
    <row r="487" spans="1:11" s="186" customFormat="1" ht="15" customHeight="1" x14ac:dyDescent="0.3">
      <c r="A487" s="210"/>
      <c r="B487" s="197"/>
      <c r="C487" s="206">
        <v>2022</v>
      </c>
      <c r="D487" s="207">
        <v>8</v>
      </c>
      <c r="E487" s="766"/>
      <c r="F487" s="763"/>
      <c r="G487" s="769">
        <v>28170462.302881524</v>
      </c>
      <c r="H487" s="770">
        <v>28512071.528883256</v>
      </c>
      <c r="I487" s="195"/>
      <c r="J487" s="195"/>
      <c r="K487" s="195"/>
    </row>
    <row r="488" spans="1:11" s="186" customFormat="1" ht="15" customHeight="1" x14ac:dyDescent="0.3">
      <c r="A488" s="196">
        <v>1000</v>
      </c>
      <c r="B488" s="197"/>
      <c r="C488" s="206">
        <v>2023</v>
      </c>
      <c r="D488" s="207">
        <v>9</v>
      </c>
      <c r="E488" s="766"/>
      <c r="F488" s="763"/>
      <c r="G488" s="769">
        <v>28810047.496188667</v>
      </c>
      <c r="H488" s="770">
        <v>29151751.29592872</v>
      </c>
      <c r="I488" s="195"/>
      <c r="J488" s="195"/>
      <c r="K488" s="195"/>
    </row>
    <row r="489" spans="1:11" s="186" customFormat="1" ht="15" customHeight="1" x14ac:dyDescent="0.3">
      <c r="A489" s="195"/>
      <c r="B489" s="197"/>
      <c r="C489" s="206">
        <v>2024</v>
      </c>
      <c r="D489" s="207">
        <v>10</v>
      </c>
      <c r="E489" s="766"/>
      <c r="F489" s="763"/>
      <c r="G489" s="769">
        <v>29461383.573100355</v>
      </c>
      <c r="H489" s="770">
        <v>29800623.072775755</v>
      </c>
      <c r="I489" s="195"/>
      <c r="J489" s="195"/>
      <c r="K489" s="195"/>
    </row>
    <row r="490" spans="1:11" s="186" customFormat="1" ht="15" customHeight="1" x14ac:dyDescent="0.3">
      <c r="A490" s="211"/>
      <c r="B490" s="197"/>
      <c r="C490" s="206">
        <v>2025</v>
      </c>
      <c r="D490" s="207">
        <v>11</v>
      </c>
      <c r="E490" s="766">
        <v>30115.689134095574</v>
      </c>
      <c r="F490" s="763">
        <v>30115689.134095572</v>
      </c>
      <c r="G490" s="769">
        <v>30115689.134095572</v>
      </c>
      <c r="H490" s="770">
        <v>30449373.644043989</v>
      </c>
      <c r="I490" s="195"/>
      <c r="J490" s="195"/>
      <c r="K490" s="195"/>
    </row>
    <row r="491" spans="1:11" s="186" customFormat="1" ht="15" customHeight="1" x14ac:dyDescent="0.3">
      <c r="A491" s="211"/>
      <c r="B491" s="197"/>
      <c r="C491" s="206">
        <v>2026</v>
      </c>
      <c r="D491" s="207">
        <v>12</v>
      </c>
      <c r="E491" s="766"/>
      <c r="F491" s="763"/>
      <c r="G491" s="769">
        <v>30803684.763242193</v>
      </c>
      <c r="H491" s="770">
        <v>31129080.940012295</v>
      </c>
      <c r="I491" s="195"/>
      <c r="J491" s="195"/>
      <c r="K491" s="195"/>
    </row>
    <row r="492" spans="1:11" s="186" customFormat="1" ht="15" customHeight="1" x14ac:dyDescent="0.3">
      <c r="A492" s="211"/>
      <c r="B492" s="197"/>
      <c r="C492" s="206">
        <v>2027</v>
      </c>
      <c r="D492" s="207">
        <v>13</v>
      </c>
      <c r="E492" s="766"/>
      <c r="F492" s="763"/>
      <c r="G492" s="769">
        <v>31496838.069224752</v>
      </c>
      <c r="H492" s="770">
        <v>31811160.004497033</v>
      </c>
      <c r="I492" s="195"/>
      <c r="J492" s="195"/>
      <c r="K492" s="195"/>
    </row>
    <row r="493" spans="1:11" s="186" customFormat="1" ht="15" customHeight="1" x14ac:dyDescent="0.3">
      <c r="A493" s="211"/>
      <c r="B493" s="197"/>
      <c r="C493" s="206">
        <v>2028</v>
      </c>
      <c r="D493" s="207">
        <v>14</v>
      </c>
      <c r="E493" s="766"/>
      <c r="F493" s="763"/>
      <c r="G493" s="769">
        <v>32206118.644316673</v>
      </c>
      <c r="H493" s="770">
        <v>32506702.945530079</v>
      </c>
      <c r="I493" s="195"/>
      <c r="J493" s="195"/>
      <c r="K493" s="195"/>
    </row>
    <row r="494" spans="1:11" s="186" customFormat="1" ht="15" customHeight="1" x14ac:dyDescent="0.3">
      <c r="A494" s="211"/>
      <c r="B494" s="197"/>
      <c r="C494" s="206">
        <v>2029</v>
      </c>
      <c r="D494" s="207">
        <v>15</v>
      </c>
      <c r="E494" s="766"/>
      <c r="F494" s="763"/>
      <c r="G494" s="769">
        <v>32932620.584894165</v>
      </c>
      <c r="H494" s="770">
        <v>33216828.934949081</v>
      </c>
      <c r="I494" s="195"/>
      <c r="J494" s="195"/>
      <c r="K494" s="195"/>
    </row>
    <row r="495" spans="1:11" s="186" customFormat="1" ht="15" customHeight="1" x14ac:dyDescent="0.3">
      <c r="A495" s="211"/>
      <c r="B495" s="197"/>
      <c r="C495" s="206">
        <v>2030</v>
      </c>
      <c r="D495" s="207">
        <v>16</v>
      </c>
      <c r="E495" s="766">
        <v>33586.238481226013</v>
      </c>
      <c r="F495" s="763">
        <v>33586238.481226012</v>
      </c>
      <c r="G495" s="769">
        <v>33586238.481226012</v>
      </c>
      <c r="H495" s="770">
        <v>33850714.228171706</v>
      </c>
      <c r="I495" s="195"/>
      <c r="J495" s="195"/>
      <c r="K495" s="195"/>
    </row>
    <row r="496" spans="1:11" s="186" customFormat="1" ht="15" customHeight="1" x14ac:dyDescent="0.3">
      <c r="A496" s="211"/>
      <c r="B496" s="197"/>
      <c r="C496" s="206">
        <v>2031</v>
      </c>
      <c r="D496" s="207">
        <v>17</v>
      </c>
      <c r="E496" s="766"/>
      <c r="F496" s="763"/>
      <c r="G496" s="769">
        <v>34441664.948010668</v>
      </c>
      <c r="H496" s="770">
        <v>34685182.156954311</v>
      </c>
      <c r="I496" s="195"/>
      <c r="J496" s="195"/>
      <c r="K496" s="195"/>
    </row>
    <row r="497" spans="1:11" s="186" customFormat="1" ht="15" customHeight="1" x14ac:dyDescent="0.3">
      <c r="A497" s="211"/>
      <c r="B497" s="197"/>
      <c r="C497" s="206">
        <v>2032</v>
      </c>
      <c r="D497" s="207">
        <v>18</v>
      </c>
      <c r="E497" s="766"/>
      <c r="F497" s="763"/>
      <c r="G497" s="769">
        <v>35226395.5633021</v>
      </c>
      <c r="H497" s="770">
        <v>35445657.548718326</v>
      </c>
      <c r="I497" s="195"/>
      <c r="J497" s="195"/>
      <c r="K497" s="195"/>
    </row>
    <row r="498" spans="1:11" s="186" customFormat="1" ht="15" customHeight="1" x14ac:dyDescent="0.3">
      <c r="A498" s="211"/>
      <c r="B498" s="197"/>
      <c r="C498" s="206">
        <v>2033</v>
      </c>
      <c r="D498" s="207">
        <v>19</v>
      </c>
      <c r="E498" s="766"/>
      <c r="F498" s="763"/>
      <c r="G498" s="769">
        <v>36032723.929583907</v>
      </c>
      <c r="H498" s="770">
        <v>36225494.85367737</v>
      </c>
      <c r="I498" s="195"/>
      <c r="J498" s="195"/>
      <c r="K498" s="195"/>
    </row>
    <row r="499" spans="1:11" s="186" customFormat="1" ht="15" customHeight="1" x14ac:dyDescent="0.3">
      <c r="A499" s="211"/>
      <c r="B499" s="197"/>
      <c r="C499" s="206">
        <v>2034</v>
      </c>
      <c r="D499" s="207">
        <v>20</v>
      </c>
      <c r="E499" s="766"/>
      <c r="F499" s="763"/>
      <c r="G499" s="769">
        <v>36861744.143232301</v>
      </c>
      <c r="H499" s="770">
        <v>37026259.849664554</v>
      </c>
      <c r="I499" s="195"/>
      <c r="J499" s="195"/>
      <c r="K499" s="195"/>
    </row>
    <row r="500" spans="1:11" s="186" customFormat="1" ht="15" customHeight="1" x14ac:dyDescent="0.3">
      <c r="A500" s="211"/>
      <c r="B500" s="197"/>
      <c r="C500" s="206">
        <v>2035</v>
      </c>
      <c r="D500" s="207">
        <v>21</v>
      </c>
      <c r="E500" s="766">
        <v>37563.021738913689</v>
      </c>
      <c r="F500" s="763">
        <v>37563021.738913685</v>
      </c>
      <c r="G500" s="769">
        <v>37563021.738913685</v>
      </c>
      <c r="H500" s="770">
        <v>37697329.842837535</v>
      </c>
      <c r="I500" s="195"/>
      <c r="J500" s="195"/>
      <c r="K500" s="195"/>
    </row>
    <row r="501" spans="1:11" s="186" customFormat="1" ht="15" customHeight="1" x14ac:dyDescent="0.3">
      <c r="A501" s="211"/>
      <c r="B501" s="197"/>
      <c r="C501" s="206">
        <v>2036</v>
      </c>
      <c r="D501" s="207">
        <v>22</v>
      </c>
      <c r="E501" s="766"/>
      <c r="F501" s="763"/>
      <c r="G501" s="769">
        <v>38592236.498133674</v>
      </c>
      <c r="H501" s="770">
        <v>38696153.531627253</v>
      </c>
      <c r="I501" s="195"/>
      <c r="J501" s="195"/>
      <c r="K501" s="195"/>
    </row>
    <row r="502" spans="1:11" s="186" customFormat="1" ht="15" customHeight="1" x14ac:dyDescent="0.3">
      <c r="A502" s="211"/>
      <c r="B502" s="197"/>
      <c r="C502" s="206">
        <v>2037</v>
      </c>
      <c r="D502" s="207">
        <v>23</v>
      </c>
      <c r="E502" s="766"/>
      <c r="F502" s="763"/>
      <c r="G502" s="769">
        <v>39495896.832139067</v>
      </c>
      <c r="H502" s="770">
        <v>39567530.318020895</v>
      </c>
      <c r="I502" s="195"/>
      <c r="J502" s="195"/>
      <c r="K502" s="195"/>
    </row>
    <row r="503" spans="1:11" s="186" customFormat="1" ht="15" customHeight="1" x14ac:dyDescent="0.3">
      <c r="A503" s="197"/>
      <c r="B503" s="197"/>
      <c r="C503" s="206">
        <v>2038</v>
      </c>
      <c r="D503" s="207">
        <v>24</v>
      </c>
      <c r="E503" s="766"/>
      <c r="F503" s="763"/>
      <c r="G503" s="769">
        <v>40426625.399015859</v>
      </c>
      <c r="H503" s="770">
        <v>40464463.976270929</v>
      </c>
      <c r="I503" s="195"/>
      <c r="J503" s="195"/>
      <c r="K503" s="195"/>
    </row>
    <row r="504" spans="1:11" s="186" customFormat="1" ht="15" customHeight="1" x14ac:dyDescent="0.3">
      <c r="A504" s="197"/>
      <c r="B504" s="197"/>
      <c r="C504" s="206">
        <v>2039</v>
      </c>
      <c r="D504" s="207">
        <v>25</v>
      </c>
      <c r="E504" s="766"/>
      <c r="F504" s="763"/>
      <c r="G504" s="769">
        <v>41385516.295140266</v>
      </c>
      <c r="H504" s="770">
        <v>41387762.460650392</v>
      </c>
      <c r="I504" s="195"/>
      <c r="J504" s="195"/>
      <c r="K504" s="195"/>
    </row>
    <row r="505" spans="1:11" s="186" customFormat="1" ht="15" customHeight="1" x14ac:dyDescent="0.3">
      <c r="A505" s="197"/>
      <c r="B505" s="197"/>
      <c r="C505" s="206">
        <v>2040</v>
      </c>
      <c r="D505" s="207">
        <v>26</v>
      </c>
      <c r="E505" s="766">
        <v>42447.093165006961</v>
      </c>
      <c r="F505" s="763">
        <v>42447093.165006958</v>
      </c>
      <c r="G505" s="769">
        <v>42447093.165006958</v>
      </c>
      <c r="H505" s="770">
        <v>42411623.780852482</v>
      </c>
      <c r="I505" s="195"/>
      <c r="J505" s="195"/>
      <c r="K505" s="195"/>
    </row>
    <row r="506" spans="1:11" s="186" customFormat="1" ht="15" customHeight="1" x14ac:dyDescent="0.3">
      <c r="A506" s="197"/>
      <c r="B506" s="197"/>
      <c r="C506" s="206">
        <v>2041</v>
      </c>
      <c r="D506" s="207">
        <v>27</v>
      </c>
      <c r="E506" s="766"/>
      <c r="F506" s="763"/>
      <c r="G506" s="769">
        <v>43392161.460636713</v>
      </c>
      <c r="H506" s="770">
        <v>43316917.299661778</v>
      </c>
      <c r="I506" s="195"/>
      <c r="J506" s="195"/>
      <c r="K506" s="195"/>
    </row>
    <row r="507" spans="1:11" s="186" customFormat="1" ht="15" customHeight="1" x14ac:dyDescent="0.3">
      <c r="A507" s="197"/>
      <c r="B507" s="197"/>
      <c r="C507" s="206">
        <v>2042</v>
      </c>
      <c r="D507" s="207">
        <v>28</v>
      </c>
      <c r="E507" s="766"/>
      <c r="F507" s="763"/>
      <c r="G507" s="769">
        <v>44442103.922761172</v>
      </c>
      <c r="H507" s="770">
        <v>44324765.148758762</v>
      </c>
      <c r="I507" s="195"/>
      <c r="J507" s="195"/>
      <c r="K507" s="195"/>
    </row>
    <row r="508" spans="1:11" s="186" customFormat="1" ht="15" customHeight="1" x14ac:dyDescent="0.3">
      <c r="A508" s="197"/>
      <c r="B508" s="197"/>
      <c r="C508" s="206">
        <v>2043</v>
      </c>
      <c r="D508" s="207">
        <v>29</v>
      </c>
      <c r="E508" s="766"/>
      <c r="F508" s="763"/>
      <c r="G508" s="769">
        <v>45524585.09963806</v>
      </c>
      <c r="H508" s="770">
        <v>45362677.826555282</v>
      </c>
      <c r="I508" s="195"/>
      <c r="J508" s="195"/>
      <c r="K508" s="195"/>
    </row>
    <row r="509" spans="1:11" s="186" customFormat="1" ht="15" customHeight="1" x14ac:dyDescent="0.3">
      <c r="A509" s="197"/>
      <c r="B509" s="197"/>
      <c r="C509" s="206">
        <v>2044</v>
      </c>
      <c r="D509" s="207">
        <v>30</v>
      </c>
      <c r="E509" s="766"/>
      <c r="F509" s="763"/>
      <c r="G509" s="769">
        <v>46640699.087643564</v>
      </c>
      <c r="H509" s="770">
        <v>46431503.814047448</v>
      </c>
      <c r="I509" s="195"/>
      <c r="J509" s="195"/>
      <c r="K509" s="195"/>
    </row>
    <row r="510" spans="1:11" s="186" customFormat="1" ht="15" customHeight="1" x14ac:dyDescent="0.3">
      <c r="A510" s="197"/>
      <c r="B510" s="197"/>
      <c r="C510" s="206">
        <v>2045</v>
      </c>
      <c r="D510" s="207">
        <v>31</v>
      </c>
      <c r="E510" s="766">
        <v>47950.72261057431</v>
      </c>
      <c r="F510" s="763">
        <v>47950722.610574313</v>
      </c>
      <c r="G510" s="769">
        <v>47950722.610574313</v>
      </c>
      <c r="H510" s="770">
        <v>47690394.104817629</v>
      </c>
      <c r="I510" s="195"/>
      <c r="J510" s="195"/>
      <c r="K510" s="195"/>
    </row>
    <row r="511" spans="1:11" s="186" customFormat="1" ht="15" customHeight="1" x14ac:dyDescent="0.3">
      <c r="A511" s="197"/>
      <c r="B511" s="197"/>
      <c r="C511" s="206">
        <v>2046</v>
      </c>
      <c r="D511" s="207">
        <v>32</v>
      </c>
      <c r="E511" s="766"/>
      <c r="F511" s="763"/>
      <c r="G511" s="769">
        <v>48978201.882545292</v>
      </c>
      <c r="H511" s="770">
        <v>48665248.468614869</v>
      </c>
      <c r="I511" s="195"/>
      <c r="J511" s="195"/>
      <c r="K511" s="195"/>
    </row>
    <row r="512" spans="1:11" s="186" customFormat="1" ht="15" customHeight="1" x14ac:dyDescent="0.3">
      <c r="A512" s="212"/>
      <c r="B512" s="197"/>
      <c r="C512" s="206">
        <v>2047</v>
      </c>
      <c r="D512" s="207">
        <v>33</v>
      </c>
      <c r="E512" s="766"/>
      <c r="F512" s="763"/>
      <c r="G512" s="769">
        <v>50201778.882193923</v>
      </c>
      <c r="H512" s="770">
        <v>49831855.78058444</v>
      </c>
      <c r="I512" s="195"/>
      <c r="J512" s="195"/>
      <c r="K512" s="195"/>
    </row>
    <row r="513" spans="1:11" s="186" customFormat="1" ht="15" customHeight="1" x14ac:dyDescent="0.3">
      <c r="A513" s="195"/>
      <c r="B513" s="197"/>
      <c r="C513" s="206">
        <v>2048</v>
      </c>
      <c r="D513" s="207">
        <v>34</v>
      </c>
      <c r="E513" s="766"/>
      <c r="F513" s="763"/>
      <c r="G513" s="769">
        <v>51463365.078475997</v>
      </c>
      <c r="H513" s="770">
        <v>51032662.650921643</v>
      </c>
      <c r="I513" s="195"/>
      <c r="J513" s="195"/>
      <c r="K513" s="195"/>
    </row>
    <row r="514" spans="1:11" s="186" customFormat="1" ht="15" customHeight="1" x14ac:dyDescent="0.3">
      <c r="A514" s="195"/>
      <c r="B514" s="195"/>
      <c r="C514" s="206">
        <v>2049</v>
      </c>
      <c r="D514" s="207">
        <v>35</v>
      </c>
      <c r="E514" s="766"/>
      <c r="F514" s="763"/>
      <c r="G514" s="769">
        <v>52764054.567767717</v>
      </c>
      <c r="H514" s="770">
        <v>52268399.193371601</v>
      </c>
      <c r="I514" s="195"/>
      <c r="J514" s="195"/>
      <c r="K514" s="195"/>
    </row>
    <row r="515" spans="1:11" s="186" customFormat="1" ht="15" customHeight="1" x14ac:dyDescent="0.3">
      <c r="A515" s="195"/>
      <c r="B515" s="195"/>
      <c r="C515" s="206">
        <v>2050</v>
      </c>
      <c r="D515" s="213">
        <v>36</v>
      </c>
      <c r="E515" s="771">
        <v>54013.112460062875</v>
      </c>
      <c r="F515" s="763">
        <v>54013112.460062876</v>
      </c>
      <c r="G515" s="772">
        <v>54013112.460062876</v>
      </c>
      <c r="H515" s="773">
        <v>53448915.010814123</v>
      </c>
      <c r="I515" s="195"/>
      <c r="J515" s="195"/>
      <c r="K515" s="195"/>
    </row>
    <row r="516" spans="1:11" s="186" customFormat="1" ht="15" customHeight="1" x14ac:dyDescent="0.3">
      <c r="A516" s="195"/>
      <c r="B516" s="195"/>
      <c r="C516" s="206">
        <v>2051</v>
      </c>
      <c r="D516" s="207">
        <v>37</v>
      </c>
      <c r="E516" s="766"/>
      <c r="F516" s="763"/>
      <c r="G516" s="769">
        <v>55487119.810884938</v>
      </c>
      <c r="H516" s="770">
        <v>54847598.289763406</v>
      </c>
      <c r="I516" s="195"/>
      <c r="J516" s="195"/>
      <c r="K516" s="195"/>
    </row>
    <row r="517" spans="1:11" s="186" customFormat="1" ht="15" customHeight="1" x14ac:dyDescent="0.3">
      <c r="A517" s="195"/>
      <c r="B517" s="195"/>
      <c r="C517" s="206">
        <v>2052</v>
      </c>
      <c r="D517" s="207">
        <v>38</v>
      </c>
      <c r="E517" s="766"/>
      <c r="F517" s="763"/>
      <c r="G517" s="769">
        <v>56911683.757462829</v>
      </c>
      <c r="H517" s="770">
        <v>56192587.765065067</v>
      </c>
      <c r="I517" s="195"/>
      <c r="J517" s="195"/>
      <c r="K517" s="195"/>
    </row>
    <row r="518" spans="1:11" s="186" customFormat="1" ht="15" customHeight="1" x14ac:dyDescent="0.3">
      <c r="A518" s="195"/>
      <c r="B518" s="195"/>
      <c r="C518" s="206">
        <v>2053</v>
      </c>
      <c r="D518" s="207">
        <v>39</v>
      </c>
      <c r="E518" s="766"/>
      <c r="F518" s="763"/>
      <c r="G518" s="769">
        <v>58379727.382555194</v>
      </c>
      <c r="H518" s="770">
        <v>57575388.468681507</v>
      </c>
      <c r="I518" s="195"/>
      <c r="J518" s="195"/>
      <c r="K518" s="195"/>
    </row>
    <row r="519" spans="1:11" s="186" customFormat="1" ht="15" customHeight="1" x14ac:dyDescent="0.3">
      <c r="A519" s="195"/>
      <c r="B519" s="195"/>
      <c r="C519" s="206">
        <v>2054</v>
      </c>
      <c r="D519" s="207">
        <v>40</v>
      </c>
      <c r="E519" s="766"/>
      <c r="F519" s="763"/>
      <c r="G519" s="769">
        <v>59892344.782538228</v>
      </c>
      <c r="H519" s="770">
        <v>58996585.468894415</v>
      </c>
      <c r="I519" s="195"/>
      <c r="J519" s="195"/>
      <c r="K519" s="195"/>
    </row>
    <row r="520" spans="1:11" s="186" customFormat="1" ht="15" customHeight="1" x14ac:dyDescent="0.3">
      <c r="A520" s="195"/>
      <c r="B520" s="195"/>
      <c r="C520" s="206">
        <v>2055</v>
      </c>
      <c r="D520" s="213">
        <v>41</v>
      </c>
      <c r="E520" s="771"/>
      <c r="F520" s="763"/>
      <c r="G520" s="772">
        <v>61450630.05378814</v>
      </c>
      <c r="H520" s="773">
        <v>60456794.383549437</v>
      </c>
      <c r="I520" s="195"/>
      <c r="J520" s="195"/>
      <c r="K520" s="195"/>
    </row>
    <row r="521" spans="1:11" s="186" customFormat="1" ht="15" customHeight="1" x14ac:dyDescent="0.3">
      <c r="A521" s="195"/>
      <c r="B521" s="195"/>
      <c r="C521" s="206">
        <v>2056</v>
      </c>
      <c r="D521" s="207">
        <v>42</v>
      </c>
      <c r="E521" s="766"/>
      <c r="F521" s="763"/>
      <c r="G521" s="769">
        <v>63055677.292681128</v>
      </c>
      <c r="H521" s="770">
        <v>61956680.207788482</v>
      </c>
      <c r="I521" s="195"/>
      <c r="J521" s="195"/>
      <c r="K521" s="195"/>
    </row>
    <row r="522" spans="1:11" s="186" customFormat="1" ht="15" customHeight="1" x14ac:dyDescent="0.3">
      <c r="A522" s="195"/>
      <c r="B522" s="195"/>
      <c r="C522" s="206">
        <v>2057</v>
      </c>
      <c r="D522" s="207">
        <v>43</v>
      </c>
      <c r="E522" s="766"/>
      <c r="F522" s="763"/>
      <c r="G522" s="769">
        <v>64708580.5955934</v>
      </c>
      <c r="H522" s="770">
        <v>63496983.131645165</v>
      </c>
      <c r="I522" s="195"/>
      <c r="J522" s="195"/>
      <c r="K522" s="195"/>
    </row>
    <row r="523" spans="1:11" s="186" customFormat="1" ht="15" customHeight="1" x14ac:dyDescent="0.3">
      <c r="A523" s="195"/>
      <c r="B523" s="195"/>
      <c r="C523" s="206">
        <v>2058</v>
      </c>
      <c r="D523" s="207">
        <v>44</v>
      </c>
      <c r="E523" s="766"/>
      <c r="F523" s="763"/>
      <c r="G523" s="769">
        <v>66410434.058901161</v>
      </c>
      <c r="H523" s="770">
        <v>65078487.549547799</v>
      </c>
      <c r="I523" s="195"/>
      <c r="J523" s="195"/>
      <c r="K523" s="195"/>
    </row>
    <row r="524" spans="1:11" s="186" customFormat="1" ht="15" customHeight="1" x14ac:dyDescent="0.3">
      <c r="A524" s="195"/>
      <c r="B524" s="195"/>
      <c r="C524" s="206">
        <v>2059</v>
      </c>
      <c r="D524" s="207">
        <v>45</v>
      </c>
      <c r="E524" s="766"/>
      <c r="F524" s="763"/>
      <c r="G524" s="769">
        <v>68162331.778980613</v>
      </c>
      <c r="H524" s="770">
        <v>66702028.666732758</v>
      </c>
      <c r="I524" s="195"/>
      <c r="J524" s="195"/>
      <c r="K524" s="195"/>
    </row>
    <row r="525" spans="1:11" s="186" customFormat="1" ht="15" customHeight="1" x14ac:dyDescent="0.3">
      <c r="A525" s="706"/>
      <c r="B525" s="706"/>
      <c r="C525" s="214">
        <v>2060</v>
      </c>
      <c r="D525" s="213">
        <v>46</v>
      </c>
      <c r="E525" s="771"/>
      <c r="F525" s="763"/>
      <c r="G525" s="772">
        <v>69965367.852207959</v>
      </c>
      <c r="H525" s="773">
        <v>68368426.383875489</v>
      </c>
      <c r="I525" s="195"/>
      <c r="J525" s="195"/>
      <c r="K525" s="195"/>
    </row>
    <row r="526" spans="1:11" s="186" customFormat="1" ht="15" customHeight="1" x14ac:dyDescent="0.3">
      <c r="A526" s="706"/>
      <c r="B526" s="706"/>
      <c r="C526" s="211"/>
      <c r="E526" s="211"/>
      <c r="F526" s="211"/>
      <c r="G526" s="211"/>
      <c r="H526" s="211"/>
      <c r="I526" s="211"/>
      <c r="J526" s="211"/>
      <c r="K526" s="211"/>
    </row>
    <row r="527" spans="1:11" s="186" customFormat="1" ht="15" customHeight="1" x14ac:dyDescent="0.3">
      <c r="A527" s="706"/>
      <c r="B527" s="706"/>
    </row>
    <row r="528" spans="1:11" s="186" customFormat="1" ht="15" customHeight="1" x14ac:dyDescent="0.3">
      <c r="A528" s="748" t="str">
        <f>HYPERLINK("#'Interp-FREIGHT'!a1","Back to top")</f>
        <v>Back to top</v>
      </c>
      <c r="B528" s="706"/>
    </row>
    <row r="529" spans="1:23" s="186" customFormat="1" ht="21" x14ac:dyDescent="0.4">
      <c r="A529" s="185" t="s">
        <v>185</v>
      </c>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row>
    <row r="530" spans="1:23" s="186" customFormat="1" ht="18" x14ac:dyDescent="0.35">
      <c r="A530" s="215" t="s">
        <v>207</v>
      </c>
      <c r="B530" s="216"/>
      <c r="C530" s="215"/>
      <c r="D530" s="216"/>
      <c r="E530" s="215"/>
      <c r="F530" s="215"/>
      <c r="G530" s="215"/>
      <c r="H530" s="215"/>
      <c r="I530" s="215"/>
      <c r="J530" s="215"/>
      <c r="K530" s="215"/>
      <c r="L530" s="215"/>
      <c r="M530" s="215"/>
      <c r="N530" s="215"/>
      <c r="O530" s="215"/>
      <c r="P530" s="215"/>
      <c r="Q530" s="215"/>
      <c r="R530" s="215"/>
      <c r="S530" s="215"/>
      <c r="T530" s="215"/>
      <c r="U530" s="215"/>
      <c r="V530" s="215"/>
      <c r="W530" s="215"/>
    </row>
    <row r="531" spans="1:23" s="706" customFormat="1" ht="15.6" x14ac:dyDescent="0.3">
      <c r="A531" s="703">
        <f>1+A466</f>
        <v>5</v>
      </c>
      <c r="B531" s="704" t="s">
        <v>702</v>
      </c>
      <c r="C531" s="705"/>
      <c r="D531" s="705"/>
      <c r="E531" s="705"/>
      <c r="F531" s="705"/>
      <c r="G531" s="705"/>
      <c r="H531" s="705"/>
      <c r="I531" s="705"/>
      <c r="J531" s="705"/>
      <c r="K531" s="705"/>
    </row>
    <row r="532" spans="1:23" s="706" customFormat="1" ht="15.6" x14ac:dyDescent="0.3">
      <c r="A532" s="707" t="s">
        <v>74</v>
      </c>
      <c r="B532" s="708"/>
      <c r="C532" s="708"/>
      <c r="D532" s="709"/>
      <c r="E532" s="710"/>
      <c r="F532" s="918"/>
      <c r="G532" s="710"/>
      <c r="H532" s="711"/>
    </row>
    <row r="533" spans="1:23" s="706" customFormat="1" ht="16.2" thickBot="1" x14ac:dyDescent="0.35">
      <c r="A533" s="712" t="s">
        <v>75</v>
      </c>
      <c r="B533" s="713"/>
      <c r="C533" s="713"/>
      <c r="D533" s="714"/>
      <c r="E533" s="715" t="s">
        <v>78</v>
      </c>
      <c r="F533" s="930"/>
      <c r="G533" s="716" t="s">
        <v>703</v>
      </c>
      <c r="H533" s="711"/>
    </row>
    <row r="534" spans="1:23" s="706" customFormat="1" ht="79.8" thickBot="1" x14ac:dyDescent="0.35">
      <c r="A534" s="717"/>
      <c r="B534" s="717"/>
      <c r="C534" s="717"/>
      <c r="D534" s="718"/>
      <c r="E534" s="719" t="s">
        <v>704</v>
      </c>
      <c r="F534" s="719" t="s">
        <v>125</v>
      </c>
      <c r="G534" s="716" t="s">
        <v>81</v>
      </c>
      <c r="H534" s="719" t="s">
        <v>705</v>
      </c>
      <c r="I534" s="719" t="s">
        <v>83</v>
      </c>
      <c r="J534" s="905" t="s">
        <v>84</v>
      </c>
      <c r="K534" s="906"/>
    </row>
    <row r="535" spans="1:23" s="706" customFormat="1" ht="15.6" x14ac:dyDescent="0.3">
      <c r="A535" s="707" t="s">
        <v>85</v>
      </c>
      <c r="B535" s="717"/>
      <c r="C535" s="720">
        <v>2005</v>
      </c>
      <c r="D535" s="721">
        <v>-9</v>
      </c>
      <c r="E535" s="762"/>
      <c r="F535" s="763"/>
      <c r="G535" s="764">
        <v>33577.58105035578</v>
      </c>
      <c r="H535" s="765">
        <v>33577.58105035578</v>
      </c>
      <c r="I535" s="911" t="s">
        <v>86</v>
      </c>
      <c r="J535" s="931"/>
      <c r="K535" s="908"/>
    </row>
    <row r="536" spans="1:23" s="706" customFormat="1" ht="15.6" x14ac:dyDescent="0.3">
      <c r="A536" s="712" t="s">
        <v>87</v>
      </c>
      <c r="B536" s="717"/>
      <c r="C536" s="724">
        <v>2006</v>
      </c>
      <c r="D536" s="725">
        <v>-8</v>
      </c>
      <c r="E536" s="766"/>
      <c r="F536" s="763"/>
      <c r="G536" s="767">
        <v>36234.757124559866</v>
      </c>
      <c r="H536" s="768">
        <v>36234.757124559866</v>
      </c>
      <c r="I536" s="932"/>
      <c r="J536" s="931"/>
      <c r="K536" s="908"/>
    </row>
    <row r="537" spans="1:23" s="706" customFormat="1" ht="13.8" customHeight="1" x14ac:dyDescent="0.3">
      <c r="A537" s="717"/>
      <c r="B537" s="717"/>
      <c r="C537" s="724">
        <v>2007</v>
      </c>
      <c r="D537" s="725">
        <v>-7</v>
      </c>
      <c r="E537" s="766">
        <v>40759</v>
      </c>
      <c r="F537" s="763">
        <v>40759</v>
      </c>
      <c r="G537" s="767">
        <v>40759</v>
      </c>
      <c r="H537" s="768">
        <v>40759</v>
      </c>
      <c r="I537" s="932"/>
      <c r="J537" s="931"/>
      <c r="K537" s="908"/>
    </row>
    <row r="538" spans="1:23" s="706" customFormat="1" ht="15.6" x14ac:dyDescent="0.3">
      <c r="A538" s="726" t="s">
        <v>88</v>
      </c>
      <c r="B538" s="717"/>
      <c r="C538" s="724">
        <v>2008</v>
      </c>
      <c r="D538" s="725">
        <v>-6</v>
      </c>
      <c r="E538" s="766">
        <v>41926</v>
      </c>
      <c r="F538" s="763">
        <v>41926</v>
      </c>
      <c r="G538" s="767">
        <v>41926</v>
      </c>
      <c r="H538" s="768">
        <v>41926</v>
      </c>
      <c r="I538" s="932"/>
      <c r="J538" s="909"/>
      <c r="K538" s="910"/>
    </row>
    <row r="539" spans="1:23" s="706" customFormat="1" ht="14.4" x14ac:dyDescent="0.3">
      <c r="A539" s="933" t="s">
        <v>706</v>
      </c>
      <c r="B539" s="717"/>
      <c r="C539" s="724">
        <v>2009</v>
      </c>
      <c r="D539" s="725">
        <v>-5</v>
      </c>
      <c r="E539" s="766">
        <v>40099</v>
      </c>
      <c r="F539" s="763">
        <v>40099</v>
      </c>
      <c r="G539" s="767">
        <v>40099</v>
      </c>
      <c r="H539" s="768">
        <v>40099</v>
      </c>
      <c r="I539" s="932"/>
    </row>
    <row r="540" spans="1:23" s="706" customFormat="1" ht="14.4" x14ac:dyDescent="0.3">
      <c r="A540" s="934"/>
      <c r="B540" s="717"/>
      <c r="C540" s="724">
        <v>2010</v>
      </c>
      <c r="D540" s="725">
        <v>-4</v>
      </c>
      <c r="E540" s="766">
        <v>44369</v>
      </c>
      <c r="F540" s="763">
        <v>44369</v>
      </c>
      <c r="G540" s="767">
        <v>44369</v>
      </c>
      <c r="H540" s="768">
        <v>44369</v>
      </c>
      <c r="I540" s="912"/>
    </row>
    <row r="541" spans="1:23" s="706" customFormat="1" ht="14.4" x14ac:dyDescent="0.3">
      <c r="A541" s="915"/>
      <c r="B541" s="717"/>
      <c r="C541" s="729">
        <v>2011</v>
      </c>
      <c r="D541" s="725">
        <v>-3</v>
      </c>
      <c r="E541" s="766">
        <v>46617</v>
      </c>
      <c r="F541" s="763">
        <v>46617</v>
      </c>
      <c r="G541" s="767">
        <v>46617</v>
      </c>
      <c r="H541" s="768">
        <v>46617</v>
      </c>
      <c r="I541" s="913"/>
    </row>
    <row r="542" spans="1:23" s="706" customFormat="1" ht="14.4" x14ac:dyDescent="0.3">
      <c r="A542" s="916"/>
      <c r="B542" s="717"/>
      <c r="C542" s="729">
        <v>2012</v>
      </c>
      <c r="D542" s="725">
        <v>-2</v>
      </c>
      <c r="E542" s="766">
        <v>48864</v>
      </c>
      <c r="F542" s="763">
        <v>48864</v>
      </c>
      <c r="G542" s="769">
        <v>48864</v>
      </c>
      <c r="H542" s="770">
        <v>48864</v>
      </c>
      <c r="I542" s="732" t="s">
        <v>90</v>
      </c>
    </row>
    <row r="543" spans="1:23" s="706" customFormat="1" ht="14.4" x14ac:dyDescent="0.3">
      <c r="A543" s="717"/>
      <c r="B543" s="717"/>
      <c r="C543" s="729">
        <v>2013</v>
      </c>
      <c r="D543" s="725">
        <v>-1</v>
      </c>
      <c r="E543" s="766">
        <v>50490</v>
      </c>
      <c r="F543" s="763">
        <v>50490</v>
      </c>
      <c r="G543" s="769">
        <v>50490</v>
      </c>
      <c r="H543" s="770">
        <v>50490</v>
      </c>
      <c r="I543" s="717"/>
    </row>
    <row r="544" spans="1:23" s="706" customFormat="1" ht="15.6" x14ac:dyDescent="0.3">
      <c r="A544" s="733" t="s">
        <v>91</v>
      </c>
      <c r="B544" s="717"/>
      <c r="C544" s="729">
        <v>2014</v>
      </c>
      <c r="D544" s="725">
        <v>0</v>
      </c>
      <c r="E544" s="766">
        <v>52627</v>
      </c>
      <c r="F544" s="763">
        <v>52627</v>
      </c>
      <c r="G544" s="769">
        <v>52627</v>
      </c>
      <c r="H544" s="770">
        <v>52956.95832441566</v>
      </c>
    </row>
    <row r="545" spans="1:8" s="706" customFormat="1" ht="15.6" x14ac:dyDescent="0.3">
      <c r="A545" s="734">
        <v>2018</v>
      </c>
      <c r="B545" s="713"/>
      <c r="C545" s="729">
        <v>2015</v>
      </c>
      <c r="D545" s="725">
        <v>1</v>
      </c>
      <c r="E545" s="766">
        <v>53476</v>
      </c>
      <c r="F545" s="763">
        <v>53476</v>
      </c>
      <c r="G545" s="769">
        <v>53476</v>
      </c>
      <c r="H545" s="770">
        <v>53448.395829226465</v>
      </c>
    </row>
    <row r="546" spans="1:8" s="706" customFormat="1" ht="14.4" x14ac:dyDescent="0.3">
      <c r="B546" s="713"/>
      <c r="C546" s="729">
        <v>2016</v>
      </c>
      <c r="D546" s="725">
        <v>2</v>
      </c>
      <c r="E546" s="766">
        <v>55321</v>
      </c>
      <c r="F546" s="763">
        <v>55321</v>
      </c>
      <c r="G546" s="769">
        <v>55321</v>
      </c>
      <c r="H546" s="770">
        <v>55294.751914600864</v>
      </c>
    </row>
    <row r="547" spans="1:8" s="706" customFormat="1" ht="15.6" x14ac:dyDescent="0.3">
      <c r="A547" s="733" t="s">
        <v>92</v>
      </c>
      <c r="B547" s="713"/>
      <c r="C547" s="729">
        <v>2017</v>
      </c>
      <c r="D547" s="725">
        <v>3</v>
      </c>
      <c r="E547" s="766">
        <v>58097</v>
      </c>
      <c r="F547" s="763">
        <v>58097</v>
      </c>
      <c r="G547" s="769">
        <v>58097</v>
      </c>
      <c r="H547" s="770">
        <v>58073.881829463462</v>
      </c>
    </row>
    <row r="548" spans="1:8" s="706" customFormat="1" ht="15.6" x14ac:dyDescent="0.3">
      <c r="A548" s="734" t="s">
        <v>704</v>
      </c>
      <c r="B548" s="713"/>
      <c r="C548" s="729">
        <v>2018</v>
      </c>
      <c r="D548" s="725">
        <v>4</v>
      </c>
      <c r="E548" s="766">
        <v>60444</v>
      </c>
      <c r="F548" s="763">
        <v>60444</v>
      </c>
      <c r="G548" s="769">
        <v>60444</v>
      </c>
      <c r="H548" s="770">
        <v>60425.550045430871</v>
      </c>
    </row>
    <row r="549" spans="1:8" s="706" customFormat="1" ht="14.4" x14ac:dyDescent="0.3">
      <c r="B549" s="735"/>
      <c r="C549" s="729">
        <v>2019</v>
      </c>
      <c r="D549" s="725">
        <v>5</v>
      </c>
      <c r="E549" s="766"/>
      <c r="F549" s="763"/>
      <c r="G549" s="769">
        <v>60588.443432051659</v>
      </c>
      <c r="H549" s="770">
        <v>60575.00824648171</v>
      </c>
    </row>
    <row r="550" spans="1:8" s="706" customFormat="1" ht="15.6" x14ac:dyDescent="0.3">
      <c r="A550" s="733" t="s">
        <v>93</v>
      </c>
      <c r="B550" s="713"/>
      <c r="C550" s="729">
        <v>2020</v>
      </c>
      <c r="D550" s="725">
        <v>6</v>
      </c>
      <c r="E550" s="766"/>
      <c r="F550" s="763"/>
      <c r="G550" s="769">
        <v>62357.753257789765</v>
      </c>
      <c r="H550" s="770">
        <v>62352.451118658151</v>
      </c>
    </row>
    <row r="551" spans="1:8" s="706" customFormat="1" ht="15.6" x14ac:dyDescent="0.3">
      <c r="A551" s="733"/>
      <c r="B551" s="713"/>
      <c r="C551" s="729">
        <v>2021</v>
      </c>
      <c r="D551" s="725">
        <v>7</v>
      </c>
      <c r="E551" s="766"/>
      <c r="F551" s="763"/>
      <c r="G551" s="769">
        <v>64209.307979257181</v>
      </c>
      <c r="H551" s="770">
        <v>64164.435941110736</v>
      </c>
    </row>
    <row r="552" spans="1:8" s="706" customFormat="1" ht="15.6" x14ac:dyDescent="0.3">
      <c r="A552" s="736"/>
      <c r="B552" s="713"/>
      <c r="C552" s="729">
        <v>2022</v>
      </c>
      <c r="D552" s="725">
        <v>8</v>
      </c>
      <c r="E552" s="766"/>
      <c r="F552" s="763"/>
      <c r="G552" s="769">
        <v>66162.529451584182</v>
      </c>
      <c r="H552" s="770">
        <v>66070.909912654271</v>
      </c>
    </row>
    <row r="553" spans="1:8" s="706" customFormat="1" ht="15.6" x14ac:dyDescent="0.3">
      <c r="A553" s="734"/>
      <c r="B553" s="713"/>
      <c r="C553" s="729">
        <v>2023</v>
      </c>
      <c r="D553" s="725">
        <v>9</v>
      </c>
      <c r="E553" s="766"/>
      <c r="F553" s="763"/>
      <c r="G553" s="769">
        <v>68236.839529901015</v>
      </c>
      <c r="H553" s="770">
        <v>68090.928267332405</v>
      </c>
    </row>
    <row r="554" spans="1:8" s="706" customFormat="1" ht="14.4" x14ac:dyDescent="0.3">
      <c r="B554" s="713"/>
      <c r="C554" s="729">
        <v>2024</v>
      </c>
      <c r="D554" s="725">
        <v>10</v>
      </c>
      <c r="E554" s="766"/>
      <c r="F554" s="763"/>
      <c r="G554" s="769">
        <v>70451.660069337915</v>
      </c>
      <c r="H554" s="770">
        <v>70242.443084483297</v>
      </c>
    </row>
    <row r="555" spans="1:8" s="706" customFormat="1" ht="14.4" x14ac:dyDescent="0.3">
      <c r="B555" s="713"/>
      <c r="C555" s="729">
        <v>2025</v>
      </c>
      <c r="D555" s="725">
        <v>11</v>
      </c>
      <c r="E555" s="766"/>
      <c r="F555" s="763"/>
      <c r="G555" s="769">
        <v>72826.412925025157</v>
      </c>
      <c r="H555" s="770">
        <v>72543.525947742863</v>
      </c>
    </row>
    <row r="556" spans="1:8" s="706" customFormat="1" ht="13.8" customHeight="1" x14ac:dyDescent="0.3">
      <c r="A556" s="917" t="s">
        <v>707</v>
      </c>
      <c r="B556" s="713"/>
      <c r="C556" s="729">
        <v>2026</v>
      </c>
      <c r="D556" s="725">
        <v>12</v>
      </c>
      <c r="E556" s="766"/>
      <c r="F556" s="763"/>
      <c r="G556" s="769">
        <v>75380.519952092975</v>
      </c>
      <c r="H556" s="770">
        <v>75013.07787474549</v>
      </c>
    </row>
    <row r="557" spans="1:8" s="706" customFormat="1" ht="14.4" x14ac:dyDescent="0.3">
      <c r="A557" s="917"/>
      <c r="B557" s="713"/>
      <c r="C557" s="729">
        <v>2027</v>
      </c>
      <c r="D557" s="725">
        <v>13</v>
      </c>
      <c r="E557" s="766"/>
      <c r="F557" s="763"/>
      <c r="G557" s="769">
        <v>78133.403005671629</v>
      </c>
      <c r="H557" s="770">
        <v>77670.477549586867</v>
      </c>
    </row>
    <row r="558" spans="1:8" s="706" customFormat="1" ht="14.4" x14ac:dyDescent="0.3">
      <c r="A558" s="917"/>
      <c r="B558" s="713"/>
      <c r="C558" s="729">
        <v>2028</v>
      </c>
      <c r="D558" s="725">
        <v>14</v>
      </c>
      <c r="E558" s="766"/>
      <c r="F558" s="763"/>
      <c r="G558" s="769">
        <v>81104.483940891398</v>
      </c>
      <c r="H558" s="770">
        <v>80534.491816128706</v>
      </c>
    </row>
    <row r="559" spans="1:8" s="706" customFormat="1" ht="14.4" x14ac:dyDescent="0.3">
      <c r="A559" s="917"/>
      <c r="B559" s="713"/>
      <c r="C559" s="729">
        <v>2029</v>
      </c>
      <c r="D559" s="725">
        <v>15</v>
      </c>
      <c r="E559" s="766"/>
      <c r="F559" s="763"/>
      <c r="G559" s="769">
        <v>84313.184612882484</v>
      </c>
      <c r="H559" s="770">
        <v>83623.84255539428</v>
      </c>
    </row>
    <row r="560" spans="1:8" s="706" customFormat="1" ht="14.4" x14ac:dyDescent="0.3">
      <c r="A560" s="917"/>
      <c r="B560" s="713"/>
      <c r="C560" s="729">
        <v>2030</v>
      </c>
      <c r="D560" s="725">
        <v>16</v>
      </c>
      <c r="E560" s="766">
        <v>87000</v>
      </c>
      <c r="F560" s="763">
        <v>87000</v>
      </c>
      <c r="G560" s="769">
        <v>87000</v>
      </c>
      <c r="H560" s="770">
        <v>86185.409798125009</v>
      </c>
    </row>
    <row r="561" spans="1:8" s="706" customFormat="1" ht="14.4" x14ac:dyDescent="0.3">
      <c r="A561" s="917"/>
      <c r="B561" s="713"/>
      <c r="C561" s="729">
        <v>2031</v>
      </c>
      <c r="D561" s="725">
        <v>17</v>
      </c>
      <c r="E561" s="766"/>
      <c r="F561" s="763"/>
      <c r="G561" s="769">
        <v>91521.1325876997</v>
      </c>
      <c r="H561" s="770">
        <v>90552.353674049693</v>
      </c>
    </row>
    <row r="562" spans="1:8" s="706" customFormat="1" ht="14.4" x14ac:dyDescent="0.3">
      <c r="A562" s="917"/>
      <c r="B562" s="713"/>
      <c r="C562" s="729">
        <v>2032</v>
      </c>
      <c r="D562" s="725">
        <v>18</v>
      </c>
      <c r="E562" s="766"/>
      <c r="F562" s="763"/>
      <c r="G562" s="769">
        <v>95559.223600786339</v>
      </c>
      <c r="H562" s="770">
        <v>94428.138448988102</v>
      </c>
    </row>
    <row r="563" spans="1:8" s="706" customFormat="1" ht="14.4" x14ac:dyDescent="0.3">
      <c r="A563" s="917"/>
      <c r="B563" s="735"/>
      <c r="C563" s="729">
        <v>2033</v>
      </c>
      <c r="D563" s="725">
        <v>19</v>
      </c>
      <c r="E563" s="766"/>
      <c r="F563" s="763"/>
      <c r="G563" s="769">
        <v>99912.621771165315</v>
      </c>
      <c r="H563" s="770">
        <v>98603.380191354503</v>
      </c>
    </row>
    <row r="564" spans="1:8" s="706" customFormat="1" ht="14.4" x14ac:dyDescent="0.3">
      <c r="A564" s="735"/>
      <c r="B564" s="735"/>
      <c r="C564" s="729">
        <v>2034</v>
      </c>
      <c r="D564" s="725">
        <v>20</v>
      </c>
      <c r="E564" s="766"/>
      <c r="F564" s="763"/>
      <c r="G564" s="769">
        <v>104600.74895396692</v>
      </c>
      <c r="H564" s="770">
        <v>103097.35506587058</v>
      </c>
    </row>
    <row r="565" spans="1:8" s="706" customFormat="1" ht="14.4" x14ac:dyDescent="0.3">
      <c r="A565" s="735"/>
      <c r="B565" s="735"/>
      <c r="C565" s="729">
        <v>2035</v>
      </c>
      <c r="D565" s="725">
        <v>21</v>
      </c>
      <c r="E565" s="766"/>
      <c r="F565" s="763"/>
      <c r="G565" s="769">
        <v>109643.02700432135</v>
      </c>
      <c r="H565" s="770">
        <v>107929.00795219735</v>
      </c>
    </row>
    <row r="566" spans="1:8" s="706" customFormat="1" ht="14.4" x14ac:dyDescent="0.3">
      <c r="A566" s="735"/>
      <c r="B566" s="735"/>
      <c r="C566" s="729">
        <v>2036</v>
      </c>
      <c r="D566" s="725">
        <v>22</v>
      </c>
      <c r="E566" s="766"/>
      <c r="F566" s="763"/>
      <c r="G566" s="769">
        <v>115058.87777735891</v>
      </c>
      <c r="H566" s="770">
        <v>113116.83787008413</v>
      </c>
    </row>
    <row r="567" spans="1:8" s="706" customFormat="1" ht="14.4" x14ac:dyDescent="0.3">
      <c r="A567" s="735"/>
      <c r="B567" s="735"/>
      <c r="C567" s="729">
        <v>2037</v>
      </c>
      <c r="D567" s="725">
        <v>23</v>
      </c>
      <c r="E567" s="766"/>
      <c r="F567" s="763"/>
      <c r="G567" s="769">
        <v>120867.72312820984</v>
      </c>
      <c r="H567" s="770">
        <v>118678.48712490237</v>
      </c>
    </row>
    <row r="568" spans="1:8" s="706" customFormat="1" ht="14.4" x14ac:dyDescent="0.3">
      <c r="A568" s="735"/>
      <c r="B568" s="735"/>
      <c r="C568" s="729">
        <v>2038</v>
      </c>
      <c r="D568" s="725">
        <v>24</v>
      </c>
      <c r="E568" s="766"/>
      <c r="F568" s="763"/>
      <c r="G568" s="769">
        <v>127088.98491200437</v>
      </c>
      <c r="H568" s="770">
        <v>124630.88138627089</v>
      </c>
    </row>
    <row r="569" spans="1:8" s="706" customFormat="1" ht="14.4" x14ac:dyDescent="0.3">
      <c r="A569" s="735"/>
      <c r="B569" s="735"/>
      <c r="C569" s="729">
        <v>2039</v>
      </c>
      <c r="D569" s="725">
        <v>25</v>
      </c>
      <c r="E569" s="766"/>
      <c r="F569" s="763"/>
      <c r="G569" s="769">
        <v>133742.08498387277</v>
      </c>
      <c r="H569" s="770">
        <v>130990.19423298081</v>
      </c>
    </row>
    <row r="570" spans="1:8" s="706" customFormat="1" ht="14.4" x14ac:dyDescent="0.3">
      <c r="A570" s="735"/>
      <c r="B570" s="735"/>
      <c r="C570" s="729">
        <v>2040</v>
      </c>
      <c r="D570" s="725">
        <v>26</v>
      </c>
      <c r="E570" s="766">
        <v>141000</v>
      </c>
      <c r="F570" s="763">
        <v>141000</v>
      </c>
      <c r="G570" s="769">
        <v>141000</v>
      </c>
      <c r="H570" s="770">
        <v>137922.79668837797</v>
      </c>
    </row>
    <row r="571" spans="1:8" s="706" customFormat="1" ht="14.4" x14ac:dyDescent="0.3">
      <c r="A571" s="735"/>
      <c r="B571" s="735"/>
      <c r="C571" s="729">
        <v>2041</v>
      </c>
      <c r="D571" s="725">
        <v>27</v>
      </c>
      <c r="E571" s="766"/>
      <c r="F571" s="763"/>
      <c r="G571" s="769">
        <v>148421.48741235217</v>
      </c>
      <c r="H571" s="770">
        <v>144994.86374990919</v>
      </c>
    </row>
    <row r="572" spans="1:8" s="706" customFormat="1" ht="14.4" x14ac:dyDescent="0.3">
      <c r="A572" s="735"/>
      <c r="B572" s="735"/>
      <c r="C572" s="729">
        <v>2042</v>
      </c>
      <c r="D572" s="725">
        <v>28</v>
      </c>
      <c r="E572" s="766"/>
      <c r="F572" s="763"/>
      <c r="G572" s="769">
        <v>156486.63347922367</v>
      </c>
      <c r="H572" s="770">
        <v>152674.09579604733</v>
      </c>
    </row>
    <row r="573" spans="1:8" s="706" customFormat="1" ht="14.4" x14ac:dyDescent="0.3">
      <c r="A573" s="735"/>
      <c r="B573" s="735"/>
      <c r="C573" s="729">
        <v>2043</v>
      </c>
      <c r="D573" s="725">
        <v>29</v>
      </c>
      <c r="E573" s="766"/>
      <c r="F573" s="763"/>
      <c r="G573" s="769">
        <v>165061.30525469006</v>
      </c>
      <c r="H573" s="770">
        <v>160826.77750165435</v>
      </c>
    </row>
    <row r="574" spans="1:8" s="706" customFormat="1" ht="14.4" x14ac:dyDescent="0.3">
      <c r="A574" s="735"/>
      <c r="B574" s="735"/>
      <c r="C574" s="729">
        <v>2044</v>
      </c>
      <c r="D574" s="725">
        <v>30</v>
      </c>
      <c r="E574" s="766"/>
      <c r="F574" s="763"/>
      <c r="G574" s="769">
        <v>174164.92459388159</v>
      </c>
      <c r="H574" s="770">
        <v>169469.28613543033</v>
      </c>
    </row>
    <row r="575" spans="1:8" s="706" customFormat="1" ht="14.4" x14ac:dyDescent="0.3">
      <c r="A575" s="735"/>
      <c r="B575" s="735"/>
      <c r="C575" s="729">
        <v>2045</v>
      </c>
      <c r="D575" s="725">
        <v>31</v>
      </c>
      <c r="E575" s="766"/>
      <c r="F575" s="763"/>
      <c r="G575" s="769">
        <v>183816.91335192847</v>
      </c>
      <c r="H575" s="770">
        <v>178617.8106549964</v>
      </c>
    </row>
    <row r="576" spans="1:8" s="706" customFormat="1" ht="14.4" x14ac:dyDescent="0.3">
      <c r="A576" s="735"/>
      <c r="B576" s="735"/>
      <c r="C576" s="729">
        <v>2046</v>
      </c>
      <c r="D576" s="725">
        <v>32</v>
      </c>
      <c r="E576" s="766"/>
      <c r="F576" s="763"/>
      <c r="G576" s="769">
        <v>194036.69338396098</v>
      </c>
      <c r="H576" s="770">
        <v>188288.306101483</v>
      </c>
    </row>
    <row r="577" spans="1:8" s="706" customFormat="1" ht="14.4" x14ac:dyDescent="0.3">
      <c r="A577" s="737"/>
      <c r="B577" s="738"/>
      <c r="C577" s="729">
        <v>2047</v>
      </c>
      <c r="D577" s="725">
        <v>33</v>
      </c>
      <c r="E577" s="766"/>
      <c r="F577" s="763"/>
      <c r="G577" s="769">
        <v>204843.68654510941</v>
      </c>
      <c r="H577" s="770">
        <v>198496.55693461819</v>
      </c>
    </row>
    <row r="578" spans="1:8" s="706" customFormat="1" ht="14.4" x14ac:dyDescent="0.3">
      <c r="B578" s="738"/>
      <c r="C578" s="729">
        <v>2048</v>
      </c>
      <c r="D578" s="725">
        <v>34</v>
      </c>
      <c r="E578" s="766"/>
      <c r="F578" s="763"/>
      <c r="G578" s="769">
        <v>216257.31469050396</v>
      </c>
      <c r="H578" s="770">
        <v>209258.25516617735</v>
      </c>
    </row>
    <row r="579" spans="1:8" s="706" customFormat="1" ht="14.4" x14ac:dyDescent="0.3">
      <c r="C579" s="729">
        <v>2049</v>
      </c>
      <c r="D579" s="725">
        <v>35</v>
      </c>
      <c r="E579" s="766"/>
      <c r="F579" s="763"/>
      <c r="G579" s="769">
        <v>228296.99967527494</v>
      </c>
      <c r="H579" s="770">
        <v>220588.9620990144</v>
      </c>
    </row>
    <row r="580" spans="1:8" s="706" customFormat="1" ht="14.4" x14ac:dyDescent="0.3">
      <c r="C580" s="729">
        <v>2050</v>
      </c>
      <c r="D580" s="739">
        <v>36</v>
      </c>
      <c r="E580" s="771">
        <v>241000</v>
      </c>
      <c r="F580" s="763">
        <v>241000</v>
      </c>
      <c r="G580" s="772">
        <v>241000</v>
      </c>
      <c r="H580" s="773">
        <v>232521.2268592375</v>
      </c>
    </row>
    <row r="581" spans="1:8" s="706" customFormat="1" ht="14.4" x14ac:dyDescent="0.3">
      <c r="C581" s="729">
        <v>2051</v>
      </c>
      <c r="D581" s="725">
        <v>37</v>
      </c>
      <c r="E581" s="766"/>
      <c r="F581" s="763"/>
      <c r="G581" s="769">
        <v>254332.22758346697</v>
      </c>
      <c r="H581" s="770">
        <v>245018.54420725079</v>
      </c>
    </row>
    <row r="582" spans="1:8" s="706" customFormat="1" ht="14.4" x14ac:dyDescent="0.3">
      <c r="C582" s="729">
        <v>2052</v>
      </c>
      <c r="D582" s="725">
        <v>38</v>
      </c>
      <c r="E582" s="766"/>
      <c r="F582" s="763"/>
      <c r="G582" s="769">
        <v>268366.61421714863</v>
      </c>
      <c r="H582" s="770">
        <v>258147.4123529412</v>
      </c>
    </row>
    <row r="583" spans="1:8" s="706" customFormat="1" ht="14.4" x14ac:dyDescent="0.3">
      <c r="C583" s="729">
        <v>2053</v>
      </c>
      <c r="D583" s="725">
        <v>39</v>
      </c>
      <c r="E583" s="766"/>
      <c r="F583" s="763"/>
      <c r="G583" s="769">
        <v>283104.74511072761</v>
      </c>
      <c r="H583" s="770">
        <v>271905.24757529586</v>
      </c>
    </row>
    <row r="584" spans="1:8" s="706" customFormat="1" ht="14.4" x14ac:dyDescent="0.3">
      <c r="C584" s="729">
        <v>2054</v>
      </c>
      <c r="D584" s="725">
        <v>40</v>
      </c>
      <c r="E584" s="766"/>
      <c r="F584" s="763"/>
      <c r="G584" s="769">
        <v>298566.04211933434</v>
      </c>
      <c r="H584" s="770">
        <v>286306.43587135366</v>
      </c>
    </row>
    <row r="585" spans="1:8" s="706" customFormat="1" ht="14.4" x14ac:dyDescent="0.3">
      <c r="C585" s="729">
        <v>2055</v>
      </c>
      <c r="D585" s="739">
        <v>41</v>
      </c>
      <c r="E585" s="771"/>
      <c r="F585" s="763"/>
      <c r="G585" s="772">
        <v>314769.92709809891</v>
      </c>
      <c r="H585" s="773">
        <v>301365.18372416473</v>
      </c>
    </row>
    <row r="586" spans="1:8" s="706" customFormat="1" ht="14.4" x14ac:dyDescent="0.3">
      <c r="C586" s="729">
        <v>2056</v>
      </c>
      <c r="D586" s="725">
        <v>42</v>
      </c>
      <c r="E586" s="766"/>
      <c r="F586" s="763"/>
      <c r="G586" s="769">
        <v>331735.82190215169</v>
      </c>
      <c r="H586" s="770">
        <v>317095.55174107663</v>
      </c>
    </row>
    <row r="587" spans="1:8" s="706" customFormat="1" ht="14.4" x14ac:dyDescent="0.3">
      <c r="C587" s="729">
        <v>2057</v>
      </c>
      <c r="D587" s="725">
        <v>43</v>
      </c>
      <c r="E587" s="766"/>
      <c r="F587" s="763"/>
      <c r="G587" s="769">
        <v>349483.14838662278</v>
      </c>
      <c r="H587" s="770">
        <v>333511.46409440855</v>
      </c>
    </row>
    <row r="588" spans="1:8" s="706" customFormat="1" ht="14.4" x14ac:dyDescent="0.3">
      <c r="C588" s="729">
        <v>2058</v>
      </c>
      <c r="D588" s="725">
        <v>44</v>
      </c>
      <c r="E588" s="766"/>
      <c r="F588" s="763"/>
      <c r="G588" s="769">
        <v>368031.3284066426</v>
      </c>
      <c r="H588" s="770">
        <v>350626.72435900586</v>
      </c>
    </row>
    <row r="589" spans="1:8" s="706" customFormat="1" ht="14.4" x14ac:dyDescent="0.3">
      <c r="C589" s="729">
        <v>2059</v>
      </c>
      <c r="D589" s="725">
        <v>45</v>
      </c>
      <c r="E589" s="766"/>
      <c r="F589" s="763"/>
      <c r="G589" s="769">
        <v>387399.78381734138</v>
      </c>
      <c r="H589" s="770">
        <v>368455.02570838493</v>
      </c>
    </row>
    <row r="590" spans="1:8" s="706" customFormat="1" ht="14.4" x14ac:dyDescent="0.3">
      <c r="C590" s="742">
        <v>2060</v>
      </c>
      <c r="D590" s="739">
        <v>46</v>
      </c>
      <c r="E590" s="771"/>
      <c r="F590" s="763"/>
      <c r="G590" s="772">
        <v>407607.93647384923</v>
      </c>
      <c r="H590" s="773">
        <v>387009.88752540556</v>
      </c>
    </row>
    <row r="591" spans="1:8" s="706" customFormat="1" ht="14.4" x14ac:dyDescent="0.3">
      <c r="D591" s="743"/>
    </row>
    <row r="592" spans="1:8" ht="15" customHeight="1" x14ac:dyDescent="0.3">
      <c r="E592" s="760"/>
      <c r="F592" s="760"/>
      <c r="G592" s="760"/>
      <c r="H592" s="760"/>
    </row>
    <row r="593" spans="1:11" ht="15" customHeight="1" x14ac:dyDescent="0.3">
      <c r="E593" s="760"/>
      <c r="F593" s="760"/>
      <c r="G593" s="760"/>
      <c r="H593" s="760"/>
    </row>
    <row r="594" spans="1:11" ht="15" customHeight="1" x14ac:dyDescent="0.3">
      <c r="E594" s="760"/>
      <c r="F594" s="760"/>
      <c r="G594" s="760"/>
      <c r="H594" s="760"/>
    </row>
    <row r="595" spans="1:11" ht="15" customHeight="1" x14ac:dyDescent="0.3">
      <c r="E595" s="760"/>
      <c r="F595" s="760"/>
      <c r="G595" s="760"/>
      <c r="H595" s="760"/>
    </row>
    <row r="596" spans="1:11" s="706" customFormat="1" ht="15.6" x14ac:dyDescent="0.3">
      <c r="A596" s="703">
        <f>1+A531</f>
        <v>6</v>
      </c>
      <c r="B596" s="704" t="s">
        <v>708</v>
      </c>
      <c r="C596" s="705"/>
      <c r="D596" s="705"/>
      <c r="E596" s="705"/>
      <c r="F596" s="705"/>
      <c r="G596" s="705"/>
      <c r="H596" s="705"/>
      <c r="I596" s="705"/>
      <c r="J596" s="705"/>
      <c r="K596" s="705"/>
    </row>
    <row r="597" spans="1:11" s="706" customFormat="1" ht="15.6" x14ac:dyDescent="0.3">
      <c r="A597" s="707" t="s">
        <v>74</v>
      </c>
      <c r="B597" s="708"/>
      <c r="C597" s="708"/>
      <c r="D597" s="709"/>
      <c r="E597" s="710"/>
      <c r="F597" s="918"/>
      <c r="G597" s="710"/>
      <c r="H597" s="711"/>
    </row>
    <row r="598" spans="1:11" s="706" customFormat="1" ht="16.2" thickBot="1" x14ac:dyDescent="0.35">
      <c r="A598" s="744" t="s">
        <v>75</v>
      </c>
      <c r="B598" s="713"/>
      <c r="C598" s="713"/>
      <c r="D598" s="714"/>
      <c r="E598" s="774" t="s">
        <v>78</v>
      </c>
      <c r="F598" s="919"/>
      <c r="G598" s="775" t="s">
        <v>709</v>
      </c>
      <c r="H598" s="711"/>
    </row>
    <row r="599" spans="1:11" s="706" customFormat="1" ht="66.599999999999994" thickBot="1" x14ac:dyDescent="0.35">
      <c r="A599" s="717"/>
      <c r="B599" s="717"/>
      <c r="C599" s="717"/>
      <c r="D599" s="718"/>
      <c r="E599" s="776" t="s">
        <v>704</v>
      </c>
      <c r="F599" s="776" t="s">
        <v>125</v>
      </c>
      <c r="G599" s="775" t="s">
        <v>81</v>
      </c>
      <c r="H599" s="777" t="s">
        <v>753</v>
      </c>
      <c r="I599" s="747" t="s">
        <v>83</v>
      </c>
      <c r="J599" s="905" t="s">
        <v>84</v>
      </c>
      <c r="K599" s="906"/>
    </row>
    <row r="600" spans="1:11" s="706" customFormat="1" ht="15.6" x14ac:dyDescent="0.3">
      <c r="A600" s="707" t="s">
        <v>85</v>
      </c>
      <c r="B600" s="717"/>
      <c r="C600" s="720">
        <v>2005</v>
      </c>
      <c r="D600" s="721">
        <v>-9</v>
      </c>
      <c r="E600" s="762"/>
      <c r="F600" s="763"/>
      <c r="G600" s="764">
        <v>32439.735575208928</v>
      </c>
      <c r="H600" s="765">
        <v>32439.735575208928</v>
      </c>
      <c r="I600" s="911" t="s">
        <v>86</v>
      </c>
      <c r="J600" s="907"/>
      <c r="K600" s="908"/>
    </row>
    <row r="601" spans="1:11" s="706" customFormat="1" ht="15.6" x14ac:dyDescent="0.3">
      <c r="A601" s="744" t="s">
        <v>87</v>
      </c>
      <c r="B601" s="717"/>
      <c r="C601" s="729">
        <v>2006</v>
      </c>
      <c r="D601" s="725">
        <v>-8</v>
      </c>
      <c r="E601" s="766"/>
      <c r="F601" s="763"/>
      <c r="G601" s="767">
        <v>35385.290034251208</v>
      </c>
      <c r="H601" s="768">
        <v>35385.290034251208</v>
      </c>
      <c r="I601" s="912"/>
      <c r="J601" s="907"/>
      <c r="K601" s="908"/>
    </row>
    <row r="602" spans="1:11" s="706" customFormat="1" ht="13.8" customHeight="1" x14ac:dyDescent="0.3">
      <c r="A602" s="717"/>
      <c r="B602" s="717"/>
      <c r="C602" s="729">
        <v>2007</v>
      </c>
      <c r="D602" s="725">
        <v>-7</v>
      </c>
      <c r="E602" s="766">
        <v>40759</v>
      </c>
      <c r="F602" s="763">
        <v>40759</v>
      </c>
      <c r="G602" s="767">
        <v>40759</v>
      </c>
      <c r="H602" s="768">
        <v>40759</v>
      </c>
      <c r="I602" s="912"/>
      <c r="J602" s="907"/>
      <c r="K602" s="908"/>
    </row>
    <row r="603" spans="1:11" s="706" customFormat="1" ht="15.6" x14ac:dyDescent="0.3">
      <c r="A603" s="726" t="s">
        <v>88</v>
      </c>
      <c r="B603" s="717"/>
      <c r="C603" s="729">
        <v>2008</v>
      </c>
      <c r="D603" s="725">
        <v>-6</v>
      </c>
      <c r="E603" s="766">
        <v>41926</v>
      </c>
      <c r="F603" s="763">
        <v>41926</v>
      </c>
      <c r="G603" s="767">
        <v>41926</v>
      </c>
      <c r="H603" s="768">
        <v>41926</v>
      </c>
      <c r="I603" s="912"/>
      <c r="J603" s="909"/>
      <c r="K603" s="910"/>
    </row>
    <row r="604" spans="1:11" s="706" customFormat="1" ht="14.4" x14ac:dyDescent="0.3">
      <c r="A604" s="914" t="s">
        <v>710</v>
      </c>
      <c r="B604" s="717"/>
      <c r="C604" s="729">
        <v>2009</v>
      </c>
      <c r="D604" s="725">
        <v>-5</v>
      </c>
      <c r="E604" s="766">
        <v>40099</v>
      </c>
      <c r="F604" s="763">
        <v>40099</v>
      </c>
      <c r="G604" s="767">
        <v>40099</v>
      </c>
      <c r="H604" s="768">
        <v>40099</v>
      </c>
      <c r="I604" s="912"/>
    </row>
    <row r="605" spans="1:11" s="706" customFormat="1" ht="14.4" x14ac:dyDescent="0.3">
      <c r="A605" s="915"/>
      <c r="B605" s="717"/>
      <c r="C605" s="729">
        <v>2010</v>
      </c>
      <c r="D605" s="725">
        <v>-4</v>
      </c>
      <c r="E605" s="766">
        <v>44369</v>
      </c>
      <c r="F605" s="763">
        <v>44369</v>
      </c>
      <c r="G605" s="767">
        <v>44369</v>
      </c>
      <c r="H605" s="768">
        <v>44369</v>
      </c>
      <c r="I605" s="912"/>
    </row>
    <row r="606" spans="1:11" s="706" customFormat="1" ht="14.4" x14ac:dyDescent="0.3">
      <c r="A606" s="915"/>
      <c r="B606" s="717"/>
      <c r="C606" s="729">
        <v>2011</v>
      </c>
      <c r="D606" s="725">
        <v>-3</v>
      </c>
      <c r="E606" s="766">
        <v>46617</v>
      </c>
      <c r="F606" s="763">
        <v>46617</v>
      </c>
      <c r="G606" s="767">
        <v>46617</v>
      </c>
      <c r="H606" s="768">
        <v>46617</v>
      </c>
      <c r="I606" s="913"/>
    </row>
    <row r="607" spans="1:11" s="706" customFormat="1" ht="14.4" x14ac:dyDescent="0.3">
      <c r="A607" s="916"/>
      <c r="B607" s="717"/>
      <c r="C607" s="729">
        <v>2012</v>
      </c>
      <c r="D607" s="725">
        <v>-2</v>
      </c>
      <c r="E607" s="766">
        <v>48864</v>
      </c>
      <c r="F607" s="763">
        <v>48864</v>
      </c>
      <c r="G607" s="769">
        <v>48864</v>
      </c>
      <c r="H607" s="770">
        <v>48864</v>
      </c>
      <c r="I607" s="732" t="s">
        <v>90</v>
      </c>
    </row>
    <row r="608" spans="1:11" s="706" customFormat="1" ht="14.4" x14ac:dyDescent="0.3">
      <c r="A608" s="717"/>
      <c r="B608" s="717"/>
      <c r="C608" s="729">
        <v>2013</v>
      </c>
      <c r="D608" s="725">
        <v>-1</v>
      </c>
      <c r="E608" s="766">
        <v>50490</v>
      </c>
      <c r="F608" s="763">
        <v>50490</v>
      </c>
      <c r="G608" s="769">
        <v>50490</v>
      </c>
      <c r="H608" s="770">
        <v>50490</v>
      </c>
      <c r="I608" s="717"/>
    </row>
    <row r="609" spans="1:8" s="706" customFormat="1" ht="15.6" x14ac:dyDescent="0.3">
      <c r="A609" s="733" t="s">
        <v>91</v>
      </c>
      <c r="B609" s="717"/>
      <c r="C609" s="729">
        <v>2014</v>
      </c>
      <c r="D609" s="725">
        <v>0</v>
      </c>
      <c r="E609" s="766">
        <v>52627</v>
      </c>
      <c r="F609" s="763">
        <v>52627</v>
      </c>
      <c r="G609" s="769">
        <v>52627</v>
      </c>
      <c r="H609" s="770">
        <v>52956.95832441566</v>
      </c>
    </row>
    <row r="610" spans="1:8" s="706" customFormat="1" ht="15.6" x14ac:dyDescent="0.3">
      <c r="A610" s="734">
        <v>2018</v>
      </c>
      <c r="B610" s="713"/>
      <c r="C610" s="729">
        <v>2015</v>
      </c>
      <c r="D610" s="725">
        <v>1</v>
      </c>
      <c r="E610" s="766">
        <v>53476</v>
      </c>
      <c r="F610" s="763">
        <v>53476</v>
      </c>
      <c r="G610" s="769">
        <v>53476</v>
      </c>
      <c r="H610" s="770">
        <v>53448.395829226465</v>
      </c>
    </row>
    <row r="611" spans="1:8" s="706" customFormat="1" ht="14.4" x14ac:dyDescent="0.3">
      <c r="B611" s="713"/>
      <c r="C611" s="729">
        <v>2016</v>
      </c>
      <c r="D611" s="725">
        <v>2</v>
      </c>
      <c r="E611" s="766">
        <v>55321</v>
      </c>
      <c r="F611" s="763">
        <v>55321</v>
      </c>
      <c r="G611" s="769">
        <v>55321</v>
      </c>
      <c r="H611" s="770">
        <v>55294.751914600864</v>
      </c>
    </row>
    <row r="612" spans="1:8" s="706" customFormat="1" ht="15.6" x14ac:dyDescent="0.3">
      <c r="A612" s="733" t="s">
        <v>92</v>
      </c>
      <c r="B612" s="713"/>
      <c r="C612" s="729">
        <v>2017</v>
      </c>
      <c r="D612" s="725">
        <v>3</v>
      </c>
      <c r="E612" s="766">
        <v>58097</v>
      </c>
      <c r="F612" s="763">
        <v>58097</v>
      </c>
      <c r="G612" s="769">
        <v>58097</v>
      </c>
      <c r="H612" s="770">
        <v>58073.881829463462</v>
      </c>
    </row>
    <row r="613" spans="1:8" s="706" customFormat="1" ht="15.6" x14ac:dyDescent="0.3">
      <c r="A613" s="734" t="s">
        <v>704</v>
      </c>
      <c r="B613" s="713"/>
      <c r="C613" s="729">
        <v>2018</v>
      </c>
      <c r="D613" s="725">
        <v>4</v>
      </c>
      <c r="E613" s="766">
        <v>60444</v>
      </c>
      <c r="F613" s="763">
        <v>60444</v>
      </c>
      <c r="G613" s="769">
        <v>60444</v>
      </c>
      <c r="H613" s="770">
        <v>60425.550045430871</v>
      </c>
    </row>
    <row r="614" spans="1:8" s="706" customFormat="1" ht="14.4" x14ac:dyDescent="0.3">
      <c r="B614" s="735"/>
      <c r="C614" s="729">
        <v>2019</v>
      </c>
      <c r="D614" s="725">
        <v>5</v>
      </c>
      <c r="E614" s="766"/>
      <c r="F614" s="763"/>
      <c r="G614" s="769">
        <v>59210.942818728952</v>
      </c>
      <c r="H614" s="770">
        <v>59197.813087059352</v>
      </c>
    </row>
    <row r="615" spans="1:8" s="706" customFormat="1" ht="15.6" x14ac:dyDescent="0.3">
      <c r="A615" s="733" t="s">
        <v>93</v>
      </c>
      <c r="B615" s="713"/>
      <c r="C615" s="729">
        <v>2020</v>
      </c>
      <c r="D615" s="725">
        <v>6</v>
      </c>
      <c r="E615" s="766"/>
      <c r="F615" s="763"/>
      <c r="G615" s="769">
        <v>60227.21112687172</v>
      </c>
      <c r="H615" s="770">
        <v>60222.090142932742</v>
      </c>
    </row>
    <row r="616" spans="1:8" s="706" customFormat="1" ht="15.6" x14ac:dyDescent="0.3">
      <c r="A616" s="733"/>
      <c r="B616" s="713"/>
      <c r="C616" s="729">
        <v>2021</v>
      </c>
      <c r="D616" s="725">
        <v>7</v>
      </c>
      <c r="E616" s="766"/>
      <c r="F616" s="763"/>
      <c r="G616" s="769">
        <v>61169.174222111498</v>
      </c>
      <c r="H616" s="770">
        <v>61126.426751293598</v>
      </c>
    </row>
    <row r="617" spans="1:8" s="706" customFormat="1" ht="15.6" x14ac:dyDescent="0.3">
      <c r="A617" s="736"/>
      <c r="B617" s="713"/>
      <c r="C617" s="729">
        <v>2022</v>
      </c>
      <c r="D617" s="725">
        <v>8</v>
      </c>
      <c r="E617" s="766"/>
      <c r="F617" s="763"/>
      <c r="G617" s="769">
        <v>62045.298896545981</v>
      </c>
      <c r="H617" s="770">
        <v>61959.380753379621</v>
      </c>
    </row>
    <row r="618" spans="1:8" s="706" customFormat="1" ht="15.6" x14ac:dyDescent="0.3">
      <c r="A618" s="734"/>
      <c r="B618" s="713"/>
      <c r="C618" s="729">
        <v>2023</v>
      </c>
      <c r="D618" s="725">
        <v>9</v>
      </c>
      <c r="E618" s="766"/>
      <c r="F618" s="763"/>
      <c r="G618" s="769">
        <v>62864.051942272868</v>
      </c>
      <c r="H618" s="770">
        <v>62729.629345149857</v>
      </c>
    </row>
    <row r="619" spans="1:8" s="706" customFormat="1" ht="14.4" x14ac:dyDescent="0.3">
      <c r="B619" s="713"/>
      <c r="C619" s="729">
        <v>2024</v>
      </c>
      <c r="D619" s="725">
        <v>10</v>
      </c>
      <c r="E619" s="766"/>
      <c r="F619" s="763"/>
      <c r="G619" s="769">
        <v>63633.900151389847</v>
      </c>
      <c r="H619" s="770">
        <v>63444.929547842527</v>
      </c>
    </row>
    <row r="620" spans="1:8" s="706" customFormat="1" ht="14.4" x14ac:dyDescent="0.3">
      <c r="B620" s="713"/>
      <c r="C620" s="729">
        <v>2025</v>
      </c>
      <c r="D620" s="725">
        <v>11</v>
      </c>
      <c r="E620" s="766"/>
      <c r="F620" s="763"/>
      <c r="G620" s="769">
        <v>64363.310315994611</v>
      </c>
      <c r="H620" s="770">
        <v>64113.29742133346</v>
      </c>
    </row>
    <row r="621" spans="1:8" s="706" customFormat="1" ht="14.4" x14ac:dyDescent="0.3">
      <c r="A621" s="917" t="s">
        <v>707</v>
      </c>
      <c r="B621" s="713"/>
      <c r="C621" s="729">
        <v>2026</v>
      </c>
      <c r="D621" s="725">
        <v>12</v>
      </c>
      <c r="E621" s="766"/>
      <c r="F621" s="763"/>
      <c r="G621" s="769">
        <v>65060.749228184854</v>
      </c>
      <c r="H621" s="770">
        <v>64743.610836656364</v>
      </c>
    </row>
    <row r="622" spans="1:8" s="706" customFormat="1" ht="14.4" x14ac:dyDescent="0.3">
      <c r="A622" s="917"/>
      <c r="B622" s="713"/>
      <c r="C622" s="729">
        <v>2027</v>
      </c>
      <c r="D622" s="725">
        <v>13</v>
      </c>
      <c r="E622" s="766"/>
      <c r="F622" s="763"/>
      <c r="G622" s="769">
        <v>65734.683680058253</v>
      </c>
      <c r="H622" s="770">
        <v>65345.218262547001</v>
      </c>
    </row>
    <row r="623" spans="1:8" s="706" customFormat="1" ht="14.4" x14ac:dyDescent="0.3">
      <c r="A623" s="917"/>
      <c r="B623" s="713"/>
      <c r="C623" s="729">
        <v>2028</v>
      </c>
      <c r="D623" s="725">
        <v>14</v>
      </c>
      <c r="E623" s="766"/>
      <c r="F623" s="763"/>
      <c r="G623" s="769">
        <v>66393.580463712526</v>
      </c>
      <c r="H623" s="770">
        <v>65926.974720598562</v>
      </c>
    </row>
    <row r="624" spans="1:8" s="706" customFormat="1" ht="14.4" x14ac:dyDescent="0.3">
      <c r="A624" s="917"/>
      <c r="B624" s="713"/>
      <c r="C624" s="729">
        <v>2029</v>
      </c>
      <c r="D624" s="725">
        <v>15</v>
      </c>
      <c r="E624" s="766"/>
      <c r="F624" s="763"/>
      <c r="G624" s="769">
        <v>67045.90637124535</v>
      </c>
      <c r="H624" s="770">
        <v>66497.741060489745</v>
      </c>
    </row>
    <row r="625" spans="1:8" s="706" customFormat="1" ht="14.4" x14ac:dyDescent="0.3">
      <c r="A625" s="917"/>
      <c r="B625" s="713"/>
      <c r="C625" s="729">
        <v>2030</v>
      </c>
      <c r="D625" s="725">
        <v>16</v>
      </c>
      <c r="E625" s="766"/>
      <c r="F625" s="763"/>
      <c r="G625" s="769">
        <v>67700.128194754419</v>
      </c>
      <c r="H625" s="770">
        <v>67066.244733913874</v>
      </c>
    </row>
    <row r="626" spans="1:8" s="706" customFormat="1" ht="14.4" x14ac:dyDescent="0.3">
      <c r="A626" s="917"/>
      <c r="B626" s="713"/>
      <c r="C626" s="729">
        <v>2031</v>
      </c>
      <c r="D626" s="725">
        <v>17</v>
      </c>
      <c r="E626" s="766"/>
      <c r="F626" s="763"/>
      <c r="G626" s="769">
        <v>68364.712726337442</v>
      </c>
      <c r="H626" s="770">
        <v>67641.051531874502</v>
      </c>
    </row>
    <row r="627" spans="1:8" s="706" customFormat="1" ht="14.4" x14ac:dyDescent="0.3">
      <c r="A627" s="917"/>
      <c r="B627" s="713"/>
      <c r="C627" s="729">
        <v>2032</v>
      </c>
      <c r="D627" s="725">
        <v>18</v>
      </c>
      <c r="E627" s="766"/>
      <c r="F627" s="763"/>
      <c r="G627" s="769">
        <v>69048.126758092083</v>
      </c>
      <c r="H627" s="770">
        <v>68230.839760639763</v>
      </c>
    </row>
    <row r="628" spans="1:8" s="706" customFormat="1" ht="14.4" x14ac:dyDescent="0.3">
      <c r="A628" s="917"/>
      <c r="B628" s="735"/>
      <c r="C628" s="729">
        <v>2033</v>
      </c>
      <c r="D628" s="725">
        <v>19</v>
      </c>
      <c r="E628" s="766"/>
      <c r="F628" s="763"/>
      <c r="G628" s="769">
        <v>69758.83708211605</v>
      </c>
      <c r="H628" s="770">
        <v>68844.726647937525</v>
      </c>
    </row>
    <row r="629" spans="1:8" s="706" customFormat="1" ht="14.4" x14ac:dyDescent="0.3">
      <c r="A629" s="735"/>
      <c r="B629" s="735"/>
      <c r="C629" s="729">
        <v>2034</v>
      </c>
      <c r="D629" s="725">
        <v>20</v>
      </c>
      <c r="E629" s="766"/>
      <c r="F629" s="763"/>
      <c r="G629" s="769">
        <v>70505.310490507036</v>
      </c>
      <c r="H629" s="770">
        <v>69491.959688244518</v>
      </c>
    </row>
    <row r="630" spans="1:8" s="706" customFormat="1" ht="14.4" x14ac:dyDescent="0.3">
      <c r="A630" s="735"/>
      <c r="B630" s="735"/>
      <c r="C630" s="729">
        <v>2035</v>
      </c>
      <c r="D630" s="725">
        <v>21</v>
      </c>
      <c r="E630" s="766"/>
      <c r="F630" s="763"/>
      <c r="G630" s="769">
        <v>71296.013775362735</v>
      </c>
      <c r="H630" s="770">
        <v>70181.46295265833</v>
      </c>
    </row>
    <row r="631" spans="1:8" s="706" customFormat="1" ht="14.4" x14ac:dyDescent="0.3">
      <c r="A631" s="735"/>
      <c r="B631" s="735"/>
      <c r="C631" s="729">
        <v>2036</v>
      </c>
      <c r="D631" s="725">
        <v>22</v>
      </c>
      <c r="E631" s="766"/>
      <c r="F631" s="763"/>
      <c r="G631" s="769">
        <v>72139.413728780826</v>
      </c>
      <c r="H631" s="770">
        <v>70921.796948094066</v>
      </c>
    </row>
    <row r="632" spans="1:8" s="706" customFormat="1" ht="14.4" x14ac:dyDescent="0.3">
      <c r="A632" s="735"/>
      <c r="B632" s="735"/>
      <c r="C632" s="729">
        <v>2037</v>
      </c>
      <c r="D632" s="725">
        <v>23</v>
      </c>
      <c r="E632" s="766"/>
      <c r="F632" s="763"/>
      <c r="G632" s="769">
        <v>73043.977142859017</v>
      </c>
      <c r="H632" s="770">
        <v>71720.956402108481</v>
      </c>
    </row>
    <row r="633" spans="1:8" s="706" customFormat="1" ht="14.4" x14ac:dyDescent="0.3">
      <c r="A633" s="735"/>
      <c r="B633" s="735"/>
      <c r="C633" s="729">
        <v>2038</v>
      </c>
      <c r="D633" s="725">
        <v>24</v>
      </c>
      <c r="E633" s="766"/>
      <c r="F633" s="763"/>
      <c r="G633" s="769">
        <v>74018.170809695002</v>
      </c>
      <c r="H633" s="770">
        <v>72586.541414262887</v>
      </c>
    </row>
    <row r="634" spans="1:8" s="706" customFormat="1" ht="14.4" x14ac:dyDescent="0.3">
      <c r="A634" s="735"/>
      <c r="B634" s="735"/>
      <c r="C634" s="729">
        <v>2039</v>
      </c>
      <c r="D634" s="725">
        <v>25</v>
      </c>
      <c r="E634" s="766"/>
      <c r="F634" s="763"/>
      <c r="G634" s="769">
        <v>75070.46152138646</v>
      </c>
      <c r="H634" s="770">
        <v>73525.804065576609</v>
      </c>
    </row>
    <row r="635" spans="1:8" s="706" customFormat="1" ht="14.4" x14ac:dyDescent="0.3">
      <c r="A635" s="735"/>
      <c r="B635" s="735"/>
      <c r="C635" s="729">
        <v>2040</v>
      </c>
      <c r="D635" s="725">
        <v>26</v>
      </c>
      <c r="E635" s="766">
        <v>75500</v>
      </c>
      <c r="F635" s="763">
        <v>75500</v>
      </c>
      <c r="G635" s="769">
        <v>75500</v>
      </c>
      <c r="H635" s="770">
        <v>73852.277659379688</v>
      </c>
    </row>
    <row r="636" spans="1:8" s="706" customFormat="1" ht="14.4" x14ac:dyDescent="0.3">
      <c r="A636" s="735"/>
      <c r="B636" s="735"/>
      <c r="C636" s="729">
        <v>2041</v>
      </c>
      <c r="D636" s="725">
        <v>27</v>
      </c>
      <c r="E636" s="766"/>
      <c r="F636" s="763"/>
      <c r="G636" s="769">
        <v>77443.201247726596</v>
      </c>
      <c r="H636" s="770">
        <v>75655.261303737672</v>
      </c>
    </row>
    <row r="637" spans="1:8" s="706" customFormat="1" ht="14.4" x14ac:dyDescent="0.3">
      <c r="A637" s="735"/>
      <c r="B637" s="735"/>
      <c r="C637" s="729">
        <v>2042</v>
      </c>
      <c r="D637" s="725">
        <v>28</v>
      </c>
      <c r="E637" s="766"/>
      <c r="F637" s="763"/>
      <c r="G637" s="769">
        <v>78780.583846570647</v>
      </c>
      <c r="H637" s="770">
        <v>76861.225381634649</v>
      </c>
    </row>
    <row r="638" spans="1:8" s="706" customFormat="1" ht="14.4" x14ac:dyDescent="0.3">
      <c r="A638" s="735"/>
      <c r="B638" s="735"/>
      <c r="C638" s="729">
        <v>2043</v>
      </c>
      <c r="D638" s="725">
        <v>29</v>
      </c>
      <c r="E638" s="766"/>
      <c r="F638" s="763"/>
      <c r="G638" s="769">
        <v>80229.930658660945</v>
      </c>
      <c r="H638" s="770">
        <v>78171.690131155017</v>
      </c>
    </row>
    <row r="639" spans="1:8" s="706" customFormat="1" ht="14.4" x14ac:dyDescent="0.3">
      <c r="A639" s="735"/>
      <c r="B639" s="735"/>
      <c r="C639" s="729">
        <v>2044</v>
      </c>
      <c r="D639" s="725">
        <v>30</v>
      </c>
      <c r="E639" s="766"/>
      <c r="F639" s="763"/>
      <c r="G639" s="769">
        <v>81799.708476095198</v>
      </c>
      <c r="H639" s="770">
        <v>79594.316903101353</v>
      </c>
    </row>
    <row r="640" spans="1:8" s="706" customFormat="1" ht="14.4" x14ac:dyDescent="0.3">
      <c r="A640" s="735"/>
      <c r="B640" s="735"/>
      <c r="C640" s="729">
        <v>2045</v>
      </c>
      <c r="D640" s="725">
        <v>31</v>
      </c>
      <c r="E640" s="766"/>
      <c r="F640" s="763"/>
      <c r="G640" s="769">
        <v>83498.384090971085</v>
      </c>
      <c r="H640" s="770">
        <v>81136.704384785975</v>
      </c>
    </row>
    <row r="641" spans="1:8" s="706" customFormat="1" ht="14.4" x14ac:dyDescent="0.3">
      <c r="A641" s="735"/>
      <c r="B641" s="735"/>
      <c r="C641" s="729">
        <v>2046</v>
      </c>
      <c r="D641" s="725">
        <v>32</v>
      </c>
      <c r="E641" s="766"/>
      <c r="F641" s="763"/>
      <c r="G641" s="769">
        <v>85334.424295386285</v>
      </c>
      <c r="H641" s="770">
        <v>82806.369880407656</v>
      </c>
    </row>
    <row r="642" spans="1:8" s="706" customFormat="1" ht="14.4" x14ac:dyDescent="0.3">
      <c r="A642" s="737"/>
      <c r="B642" s="738"/>
      <c r="C642" s="729">
        <v>2047</v>
      </c>
      <c r="D642" s="725">
        <v>33</v>
      </c>
      <c r="E642" s="766"/>
      <c r="F642" s="763"/>
      <c r="G642" s="769">
        <v>87316.29588143852</v>
      </c>
      <c r="H642" s="770">
        <v>84610.780000452622</v>
      </c>
    </row>
    <row r="643" spans="1:8" s="706" customFormat="1" ht="14.4" x14ac:dyDescent="0.3">
      <c r="B643" s="738"/>
      <c r="C643" s="729">
        <v>2048</v>
      </c>
      <c r="D643" s="725">
        <v>34</v>
      </c>
      <c r="E643" s="766"/>
      <c r="F643" s="763"/>
      <c r="G643" s="769">
        <v>89452.465641225455</v>
      </c>
      <c r="H643" s="770">
        <v>86557.381456365692</v>
      </c>
    </row>
    <row r="644" spans="1:8" s="706" customFormat="1" ht="14.4" x14ac:dyDescent="0.3">
      <c r="C644" s="729">
        <v>2049</v>
      </c>
      <c r="D644" s="725">
        <v>35</v>
      </c>
      <c r="E644" s="766"/>
      <c r="F644" s="763"/>
      <c r="G644" s="769">
        <v>91751.400366844799</v>
      </c>
      <c r="H644" s="770">
        <v>88653.579358648873</v>
      </c>
    </row>
    <row r="645" spans="1:8" s="706" customFormat="1" ht="14.4" x14ac:dyDescent="0.3">
      <c r="C645" s="729">
        <v>2050</v>
      </c>
      <c r="D645" s="739">
        <v>36</v>
      </c>
      <c r="E645" s="771">
        <v>94500</v>
      </c>
      <c r="F645" s="763">
        <v>94500</v>
      </c>
      <c r="G645" s="772">
        <v>94500</v>
      </c>
      <c r="H645" s="773">
        <v>91175.335843145003</v>
      </c>
    </row>
    <row r="646" spans="1:8" s="706" customFormat="1" ht="14.4" x14ac:dyDescent="0.3">
      <c r="C646" s="729">
        <v>2051</v>
      </c>
      <c r="D646" s="725">
        <v>37</v>
      </c>
      <c r="E646" s="766"/>
      <c r="F646" s="763"/>
      <c r="G646" s="769">
        <v>96871.431883971469</v>
      </c>
      <c r="H646" s="770">
        <v>93323.985878640087</v>
      </c>
    </row>
    <row r="647" spans="1:8" s="706" customFormat="1" ht="14.4" x14ac:dyDescent="0.3">
      <c r="C647" s="729">
        <v>2052</v>
      </c>
      <c r="D647" s="725">
        <v>38</v>
      </c>
      <c r="E647" s="766"/>
      <c r="F647" s="763"/>
      <c r="G647" s="769">
        <v>99709.462259674212</v>
      </c>
      <c r="H647" s="770">
        <v>95912.599801295917</v>
      </c>
    </row>
    <row r="648" spans="1:8" s="706" customFormat="1" ht="14.4" x14ac:dyDescent="0.3">
      <c r="C648" s="729">
        <v>2053</v>
      </c>
      <c r="D648" s="725">
        <v>39</v>
      </c>
      <c r="E648" s="766"/>
      <c r="F648" s="763"/>
      <c r="G648" s="769">
        <v>102744.12476960008</v>
      </c>
      <c r="H648" s="770">
        <v>98679.612987266039</v>
      </c>
    </row>
    <row r="649" spans="1:8" s="706" customFormat="1" ht="14.4" x14ac:dyDescent="0.3">
      <c r="C649" s="729">
        <v>2054</v>
      </c>
      <c r="D649" s="725">
        <v>40</v>
      </c>
      <c r="E649" s="766"/>
      <c r="F649" s="763"/>
      <c r="G649" s="769">
        <v>105983.88620584685</v>
      </c>
      <c r="H649" s="770">
        <v>101632.0158314017</v>
      </c>
    </row>
    <row r="650" spans="1:8" s="706" customFormat="1" ht="14.4" x14ac:dyDescent="0.3">
      <c r="C650" s="729">
        <v>2055</v>
      </c>
      <c r="D650" s="739">
        <v>41</v>
      </c>
      <c r="E650" s="771"/>
      <c r="F650" s="763"/>
      <c r="G650" s="772">
        <v>109437.21336051216</v>
      </c>
      <c r="H650" s="773">
        <v>104776.73713846519</v>
      </c>
    </row>
    <row r="651" spans="1:8" s="706" customFormat="1" ht="14.4" x14ac:dyDescent="0.3">
      <c r="C651" s="729">
        <v>2056</v>
      </c>
      <c r="D651" s="725">
        <v>42</v>
      </c>
      <c r="E651" s="766"/>
      <c r="F651" s="763"/>
      <c r="G651" s="769">
        <v>113112.57302569374</v>
      </c>
      <c r="H651" s="770">
        <v>108120.65319558585</v>
      </c>
    </row>
    <row r="652" spans="1:8" s="706" customFormat="1" ht="14.4" x14ac:dyDescent="0.3">
      <c r="C652" s="729">
        <v>2057</v>
      </c>
      <c r="D652" s="725">
        <v>43</v>
      </c>
      <c r="E652" s="766"/>
      <c r="F652" s="763"/>
      <c r="G652" s="769">
        <v>117018.43199348926</v>
      </c>
      <c r="H652" s="770">
        <v>111670.58772460808</v>
      </c>
    </row>
    <row r="653" spans="1:8" s="706" customFormat="1" ht="14.4" x14ac:dyDescent="0.3">
      <c r="C653" s="729">
        <v>2058</v>
      </c>
      <c r="D653" s="725">
        <v>44</v>
      </c>
      <c r="E653" s="766"/>
      <c r="F653" s="763"/>
      <c r="G653" s="769">
        <v>121163.25705599639</v>
      </c>
      <c r="H653" s="770">
        <v>115433.3141098035</v>
      </c>
    </row>
    <row r="654" spans="1:8" s="706" customFormat="1" ht="14.4" x14ac:dyDescent="0.3">
      <c r="C654" s="729">
        <v>2059</v>
      </c>
      <c r="D654" s="725">
        <v>45</v>
      </c>
      <c r="E654" s="766"/>
      <c r="F654" s="763"/>
      <c r="G654" s="769">
        <v>125555.51500531289</v>
      </c>
      <c r="H654" s="770">
        <v>119415.55582004235</v>
      </c>
    </row>
    <row r="655" spans="1:8" s="706" customFormat="1" ht="14.4" x14ac:dyDescent="0.3">
      <c r="C655" s="742">
        <v>2060</v>
      </c>
      <c r="D655" s="739">
        <v>46</v>
      </c>
      <c r="E655" s="771"/>
      <c r="F655" s="763"/>
      <c r="G655" s="772">
        <v>130203.67263353639</v>
      </c>
      <c r="H655" s="773">
        <v>123623.96359898284</v>
      </c>
    </row>
    <row r="656" spans="1:8" s="706" customFormat="1" ht="14.4" x14ac:dyDescent="0.3">
      <c r="D656" s="743"/>
    </row>
    <row r="657" spans="1:11" s="706" customFormat="1" ht="14.4" x14ac:dyDescent="0.3">
      <c r="D657" s="743"/>
    </row>
    <row r="658" spans="1:11" s="706" customFormat="1" ht="14.4" x14ac:dyDescent="0.3">
      <c r="A658" s="748" t="str">
        <f>HYPERLINK("#'Interp-FREIGHT'!a1","Back to top")</f>
        <v>Back to top</v>
      </c>
      <c r="D658" s="743"/>
    </row>
    <row r="659" spans="1:11" s="706" customFormat="1" ht="14.4" x14ac:dyDescent="0.3">
      <c r="D659" s="743"/>
    </row>
    <row r="660" spans="1:11" s="706" customFormat="1" ht="14.4" x14ac:dyDescent="0.3">
      <c r="D660" s="743"/>
    </row>
    <row r="661" spans="1:11" s="706" customFormat="1" ht="15.6" x14ac:dyDescent="0.3">
      <c r="A661" s="703">
        <f>1+A596</f>
        <v>7</v>
      </c>
      <c r="B661" s="704" t="s">
        <v>711</v>
      </c>
      <c r="C661" s="705"/>
      <c r="D661" s="705"/>
      <c r="E661" s="705"/>
      <c r="F661" s="705"/>
      <c r="G661" s="705"/>
      <c r="H661" s="705"/>
      <c r="I661" s="705"/>
      <c r="J661" s="705"/>
      <c r="K661" s="705"/>
    </row>
    <row r="662" spans="1:11" s="706" customFormat="1" ht="15.6" x14ac:dyDescent="0.3">
      <c r="A662" s="707" t="s">
        <v>74</v>
      </c>
      <c r="B662" s="708"/>
      <c r="C662" s="708"/>
      <c r="D662" s="709"/>
      <c r="E662" s="710"/>
      <c r="F662" s="918"/>
      <c r="G662" s="710"/>
      <c r="H662" s="711"/>
    </row>
    <row r="663" spans="1:11" s="706" customFormat="1" ht="16.2" thickBot="1" x14ac:dyDescent="0.35">
      <c r="A663" s="744" t="s">
        <v>75</v>
      </c>
      <c r="B663" s="713"/>
      <c r="C663" s="713"/>
      <c r="D663" s="714"/>
      <c r="E663" s="745" t="s">
        <v>78</v>
      </c>
      <c r="F663" s="919"/>
      <c r="G663" s="746" t="s">
        <v>228</v>
      </c>
      <c r="H663" s="711"/>
    </row>
    <row r="664" spans="1:11" s="706" customFormat="1" ht="66.599999999999994" thickBot="1" x14ac:dyDescent="0.35">
      <c r="A664" s="717"/>
      <c r="B664" s="717"/>
      <c r="C664" s="717"/>
      <c r="D664" s="718"/>
      <c r="E664" s="747" t="s">
        <v>704</v>
      </c>
      <c r="F664" s="747" t="s">
        <v>125</v>
      </c>
      <c r="G664" s="746" t="s">
        <v>119</v>
      </c>
      <c r="H664" s="778" t="s">
        <v>753</v>
      </c>
      <c r="I664" s="747" t="s">
        <v>83</v>
      </c>
      <c r="J664" s="905" t="s">
        <v>84</v>
      </c>
      <c r="K664" s="906"/>
    </row>
    <row r="665" spans="1:11" s="706" customFormat="1" ht="15.6" x14ac:dyDescent="0.3">
      <c r="A665" s="707" t="s">
        <v>85</v>
      </c>
      <c r="B665" s="717"/>
      <c r="C665" s="720">
        <v>2005</v>
      </c>
      <c r="D665" s="721">
        <v>-9</v>
      </c>
      <c r="E665" s="762"/>
      <c r="F665" s="763"/>
      <c r="G665" s="764">
        <v>37326.572703892642</v>
      </c>
      <c r="H665" s="765">
        <v>37326.572703892642</v>
      </c>
      <c r="I665" s="911" t="s">
        <v>86</v>
      </c>
      <c r="J665" s="907"/>
      <c r="K665" s="908"/>
    </row>
    <row r="666" spans="1:11" s="706" customFormat="1" ht="15.6" x14ac:dyDescent="0.3">
      <c r="A666" s="744" t="s">
        <v>87</v>
      </c>
      <c r="B666" s="717"/>
      <c r="C666" s="729">
        <v>2006</v>
      </c>
      <c r="D666" s="725">
        <v>-8</v>
      </c>
      <c r="E666" s="766"/>
      <c r="F666" s="763"/>
      <c r="G666" s="767">
        <v>38639.064863701242</v>
      </c>
      <c r="H666" s="768">
        <v>38639.064863701242</v>
      </c>
      <c r="I666" s="912"/>
      <c r="J666" s="907"/>
      <c r="K666" s="908"/>
    </row>
    <row r="667" spans="1:11" s="706" customFormat="1" ht="13.8" customHeight="1" x14ac:dyDescent="0.3">
      <c r="A667" s="717"/>
      <c r="B667" s="717"/>
      <c r="C667" s="729">
        <v>2007</v>
      </c>
      <c r="D667" s="725">
        <v>-7</v>
      </c>
      <c r="E667" s="766">
        <v>40759</v>
      </c>
      <c r="F667" s="763">
        <v>40759</v>
      </c>
      <c r="G667" s="767">
        <v>40759</v>
      </c>
      <c r="H667" s="768">
        <v>40759</v>
      </c>
      <c r="I667" s="912"/>
      <c r="J667" s="907"/>
      <c r="K667" s="908"/>
    </row>
    <row r="668" spans="1:11" s="706" customFormat="1" ht="15.6" x14ac:dyDescent="0.3">
      <c r="A668" s="726" t="s">
        <v>88</v>
      </c>
      <c r="B668" s="717"/>
      <c r="C668" s="729">
        <v>2008</v>
      </c>
      <c r="D668" s="725">
        <v>-6</v>
      </c>
      <c r="E668" s="766">
        <v>41926</v>
      </c>
      <c r="F668" s="763">
        <v>41926</v>
      </c>
      <c r="G668" s="767">
        <v>41926</v>
      </c>
      <c r="H668" s="768">
        <v>41926</v>
      </c>
      <c r="I668" s="912"/>
      <c r="J668" s="909"/>
      <c r="K668" s="910"/>
    </row>
    <row r="669" spans="1:11" s="706" customFormat="1" ht="14.4" x14ac:dyDescent="0.3">
      <c r="A669" s="914" t="s">
        <v>712</v>
      </c>
      <c r="B669" s="717"/>
      <c r="C669" s="729">
        <v>2009</v>
      </c>
      <c r="D669" s="725">
        <v>-5</v>
      </c>
      <c r="E669" s="766">
        <v>40099</v>
      </c>
      <c r="F669" s="763">
        <v>40099</v>
      </c>
      <c r="G669" s="767">
        <v>40099</v>
      </c>
      <c r="H669" s="768">
        <v>40099</v>
      </c>
      <c r="I669" s="912"/>
    </row>
    <row r="670" spans="1:11" s="706" customFormat="1" ht="14.4" x14ac:dyDescent="0.3">
      <c r="A670" s="915"/>
      <c r="B670" s="717"/>
      <c r="C670" s="729">
        <v>2010</v>
      </c>
      <c r="D670" s="725">
        <v>-4</v>
      </c>
      <c r="E670" s="766">
        <v>44369</v>
      </c>
      <c r="F670" s="763">
        <v>44369</v>
      </c>
      <c r="G670" s="767">
        <v>44369</v>
      </c>
      <c r="H670" s="768">
        <v>44369</v>
      </c>
      <c r="I670" s="912"/>
    </row>
    <row r="671" spans="1:11" s="706" customFormat="1" ht="14.4" x14ac:dyDescent="0.3">
      <c r="A671" s="915"/>
      <c r="B671" s="717"/>
      <c r="C671" s="729">
        <v>2011</v>
      </c>
      <c r="D671" s="725">
        <v>-3</v>
      </c>
      <c r="E671" s="766">
        <v>46617</v>
      </c>
      <c r="F671" s="763">
        <v>46617</v>
      </c>
      <c r="G671" s="767">
        <v>46617</v>
      </c>
      <c r="H671" s="768">
        <v>46617</v>
      </c>
      <c r="I671" s="913"/>
    </row>
    <row r="672" spans="1:11" s="706" customFormat="1" ht="14.4" x14ac:dyDescent="0.3">
      <c r="A672" s="916"/>
      <c r="B672" s="717"/>
      <c r="C672" s="729">
        <v>2012</v>
      </c>
      <c r="D672" s="725">
        <v>-2</v>
      </c>
      <c r="E672" s="766">
        <v>48864</v>
      </c>
      <c r="F672" s="763">
        <v>48864</v>
      </c>
      <c r="G672" s="769">
        <v>48864</v>
      </c>
      <c r="H672" s="770">
        <v>48864</v>
      </c>
      <c r="I672" s="732" t="s">
        <v>90</v>
      </c>
    </row>
    <row r="673" spans="1:9" s="706" customFormat="1" ht="14.4" x14ac:dyDescent="0.3">
      <c r="A673" s="717"/>
      <c r="B673" s="717"/>
      <c r="C673" s="729">
        <v>2013</v>
      </c>
      <c r="D673" s="725">
        <v>-1</v>
      </c>
      <c r="E673" s="766">
        <v>50490</v>
      </c>
      <c r="F673" s="763">
        <v>50490</v>
      </c>
      <c r="G673" s="769">
        <v>50490</v>
      </c>
      <c r="H673" s="770">
        <v>50490</v>
      </c>
      <c r="I673" s="717"/>
    </row>
    <row r="674" spans="1:9" s="706" customFormat="1" ht="15.6" x14ac:dyDescent="0.3">
      <c r="A674" s="733" t="s">
        <v>91</v>
      </c>
      <c r="B674" s="717"/>
      <c r="C674" s="729">
        <v>2014</v>
      </c>
      <c r="D674" s="725">
        <v>0</v>
      </c>
      <c r="E674" s="766">
        <v>52627</v>
      </c>
      <c r="F674" s="763">
        <v>52627</v>
      </c>
      <c r="G674" s="769">
        <v>52627</v>
      </c>
      <c r="H674" s="770">
        <v>52956.95832441566</v>
      </c>
    </row>
    <row r="675" spans="1:9" s="706" customFormat="1" ht="15.6" x14ac:dyDescent="0.3">
      <c r="A675" s="734">
        <v>2018</v>
      </c>
      <c r="B675" s="713"/>
      <c r="C675" s="729">
        <v>2015</v>
      </c>
      <c r="D675" s="725">
        <v>1</v>
      </c>
      <c r="E675" s="766">
        <v>53476</v>
      </c>
      <c r="F675" s="763">
        <v>53476</v>
      </c>
      <c r="G675" s="769">
        <v>53476</v>
      </c>
      <c r="H675" s="770">
        <v>53448.395829226465</v>
      </c>
    </row>
    <row r="676" spans="1:9" s="706" customFormat="1" ht="14.4" x14ac:dyDescent="0.3">
      <c r="B676" s="713"/>
      <c r="C676" s="729">
        <v>2016</v>
      </c>
      <c r="D676" s="725">
        <v>2</v>
      </c>
      <c r="E676" s="766">
        <v>55321</v>
      </c>
      <c r="F676" s="763">
        <v>55321</v>
      </c>
      <c r="G676" s="769">
        <v>55321</v>
      </c>
      <c r="H676" s="770">
        <v>55294.751914600864</v>
      </c>
    </row>
    <row r="677" spans="1:9" s="706" customFormat="1" ht="15.6" x14ac:dyDescent="0.3">
      <c r="A677" s="733" t="s">
        <v>92</v>
      </c>
      <c r="B677" s="713"/>
      <c r="C677" s="729">
        <v>2017</v>
      </c>
      <c r="D677" s="725">
        <v>3</v>
      </c>
      <c r="E677" s="766">
        <v>58097</v>
      </c>
      <c r="F677" s="763">
        <v>58097</v>
      </c>
      <c r="G677" s="769">
        <v>58097</v>
      </c>
      <c r="H677" s="770">
        <v>58073.881829463462</v>
      </c>
    </row>
    <row r="678" spans="1:9" s="706" customFormat="1" ht="15.6" x14ac:dyDescent="0.3">
      <c r="A678" s="734" t="s">
        <v>704</v>
      </c>
      <c r="B678" s="713"/>
      <c r="C678" s="729">
        <v>2018</v>
      </c>
      <c r="D678" s="725">
        <v>4</v>
      </c>
      <c r="E678" s="766">
        <v>60444</v>
      </c>
      <c r="F678" s="763">
        <v>60444</v>
      </c>
      <c r="G678" s="769">
        <v>60444</v>
      </c>
      <c r="H678" s="770">
        <v>60425.550045430871</v>
      </c>
    </row>
    <row r="679" spans="1:9" s="706" customFormat="1" ht="14.4" x14ac:dyDescent="0.3">
      <c r="B679" s="735"/>
      <c r="C679" s="729">
        <v>2019</v>
      </c>
      <c r="D679" s="725">
        <v>5</v>
      </c>
      <c r="E679" s="766"/>
      <c r="F679" s="763"/>
      <c r="G679" s="769">
        <v>63900.275194151749</v>
      </c>
      <c r="H679" s="770">
        <v>63886.105626383149</v>
      </c>
    </row>
    <row r="680" spans="1:9" s="706" customFormat="1" ht="15.6" x14ac:dyDescent="0.3">
      <c r="A680" s="733" t="s">
        <v>93</v>
      </c>
      <c r="B680" s="713"/>
      <c r="C680" s="729">
        <v>2020</v>
      </c>
      <c r="D680" s="725">
        <v>6</v>
      </c>
      <c r="E680" s="766">
        <v>67592.008333333331</v>
      </c>
      <c r="F680" s="763">
        <v>67592.008333333331</v>
      </c>
      <c r="G680" s="769">
        <v>67592.008333333331</v>
      </c>
      <c r="H680" s="770">
        <v>67586.261137296824</v>
      </c>
    </row>
    <row r="681" spans="1:9" s="706" customFormat="1" ht="15.6" x14ac:dyDescent="0.3">
      <c r="A681" s="733"/>
      <c r="B681" s="713"/>
      <c r="C681" s="729">
        <v>2021</v>
      </c>
      <c r="D681" s="725">
        <v>7</v>
      </c>
      <c r="E681" s="766"/>
      <c r="F681" s="763"/>
      <c r="G681" s="769">
        <v>70020.495472572802</v>
      </c>
      <c r="H681" s="770">
        <v>69971.562343673591</v>
      </c>
    </row>
    <row r="682" spans="1:9" s="706" customFormat="1" ht="15.6" x14ac:dyDescent="0.3">
      <c r="A682" s="736"/>
      <c r="B682" s="713"/>
      <c r="C682" s="729">
        <v>2022</v>
      </c>
      <c r="D682" s="725">
        <v>8</v>
      </c>
      <c r="E682" s="766"/>
      <c r="F682" s="763"/>
      <c r="G682" s="769">
        <v>73392.236400383277</v>
      </c>
      <c r="H682" s="770">
        <v>73290.605418076928</v>
      </c>
    </row>
    <row r="683" spans="1:9" s="706" customFormat="1" ht="15.6" x14ac:dyDescent="0.3">
      <c r="A683" s="734"/>
      <c r="B683" s="713"/>
      <c r="C683" s="729">
        <v>2023</v>
      </c>
      <c r="D683" s="725">
        <v>9</v>
      </c>
      <c r="E683" s="766"/>
      <c r="F683" s="763"/>
      <c r="G683" s="769">
        <v>76986.438314900646</v>
      </c>
      <c r="H683" s="770">
        <v>76821.817730293042</v>
      </c>
    </row>
    <row r="684" spans="1:9" s="706" customFormat="1" ht="14.4" x14ac:dyDescent="0.3">
      <c r="B684" s="713"/>
      <c r="C684" s="729">
        <v>2024</v>
      </c>
      <c r="D684" s="725">
        <v>10</v>
      </c>
      <c r="E684" s="766"/>
      <c r="F684" s="763"/>
      <c r="G684" s="769">
        <v>80814.131561855116</v>
      </c>
      <c r="H684" s="770">
        <v>80574.141632272556</v>
      </c>
    </row>
    <row r="685" spans="1:9" s="706" customFormat="1" ht="14.4" x14ac:dyDescent="0.3">
      <c r="B685" s="713"/>
      <c r="C685" s="729">
        <v>2025</v>
      </c>
      <c r="D685" s="725">
        <v>11</v>
      </c>
      <c r="E685" s="766"/>
      <c r="F685" s="763"/>
      <c r="G685" s="769">
        <v>84886.346486976923</v>
      </c>
      <c r="H685" s="770">
        <v>84556.613894010137</v>
      </c>
    </row>
    <row r="686" spans="1:9" s="706" customFormat="1" ht="14.4" x14ac:dyDescent="0.3">
      <c r="A686" s="917" t="s">
        <v>713</v>
      </c>
      <c r="B686" s="713"/>
      <c r="C686" s="729">
        <v>2026</v>
      </c>
      <c r="D686" s="725">
        <v>12</v>
      </c>
      <c r="E686" s="766"/>
      <c r="F686" s="763"/>
      <c r="G686" s="769">
        <v>89214.113435996245</v>
      </c>
      <c r="H686" s="770">
        <v>88779.239556239641</v>
      </c>
    </row>
    <row r="687" spans="1:9" s="706" customFormat="1" ht="14.4" x14ac:dyDescent="0.3">
      <c r="A687" s="917"/>
      <c r="B687" s="713"/>
      <c r="C687" s="729">
        <v>2027</v>
      </c>
      <c r="D687" s="725">
        <v>13</v>
      </c>
      <c r="E687" s="766"/>
      <c r="F687" s="763"/>
      <c r="G687" s="769">
        <v>93808.462754643318</v>
      </c>
      <c r="H687" s="770">
        <v>93252.665570151672</v>
      </c>
    </row>
    <row r="688" spans="1:9" s="706" customFormat="1" ht="14.4" x14ac:dyDescent="0.3">
      <c r="A688" s="917"/>
      <c r="B688" s="713"/>
      <c r="C688" s="729">
        <v>2028</v>
      </c>
      <c r="D688" s="725">
        <v>14</v>
      </c>
      <c r="E688" s="766"/>
      <c r="F688" s="763"/>
      <c r="G688" s="769">
        <v>98680.42478864835</v>
      </c>
      <c r="H688" s="770">
        <v>97986.911159503506</v>
      </c>
    </row>
    <row r="689" spans="1:8" s="706" customFormat="1" ht="14.4" x14ac:dyDescent="0.3">
      <c r="A689" s="917"/>
      <c r="B689" s="713"/>
      <c r="C689" s="729">
        <v>2029</v>
      </c>
      <c r="D689" s="725">
        <v>15</v>
      </c>
      <c r="E689" s="766"/>
      <c r="F689" s="763"/>
      <c r="G689" s="769">
        <v>103841.02988374153</v>
      </c>
      <c r="H689" s="770">
        <v>102992.02875158864</v>
      </c>
    </row>
    <row r="690" spans="1:8" s="706" customFormat="1" ht="14.4" x14ac:dyDescent="0.3">
      <c r="A690" s="917"/>
      <c r="B690" s="713"/>
      <c r="C690" s="729">
        <v>2030</v>
      </c>
      <c r="D690" s="725">
        <v>16</v>
      </c>
      <c r="E690" s="766"/>
      <c r="F690" s="763"/>
      <c r="G690" s="769">
        <v>109301.30838565309</v>
      </c>
      <c r="H690" s="770">
        <v>108277.90867458332</v>
      </c>
    </row>
    <row r="691" spans="1:8" s="706" customFormat="1" ht="14.4" x14ac:dyDescent="0.3">
      <c r="A691" s="917"/>
      <c r="B691" s="713"/>
      <c r="C691" s="729">
        <v>2031</v>
      </c>
      <c r="D691" s="725">
        <v>17</v>
      </c>
      <c r="E691" s="766"/>
      <c r="F691" s="763"/>
      <c r="G691" s="769">
        <v>115072.29064011323</v>
      </c>
      <c r="H691" s="770">
        <v>113854.21558394277</v>
      </c>
    </row>
    <row r="692" spans="1:8" s="706" customFormat="1" ht="14.4" x14ac:dyDescent="0.3">
      <c r="A692" s="917"/>
      <c r="B692" s="713"/>
      <c r="C692" s="729">
        <v>2032</v>
      </c>
      <c r="D692" s="725">
        <v>18</v>
      </c>
      <c r="E692" s="766"/>
      <c r="F692" s="763"/>
      <c r="G692" s="769">
        <v>121165.00699285216</v>
      </c>
      <c r="H692" s="770">
        <v>119730.8394142238</v>
      </c>
    </row>
    <row r="693" spans="1:8" s="706" customFormat="1" ht="14.4" x14ac:dyDescent="0.3">
      <c r="A693" s="917"/>
      <c r="B693" s="735"/>
      <c r="C693" s="729">
        <v>2033</v>
      </c>
      <c r="D693" s="725">
        <v>19</v>
      </c>
      <c r="E693" s="766"/>
      <c r="F693" s="763"/>
      <c r="G693" s="769">
        <v>127590.4877896001</v>
      </c>
      <c r="H693" s="770">
        <v>125918.55916995999</v>
      </c>
    </row>
    <row r="694" spans="1:8" s="706" customFormat="1" ht="14.4" x14ac:dyDescent="0.3">
      <c r="A694" s="735"/>
      <c r="B694" s="735"/>
      <c r="C694" s="729">
        <v>2034</v>
      </c>
      <c r="D694" s="725">
        <v>20</v>
      </c>
      <c r="E694" s="766"/>
      <c r="F694" s="763"/>
      <c r="G694" s="769">
        <v>134359.76337608724</v>
      </c>
      <c r="H694" s="770">
        <v>132428.65247023152</v>
      </c>
    </row>
    <row r="695" spans="1:8" s="706" customFormat="1" ht="14.4" x14ac:dyDescent="0.3">
      <c r="A695" s="735"/>
      <c r="B695" s="735"/>
      <c r="C695" s="729">
        <v>2035</v>
      </c>
      <c r="D695" s="725">
        <v>21</v>
      </c>
      <c r="E695" s="766"/>
      <c r="F695" s="763"/>
      <c r="G695" s="769">
        <v>141483.86409804382</v>
      </c>
      <c r="H695" s="770">
        <v>139272.08606474844</v>
      </c>
    </row>
    <row r="696" spans="1:8" s="706" customFormat="1" ht="14.4" x14ac:dyDescent="0.3">
      <c r="A696" s="735"/>
      <c r="B696" s="735"/>
      <c r="C696" s="729">
        <v>2036</v>
      </c>
      <c r="D696" s="725">
        <v>22</v>
      </c>
      <c r="E696" s="766"/>
      <c r="F696" s="763"/>
      <c r="G696" s="769">
        <v>148973.82030120003</v>
      </c>
      <c r="H696" s="770">
        <v>146459.34154256014</v>
      </c>
    </row>
    <row r="697" spans="1:8" s="706" customFormat="1" ht="14.4" x14ac:dyDescent="0.3">
      <c r="A697" s="735"/>
      <c r="B697" s="735"/>
      <c r="C697" s="729">
        <v>2037</v>
      </c>
      <c r="D697" s="725">
        <v>23</v>
      </c>
      <c r="E697" s="766"/>
      <c r="F697" s="763"/>
      <c r="G697" s="769">
        <v>156840.66233128606</v>
      </c>
      <c r="H697" s="770">
        <v>153999.86070226869</v>
      </c>
    </row>
    <row r="698" spans="1:8" s="706" customFormat="1" ht="14.4" x14ac:dyDescent="0.3">
      <c r="A698" s="735"/>
      <c r="B698" s="735"/>
      <c r="C698" s="729">
        <v>2038</v>
      </c>
      <c r="D698" s="725">
        <v>24</v>
      </c>
      <c r="E698" s="766"/>
      <c r="F698" s="763"/>
      <c r="G698" s="769">
        <v>165095.42053403216</v>
      </c>
      <c r="H698" s="770">
        <v>161902.21196778119</v>
      </c>
    </row>
    <row r="699" spans="1:8" s="706" customFormat="1" ht="14.4" x14ac:dyDescent="0.3">
      <c r="A699" s="735"/>
      <c r="B699" s="735"/>
      <c r="C699" s="729">
        <v>2039</v>
      </c>
      <c r="D699" s="725">
        <v>25</v>
      </c>
      <c r="E699" s="766"/>
      <c r="F699" s="763"/>
      <c r="G699" s="769">
        <v>173749.12525516853</v>
      </c>
      <c r="H699" s="770">
        <v>170174.04557233778</v>
      </c>
    </row>
    <row r="700" spans="1:8" s="706" customFormat="1" ht="14.4" x14ac:dyDescent="0.3">
      <c r="A700" s="735"/>
      <c r="B700" s="735"/>
      <c r="C700" s="729">
        <v>2040</v>
      </c>
      <c r="D700" s="725">
        <v>26</v>
      </c>
      <c r="E700" s="766"/>
      <c r="F700" s="763"/>
      <c r="G700" s="769">
        <v>182812.80684042536</v>
      </c>
      <c r="H700" s="770">
        <v>178823.07510555815</v>
      </c>
    </row>
    <row r="701" spans="1:8" s="706" customFormat="1" ht="14.4" x14ac:dyDescent="0.3">
      <c r="A701" s="735"/>
      <c r="B701" s="735"/>
      <c r="C701" s="729">
        <v>2041</v>
      </c>
      <c r="D701" s="725">
        <v>27</v>
      </c>
      <c r="E701" s="766"/>
      <c r="F701" s="763"/>
      <c r="G701" s="769">
        <v>192297.49563553283</v>
      </c>
      <c r="H701" s="770">
        <v>187857.90161002244</v>
      </c>
    </row>
    <row r="702" spans="1:8" s="706" customFormat="1" ht="14.4" x14ac:dyDescent="0.3">
      <c r="A702" s="735"/>
      <c r="B702" s="735"/>
      <c r="C702" s="729">
        <v>2042</v>
      </c>
      <c r="D702" s="725">
        <v>28</v>
      </c>
      <c r="E702" s="766"/>
      <c r="F702" s="763"/>
      <c r="G702" s="769">
        <v>202214.22198622127</v>
      </c>
      <c r="H702" s="770">
        <v>197287.60733386496</v>
      </c>
    </row>
    <row r="703" spans="1:8" s="706" customFormat="1" ht="14.4" x14ac:dyDescent="0.3">
      <c r="A703" s="735"/>
      <c r="B703" s="735"/>
      <c r="C703" s="729">
        <v>2043</v>
      </c>
      <c r="D703" s="725">
        <v>29</v>
      </c>
      <c r="E703" s="766"/>
      <c r="F703" s="763"/>
      <c r="G703" s="769">
        <v>212574.01623822079</v>
      </c>
      <c r="H703" s="770">
        <v>207120.58443634529</v>
      </c>
    </row>
    <row r="704" spans="1:8" s="706" customFormat="1" ht="14.4" x14ac:dyDescent="0.3">
      <c r="A704" s="735"/>
      <c r="B704" s="735"/>
      <c r="C704" s="729">
        <v>2044</v>
      </c>
      <c r="D704" s="725">
        <v>30</v>
      </c>
      <c r="E704" s="766"/>
      <c r="F704" s="763"/>
      <c r="G704" s="769">
        <v>223387.9087372616</v>
      </c>
      <c r="H704" s="770">
        <v>217365.17564180263</v>
      </c>
    </row>
    <row r="705" spans="1:8" s="706" customFormat="1" ht="14.4" x14ac:dyDescent="0.3">
      <c r="A705" s="735"/>
      <c r="B705" s="735"/>
      <c r="C705" s="729">
        <v>2045</v>
      </c>
      <c r="D705" s="725">
        <v>31</v>
      </c>
      <c r="E705" s="766"/>
      <c r="F705" s="763"/>
      <c r="G705" s="769">
        <v>234666.92982907395</v>
      </c>
      <c r="H705" s="770">
        <v>228029.57831714189</v>
      </c>
    </row>
    <row r="706" spans="1:8" s="706" customFormat="1" ht="14.4" x14ac:dyDescent="0.3">
      <c r="A706" s="735"/>
      <c r="B706" s="735"/>
      <c r="C706" s="729">
        <v>2046</v>
      </c>
      <c r="D706" s="725">
        <v>32</v>
      </c>
      <c r="E706" s="766"/>
      <c r="F706" s="763"/>
      <c r="G706" s="769">
        <v>246422.10985938803</v>
      </c>
      <c r="H706" s="770">
        <v>239121.79104992421</v>
      </c>
    </row>
    <row r="707" spans="1:8" s="706" customFormat="1" ht="14.4" x14ac:dyDescent="0.3">
      <c r="A707" s="737"/>
      <c r="B707" s="738"/>
      <c r="C707" s="729">
        <v>2047</v>
      </c>
      <c r="D707" s="725">
        <v>33</v>
      </c>
      <c r="E707" s="766"/>
      <c r="F707" s="763"/>
      <c r="G707" s="769">
        <v>258664.47917393403</v>
      </c>
      <c r="H707" s="770">
        <v>250649.69969677585</v>
      </c>
    </row>
    <row r="708" spans="1:8" s="706" customFormat="1" ht="14.4" x14ac:dyDescent="0.3">
      <c r="B708" s="738"/>
      <c r="C708" s="729">
        <v>2048</v>
      </c>
      <c r="D708" s="725">
        <v>34</v>
      </c>
      <c r="E708" s="766"/>
      <c r="F708" s="763"/>
      <c r="G708" s="769">
        <v>271405.0681184422</v>
      </c>
      <c r="H708" s="770">
        <v>262621.17921422882</v>
      </c>
    </row>
    <row r="709" spans="1:8" s="706" customFormat="1" ht="14.4" x14ac:dyDescent="0.3">
      <c r="C709" s="729">
        <v>2049</v>
      </c>
      <c r="D709" s="725">
        <v>35</v>
      </c>
      <c r="E709" s="766"/>
      <c r="F709" s="763"/>
      <c r="G709" s="769">
        <v>284654.90703864273</v>
      </c>
      <c r="H709" s="770">
        <v>275044.04608627938</v>
      </c>
    </row>
    <row r="710" spans="1:8" s="706" customFormat="1" ht="14.4" x14ac:dyDescent="0.3">
      <c r="C710" s="729">
        <v>2050</v>
      </c>
      <c r="D710" s="739">
        <v>36</v>
      </c>
      <c r="E710" s="771">
        <v>298423.81166666665</v>
      </c>
      <c r="F710" s="763">
        <v>298423.81166666665</v>
      </c>
      <c r="G710" s="772">
        <v>298423.81166666665</v>
      </c>
      <c r="H710" s="773">
        <v>287924.77515661146</v>
      </c>
    </row>
    <row r="711" spans="1:8" s="706" customFormat="1" ht="14.4" x14ac:dyDescent="0.3">
      <c r="C711" s="729">
        <v>2051</v>
      </c>
      <c r="D711" s="725">
        <v>37</v>
      </c>
      <c r="E711" s="766"/>
      <c r="F711" s="763"/>
      <c r="G711" s="769">
        <v>312726.45618904172</v>
      </c>
      <c r="H711" s="770">
        <v>301274.36761975096</v>
      </c>
    </row>
    <row r="712" spans="1:8" s="706" customFormat="1" ht="14.4" x14ac:dyDescent="0.3">
      <c r="C712" s="729">
        <v>2052</v>
      </c>
      <c r="D712" s="725">
        <v>38</v>
      </c>
      <c r="E712" s="766"/>
      <c r="F712" s="763"/>
      <c r="G712" s="769">
        <v>327570.22711070062</v>
      </c>
      <c r="H712" s="770">
        <v>315096.59552536532</v>
      </c>
    </row>
    <row r="713" spans="1:8" s="706" customFormat="1" ht="14.4" x14ac:dyDescent="0.3">
      <c r="C713" s="729">
        <v>2053</v>
      </c>
      <c r="D713" s="725">
        <v>39</v>
      </c>
      <c r="E713" s="766"/>
      <c r="F713" s="763"/>
      <c r="G713" s="769">
        <v>342967.36939097272</v>
      </c>
      <c r="H713" s="770">
        <v>329399.7331200745</v>
      </c>
    </row>
    <row r="714" spans="1:8" s="706" customFormat="1" ht="14.4" x14ac:dyDescent="0.3">
      <c r="C714" s="729">
        <v>2054</v>
      </c>
      <c r="D714" s="725">
        <v>40</v>
      </c>
      <c r="E714" s="766"/>
      <c r="F714" s="763"/>
      <c r="G714" s="769">
        <v>358928.91337558819</v>
      </c>
      <c r="H714" s="770">
        <v>344190.70966774155</v>
      </c>
    </row>
    <row r="715" spans="1:8" s="706" customFormat="1" ht="14.4" x14ac:dyDescent="0.3">
      <c r="C715" s="729">
        <v>2055</v>
      </c>
      <c r="D715" s="739">
        <v>41</v>
      </c>
      <c r="E715" s="771"/>
      <c r="F715" s="763"/>
      <c r="G715" s="772">
        <v>375465.88941027736</v>
      </c>
      <c r="H715" s="773">
        <v>359476.35718395968</v>
      </c>
    </row>
    <row r="716" spans="1:8" s="706" customFormat="1" ht="14.4" x14ac:dyDescent="0.3">
      <c r="C716" s="729">
        <v>2056</v>
      </c>
      <c r="D716" s="725">
        <v>42</v>
      </c>
      <c r="E716" s="766"/>
      <c r="F716" s="763"/>
      <c r="G716" s="769">
        <v>392589.32784077025</v>
      </c>
      <c r="H716" s="770">
        <v>375263.45151849877</v>
      </c>
    </row>
    <row r="717" spans="1:8" s="706" customFormat="1" ht="14.4" x14ac:dyDescent="0.3">
      <c r="C717" s="729">
        <v>2057</v>
      </c>
      <c r="D717" s="725">
        <v>43</v>
      </c>
      <c r="E717" s="766"/>
      <c r="F717" s="763"/>
      <c r="G717" s="769">
        <v>410310.25901279732</v>
      </c>
      <c r="H717" s="770">
        <v>391558.72278261755</v>
      </c>
    </row>
    <row r="718" spans="1:8" s="706" customFormat="1" ht="14.4" x14ac:dyDescent="0.3">
      <c r="C718" s="729">
        <v>2058</v>
      </c>
      <c r="D718" s="725">
        <v>44</v>
      </c>
      <c r="E718" s="766"/>
      <c r="F718" s="763"/>
      <c r="G718" s="769">
        <v>428639.71327208856</v>
      </c>
      <c r="H718" s="770">
        <v>408368.87241489324</v>
      </c>
    </row>
    <row r="719" spans="1:8" s="706" customFormat="1" ht="14.4" x14ac:dyDescent="0.3">
      <c r="C719" s="729">
        <v>2059</v>
      </c>
      <c r="D719" s="725">
        <v>45</v>
      </c>
      <c r="E719" s="766"/>
      <c r="F719" s="763"/>
      <c r="G719" s="769">
        <v>447588.72096437425</v>
      </c>
      <c r="H719" s="770">
        <v>425700.58265047852</v>
      </c>
    </row>
    <row r="720" spans="1:8" s="706" customFormat="1" ht="14.4" x14ac:dyDescent="0.3">
      <c r="C720" s="742">
        <v>2060</v>
      </c>
      <c r="D720" s="739">
        <v>46</v>
      </c>
      <c r="E720" s="771"/>
      <c r="F720" s="763"/>
      <c r="G720" s="772">
        <v>467168.31243538467</v>
      </c>
      <c r="H720" s="773">
        <v>443560.44098432612</v>
      </c>
    </row>
    <row r="721" spans="1:11" s="706" customFormat="1" ht="14.4" x14ac:dyDescent="0.3">
      <c r="D721" s="743"/>
    </row>
    <row r="722" spans="1:11" s="706" customFormat="1" ht="14.4" x14ac:dyDescent="0.3">
      <c r="D722" s="743"/>
    </row>
    <row r="723" spans="1:11" s="706" customFormat="1" ht="14.4" x14ac:dyDescent="0.3">
      <c r="A723" s="748" t="str">
        <f>HYPERLINK("#'Interp-FREIGHT'!a1","Back to top")</f>
        <v>Back to top</v>
      </c>
      <c r="D723" s="743"/>
    </row>
    <row r="724" spans="1:11" s="706" customFormat="1" ht="14.4" x14ac:dyDescent="0.3">
      <c r="D724" s="743"/>
    </row>
    <row r="725" spans="1:11" s="706" customFormat="1" ht="14.4" x14ac:dyDescent="0.3">
      <c r="D725" s="743"/>
    </row>
    <row r="726" spans="1:11" s="706" customFormat="1" ht="15.6" x14ac:dyDescent="0.3">
      <c r="A726" s="703">
        <f>1+A661</f>
        <v>8</v>
      </c>
      <c r="B726" s="704" t="s">
        <v>714</v>
      </c>
      <c r="C726" s="705"/>
      <c r="D726" s="705"/>
      <c r="E726" s="705"/>
      <c r="F726" s="705"/>
      <c r="G726" s="705"/>
      <c r="H726" s="705"/>
      <c r="I726" s="705"/>
      <c r="J726" s="705"/>
      <c r="K726" s="705"/>
    </row>
    <row r="727" spans="1:11" s="706" customFormat="1" ht="15.6" x14ac:dyDescent="0.3">
      <c r="A727" s="707" t="s">
        <v>74</v>
      </c>
      <c r="B727" s="708"/>
      <c r="C727" s="708"/>
      <c r="D727" s="709"/>
      <c r="E727" s="710"/>
      <c r="F727" s="918"/>
      <c r="G727" s="710"/>
      <c r="H727" s="711"/>
    </row>
    <row r="728" spans="1:11" s="706" customFormat="1" ht="16.2" thickBot="1" x14ac:dyDescent="0.35">
      <c r="A728" s="744" t="s">
        <v>75</v>
      </c>
      <c r="B728" s="713"/>
      <c r="C728" s="713"/>
      <c r="D728" s="714"/>
      <c r="E728" s="745" t="s">
        <v>78</v>
      </c>
      <c r="F728" s="919"/>
      <c r="G728" s="746" t="s">
        <v>715</v>
      </c>
      <c r="H728" s="711"/>
    </row>
    <row r="729" spans="1:11" s="706" customFormat="1" ht="66.599999999999994" thickBot="1" x14ac:dyDescent="0.35">
      <c r="A729" s="717"/>
      <c r="B729" s="717"/>
      <c r="C729" s="717"/>
      <c r="D729" s="718"/>
      <c r="E729" s="747" t="s">
        <v>704</v>
      </c>
      <c r="F729" s="747" t="s">
        <v>125</v>
      </c>
      <c r="G729" s="746" t="s">
        <v>716</v>
      </c>
      <c r="H729" s="778" t="s">
        <v>753</v>
      </c>
      <c r="I729" s="747" t="s">
        <v>83</v>
      </c>
      <c r="J729" s="905" t="s">
        <v>84</v>
      </c>
      <c r="K729" s="906"/>
    </row>
    <row r="730" spans="1:11" s="706" customFormat="1" ht="15.6" x14ac:dyDescent="0.3">
      <c r="A730" s="707" t="s">
        <v>85</v>
      </c>
      <c r="B730" s="717"/>
      <c r="C730" s="720">
        <v>2005</v>
      </c>
      <c r="D730" s="721">
        <v>-9</v>
      </c>
      <c r="E730" s="762"/>
      <c r="F730" s="763"/>
      <c r="G730" s="764">
        <v>37591.826876783874</v>
      </c>
      <c r="H730" s="765">
        <v>37591.826876783874</v>
      </c>
      <c r="I730" s="911" t="s">
        <v>86</v>
      </c>
      <c r="J730" s="907"/>
      <c r="K730" s="908"/>
    </row>
    <row r="731" spans="1:11" s="706" customFormat="1" ht="15.6" x14ac:dyDescent="0.3">
      <c r="A731" s="744" t="s">
        <v>87</v>
      </c>
      <c r="B731" s="717"/>
      <c r="C731" s="729">
        <v>2006</v>
      </c>
      <c r="D731" s="725">
        <v>-8</v>
      </c>
      <c r="E731" s="766"/>
      <c r="F731" s="763"/>
      <c r="G731" s="767">
        <v>38690.455237836417</v>
      </c>
      <c r="H731" s="768">
        <v>38690.455237836417</v>
      </c>
      <c r="I731" s="912"/>
      <c r="J731" s="907"/>
      <c r="K731" s="908"/>
    </row>
    <row r="732" spans="1:11" s="706" customFormat="1" ht="13.8" customHeight="1" x14ac:dyDescent="0.3">
      <c r="A732" s="717"/>
      <c r="B732" s="717"/>
      <c r="C732" s="729">
        <v>2007</v>
      </c>
      <c r="D732" s="725">
        <v>-7</v>
      </c>
      <c r="E732" s="766">
        <v>40759</v>
      </c>
      <c r="F732" s="763">
        <v>40759</v>
      </c>
      <c r="G732" s="767">
        <v>40759</v>
      </c>
      <c r="H732" s="768">
        <v>40759</v>
      </c>
      <c r="I732" s="912"/>
      <c r="J732" s="907"/>
      <c r="K732" s="908"/>
    </row>
    <row r="733" spans="1:11" s="706" customFormat="1" ht="15.6" x14ac:dyDescent="0.3">
      <c r="A733" s="726" t="s">
        <v>88</v>
      </c>
      <c r="B733" s="717"/>
      <c r="C733" s="729">
        <v>2008</v>
      </c>
      <c r="D733" s="725">
        <v>-6</v>
      </c>
      <c r="E733" s="766">
        <v>41926</v>
      </c>
      <c r="F733" s="763">
        <v>41926</v>
      </c>
      <c r="G733" s="767">
        <v>41926</v>
      </c>
      <c r="H733" s="768">
        <v>41926</v>
      </c>
      <c r="I733" s="912"/>
      <c r="J733" s="909"/>
      <c r="K733" s="910"/>
    </row>
    <row r="734" spans="1:11" s="706" customFormat="1" ht="14.4" x14ac:dyDescent="0.3">
      <c r="A734" s="914" t="s">
        <v>717</v>
      </c>
      <c r="B734" s="717"/>
      <c r="C734" s="729">
        <v>2009</v>
      </c>
      <c r="D734" s="725">
        <v>-5</v>
      </c>
      <c r="E734" s="766">
        <v>40099</v>
      </c>
      <c r="F734" s="763">
        <v>40099</v>
      </c>
      <c r="G734" s="767">
        <v>40099</v>
      </c>
      <c r="H734" s="768">
        <v>40099</v>
      </c>
      <c r="I734" s="912"/>
    </row>
    <row r="735" spans="1:11" s="706" customFormat="1" ht="14.4" x14ac:dyDescent="0.3">
      <c r="A735" s="915"/>
      <c r="B735" s="717"/>
      <c r="C735" s="729">
        <v>2010</v>
      </c>
      <c r="D735" s="725">
        <v>-4</v>
      </c>
      <c r="E735" s="766">
        <v>44369</v>
      </c>
      <c r="F735" s="763">
        <v>44369</v>
      </c>
      <c r="G735" s="767">
        <v>44369</v>
      </c>
      <c r="H735" s="768">
        <v>44369</v>
      </c>
      <c r="I735" s="912"/>
    </row>
    <row r="736" spans="1:11" s="706" customFormat="1" ht="14.4" x14ac:dyDescent="0.3">
      <c r="A736" s="915"/>
      <c r="B736" s="717"/>
      <c r="C736" s="729">
        <v>2011</v>
      </c>
      <c r="D736" s="725">
        <v>-3</v>
      </c>
      <c r="E736" s="766">
        <v>46617</v>
      </c>
      <c r="F736" s="763">
        <v>46617</v>
      </c>
      <c r="G736" s="767">
        <v>46617</v>
      </c>
      <c r="H736" s="768">
        <v>46617</v>
      </c>
      <c r="I736" s="913"/>
    </row>
    <row r="737" spans="1:9" s="706" customFormat="1" ht="14.4" x14ac:dyDescent="0.3">
      <c r="A737" s="916"/>
      <c r="B737" s="717"/>
      <c r="C737" s="729">
        <v>2012</v>
      </c>
      <c r="D737" s="725">
        <v>-2</v>
      </c>
      <c r="E737" s="766">
        <v>48864</v>
      </c>
      <c r="F737" s="763">
        <v>48864</v>
      </c>
      <c r="G737" s="769">
        <v>48864</v>
      </c>
      <c r="H737" s="770">
        <v>48864</v>
      </c>
      <c r="I737" s="732" t="s">
        <v>90</v>
      </c>
    </row>
    <row r="738" spans="1:9" s="706" customFormat="1" ht="14.4" x14ac:dyDescent="0.3">
      <c r="A738" s="717"/>
      <c r="B738" s="717"/>
      <c r="C738" s="729">
        <v>2013</v>
      </c>
      <c r="D738" s="725">
        <v>-1</v>
      </c>
      <c r="E738" s="766">
        <v>50490</v>
      </c>
      <c r="F738" s="763">
        <v>50490</v>
      </c>
      <c r="G738" s="769">
        <v>50490</v>
      </c>
      <c r="H738" s="770">
        <v>50490</v>
      </c>
      <c r="I738" s="717"/>
    </row>
    <row r="739" spans="1:9" s="706" customFormat="1" ht="15.6" x14ac:dyDescent="0.3">
      <c r="A739" s="733" t="s">
        <v>91</v>
      </c>
      <c r="B739" s="717"/>
      <c r="C739" s="729">
        <v>2014</v>
      </c>
      <c r="D739" s="725">
        <v>0</v>
      </c>
      <c r="E739" s="766">
        <v>52627</v>
      </c>
      <c r="F739" s="763">
        <v>52627</v>
      </c>
      <c r="G739" s="769">
        <v>52627</v>
      </c>
      <c r="H739" s="770">
        <v>52956.95832441566</v>
      </c>
    </row>
    <row r="740" spans="1:9" s="706" customFormat="1" ht="15.6" x14ac:dyDescent="0.3">
      <c r="A740" s="734">
        <v>2018</v>
      </c>
      <c r="B740" s="713"/>
      <c r="C740" s="729">
        <v>2015</v>
      </c>
      <c r="D740" s="725">
        <v>1</v>
      </c>
      <c r="E740" s="766">
        <v>53476</v>
      </c>
      <c r="F740" s="763">
        <v>53476</v>
      </c>
      <c r="G740" s="769">
        <v>53476</v>
      </c>
      <c r="H740" s="770">
        <v>53448.395829226465</v>
      </c>
    </row>
    <row r="741" spans="1:9" s="706" customFormat="1" ht="14.4" x14ac:dyDescent="0.3">
      <c r="B741" s="713"/>
      <c r="C741" s="729">
        <v>2016</v>
      </c>
      <c r="D741" s="725">
        <v>2</v>
      </c>
      <c r="E741" s="766">
        <v>55321</v>
      </c>
      <c r="F741" s="763">
        <v>55321</v>
      </c>
      <c r="G741" s="769">
        <v>55321</v>
      </c>
      <c r="H741" s="770">
        <v>55294.751914600864</v>
      </c>
    </row>
    <row r="742" spans="1:9" s="706" customFormat="1" ht="15.6" x14ac:dyDescent="0.3">
      <c r="A742" s="733" t="s">
        <v>92</v>
      </c>
      <c r="B742" s="713"/>
      <c r="C742" s="729">
        <v>2017</v>
      </c>
      <c r="D742" s="725">
        <v>3</v>
      </c>
      <c r="E742" s="766">
        <v>58097</v>
      </c>
      <c r="F742" s="763">
        <v>58097</v>
      </c>
      <c r="G742" s="769">
        <v>58097</v>
      </c>
      <c r="H742" s="770">
        <v>58073.881829463462</v>
      </c>
    </row>
    <row r="743" spans="1:9" s="706" customFormat="1" ht="15.6" x14ac:dyDescent="0.3">
      <c r="A743" s="734" t="s">
        <v>704</v>
      </c>
      <c r="B743" s="713"/>
      <c r="C743" s="729">
        <v>2018</v>
      </c>
      <c r="D743" s="725">
        <v>4</v>
      </c>
      <c r="E743" s="766">
        <v>60444</v>
      </c>
      <c r="F743" s="763">
        <v>60444</v>
      </c>
      <c r="G743" s="769">
        <v>60444</v>
      </c>
      <c r="H743" s="770">
        <v>60425.550045430871</v>
      </c>
    </row>
    <row r="744" spans="1:9" s="706" customFormat="1" ht="14.4" x14ac:dyDescent="0.3">
      <c r="B744" s="735"/>
      <c r="C744" s="729">
        <v>2019</v>
      </c>
      <c r="D744" s="725">
        <v>5</v>
      </c>
      <c r="E744" s="766"/>
      <c r="F744" s="763"/>
      <c r="G744" s="769">
        <v>62433.821285800848</v>
      </c>
      <c r="H744" s="770">
        <v>62419.976896882741</v>
      </c>
    </row>
    <row r="745" spans="1:9" s="706" customFormat="1" ht="15.6" x14ac:dyDescent="0.3">
      <c r="A745" s="733" t="s">
        <v>93</v>
      </c>
      <c r="B745" s="713"/>
      <c r="C745" s="729">
        <v>2020</v>
      </c>
      <c r="D745" s="725">
        <v>6</v>
      </c>
      <c r="E745" s="766"/>
      <c r="F745" s="763"/>
      <c r="G745" s="769">
        <v>64582.835439565468</v>
      </c>
      <c r="H745" s="770">
        <v>64577.344106713899</v>
      </c>
    </row>
    <row r="746" spans="1:9" s="706" customFormat="1" ht="15.6" x14ac:dyDescent="0.3">
      <c r="A746" s="733"/>
      <c r="B746" s="713"/>
      <c r="C746" s="729">
        <v>2021</v>
      </c>
      <c r="D746" s="725">
        <v>7</v>
      </c>
      <c r="E746" s="766"/>
      <c r="F746" s="763"/>
      <c r="G746" s="769">
        <v>66720.052214733048</v>
      </c>
      <c r="H746" s="770">
        <v>66673.425567875573</v>
      </c>
    </row>
    <row r="747" spans="1:9" s="706" customFormat="1" ht="15.6" x14ac:dyDescent="0.3">
      <c r="A747" s="736"/>
      <c r="B747" s="713"/>
      <c r="C747" s="729">
        <v>2022</v>
      </c>
      <c r="D747" s="725">
        <v>8</v>
      </c>
      <c r="E747" s="766"/>
      <c r="F747" s="763"/>
      <c r="G747" s="769">
        <v>68833.894953274357</v>
      </c>
      <c r="H747" s="770">
        <v>68738.576201548218</v>
      </c>
    </row>
    <row r="748" spans="1:9" s="706" customFormat="1" ht="15.6" x14ac:dyDescent="0.3">
      <c r="A748" s="734"/>
      <c r="B748" s="713"/>
      <c r="C748" s="729">
        <v>2023</v>
      </c>
      <c r="D748" s="725">
        <v>9</v>
      </c>
      <c r="E748" s="766"/>
      <c r="F748" s="763"/>
      <c r="G748" s="769">
        <v>70912.786997160147</v>
      </c>
      <c r="H748" s="770">
        <v>70761.153739314424</v>
      </c>
    </row>
    <row r="749" spans="1:9" s="706" customFormat="1" ht="14.4" x14ac:dyDescent="0.3">
      <c r="B749" s="713"/>
      <c r="C749" s="729">
        <v>2024</v>
      </c>
      <c r="D749" s="725">
        <v>10</v>
      </c>
      <c r="E749" s="766"/>
      <c r="F749" s="763"/>
      <c r="G749" s="769">
        <v>72945.151688361162</v>
      </c>
      <c r="H749" s="770">
        <v>72728.529898598063</v>
      </c>
    </row>
    <row r="750" spans="1:9" s="706" customFormat="1" ht="14.4" x14ac:dyDescent="0.3">
      <c r="B750" s="713"/>
      <c r="C750" s="729">
        <v>2025</v>
      </c>
      <c r="D750" s="725">
        <v>11</v>
      </c>
      <c r="E750" s="766"/>
      <c r="F750" s="763"/>
      <c r="G750" s="769">
        <v>74919.412368848178</v>
      </c>
      <c r="H750" s="770">
        <v>74628.395342833071</v>
      </c>
    </row>
    <row r="751" spans="1:9" s="706" customFormat="1" ht="14.4" x14ac:dyDescent="0.3">
      <c r="A751" s="917" t="s">
        <v>713</v>
      </c>
      <c r="B751" s="713"/>
      <c r="C751" s="729">
        <v>2026</v>
      </c>
      <c r="D751" s="725">
        <v>12</v>
      </c>
      <c r="E751" s="766"/>
      <c r="F751" s="763"/>
      <c r="G751" s="769">
        <v>76823.992380591924</v>
      </c>
      <c r="H751" s="770">
        <v>76449.514102007583</v>
      </c>
    </row>
    <row r="752" spans="1:9" s="706" customFormat="1" ht="14.4" x14ac:dyDescent="0.3">
      <c r="A752" s="917"/>
      <c r="B752" s="713"/>
      <c r="C752" s="729">
        <v>2027</v>
      </c>
      <c r="D752" s="725">
        <v>13</v>
      </c>
      <c r="E752" s="766"/>
      <c r="F752" s="763"/>
      <c r="G752" s="769">
        <v>78647.315065563191</v>
      </c>
      <c r="H752" s="770">
        <v>78181.344778899424</v>
      </c>
    </row>
    <row r="753" spans="1:8" s="706" customFormat="1" ht="14.4" x14ac:dyDescent="0.3">
      <c r="A753" s="917"/>
      <c r="B753" s="713"/>
      <c r="C753" s="729">
        <v>2028</v>
      </c>
      <c r="D753" s="725">
        <v>14</v>
      </c>
      <c r="E753" s="766"/>
      <c r="F753" s="763"/>
      <c r="G753" s="769">
        <v>80377.803765732708</v>
      </c>
      <c r="H753" s="770">
        <v>79812.918657955204</v>
      </c>
    </row>
    <row r="754" spans="1:8" s="706" customFormat="1" ht="14.4" x14ac:dyDescent="0.3">
      <c r="A754" s="917"/>
      <c r="B754" s="713"/>
      <c r="C754" s="729">
        <v>2029</v>
      </c>
      <c r="D754" s="725">
        <v>15</v>
      </c>
      <c r="E754" s="766"/>
      <c r="F754" s="763"/>
      <c r="G754" s="769">
        <v>82003.88182307125</v>
      </c>
      <c r="H754" s="770">
        <v>81333.420555625562</v>
      </c>
    </row>
    <row r="755" spans="1:8" s="706" customFormat="1" ht="14.4" x14ac:dyDescent="0.3">
      <c r="A755" s="917"/>
      <c r="B755" s="713"/>
      <c r="C755" s="729">
        <v>2030</v>
      </c>
      <c r="D755" s="725">
        <v>16</v>
      </c>
      <c r="E755" s="766"/>
      <c r="F755" s="763"/>
      <c r="G755" s="769">
        <v>83513.972579549561</v>
      </c>
      <c r="H755" s="770">
        <v>82732.022421124755</v>
      </c>
    </row>
    <row r="756" spans="1:8" s="706" customFormat="1" ht="14.4" x14ac:dyDescent="0.3">
      <c r="A756" s="917"/>
      <c r="B756" s="713"/>
      <c r="C756" s="729">
        <v>2031</v>
      </c>
      <c r="D756" s="725">
        <v>17</v>
      </c>
      <c r="E756" s="766"/>
      <c r="F756" s="763"/>
      <c r="G756" s="769">
        <v>84896.499377138418</v>
      </c>
      <c r="H756" s="770">
        <v>83997.844212873912</v>
      </c>
    </row>
    <row r="757" spans="1:8" s="706" customFormat="1" ht="14.4" x14ac:dyDescent="0.3">
      <c r="A757" s="917"/>
      <c r="B757" s="713"/>
      <c r="C757" s="729">
        <v>2032</v>
      </c>
      <c r="D757" s="725">
        <v>18</v>
      </c>
      <c r="E757" s="766"/>
      <c r="F757" s="763"/>
      <c r="G757" s="769">
        <v>86139.885557808549</v>
      </c>
      <c r="H757" s="770">
        <v>85120.292243205316</v>
      </c>
    </row>
    <row r="758" spans="1:8" s="706" customFormat="1" ht="14.4" x14ac:dyDescent="0.3">
      <c r="A758" s="917"/>
      <c r="B758" s="735"/>
      <c r="C758" s="729">
        <v>2033</v>
      </c>
      <c r="D758" s="725">
        <v>19</v>
      </c>
      <c r="E758" s="766"/>
      <c r="F758" s="763"/>
      <c r="G758" s="769">
        <v>87232.554463530716</v>
      </c>
      <c r="H758" s="770">
        <v>86089.470783088982</v>
      </c>
    </row>
    <row r="759" spans="1:8" s="706" customFormat="1" ht="14.4" x14ac:dyDescent="0.3">
      <c r="A759" s="735"/>
      <c r="B759" s="735"/>
      <c r="C759" s="729">
        <v>2034</v>
      </c>
      <c r="D759" s="725">
        <v>20</v>
      </c>
      <c r="E759" s="766"/>
      <c r="F759" s="763"/>
      <c r="G759" s="769">
        <v>88162.929436275706</v>
      </c>
      <c r="H759" s="770">
        <v>86895.791193035242</v>
      </c>
    </row>
    <row r="760" spans="1:8" s="706" customFormat="1" ht="14.4" x14ac:dyDescent="0.3">
      <c r="A760" s="735"/>
      <c r="B760" s="735"/>
      <c r="C760" s="729">
        <v>2035</v>
      </c>
      <c r="D760" s="725">
        <v>21</v>
      </c>
      <c r="E760" s="766"/>
      <c r="F760" s="763"/>
      <c r="G760" s="769">
        <v>88919.433818014222</v>
      </c>
      <c r="H760" s="770">
        <v>87529.380954350141</v>
      </c>
    </row>
    <row r="761" spans="1:8" s="706" customFormat="1" ht="14.4" x14ac:dyDescent="0.3">
      <c r="A761" s="735"/>
      <c r="B761" s="735"/>
      <c r="C761" s="729">
        <v>2036</v>
      </c>
      <c r="D761" s="725">
        <v>22</v>
      </c>
      <c r="E761" s="766"/>
      <c r="F761" s="763"/>
      <c r="G761" s="769">
        <v>89490.490950717067</v>
      </c>
      <c r="H761" s="770">
        <v>87980.011202390291</v>
      </c>
    </row>
    <row r="762" spans="1:8" s="706" customFormat="1" ht="14.4" x14ac:dyDescent="0.3">
      <c r="A762" s="735"/>
      <c r="B762" s="735"/>
      <c r="C762" s="729">
        <v>2037</v>
      </c>
      <c r="D762" s="725">
        <v>23</v>
      </c>
      <c r="E762" s="766"/>
      <c r="F762" s="763"/>
      <c r="G762" s="769">
        <v>89864.524176354986</v>
      </c>
      <c r="H762" s="770">
        <v>88236.838582093522</v>
      </c>
    </row>
    <row r="763" spans="1:8" s="706" customFormat="1" ht="14.4" x14ac:dyDescent="0.3">
      <c r="A763" s="735"/>
      <c r="B763" s="735"/>
      <c r="C763" s="729">
        <v>2038</v>
      </c>
      <c r="D763" s="725">
        <v>24</v>
      </c>
      <c r="E763" s="766"/>
      <c r="F763" s="763"/>
      <c r="G763" s="769">
        <v>90029.956836898724</v>
      </c>
      <c r="H763" s="770">
        <v>88288.633979723949</v>
      </c>
    </row>
    <row r="764" spans="1:8" s="706" customFormat="1" ht="14.4" x14ac:dyDescent="0.3">
      <c r="A764" s="735"/>
      <c r="B764" s="735"/>
      <c r="C764" s="729">
        <v>2039</v>
      </c>
      <c r="D764" s="725">
        <v>25</v>
      </c>
      <c r="E764" s="766"/>
      <c r="F764" s="763"/>
      <c r="G764" s="769">
        <v>89975.212274319056</v>
      </c>
      <c r="H764" s="770">
        <v>88123.873150234838</v>
      </c>
    </row>
    <row r="765" spans="1:8" s="706" customFormat="1" ht="14.4" x14ac:dyDescent="0.3">
      <c r="A765" s="735"/>
      <c r="B765" s="735"/>
      <c r="C765" s="729">
        <v>2040</v>
      </c>
      <c r="D765" s="725">
        <v>26</v>
      </c>
      <c r="E765" s="766"/>
      <c r="F765" s="763"/>
      <c r="G765" s="769">
        <v>89688.713830586712</v>
      </c>
      <c r="H765" s="770">
        <v>87731.335056015072</v>
      </c>
    </row>
    <row r="766" spans="1:8" s="706" customFormat="1" ht="14.4" x14ac:dyDescent="0.3">
      <c r="A766" s="735"/>
      <c r="B766" s="735"/>
      <c r="C766" s="729">
        <v>2041</v>
      </c>
      <c r="D766" s="725">
        <v>27</v>
      </c>
      <c r="E766" s="766"/>
      <c r="F766" s="763"/>
      <c r="G766" s="769">
        <v>89158.884847672482</v>
      </c>
      <c r="H766" s="770">
        <v>87100.463591676918</v>
      </c>
    </row>
    <row r="767" spans="1:8" s="706" customFormat="1" ht="14.4" x14ac:dyDescent="0.3">
      <c r="A767" s="735"/>
      <c r="B767" s="735"/>
      <c r="C767" s="729">
        <v>2042</v>
      </c>
      <c r="D767" s="725">
        <v>28</v>
      </c>
      <c r="E767" s="766"/>
      <c r="F767" s="763"/>
      <c r="G767" s="769">
        <v>88374.148667547095</v>
      </c>
      <c r="H767" s="770">
        <v>86221.058882671728</v>
      </c>
    </row>
    <row r="768" spans="1:8" s="706" customFormat="1" ht="14.4" x14ac:dyDescent="0.3">
      <c r="A768" s="735"/>
      <c r="B768" s="735"/>
      <c r="C768" s="729">
        <v>2043</v>
      </c>
      <c r="D768" s="725">
        <v>29</v>
      </c>
      <c r="E768" s="766"/>
      <c r="F768" s="763"/>
      <c r="G768" s="769">
        <v>87322.928632181298</v>
      </c>
      <c r="H768" s="770">
        <v>85082.722399722581</v>
      </c>
    </row>
    <row r="769" spans="1:8" s="706" customFormat="1" ht="14.4" x14ac:dyDescent="0.3">
      <c r="A769" s="735"/>
      <c r="B769" s="735"/>
      <c r="C769" s="729">
        <v>2044</v>
      </c>
      <c r="D769" s="725">
        <v>30</v>
      </c>
      <c r="E769" s="766"/>
      <c r="F769" s="763"/>
      <c r="G769" s="769">
        <v>85993.648083545893</v>
      </c>
      <c r="H769" s="770">
        <v>83675.184236332148</v>
      </c>
    </row>
    <row r="770" spans="1:8" s="706" customFormat="1" ht="14.4" x14ac:dyDescent="0.3">
      <c r="A770" s="735"/>
      <c r="B770" s="735"/>
      <c r="C770" s="729">
        <v>2045</v>
      </c>
      <c r="D770" s="725">
        <v>31</v>
      </c>
      <c r="E770" s="766"/>
      <c r="F770" s="763"/>
      <c r="G770" s="769">
        <v>84374.730363611598</v>
      </c>
      <c r="H770" s="770">
        <v>81988.263959693126</v>
      </c>
    </row>
    <row r="771" spans="1:8" s="706" customFormat="1" ht="14.4" x14ac:dyDescent="0.3">
      <c r="A771" s="735"/>
      <c r="B771" s="735"/>
      <c r="C771" s="729">
        <v>2046</v>
      </c>
      <c r="D771" s="725">
        <v>32</v>
      </c>
      <c r="E771" s="766"/>
      <c r="F771" s="763"/>
      <c r="G771" s="769">
        <v>82454.598814349185</v>
      </c>
      <c r="H771" s="770">
        <v>80011.859974905499</v>
      </c>
    </row>
    <row r="772" spans="1:8" s="706" customFormat="1" ht="14.4" x14ac:dyDescent="0.3">
      <c r="A772" s="737"/>
      <c r="B772" s="738"/>
      <c r="C772" s="729">
        <v>2047</v>
      </c>
      <c r="D772" s="725">
        <v>33</v>
      </c>
      <c r="E772" s="766"/>
      <c r="F772" s="763"/>
      <c r="G772" s="769">
        <v>80221.676777729401</v>
      </c>
      <c r="H772" s="770">
        <v>77735.9893315261</v>
      </c>
    </row>
    <row r="773" spans="1:8" s="706" customFormat="1" ht="14.4" x14ac:dyDescent="0.3">
      <c r="B773" s="738"/>
      <c r="C773" s="729">
        <v>2048</v>
      </c>
      <c r="D773" s="725">
        <v>34</v>
      </c>
      <c r="E773" s="766"/>
      <c r="F773" s="763"/>
      <c r="G773" s="769">
        <v>77664.387595723005</v>
      </c>
      <c r="H773" s="770">
        <v>75150.81864439862</v>
      </c>
    </row>
    <row r="774" spans="1:8" s="706" customFormat="1" ht="14.4" x14ac:dyDescent="0.3">
      <c r="C774" s="729">
        <v>2049</v>
      </c>
      <c r="D774" s="725">
        <v>35</v>
      </c>
      <c r="E774" s="766"/>
      <c r="F774" s="763"/>
      <c r="G774" s="769">
        <v>74771.154610300786</v>
      </c>
      <c r="H774" s="770">
        <v>72246.641059196918</v>
      </c>
    </row>
    <row r="775" spans="1:8" s="706" customFormat="1" ht="14.4" x14ac:dyDescent="0.3">
      <c r="C775" s="729">
        <v>2050</v>
      </c>
      <c r="D775" s="739">
        <v>36</v>
      </c>
      <c r="E775" s="771">
        <v>71532.044999999998</v>
      </c>
      <c r="F775" s="763">
        <v>71532.044999999998</v>
      </c>
      <c r="G775" s="772">
        <v>71532.044999999998</v>
      </c>
      <c r="H775" s="773">
        <v>69015.430967428154</v>
      </c>
    </row>
    <row r="776" spans="1:8" s="706" customFormat="1" ht="14.4" x14ac:dyDescent="0.3">
      <c r="C776" s="729">
        <v>2051</v>
      </c>
      <c r="D776" s="725">
        <v>37</v>
      </c>
      <c r="E776" s="766"/>
      <c r="F776" s="763"/>
      <c r="G776" s="769">
        <v>67930.550597091773</v>
      </c>
      <c r="H776" s="770">
        <v>65442.923897774992</v>
      </c>
    </row>
    <row r="777" spans="1:8" s="706" customFormat="1" ht="14.4" x14ac:dyDescent="0.3">
      <c r="C777" s="729">
        <v>2052</v>
      </c>
      <c r="D777" s="725">
        <v>38</v>
      </c>
      <c r="E777" s="766"/>
      <c r="F777" s="763"/>
      <c r="G777" s="769">
        <v>63960.026253246513</v>
      </c>
      <c r="H777" s="770">
        <v>61524.475834918187</v>
      </c>
    </row>
    <row r="778" spans="1:8" s="706" customFormat="1" ht="14.4" x14ac:dyDescent="0.3">
      <c r="C778" s="729">
        <v>2053</v>
      </c>
      <c r="D778" s="725">
        <v>39</v>
      </c>
      <c r="E778" s="766"/>
      <c r="F778" s="763"/>
      <c r="G778" s="769">
        <v>59607.25147386844</v>
      </c>
      <c r="H778" s="770">
        <v>57249.21517280132</v>
      </c>
    </row>
    <row r="779" spans="1:8" s="706" customFormat="1" ht="14.4" x14ac:dyDescent="0.3">
      <c r="C779" s="729">
        <v>2054</v>
      </c>
      <c r="D779" s="725">
        <v>40</v>
      </c>
      <c r="E779" s="766"/>
      <c r="F779" s="763"/>
      <c r="G779" s="769">
        <v>54860.649600928271</v>
      </c>
      <c r="H779" s="770">
        <v>52607.982292075387</v>
      </c>
    </row>
    <row r="780" spans="1:8" s="706" customFormat="1" ht="14.4" x14ac:dyDescent="0.3">
      <c r="C780" s="729">
        <v>2055</v>
      </c>
      <c r="D780" s="739">
        <v>41</v>
      </c>
      <c r="E780" s="771"/>
      <c r="F780" s="763"/>
      <c r="G780" s="772">
        <v>49708.643976396794</v>
      </c>
      <c r="H780" s="773">
        <v>47591.759361297605</v>
      </c>
    </row>
    <row r="781" spans="1:8" s="706" customFormat="1" ht="14.4" x14ac:dyDescent="0.3">
      <c r="C781" s="729">
        <v>2056</v>
      </c>
      <c r="D781" s="725">
        <v>42</v>
      </c>
      <c r="E781" s="766"/>
      <c r="F781" s="763"/>
      <c r="G781" s="769">
        <v>44139.657942244783</v>
      </c>
      <c r="H781" s="770">
        <v>42191.672604434287</v>
      </c>
    </row>
    <row r="782" spans="1:8" s="706" customFormat="1" ht="14.4" x14ac:dyDescent="0.3">
      <c r="C782" s="729">
        <v>2057</v>
      </c>
      <c r="D782" s="725">
        <v>43</v>
      </c>
      <c r="E782" s="766"/>
      <c r="F782" s="763"/>
      <c r="G782" s="769">
        <v>38142.114840442984</v>
      </c>
      <c r="H782" s="770">
        <v>36398.986969238729</v>
      </c>
    </row>
    <row r="783" spans="1:8" s="706" customFormat="1" ht="14.4" x14ac:dyDescent="0.3">
      <c r="C783" s="729">
        <v>2058</v>
      </c>
      <c r="D783" s="725">
        <v>44</v>
      </c>
      <c r="E783" s="766"/>
      <c r="F783" s="763"/>
      <c r="G783" s="769">
        <v>31704.438012962099</v>
      </c>
      <c r="H783" s="770">
        <v>30205.100463201245</v>
      </c>
    </row>
    <row r="784" spans="1:8" s="706" customFormat="1" ht="14.4" x14ac:dyDescent="0.3">
      <c r="C784" s="729">
        <v>2059</v>
      </c>
      <c r="D784" s="725">
        <v>45</v>
      </c>
      <c r="E784" s="766"/>
      <c r="F784" s="763"/>
      <c r="G784" s="769">
        <v>24815.050801772959</v>
      </c>
      <c r="H784" s="770">
        <v>23601.536611680604</v>
      </c>
    </row>
    <row r="785" spans="1:11" s="706" customFormat="1" ht="14.4" x14ac:dyDescent="0.3">
      <c r="C785" s="742">
        <v>2060</v>
      </c>
      <c r="D785" s="739">
        <v>46</v>
      </c>
      <c r="E785" s="771"/>
      <c r="F785" s="763"/>
      <c r="G785" s="772">
        <v>17462.376548846281</v>
      </c>
      <c r="H785" s="773">
        <v>16579.933262729435</v>
      </c>
    </row>
    <row r="786" spans="1:11" s="706" customFormat="1" ht="14.4" x14ac:dyDescent="0.3">
      <c r="D786" s="743"/>
    </row>
    <row r="787" spans="1:11" s="706" customFormat="1" ht="14.4" x14ac:dyDescent="0.3">
      <c r="D787" s="743"/>
    </row>
    <row r="788" spans="1:11" s="706" customFormat="1" ht="14.4" x14ac:dyDescent="0.3">
      <c r="A788" s="748" t="str">
        <f>HYPERLINK("#'Interp-FREIGHT'!a1","Back to top")</f>
        <v>Back to top</v>
      </c>
      <c r="D788" s="743"/>
    </row>
    <row r="789" spans="1:11" s="706" customFormat="1" ht="14.4" x14ac:dyDescent="0.3">
      <c r="D789" s="743"/>
    </row>
    <row r="790" spans="1:11" s="706" customFormat="1" ht="14.4" x14ac:dyDescent="0.3">
      <c r="D790" s="743"/>
    </row>
    <row r="791" spans="1:11" s="706" customFormat="1" ht="15.6" x14ac:dyDescent="0.3">
      <c r="A791" s="703">
        <f>1+A726</f>
        <v>9</v>
      </c>
      <c r="B791" s="704" t="s">
        <v>718</v>
      </c>
      <c r="C791" s="705"/>
      <c r="D791" s="705"/>
      <c r="E791" s="705"/>
      <c r="F791" s="705"/>
      <c r="G791" s="705"/>
      <c r="H791" s="705"/>
      <c r="I791" s="705"/>
      <c r="J791" s="705"/>
      <c r="K791" s="705"/>
    </row>
    <row r="792" spans="1:11" s="706" customFormat="1" ht="15.6" x14ac:dyDescent="0.3">
      <c r="A792" s="707" t="s">
        <v>74</v>
      </c>
      <c r="B792" s="708"/>
      <c r="C792" s="708"/>
      <c r="D792" s="709"/>
      <c r="E792" s="710"/>
      <c r="F792" s="918"/>
      <c r="G792" s="710"/>
      <c r="H792" s="711"/>
    </row>
    <row r="793" spans="1:11" s="706" customFormat="1" ht="16.2" thickBot="1" x14ac:dyDescent="0.35">
      <c r="A793" s="744" t="s">
        <v>75</v>
      </c>
      <c r="B793" s="713"/>
      <c r="C793" s="713"/>
      <c r="D793" s="714"/>
      <c r="E793" s="745" t="s">
        <v>78</v>
      </c>
      <c r="F793" s="919"/>
      <c r="G793" s="746" t="s">
        <v>719</v>
      </c>
      <c r="H793" s="711"/>
    </row>
    <row r="794" spans="1:11" s="706" customFormat="1" ht="66.599999999999994" thickBot="1" x14ac:dyDescent="0.35">
      <c r="A794" s="717"/>
      <c r="B794" s="717"/>
      <c r="C794" s="717"/>
      <c r="D794" s="718"/>
      <c r="E794" s="747" t="s">
        <v>704</v>
      </c>
      <c r="F794" s="747" t="s">
        <v>125</v>
      </c>
      <c r="G794" s="746" t="s">
        <v>81</v>
      </c>
      <c r="H794" s="778" t="s">
        <v>753</v>
      </c>
      <c r="I794" s="747" t="s">
        <v>83</v>
      </c>
      <c r="J794" s="905" t="s">
        <v>84</v>
      </c>
      <c r="K794" s="906"/>
    </row>
    <row r="795" spans="1:11" s="706" customFormat="1" ht="15.6" x14ac:dyDescent="0.3">
      <c r="A795" s="707" t="s">
        <v>85</v>
      </c>
      <c r="B795" s="717"/>
      <c r="C795" s="720">
        <v>2005</v>
      </c>
      <c r="D795" s="721">
        <v>-9</v>
      </c>
      <c r="E795" s="762"/>
      <c r="F795" s="763"/>
      <c r="G795" s="764">
        <v>34461.19218089839</v>
      </c>
      <c r="H795" s="765">
        <v>34461.19218089839</v>
      </c>
      <c r="I795" s="911" t="s">
        <v>86</v>
      </c>
      <c r="J795" s="907"/>
      <c r="K795" s="908"/>
    </row>
    <row r="796" spans="1:11" s="706" customFormat="1" ht="15.6" x14ac:dyDescent="0.3">
      <c r="A796" s="744" t="s">
        <v>87</v>
      </c>
      <c r="B796" s="717"/>
      <c r="C796" s="729">
        <v>2006</v>
      </c>
      <c r="D796" s="725">
        <v>-8</v>
      </c>
      <c r="E796" s="766"/>
      <c r="F796" s="763"/>
      <c r="G796" s="767">
        <v>36799.767255562481</v>
      </c>
      <c r="H796" s="768">
        <v>36799.767255562481</v>
      </c>
      <c r="I796" s="912"/>
      <c r="J796" s="907"/>
      <c r="K796" s="908"/>
    </row>
    <row r="797" spans="1:11" s="706" customFormat="1" ht="13.8" customHeight="1" x14ac:dyDescent="0.3">
      <c r="A797" s="717"/>
      <c r="B797" s="717"/>
      <c r="C797" s="729">
        <v>2007</v>
      </c>
      <c r="D797" s="725">
        <v>-7</v>
      </c>
      <c r="E797" s="766">
        <v>40759</v>
      </c>
      <c r="F797" s="763">
        <v>40759</v>
      </c>
      <c r="G797" s="767">
        <v>40759</v>
      </c>
      <c r="H797" s="768">
        <v>40759</v>
      </c>
      <c r="I797" s="912"/>
      <c r="J797" s="907"/>
      <c r="K797" s="908"/>
    </row>
    <row r="798" spans="1:11" s="706" customFormat="1" ht="15.6" x14ac:dyDescent="0.3">
      <c r="A798" s="726" t="s">
        <v>88</v>
      </c>
      <c r="B798" s="717"/>
      <c r="C798" s="729">
        <v>2008</v>
      </c>
      <c r="D798" s="725">
        <v>-6</v>
      </c>
      <c r="E798" s="766">
        <v>41926</v>
      </c>
      <c r="F798" s="763">
        <v>41926</v>
      </c>
      <c r="G798" s="767">
        <v>41926</v>
      </c>
      <c r="H798" s="768">
        <v>41926</v>
      </c>
      <c r="I798" s="912"/>
      <c r="J798" s="909"/>
      <c r="K798" s="910"/>
    </row>
    <row r="799" spans="1:11" s="706" customFormat="1" ht="14.4" x14ac:dyDescent="0.3">
      <c r="A799" s="914" t="s">
        <v>720</v>
      </c>
      <c r="B799" s="717"/>
      <c r="C799" s="729">
        <v>2009</v>
      </c>
      <c r="D799" s="725">
        <v>-5</v>
      </c>
      <c r="E799" s="766">
        <v>40099</v>
      </c>
      <c r="F799" s="763">
        <v>40099</v>
      </c>
      <c r="G799" s="767">
        <v>40099</v>
      </c>
      <c r="H799" s="768">
        <v>40099</v>
      </c>
      <c r="I799" s="912"/>
    </row>
    <row r="800" spans="1:11" s="706" customFormat="1" ht="14.4" x14ac:dyDescent="0.3">
      <c r="A800" s="915"/>
      <c r="B800" s="717"/>
      <c r="C800" s="729">
        <v>2010</v>
      </c>
      <c r="D800" s="725">
        <v>-4</v>
      </c>
      <c r="E800" s="766">
        <v>44369</v>
      </c>
      <c r="F800" s="763">
        <v>44369</v>
      </c>
      <c r="G800" s="767">
        <v>44369</v>
      </c>
      <c r="H800" s="768">
        <v>44369</v>
      </c>
      <c r="I800" s="912"/>
    </row>
    <row r="801" spans="1:9" s="706" customFormat="1" ht="14.4" x14ac:dyDescent="0.3">
      <c r="A801" s="915"/>
      <c r="B801" s="717"/>
      <c r="C801" s="729">
        <v>2011</v>
      </c>
      <c r="D801" s="725">
        <v>-3</v>
      </c>
      <c r="E801" s="766">
        <v>46617</v>
      </c>
      <c r="F801" s="763">
        <v>46617</v>
      </c>
      <c r="G801" s="767">
        <v>46617</v>
      </c>
      <c r="H801" s="768">
        <v>46617</v>
      </c>
      <c r="I801" s="913"/>
    </row>
    <row r="802" spans="1:9" s="706" customFormat="1" ht="14.4" x14ac:dyDescent="0.3">
      <c r="A802" s="916"/>
      <c r="B802" s="717"/>
      <c r="C802" s="729">
        <v>2012</v>
      </c>
      <c r="D802" s="725">
        <v>-2</v>
      </c>
      <c r="E802" s="766">
        <v>48864</v>
      </c>
      <c r="F802" s="763">
        <v>48864</v>
      </c>
      <c r="G802" s="769">
        <v>48864</v>
      </c>
      <c r="H802" s="770">
        <v>48864</v>
      </c>
      <c r="I802" s="732" t="s">
        <v>90</v>
      </c>
    </row>
    <row r="803" spans="1:9" s="706" customFormat="1" ht="14.4" x14ac:dyDescent="0.3">
      <c r="A803" s="717"/>
      <c r="B803" s="717"/>
      <c r="C803" s="729">
        <v>2013</v>
      </c>
      <c r="D803" s="725">
        <v>-1</v>
      </c>
      <c r="E803" s="766">
        <v>50490</v>
      </c>
      <c r="F803" s="763">
        <v>50490</v>
      </c>
      <c r="G803" s="769">
        <v>50490</v>
      </c>
      <c r="H803" s="770">
        <v>50490</v>
      </c>
      <c r="I803" s="717"/>
    </row>
    <row r="804" spans="1:9" s="706" customFormat="1" ht="15.6" x14ac:dyDescent="0.3">
      <c r="A804" s="733" t="s">
        <v>91</v>
      </c>
      <c r="B804" s="717"/>
      <c r="C804" s="729">
        <v>2014</v>
      </c>
      <c r="D804" s="725">
        <v>0</v>
      </c>
      <c r="E804" s="766">
        <v>52627</v>
      </c>
      <c r="F804" s="763">
        <v>52627</v>
      </c>
      <c r="G804" s="769">
        <v>52627</v>
      </c>
      <c r="H804" s="770">
        <v>52956.95832441566</v>
      </c>
    </row>
    <row r="805" spans="1:9" s="706" customFormat="1" ht="15.6" x14ac:dyDescent="0.3">
      <c r="A805" s="734">
        <v>2018</v>
      </c>
      <c r="B805" s="713"/>
      <c r="C805" s="729">
        <v>2015</v>
      </c>
      <c r="D805" s="725">
        <v>1</v>
      </c>
      <c r="E805" s="766">
        <v>53476</v>
      </c>
      <c r="F805" s="763">
        <v>53476</v>
      </c>
      <c r="G805" s="769">
        <v>53476</v>
      </c>
      <c r="H805" s="770">
        <v>53448.395829226465</v>
      </c>
    </row>
    <row r="806" spans="1:9" s="706" customFormat="1" ht="14.4" x14ac:dyDescent="0.3">
      <c r="B806" s="713"/>
      <c r="C806" s="729">
        <v>2016</v>
      </c>
      <c r="D806" s="725">
        <v>2</v>
      </c>
      <c r="E806" s="766">
        <v>55321</v>
      </c>
      <c r="F806" s="763">
        <v>55321</v>
      </c>
      <c r="G806" s="769">
        <v>55321</v>
      </c>
      <c r="H806" s="770">
        <v>55294.751914600864</v>
      </c>
    </row>
    <row r="807" spans="1:9" s="706" customFormat="1" ht="15.6" x14ac:dyDescent="0.3">
      <c r="A807" s="733" t="s">
        <v>92</v>
      </c>
      <c r="B807" s="713"/>
      <c r="C807" s="729">
        <v>2017</v>
      </c>
      <c r="D807" s="725">
        <v>3</v>
      </c>
      <c r="E807" s="766">
        <v>58097</v>
      </c>
      <c r="F807" s="763">
        <v>58097</v>
      </c>
      <c r="G807" s="769">
        <v>58097</v>
      </c>
      <c r="H807" s="770">
        <v>58073.881829463462</v>
      </c>
    </row>
    <row r="808" spans="1:9" s="706" customFormat="1" ht="15.6" x14ac:dyDescent="0.3">
      <c r="A808" s="734" t="s">
        <v>704</v>
      </c>
      <c r="B808" s="713"/>
      <c r="C808" s="729">
        <v>2018</v>
      </c>
      <c r="D808" s="725">
        <v>4</v>
      </c>
      <c r="E808" s="766">
        <v>60444</v>
      </c>
      <c r="F808" s="763">
        <v>60444</v>
      </c>
      <c r="G808" s="769">
        <v>60444</v>
      </c>
      <c r="H808" s="770">
        <v>60425.550045430871</v>
      </c>
    </row>
    <row r="809" spans="1:9" s="706" customFormat="1" ht="14.4" x14ac:dyDescent="0.3">
      <c r="B809" s="735"/>
      <c r="C809" s="729">
        <v>2019</v>
      </c>
      <c r="D809" s="725">
        <v>5</v>
      </c>
      <c r="E809" s="766"/>
      <c r="F809" s="763"/>
      <c r="G809" s="769">
        <v>60128.483842388872</v>
      </c>
      <c r="H809" s="770">
        <v>60115.150650567099</v>
      </c>
    </row>
    <row r="810" spans="1:9" s="706" customFormat="1" ht="15.6" x14ac:dyDescent="0.3">
      <c r="A810" s="733" t="s">
        <v>93</v>
      </c>
      <c r="B810" s="713"/>
      <c r="C810" s="729">
        <v>2020</v>
      </c>
      <c r="D810" s="725">
        <v>6</v>
      </c>
      <c r="E810" s="766"/>
      <c r="F810" s="763"/>
      <c r="G810" s="769">
        <v>61681.436462939811</v>
      </c>
      <c r="H810" s="770">
        <v>61676.191829500051</v>
      </c>
    </row>
    <row r="811" spans="1:9" s="706" customFormat="1" ht="15.6" x14ac:dyDescent="0.3">
      <c r="A811" s="733"/>
      <c r="B811" s="713"/>
      <c r="C811" s="729">
        <v>2021</v>
      </c>
      <c r="D811" s="725">
        <v>7</v>
      </c>
      <c r="E811" s="766"/>
      <c r="F811" s="763"/>
      <c r="G811" s="769">
        <v>63243.093416946562</v>
      </c>
      <c r="H811" s="770">
        <v>63198.896608265473</v>
      </c>
    </row>
    <row r="812" spans="1:9" s="706" customFormat="1" ht="15.6" x14ac:dyDescent="0.3">
      <c r="A812" s="736"/>
      <c r="B812" s="713"/>
      <c r="C812" s="729">
        <v>2022</v>
      </c>
      <c r="D812" s="725">
        <v>8</v>
      </c>
      <c r="E812" s="766"/>
      <c r="F812" s="763"/>
      <c r="G812" s="769">
        <v>64822.097400813815</v>
      </c>
      <c r="H812" s="770">
        <v>64732.334044945172</v>
      </c>
    </row>
    <row r="813" spans="1:9" s="706" customFormat="1" ht="15.6" x14ac:dyDescent="0.3">
      <c r="A813" s="734"/>
      <c r="B813" s="713"/>
      <c r="C813" s="729">
        <v>2023</v>
      </c>
      <c r="D813" s="725">
        <v>9</v>
      </c>
      <c r="E813" s="766"/>
      <c r="F813" s="763"/>
      <c r="G813" s="769">
        <v>66427.091110946305</v>
      </c>
      <c r="H813" s="770">
        <v>66285.049644789135</v>
      </c>
    </row>
    <row r="814" spans="1:9" s="706" customFormat="1" ht="14.4" x14ac:dyDescent="0.3">
      <c r="B814" s="713"/>
      <c r="C814" s="729">
        <v>2024</v>
      </c>
      <c r="D814" s="725">
        <v>10</v>
      </c>
      <c r="E814" s="766"/>
      <c r="F814" s="763"/>
      <c r="G814" s="769">
        <v>68066.717243748717</v>
      </c>
      <c r="H814" s="770">
        <v>67864.582711550713</v>
      </c>
    </row>
    <row r="815" spans="1:9" s="706" customFormat="1" ht="14.4" x14ac:dyDescent="0.3">
      <c r="B815" s="713"/>
      <c r="C815" s="729">
        <v>2025</v>
      </c>
      <c r="D815" s="725">
        <v>11</v>
      </c>
      <c r="E815" s="766"/>
      <c r="F815" s="763"/>
      <c r="G815" s="769">
        <v>69749.618495625778</v>
      </c>
      <c r="H815" s="770">
        <v>69478.683021114164</v>
      </c>
    </row>
    <row r="816" spans="1:9" s="706" customFormat="1" ht="14.4" x14ac:dyDescent="0.3">
      <c r="A816" s="917" t="s">
        <v>713</v>
      </c>
      <c r="B816" s="713"/>
      <c r="C816" s="729">
        <v>2026</v>
      </c>
      <c r="D816" s="725">
        <v>12</v>
      </c>
      <c r="E816" s="766"/>
      <c r="F816" s="763"/>
      <c r="G816" s="769">
        <v>71484.437562982188</v>
      </c>
      <c r="H816" s="770">
        <v>71135.986925432167</v>
      </c>
    </row>
    <row r="817" spans="1:8" s="706" customFormat="1" ht="14.4" x14ac:dyDescent="0.3">
      <c r="A817" s="917"/>
      <c r="B817" s="713"/>
      <c r="C817" s="729">
        <v>2027</v>
      </c>
      <c r="D817" s="725">
        <v>13</v>
      </c>
      <c r="E817" s="766"/>
      <c r="F817" s="763"/>
      <c r="G817" s="769">
        <v>73279.817142222659</v>
      </c>
      <c r="H817" s="770">
        <v>72845.64825327885</v>
      </c>
    </row>
    <row r="818" spans="1:8" s="706" customFormat="1" ht="14.4" x14ac:dyDescent="0.3">
      <c r="A818" s="917"/>
      <c r="B818" s="713"/>
      <c r="C818" s="729">
        <v>2028</v>
      </c>
      <c r="D818" s="725">
        <v>14</v>
      </c>
      <c r="E818" s="766"/>
      <c r="F818" s="763"/>
      <c r="G818" s="769">
        <v>75144.399929751889</v>
      </c>
      <c r="H818" s="770">
        <v>74616.29452671163</v>
      </c>
    </row>
    <row r="819" spans="1:8" s="706" customFormat="1" ht="14.4" x14ac:dyDescent="0.3">
      <c r="A819" s="917"/>
      <c r="B819" s="713"/>
      <c r="C819" s="729">
        <v>2029</v>
      </c>
      <c r="D819" s="725">
        <v>15</v>
      </c>
      <c r="E819" s="766"/>
      <c r="F819" s="763"/>
      <c r="G819" s="769">
        <v>77086.828621974608</v>
      </c>
      <c r="H819" s="770">
        <v>76456.569033376494</v>
      </c>
    </row>
    <row r="820" spans="1:8" s="706" customFormat="1" ht="14.4" x14ac:dyDescent="0.3">
      <c r="A820" s="917"/>
      <c r="B820" s="713"/>
      <c r="C820" s="729">
        <v>2030</v>
      </c>
      <c r="D820" s="725">
        <v>16</v>
      </c>
      <c r="E820" s="766">
        <v>76626.92</v>
      </c>
      <c r="F820" s="763">
        <v>76626.92</v>
      </c>
      <c r="G820" s="769">
        <v>76626.92</v>
      </c>
      <c r="H820" s="770">
        <v>75909.454043311969</v>
      </c>
    </row>
    <row r="821" spans="1:8" s="706" customFormat="1" ht="14.4" x14ac:dyDescent="0.3">
      <c r="A821" s="917"/>
      <c r="B821" s="713"/>
      <c r="C821" s="729">
        <v>2031</v>
      </c>
      <c r="D821" s="725">
        <v>17</v>
      </c>
      <c r="E821" s="766"/>
      <c r="F821" s="763"/>
      <c r="G821" s="769">
        <v>81239.794506119302</v>
      </c>
      <c r="H821" s="770">
        <v>80379.846670668601</v>
      </c>
    </row>
    <row r="822" spans="1:8" s="706" customFormat="1" ht="14.4" x14ac:dyDescent="0.3">
      <c r="A822" s="917"/>
      <c r="B822" s="713"/>
      <c r="C822" s="729">
        <v>2032</v>
      </c>
      <c r="D822" s="725">
        <v>18</v>
      </c>
      <c r="E822" s="766"/>
      <c r="F822" s="763"/>
      <c r="G822" s="769">
        <v>83467.617090850719</v>
      </c>
      <c r="H822" s="770">
        <v>82479.654037259461</v>
      </c>
    </row>
    <row r="823" spans="1:8" s="706" customFormat="1" ht="14.4" x14ac:dyDescent="0.3">
      <c r="A823" s="917"/>
      <c r="B823" s="735"/>
      <c r="C823" s="729">
        <v>2033</v>
      </c>
      <c r="D823" s="725">
        <v>19</v>
      </c>
      <c r="E823" s="766"/>
      <c r="F823" s="763"/>
      <c r="G823" s="769">
        <v>85807.856365894433</v>
      </c>
      <c r="H823" s="770">
        <v>84683.441738021211</v>
      </c>
    </row>
    <row r="824" spans="1:8" s="706" customFormat="1" ht="14.4" x14ac:dyDescent="0.3">
      <c r="A824" s="735"/>
      <c r="B824" s="735"/>
      <c r="C824" s="729">
        <v>2034</v>
      </c>
      <c r="D824" s="725">
        <v>20</v>
      </c>
      <c r="E824" s="766"/>
      <c r="F824" s="763"/>
      <c r="G824" s="769">
        <v>88269.155027655186</v>
      </c>
      <c r="H824" s="770">
        <v>87000.490037174037</v>
      </c>
    </row>
    <row r="825" spans="1:8" s="706" customFormat="1" ht="14.4" x14ac:dyDescent="0.3">
      <c r="A825" s="735"/>
      <c r="B825" s="735"/>
      <c r="C825" s="729">
        <v>2035</v>
      </c>
      <c r="D825" s="725">
        <v>21</v>
      </c>
      <c r="E825" s="766"/>
      <c r="F825" s="763"/>
      <c r="G825" s="769">
        <v>90860.155772537648</v>
      </c>
      <c r="H825" s="770">
        <v>89439.764140455605</v>
      </c>
    </row>
    <row r="826" spans="1:8" s="706" customFormat="1" ht="14.4" x14ac:dyDescent="0.3">
      <c r="A826" s="735"/>
      <c r="B826" s="735"/>
      <c r="C826" s="729">
        <v>2036</v>
      </c>
      <c r="D826" s="725">
        <v>22</v>
      </c>
      <c r="E826" s="766"/>
      <c r="F826" s="763"/>
      <c r="G826" s="769">
        <v>93589.501296946561</v>
      </c>
      <c r="H826" s="770">
        <v>92009.835738480804</v>
      </c>
    </row>
    <row r="827" spans="1:8" s="706" customFormat="1" ht="14.4" x14ac:dyDescent="0.3">
      <c r="A827" s="735"/>
      <c r="B827" s="735"/>
      <c r="C827" s="729">
        <v>2037</v>
      </c>
      <c r="D827" s="725">
        <v>23</v>
      </c>
      <c r="E827" s="766"/>
      <c r="F827" s="763"/>
      <c r="G827" s="769">
        <v>96465.834297286638</v>
      </c>
      <c r="H827" s="770">
        <v>94718.581415649271</v>
      </c>
    </row>
    <row r="828" spans="1:8" s="706" customFormat="1" ht="14.4" x14ac:dyDescent="0.3">
      <c r="A828" s="735"/>
      <c r="B828" s="735"/>
      <c r="C828" s="729">
        <v>2038</v>
      </c>
      <c r="D828" s="725">
        <v>24</v>
      </c>
      <c r="E828" s="766"/>
      <c r="F828" s="763"/>
      <c r="G828" s="769">
        <v>99497.797469962534</v>
      </c>
      <c r="H828" s="770">
        <v>97573.351484868137</v>
      </c>
    </row>
    <row r="829" spans="1:8" s="706" customFormat="1" ht="14.4" x14ac:dyDescent="0.3">
      <c r="A829" s="735"/>
      <c r="B829" s="735"/>
      <c r="C829" s="729">
        <v>2039</v>
      </c>
      <c r="D829" s="725">
        <v>25</v>
      </c>
      <c r="E829" s="766"/>
      <c r="F829" s="763"/>
      <c r="G829" s="769">
        <v>102694.03351137904</v>
      </c>
      <c r="H829" s="770">
        <v>100580.99062719019</v>
      </c>
    </row>
    <row r="830" spans="1:8" s="706" customFormat="1" ht="14.4" x14ac:dyDescent="0.3">
      <c r="A830" s="735"/>
      <c r="B830" s="735"/>
      <c r="C830" s="729">
        <v>2040</v>
      </c>
      <c r="D830" s="725">
        <v>26</v>
      </c>
      <c r="E830" s="766">
        <v>107603.76000000001</v>
      </c>
      <c r="F830" s="763">
        <v>107603.76000000001</v>
      </c>
      <c r="G830" s="769">
        <v>107603.76000000001</v>
      </c>
      <c r="H830" s="770">
        <v>105255.40080414907</v>
      </c>
    </row>
    <row r="831" spans="1:8" s="706" customFormat="1" ht="14.4" x14ac:dyDescent="0.3">
      <c r="A831" s="735"/>
      <c r="B831" s="735"/>
      <c r="C831" s="729">
        <v>2041</v>
      </c>
      <c r="D831" s="725">
        <v>27</v>
      </c>
      <c r="E831" s="766"/>
      <c r="F831" s="763"/>
      <c r="G831" s="769">
        <v>109613.89498605255</v>
      </c>
      <c r="H831" s="770">
        <v>107083.22659807028</v>
      </c>
    </row>
    <row r="832" spans="1:8" s="706" customFormat="1" ht="14.4" x14ac:dyDescent="0.3">
      <c r="A832" s="735"/>
      <c r="B832" s="735"/>
      <c r="C832" s="729">
        <v>2042</v>
      </c>
      <c r="D832" s="725">
        <v>28</v>
      </c>
      <c r="E832" s="766"/>
      <c r="F832" s="763"/>
      <c r="G832" s="769">
        <v>113354.80581211898</v>
      </c>
      <c r="H832" s="770">
        <v>110593.10368383325</v>
      </c>
    </row>
    <row r="833" spans="1:8" s="706" customFormat="1" ht="14.4" x14ac:dyDescent="0.3">
      <c r="A833" s="735"/>
      <c r="B833" s="735"/>
      <c r="C833" s="729">
        <v>2043</v>
      </c>
      <c r="D833" s="725">
        <v>29</v>
      </c>
      <c r="E833" s="766"/>
      <c r="F833" s="763"/>
      <c r="G833" s="769">
        <v>117294.56029254485</v>
      </c>
      <c r="H833" s="770">
        <v>114285.45364533573</v>
      </c>
    </row>
    <row r="834" spans="1:8" s="706" customFormat="1" ht="14.4" x14ac:dyDescent="0.3">
      <c r="A834" s="735"/>
      <c r="B834" s="735"/>
      <c r="C834" s="729">
        <v>2044</v>
      </c>
      <c r="D834" s="725">
        <v>30</v>
      </c>
      <c r="E834" s="766"/>
      <c r="F834" s="763"/>
      <c r="G834" s="769">
        <v>121441.8011237348</v>
      </c>
      <c r="H834" s="770">
        <v>118167.62411507532</v>
      </c>
    </row>
    <row r="835" spans="1:8" s="706" customFormat="1" ht="14.4" x14ac:dyDescent="0.3">
      <c r="A835" s="735"/>
      <c r="B835" s="735"/>
      <c r="C835" s="729">
        <v>2045</v>
      </c>
      <c r="D835" s="725">
        <v>31</v>
      </c>
      <c r="E835" s="766"/>
      <c r="F835" s="763"/>
      <c r="G835" s="769">
        <v>125805.17100209359</v>
      </c>
      <c r="H835" s="770">
        <v>122246.88035343755</v>
      </c>
    </row>
    <row r="836" spans="1:8" s="706" customFormat="1" ht="14.4" x14ac:dyDescent="0.3">
      <c r="A836" s="735"/>
      <c r="B836" s="735"/>
      <c r="C836" s="729">
        <v>2046</v>
      </c>
      <c r="D836" s="725">
        <v>32</v>
      </c>
      <c r="E836" s="766"/>
      <c r="F836" s="763"/>
      <c r="G836" s="769">
        <v>130393.31262402589</v>
      </c>
      <c r="H836" s="770">
        <v>126530.3769754323</v>
      </c>
    </row>
    <row r="837" spans="1:8" s="706" customFormat="1" ht="14.4" x14ac:dyDescent="0.3">
      <c r="A837" s="737"/>
      <c r="B837" s="738"/>
      <c r="C837" s="729">
        <v>2047</v>
      </c>
      <c r="D837" s="725">
        <v>33</v>
      </c>
      <c r="E837" s="766"/>
      <c r="F837" s="763"/>
      <c r="G837" s="769">
        <v>135214.86868593644</v>
      </c>
      <c r="H837" s="770">
        <v>131025.20430676994</v>
      </c>
    </row>
    <row r="838" spans="1:8" s="706" customFormat="1" ht="14.4" x14ac:dyDescent="0.3">
      <c r="B838" s="738"/>
      <c r="C838" s="729">
        <v>2048</v>
      </c>
      <c r="D838" s="725">
        <v>34</v>
      </c>
      <c r="E838" s="766"/>
      <c r="F838" s="763"/>
      <c r="G838" s="769">
        <v>140278.48188422993</v>
      </c>
      <c r="H838" s="770">
        <v>135738.43917587103</v>
      </c>
    </row>
    <row r="839" spans="1:8" s="706" customFormat="1" ht="14.4" x14ac:dyDescent="0.3">
      <c r="C839" s="729">
        <v>2049</v>
      </c>
      <c r="D839" s="725">
        <v>35</v>
      </c>
      <c r="E839" s="766"/>
      <c r="F839" s="763"/>
      <c r="G839" s="769">
        <v>145592.7949153111</v>
      </c>
      <c r="H839" s="770">
        <v>140677.11605997678</v>
      </c>
    </row>
    <row r="840" spans="1:8" s="706" customFormat="1" ht="14.4" x14ac:dyDescent="0.3">
      <c r="C840" s="729">
        <v>2050</v>
      </c>
      <c r="D840" s="739">
        <v>36</v>
      </c>
      <c r="E840" s="771">
        <v>150808.30000000002</v>
      </c>
      <c r="F840" s="763">
        <v>150808.30000000002</v>
      </c>
      <c r="G840" s="772">
        <v>150808.30000000002</v>
      </c>
      <c r="H840" s="773">
        <v>145502.61799400809</v>
      </c>
    </row>
    <row r="841" spans="1:8" s="706" customFormat="1" ht="14.4" x14ac:dyDescent="0.3">
      <c r="C841" s="729">
        <v>2051</v>
      </c>
      <c r="D841" s="725">
        <v>37</v>
      </c>
      <c r="E841" s="766"/>
      <c r="F841" s="763"/>
      <c r="G841" s="769">
        <v>157008.09126145521</v>
      </c>
      <c r="H841" s="770">
        <v>151258.43199331019</v>
      </c>
    </row>
    <row r="842" spans="1:8" s="706" customFormat="1" ht="14.4" x14ac:dyDescent="0.3">
      <c r="C842" s="729">
        <v>2052</v>
      </c>
      <c r="D842" s="725">
        <v>38</v>
      </c>
      <c r="E842" s="766"/>
      <c r="F842" s="763"/>
      <c r="G842" s="769">
        <v>163126.3599693276</v>
      </c>
      <c r="H842" s="770">
        <v>156914.62902521301</v>
      </c>
    </row>
    <row r="843" spans="1:8" s="706" customFormat="1" ht="14.4" x14ac:dyDescent="0.3">
      <c r="C843" s="729">
        <v>2053</v>
      </c>
      <c r="D843" s="725">
        <v>39</v>
      </c>
      <c r="E843" s="766"/>
      <c r="F843" s="763"/>
      <c r="G843" s="769">
        <v>169529.89929560648</v>
      </c>
      <c r="H843" s="770">
        <v>162823.37203976503</v>
      </c>
    </row>
    <row r="844" spans="1:8" s="706" customFormat="1" ht="14.4" x14ac:dyDescent="0.3">
      <c r="C844" s="729">
        <v>2054</v>
      </c>
      <c r="D844" s="725">
        <v>40</v>
      </c>
      <c r="E844" s="766"/>
      <c r="F844" s="763"/>
      <c r="G844" s="769">
        <v>176227.35193669656</v>
      </c>
      <c r="H844" s="770">
        <v>168991.17085752115</v>
      </c>
    </row>
    <row r="845" spans="1:8" s="706" customFormat="1" ht="14.4" x14ac:dyDescent="0.3">
      <c r="C845" s="729">
        <v>2055</v>
      </c>
      <c r="D845" s="739">
        <v>41</v>
      </c>
      <c r="E845" s="771"/>
      <c r="F845" s="763"/>
      <c r="G845" s="772">
        <v>183227.36058900252</v>
      </c>
      <c r="H845" s="773">
        <v>175424.46858333316</v>
      </c>
    </row>
    <row r="846" spans="1:8" s="706" customFormat="1" ht="14.4" x14ac:dyDescent="0.3">
      <c r="C846" s="729">
        <v>2056</v>
      </c>
      <c r="D846" s="725">
        <v>42</v>
      </c>
      <c r="E846" s="766"/>
      <c r="F846" s="763"/>
      <c r="G846" s="769">
        <v>190538.56794892912</v>
      </c>
      <c r="H846" s="770">
        <v>182129.6596348325</v>
      </c>
    </row>
    <row r="847" spans="1:8" s="706" customFormat="1" ht="14.4" x14ac:dyDescent="0.3">
      <c r="C847" s="729">
        <v>2057</v>
      </c>
      <c r="D847" s="725">
        <v>43</v>
      </c>
      <c r="E847" s="766"/>
      <c r="F847" s="763"/>
      <c r="G847" s="769">
        <v>198169.61671288108</v>
      </c>
      <c r="H847" s="770">
        <v>189113.09261705892</v>
      </c>
    </row>
    <row r="848" spans="1:8" s="706" customFormat="1" ht="14.4" x14ac:dyDescent="0.3">
      <c r="C848" s="729">
        <v>2058</v>
      </c>
      <c r="D848" s="725">
        <v>44</v>
      </c>
      <c r="E848" s="766"/>
      <c r="F848" s="763"/>
      <c r="G848" s="769">
        <v>206129.14957726304</v>
      </c>
      <c r="H848" s="770">
        <v>196381.07664390569</v>
      </c>
    </row>
    <row r="849" spans="1:11" s="706" customFormat="1" ht="14.4" x14ac:dyDescent="0.3">
      <c r="C849" s="729">
        <v>2059</v>
      </c>
      <c r="D849" s="725">
        <v>45</v>
      </c>
      <c r="E849" s="766"/>
      <c r="F849" s="763"/>
      <c r="G849" s="769">
        <v>214425.80923847976</v>
      </c>
      <c r="H849" s="770">
        <v>203939.88421211066</v>
      </c>
    </row>
    <row r="850" spans="1:11" s="706" customFormat="1" ht="14.4" x14ac:dyDescent="0.3">
      <c r="C850" s="742">
        <v>2060</v>
      </c>
      <c r="D850" s="739">
        <v>46</v>
      </c>
      <c r="E850" s="771"/>
      <c r="F850" s="763"/>
      <c r="G850" s="772">
        <v>223068.23839293595</v>
      </c>
      <c r="H850" s="773">
        <v>211795.71378752857</v>
      </c>
    </row>
    <row r="851" spans="1:11" s="706" customFormat="1" ht="14.4" x14ac:dyDescent="0.3">
      <c r="D851" s="743"/>
    </row>
    <row r="852" spans="1:11" s="706" customFormat="1" ht="14.4" x14ac:dyDescent="0.3">
      <c r="D852" s="743"/>
    </row>
    <row r="853" spans="1:11" s="706" customFormat="1" ht="14.4" x14ac:dyDescent="0.3">
      <c r="A853" s="748" t="str">
        <f>HYPERLINK("#'Interp-FREIGHT'!a1","Back to top")</f>
        <v>Back to top</v>
      </c>
      <c r="D853" s="743"/>
    </row>
    <row r="854" spans="1:11" s="706" customFormat="1" ht="14.4" x14ac:dyDescent="0.3">
      <c r="D854" s="743"/>
    </row>
    <row r="855" spans="1:11" s="706" customFormat="1" ht="14.4" x14ac:dyDescent="0.3">
      <c r="D855" s="743"/>
    </row>
    <row r="856" spans="1:11" s="706" customFormat="1" ht="15.6" x14ac:dyDescent="0.3">
      <c r="A856" s="703">
        <f>1+A791</f>
        <v>10</v>
      </c>
      <c r="B856" s="704" t="s">
        <v>721</v>
      </c>
      <c r="C856" s="705"/>
      <c r="D856" s="705"/>
      <c r="E856" s="705"/>
      <c r="F856" s="705"/>
      <c r="G856" s="705"/>
      <c r="H856" s="705"/>
      <c r="I856" s="705"/>
      <c r="J856" s="705"/>
      <c r="K856" s="705"/>
    </row>
    <row r="857" spans="1:11" s="706" customFormat="1" ht="15.6" x14ac:dyDescent="0.3">
      <c r="A857" s="707" t="s">
        <v>74</v>
      </c>
      <c r="B857" s="708"/>
      <c r="C857" s="708"/>
      <c r="D857" s="709"/>
      <c r="E857" s="710"/>
      <c r="F857" s="918"/>
      <c r="G857" s="710"/>
      <c r="H857" s="711"/>
    </row>
    <row r="858" spans="1:11" s="706" customFormat="1" ht="16.2" thickBot="1" x14ac:dyDescent="0.35">
      <c r="A858" s="744" t="s">
        <v>75</v>
      </c>
      <c r="B858" s="713"/>
      <c r="C858" s="713"/>
      <c r="D858" s="714"/>
      <c r="E858" s="745" t="s">
        <v>78</v>
      </c>
      <c r="F858" s="919"/>
      <c r="G858" s="746" t="s">
        <v>722</v>
      </c>
      <c r="H858" s="711"/>
    </row>
    <row r="859" spans="1:11" s="706" customFormat="1" ht="66.599999999999994" thickBot="1" x14ac:dyDescent="0.35">
      <c r="A859" s="717"/>
      <c r="B859" s="717"/>
      <c r="C859" s="717"/>
      <c r="D859" s="718"/>
      <c r="E859" s="747" t="s">
        <v>704</v>
      </c>
      <c r="F859" s="747" t="s">
        <v>125</v>
      </c>
      <c r="G859" s="746" t="s">
        <v>81</v>
      </c>
      <c r="H859" s="778" t="s">
        <v>753</v>
      </c>
      <c r="I859" s="747" t="s">
        <v>83</v>
      </c>
      <c r="J859" s="905" t="s">
        <v>84</v>
      </c>
      <c r="K859" s="906"/>
    </row>
    <row r="860" spans="1:11" s="706" customFormat="1" ht="15.6" x14ac:dyDescent="0.3">
      <c r="A860" s="707" t="s">
        <v>85</v>
      </c>
      <c r="B860" s="717"/>
      <c r="C860" s="720">
        <v>2005</v>
      </c>
      <c r="D860" s="721">
        <v>-9</v>
      </c>
      <c r="E860" s="762"/>
      <c r="F860" s="763"/>
      <c r="G860" s="764">
        <v>32330.080031256766</v>
      </c>
      <c r="H860" s="765">
        <v>32330.080031256766</v>
      </c>
      <c r="I860" s="911" t="s">
        <v>86</v>
      </c>
      <c r="J860" s="907"/>
      <c r="K860" s="908"/>
    </row>
    <row r="861" spans="1:11" s="706" customFormat="1" ht="15.6" x14ac:dyDescent="0.3">
      <c r="A861" s="744" t="s">
        <v>87</v>
      </c>
      <c r="B861" s="717"/>
      <c r="C861" s="729">
        <v>2006</v>
      </c>
      <c r="D861" s="725">
        <v>-8</v>
      </c>
      <c r="E861" s="766"/>
      <c r="F861" s="763"/>
      <c r="G861" s="767">
        <v>35313.388920470614</v>
      </c>
      <c r="H861" s="768">
        <v>35313.388920470614</v>
      </c>
      <c r="I861" s="912"/>
      <c r="J861" s="907"/>
      <c r="K861" s="908"/>
    </row>
    <row r="862" spans="1:11" s="706" customFormat="1" ht="13.8" customHeight="1" x14ac:dyDescent="0.3">
      <c r="A862" s="717"/>
      <c r="B862" s="717"/>
      <c r="C862" s="729">
        <v>2007</v>
      </c>
      <c r="D862" s="725">
        <v>-7</v>
      </c>
      <c r="E862" s="766">
        <v>40759</v>
      </c>
      <c r="F862" s="763">
        <v>40759</v>
      </c>
      <c r="G862" s="767">
        <v>40759</v>
      </c>
      <c r="H862" s="768">
        <v>40759</v>
      </c>
      <c r="I862" s="912"/>
      <c r="J862" s="907"/>
      <c r="K862" s="908"/>
    </row>
    <row r="863" spans="1:11" s="706" customFormat="1" ht="15.6" x14ac:dyDescent="0.3">
      <c r="A863" s="726" t="s">
        <v>88</v>
      </c>
      <c r="B863" s="717"/>
      <c r="C863" s="729">
        <v>2008</v>
      </c>
      <c r="D863" s="725">
        <v>-6</v>
      </c>
      <c r="E863" s="766">
        <v>41926</v>
      </c>
      <c r="F863" s="763">
        <v>41926</v>
      </c>
      <c r="G863" s="767">
        <v>41926</v>
      </c>
      <c r="H863" s="768">
        <v>41926</v>
      </c>
      <c r="I863" s="912"/>
      <c r="J863" s="909"/>
      <c r="K863" s="910"/>
    </row>
    <row r="864" spans="1:11" s="706" customFormat="1" ht="14.4" x14ac:dyDescent="0.3">
      <c r="A864" s="914" t="s">
        <v>723</v>
      </c>
      <c r="B864" s="717"/>
      <c r="C864" s="729">
        <v>2009</v>
      </c>
      <c r="D864" s="725">
        <v>-5</v>
      </c>
      <c r="E864" s="766">
        <v>40099</v>
      </c>
      <c r="F864" s="763">
        <v>40099</v>
      </c>
      <c r="G864" s="767">
        <v>40099</v>
      </c>
      <c r="H864" s="768">
        <v>40099</v>
      </c>
      <c r="I864" s="912"/>
    </row>
    <row r="865" spans="1:9" s="706" customFormat="1" ht="14.4" x14ac:dyDescent="0.3">
      <c r="A865" s="915"/>
      <c r="B865" s="717"/>
      <c r="C865" s="729">
        <v>2010</v>
      </c>
      <c r="D865" s="725">
        <v>-4</v>
      </c>
      <c r="E865" s="766">
        <v>44369</v>
      </c>
      <c r="F865" s="763">
        <v>44369</v>
      </c>
      <c r="G865" s="767">
        <v>44369</v>
      </c>
      <c r="H865" s="768">
        <v>44369</v>
      </c>
      <c r="I865" s="912"/>
    </row>
    <row r="866" spans="1:9" s="706" customFormat="1" ht="14.4" x14ac:dyDescent="0.3">
      <c r="A866" s="915"/>
      <c r="B866" s="717"/>
      <c r="C866" s="729">
        <v>2011</v>
      </c>
      <c r="D866" s="725">
        <v>-3</v>
      </c>
      <c r="E866" s="766">
        <v>46617</v>
      </c>
      <c r="F866" s="763">
        <v>46617</v>
      </c>
      <c r="G866" s="767">
        <v>46617</v>
      </c>
      <c r="H866" s="768">
        <v>46617</v>
      </c>
      <c r="I866" s="913"/>
    </row>
    <row r="867" spans="1:9" s="706" customFormat="1" ht="14.4" x14ac:dyDescent="0.3">
      <c r="A867" s="916"/>
      <c r="B867" s="717"/>
      <c r="C867" s="729">
        <v>2012</v>
      </c>
      <c r="D867" s="725">
        <v>-2</v>
      </c>
      <c r="E867" s="766">
        <v>48864</v>
      </c>
      <c r="F867" s="763">
        <v>48864</v>
      </c>
      <c r="G867" s="769">
        <v>48864</v>
      </c>
      <c r="H867" s="770">
        <v>48864</v>
      </c>
      <c r="I867" s="732" t="s">
        <v>90</v>
      </c>
    </row>
    <row r="868" spans="1:9" s="706" customFormat="1" ht="14.4" x14ac:dyDescent="0.3">
      <c r="A868" s="717"/>
      <c r="B868" s="717"/>
      <c r="C868" s="729">
        <v>2013</v>
      </c>
      <c r="D868" s="725">
        <v>-1</v>
      </c>
      <c r="E868" s="766">
        <v>50490</v>
      </c>
      <c r="F868" s="763">
        <v>50490</v>
      </c>
      <c r="G868" s="769">
        <v>50490</v>
      </c>
      <c r="H868" s="770">
        <v>50490</v>
      </c>
      <c r="I868" s="717"/>
    </row>
    <row r="869" spans="1:9" s="706" customFormat="1" ht="15.6" x14ac:dyDescent="0.3">
      <c r="A869" s="733" t="s">
        <v>91</v>
      </c>
      <c r="B869" s="717"/>
      <c r="C869" s="729">
        <v>2014</v>
      </c>
      <c r="D869" s="725">
        <v>0</v>
      </c>
      <c r="E869" s="766">
        <v>52627</v>
      </c>
      <c r="F869" s="763">
        <v>52627</v>
      </c>
      <c r="G869" s="769">
        <v>52627</v>
      </c>
      <c r="H869" s="770">
        <v>52956.95832441566</v>
      </c>
    </row>
    <row r="870" spans="1:9" s="706" customFormat="1" ht="15.6" x14ac:dyDescent="0.3">
      <c r="A870" s="734">
        <v>2018</v>
      </c>
      <c r="B870" s="713"/>
      <c r="C870" s="729">
        <v>2015</v>
      </c>
      <c r="D870" s="725">
        <v>1</v>
      </c>
      <c r="E870" s="766">
        <v>53476</v>
      </c>
      <c r="F870" s="763">
        <v>53476</v>
      </c>
      <c r="G870" s="769">
        <v>53476</v>
      </c>
      <c r="H870" s="770">
        <v>53448.395829226465</v>
      </c>
    </row>
    <row r="871" spans="1:9" s="706" customFormat="1" ht="14.4" x14ac:dyDescent="0.3">
      <c r="B871" s="713"/>
      <c r="C871" s="729">
        <v>2016</v>
      </c>
      <c r="D871" s="725">
        <v>2</v>
      </c>
      <c r="E871" s="766">
        <v>55321</v>
      </c>
      <c r="F871" s="763">
        <v>55321</v>
      </c>
      <c r="G871" s="769">
        <v>55321</v>
      </c>
      <c r="H871" s="770">
        <v>55294.751914600864</v>
      </c>
    </row>
    <row r="872" spans="1:9" s="706" customFormat="1" ht="15.6" x14ac:dyDescent="0.3">
      <c r="A872" s="733" t="s">
        <v>92</v>
      </c>
      <c r="B872" s="713"/>
      <c r="C872" s="729">
        <v>2017</v>
      </c>
      <c r="D872" s="725">
        <v>3</v>
      </c>
      <c r="E872" s="766">
        <v>58097</v>
      </c>
      <c r="F872" s="763">
        <v>58097</v>
      </c>
      <c r="G872" s="769">
        <v>58097</v>
      </c>
      <c r="H872" s="770">
        <v>58073.881829463462</v>
      </c>
    </row>
    <row r="873" spans="1:9" s="706" customFormat="1" ht="15.6" x14ac:dyDescent="0.3">
      <c r="A873" s="734" t="s">
        <v>704</v>
      </c>
      <c r="B873" s="713"/>
      <c r="C873" s="729">
        <v>2018</v>
      </c>
      <c r="D873" s="725">
        <v>4</v>
      </c>
      <c r="E873" s="766">
        <v>60444</v>
      </c>
      <c r="F873" s="763">
        <v>60444</v>
      </c>
      <c r="G873" s="769">
        <v>60444</v>
      </c>
      <c r="H873" s="770">
        <v>60425.550045430871</v>
      </c>
    </row>
    <row r="874" spans="1:9" s="706" customFormat="1" ht="14.4" x14ac:dyDescent="0.3">
      <c r="B874" s="735"/>
      <c r="C874" s="729">
        <v>2019</v>
      </c>
      <c r="D874" s="725">
        <v>5</v>
      </c>
      <c r="E874" s="766"/>
      <c r="F874" s="763"/>
      <c r="G874" s="769">
        <v>59127.786869119205</v>
      </c>
      <c r="H874" s="770">
        <v>59114.675576867274</v>
      </c>
    </row>
    <row r="875" spans="1:9" s="706" customFormat="1" ht="15.6" x14ac:dyDescent="0.3">
      <c r="A875" s="733" t="s">
        <v>93</v>
      </c>
      <c r="B875" s="713"/>
      <c r="C875" s="729">
        <v>2020</v>
      </c>
      <c r="D875" s="725">
        <v>6</v>
      </c>
      <c r="E875" s="766"/>
      <c r="F875" s="763"/>
      <c r="G875" s="769">
        <v>60111.032428084378</v>
      </c>
      <c r="H875" s="770">
        <v>60105.921322558155</v>
      </c>
    </row>
    <row r="876" spans="1:9" s="706" customFormat="1" ht="15.6" x14ac:dyDescent="0.3">
      <c r="A876" s="733"/>
      <c r="B876" s="713"/>
      <c r="C876" s="729">
        <v>2021</v>
      </c>
      <c r="D876" s="725">
        <v>7</v>
      </c>
      <c r="E876" s="766"/>
      <c r="F876" s="763"/>
      <c r="G876" s="769">
        <v>61016.302231521287</v>
      </c>
      <c r="H876" s="770">
        <v>60973.661593778044</v>
      </c>
    </row>
    <row r="877" spans="1:9" s="706" customFormat="1" ht="15.6" x14ac:dyDescent="0.3">
      <c r="A877" s="736"/>
      <c r="B877" s="713"/>
      <c r="C877" s="729">
        <v>2022</v>
      </c>
      <c r="D877" s="725">
        <v>8</v>
      </c>
      <c r="E877" s="766"/>
      <c r="F877" s="763"/>
      <c r="G877" s="769">
        <v>61852.247734219025</v>
      </c>
      <c r="H877" s="770">
        <v>61766.596921498298</v>
      </c>
    </row>
    <row r="878" spans="1:9" s="706" customFormat="1" ht="15.6" x14ac:dyDescent="0.3">
      <c r="A878" s="734"/>
      <c r="B878" s="713"/>
      <c r="C878" s="729">
        <v>2023</v>
      </c>
      <c r="D878" s="725">
        <v>9</v>
      </c>
      <c r="E878" s="766"/>
      <c r="F878" s="763"/>
      <c r="G878" s="769">
        <v>62627.52039096666</v>
      </c>
      <c r="H878" s="770">
        <v>62493.603570745479</v>
      </c>
    </row>
    <row r="879" spans="1:9" s="706" customFormat="1" ht="14.4" x14ac:dyDescent="0.3">
      <c r="B879" s="713"/>
      <c r="C879" s="729">
        <v>2024</v>
      </c>
      <c r="D879" s="725">
        <v>10</v>
      </c>
      <c r="E879" s="766"/>
      <c r="F879" s="763"/>
      <c r="G879" s="769">
        <v>63350.771656553276</v>
      </c>
      <c r="H879" s="770">
        <v>63162.641846394756</v>
      </c>
    </row>
    <row r="880" spans="1:9" s="706" customFormat="1" ht="14.4" x14ac:dyDescent="0.3">
      <c r="B880" s="713"/>
      <c r="C880" s="729">
        <v>2025</v>
      </c>
      <c r="D880" s="725">
        <v>11</v>
      </c>
      <c r="E880" s="766"/>
      <c r="F880" s="763"/>
      <c r="G880" s="769">
        <v>64030.652985767934</v>
      </c>
      <c r="H880" s="770">
        <v>63781.932265509437</v>
      </c>
    </row>
    <row r="881" spans="1:8" s="706" customFormat="1" ht="14.4" x14ac:dyDescent="0.3">
      <c r="A881" s="917" t="s">
        <v>713</v>
      </c>
      <c r="B881" s="713"/>
      <c r="C881" s="729">
        <v>2026</v>
      </c>
      <c r="D881" s="725">
        <v>12</v>
      </c>
      <c r="E881" s="766"/>
      <c r="F881" s="763"/>
      <c r="G881" s="769">
        <v>64675.81583339972</v>
      </c>
      <c r="H881" s="770">
        <v>64360.553798339846</v>
      </c>
    </row>
    <row r="882" spans="1:8" s="706" customFormat="1" ht="14.4" x14ac:dyDescent="0.3">
      <c r="A882" s="917"/>
      <c r="B882" s="713"/>
      <c r="C882" s="729">
        <v>2027</v>
      </c>
      <c r="D882" s="725">
        <v>13</v>
      </c>
      <c r="E882" s="766"/>
      <c r="F882" s="763"/>
      <c r="G882" s="769">
        <v>65294.911654237716</v>
      </c>
      <c r="H882" s="770">
        <v>64908.051801795882</v>
      </c>
    </row>
    <row r="883" spans="1:8" s="706" customFormat="1" ht="14.4" x14ac:dyDescent="0.3">
      <c r="A883" s="917"/>
      <c r="B883" s="713"/>
      <c r="C883" s="729">
        <v>2028</v>
      </c>
      <c r="D883" s="725">
        <v>14</v>
      </c>
      <c r="E883" s="766"/>
      <c r="F883" s="763"/>
      <c r="G883" s="769">
        <v>65896.591903071007</v>
      </c>
      <c r="H883" s="770">
        <v>65433.47893312935</v>
      </c>
    </row>
    <row r="884" spans="1:8" s="706" customFormat="1" ht="14.4" x14ac:dyDescent="0.3">
      <c r="A884" s="917"/>
      <c r="B884" s="713"/>
      <c r="C884" s="729">
        <v>2029</v>
      </c>
      <c r="D884" s="725">
        <v>15</v>
      </c>
      <c r="E884" s="766"/>
      <c r="F884" s="763"/>
      <c r="G884" s="769">
        <v>66489.508034688639</v>
      </c>
      <c r="H884" s="770">
        <v>65945.89181997141</v>
      </c>
    </row>
    <row r="885" spans="1:8" s="706" customFormat="1" ht="14.4" x14ac:dyDescent="0.3">
      <c r="A885" s="917"/>
      <c r="B885" s="713"/>
      <c r="C885" s="729">
        <v>2030</v>
      </c>
      <c r="D885" s="725">
        <v>16</v>
      </c>
      <c r="E885" s="766"/>
      <c r="F885" s="763"/>
      <c r="G885" s="769">
        <v>67082.311503879726</v>
      </c>
      <c r="H885" s="770">
        <v>66454.212726061494</v>
      </c>
    </row>
    <row r="886" spans="1:8" s="706" customFormat="1" ht="14.4" x14ac:dyDescent="0.3">
      <c r="A886" s="917"/>
      <c r="B886" s="713"/>
      <c r="C886" s="729">
        <v>2031</v>
      </c>
      <c r="D886" s="725">
        <v>17</v>
      </c>
      <c r="E886" s="766"/>
      <c r="F886" s="763"/>
      <c r="G886" s="769">
        <v>67683.653765433308</v>
      </c>
      <c r="H886" s="770">
        <v>66967.201786390026</v>
      </c>
    </row>
    <row r="887" spans="1:8" s="706" customFormat="1" ht="14.4" x14ac:dyDescent="0.3">
      <c r="A887" s="917"/>
      <c r="B887" s="713"/>
      <c r="C887" s="729">
        <v>2032</v>
      </c>
      <c r="D887" s="725">
        <v>18</v>
      </c>
      <c r="E887" s="766"/>
      <c r="F887" s="763"/>
      <c r="G887" s="769">
        <v>68302.186274138498</v>
      </c>
      <c r="H887" s="770">
        <v>67493.728588747676</v>
      </c>
    </row>
    <row r="888" spans="1:8" s="706" customFormat="1" ht="14.4" x14ac:dyDescent="0.3">
      <c r="A888" s="917"/>
      <c r="B888" s="735"/>
      <c r="C888" s="729">
        <v>2033</v>
      </c>
      <c r="D888" s="725">
        <v>19</v>
      </c>
      <c r="E888" s="766"/>
      <c r="F888" s="763"/>
      <c r="G888" s="769">
        <v>68946.56048478435</v>
      </c>
      <c r="H888" s="770">
        <v>68043.094014067916</v>
      </c>
    </row>
    <row r="889" spans="1:8" s="706" customFormat="1" ht="14.4" x14ac:dyDescent="0.3">
      <c r="A889" s="735"/>
      <c r="B889" s="735"/>
      <c r="C889" s="729">
        <v>2034</v>
      </c>
      <c r="D889" s="725">
        <v>20</v>
      </c>
      <c r="E889" s="766"/>
      <c r="F889" s="763"/>
      <c r="G889" s="769">
        <v>69625.427852159948</v>
      </c>
      <c r="H889" s="770">
        <v>68624.723328188556</v>
      </c>
    </row>
    <row r="890" spans="1:8" s="706" customFormat="1" ht="14.4" x14ac:dyDescent="0.3">
      <c r="A890" s="735"/>
      <c r="B890" s="735"/>
      <c r="C890" s="729">
        <v>2035</v>
      </c>
      <c r="D890" s="725">
        <v>21</v>
      </c>
      <c r="E890" s="766"/>
      <c r="F890" s="763"/>
      <c r="G890" s="769">
        <v>70347.439831054377</v>
      </c>
      <c r="H890" s="770">
        <v>69247.717801911363</v>
      </c>
    </row>
    <row r="891" spans="1:8" s="706" customFormat="1" ht="14.4" x14ac:dyDescent="0.3">
      <c r="A891" s="735"/>
      <c r="B891" s="735"/>
      <c r="C891" s="729">
        <v>2036</v>
      </c>
      <c r="D891" s="725">
        <v>22</v>
      </c>
      <c r="E891" s="766"/>
      <c r="F891" s="763"/>
      <c r="G891" s="769">
        <v>71121.247876256704</v>
      </c>
      <c r="H891" s="770">
        <v>69920.816372847316</v>
      </c>
    </row>
    <row r="892" spans="1:8" s="706" customFormat="1" ht="14.4" x14ac:dyDescent="0.3">
      <c r="A892" s="735"/>
      <c r="B892" s="735"/>
      <c r="C892" s="729">
        <v>2037</v>
      </c>
      <c r="D892" s="725">
        <v>23</v>
      </c>
      <c r="E892" s="766"/>
      <c r="F892" s="763"/>
      <c r="G892" s="769">
        <v>71955.503442556001</v>
      </c>
      <c r="H892" s="770">
        <v>70652.197856121973</v>
      </c>
    </row>
    <row r="893" spans="1:8" s="706" customFormat="1" ht="14.4" x14ac:dyDescent="0.3">
      <c r="A893" s="735"/>
      <c r="B893" s="735"/>
      <c r="C893" s="729">
        <v>2038</v>
      </c>
      <c r="D893" s="725">
        <v>24</v>
      </c>
      <c r="E893" s="766"/>
      <c r="F893" s="763"/>
      <c r="G893" s="769">
        <v>72858.857984741349</v>
      </c>
      <c r="H893" s="770">
        <v>71449.651547084999</v>
      </c>
    </row>
    <row r="894" spans="1:8" s="706" customFormat="1" ht="14.4" x14ac:dyDescent="0.3">
      <c r="A894" s="735"/>
      <c r="B894" s="735"/>
      <c r="C894" s="729">
        <v>2039</v>
      </c>
      <c r="D894" s="725">
        <v>25</v>
      </c>
      <c r="E894" s="766"/>
      <c r="F894" s="763"/>
      <c r="G894" s="769">
        <v>73839.962957601834</v>
      </c>
      <c r="H894" s="770">
        <v>72320.624365462107</v>
      </c>
    </row>
    <row r="895" spans="1:8" s="706" customFormat="1" ht="14.4" x14ac:dyDescent="0.3">
      <c r="A895" s="735"/>
      <c r="B895" s="735"/>
      <c r="C895" s="729">
        <v>2040</v>
      </c>
      <c r="D895" s="725">
        <v>26</v>
      </c>
      <c r="E895" s="766">
        <v>74181.38</v>
      </c>
      <c r="F895" s="763">
        <v>74181.38</v>
      </c>
      <c r="G895" s="769">
        <v>74181.38</v>
      </c>
      <c r="H895" s="770">
        <v>72562.435402860341</v>
      </c>
    </row>
    <row r="896" spans="1:8" s="706" customFormat="1" ht="14.4" x14ac:dyDescent="0.3">
      <c r="A896" s="735"/>
      <c r="B896" s="735"/>
      <c r="C896" s="729">
        <v>2041</v>
      </c>
      <c r="D896" s="725">
        <v>27</v>
      </c>
      <c r="E896" s="766"/>
      <c r="F896" s="763"/>
      <c r="G896" s="769">
        <v>76070.030014504504</v>
      </c>
      <c r="H896" s="770">
        <v>74313.792630046417</v>
      </c>
    </row>
    <row r="897" spans="1:8" s="706" customFormat="1" ht="14.4" x14ac:dyDescent="0.3">
      <c r="A897" s="735"/>
      <c r="B897" s="735"/>
      <c r="C897" s="729">
        <v>2042</v>
      </c>
      <c r="D897" s="725">
        <v>28</v>
      </c>
      <c r="E897" s="766"/>
      <c r="F897" s="763"/>
      <c r="G897" s="769">
        <v>77336.295008124842</v>
      </c>
      <c r="H897" s="770">
        <v>75452.124248998225</v>
      </c>
    </row>
    <row r="898" spans="1:8" s="706" customFormat="1" ht="14.4" x14ac:dyDescent="0.3">
      <c r="A898" s="735"/>
      <c r="B898" s="735"/>
      <c r="C898" s="729">
        <v>2043</v>
      </c>
      <c r="D898" s="725">
        <v>29</v>
      </c>
      <c r="E898" s="766"/>
      <c r="F898" s="763"/>
      <c r="G898" s="769">
        <v>78714.916251576637</v>
      </c>
      <c r="H898" s="770">
        <v>76695.542316959632</v>
      </c>
    </row>
    <row r="899" spans="1:8" s="706" customFormat="1" ht="14.4" x14ac:dyDescent="0.3">
      <c r="A899" s="735"/>
      <c r="B899" s="735"/>
      <c r="C899" s="729">
        <v>2044</v>
      </c>
      <c r="D899" s="725">
        <v>30</v>
      </c>
      <c r="E899" s="766"/>
      <c r="F899" s="763"/>
      <c r="G899" s="769">
        <v>80214.545199648928</v>
      </c>
      <c r="H899" s="770">
        <v>78051.89101284901</v>
      </c>
    </row>
    <row r="900" spans="1:8" s="706" customFormat="1" ht="14.4" x14ac:dyDescent="0.3">
      <c r="A900" s="735"/>
      <c r="B900" s="735"/>
      <c r="C900" s="729">
        <v>2045</v>
      </c>
      <c r="D900" s="725">
        <v>31</v>
      </c>
      <c r="E900" s="766"/>
      <c r="F900" s="763"/>
      <c r="G900" s="769">
        <v>81843.833307130815</v>
      </c>
      <c r="H900" s="770">
        <v>79528.951141420155</v>
      </c>
    </row>
    <row r="901" spans="1:8" s="706" customFormat="1" ht="14.4" x14ac:dyDescent="0.3">
      <c r="A901" s="735"/>
      <c r="B901" s="735"/>
      <c r="C901" s="729">
        <v>2046</v>
      </c>
      <c r="D901" s="725">
        <v>32</v>
      </c>
      <c r="E901" s="766"/>
      <c r="F901" s="763"/>
      <c r="G901" s="769">
        <v>83611.432028811381</v>
      </c>
      <c r="H901" s="770">
        <v>81134.421705856046</v>
      </c>
    </row>
    <row r="902" spans="1:8" s="706" customFormat="1" ht="14.4" x14ac:dyDescent="0.3">
      <c r="A902" s="737"/>
      <c r="B902" s="738"/>
      <c r="C902" s="729">
        <v>2047</v>
      </c>
      <c r="D902" s="725">
        <v>33</v>
      </c>
      <c r="E902" s="766"/>
      <c r="F902" s="763"/>
      <c r="G902" s="769">
        <v>85525.992819479696</v>
      </c>
      <c r="H902" s="770">
        <v>82875.949898231847</v>
      </c>
    </row>
    <row r="903" spans="1:8" s="706" customFormat="1" ht="14.4" x14ac:dyDescent="0.3">
      <c r="B903" s="738"/>
      <c r="C903" s="729">
        <v>2048</v>
      </c>
      <c r="D903" s="725">
        <v>34</v>
      </c>
      <c r="E903" s="766"/>
      <c r="F903" s="763"/>
      <c r="G903" s="769">
        <v>87596.167133924828</v>
      </c>
      <c r="H903" s="770">
        <v>84761.161119212105</v>
      </c>
    </row>
    <row r="904" spans="1:8" s="706" customFormat="1" ht="14.4" x14ac:dyDescent="0.3">
      <c r="C904" s="729">
        <v>2049</v>
      </c>
      <c r="D904" s="725">
        <v>35</v>
      </c>
      <c r="E904" s="766"/>
      <c r="F904" s="763"/>
      <c r="G904" s="769">
        <v>89830.606426935847</v>
      </c>
      <c r="H904" s="770">
        <v>86797.637571357482</v>
      </c>
    </row>
    <row r="905" spans="1:8" s="706" customFormat="1" ht="14.4" x14ac:dyDescent="0.3">
      <c r="C905" s="729">
        <v>2050</v>
      </c>
      <c r="D905" s="739">
        <v>36</v>
      </c>
      <c r="E905" s="771">
        <v>92522.930000000008</v>
      </c>
      <c r="F905" s="763">
        <v>92522.930000000008</v>
      </c>
      <c r="G905" s="772">
        <v>92522.930000000008</v>
      </c>
      <c r="H905" s="773">
        <v>89267.822390918474</v>
      </c>
    </row>
    <row r="906" spans="1:8" s="706" customFormat="1" ht="14.4" x14ac:dyDescent="0.3">
      <c r="C906" s="729">
        <v>2051</v>
      </c>
      <c r="D906" s="725">
        <v>37</v>
      </c>
      <c r="E906" s="766"/>
      <c r="F906" s="763"/>
      <c r="G906" s="769">
        <v>94826.885767811953</v>
      </c>
      <c r="H906" s="770">
        <v>91354.31134031761</v>
      </c>
    </row>
    <row r="907" spans="1:8" s="706" customFormat="1" ht="14.4" x14ac:dyDescent="0.3">
      <c r="C907" s="729">
        <v>2052</v>
      </c>
      <c r="D907" s="725">
        <v>38</v>
      </c>
      <c r="E907" s="766"/>
      <c r="F907" s="763"/>
      <c r="G907" s="769">
        <v>97606.028725255164</v>
      </c>
      <c r="H907" s="770">
        <v>93889.263457650304</v>
      </c>
    </row>
    <row r="908" spans="1:8" s="706" customFormat="1" ht="14.4" x14ac:dyDescent="0.3">
      <c r="C908" s="729">
        <v>2053</v>
      </c>
      <c r="D908" s="725">
        <v>39</v>
      </c>
      <c r="E908" s="766"/>
      <c r="F908" s="763"/>
      <c r="G908" s="769">
        <v>100584.04248042058</v>
      </c>
      <c r="H908" s="770">
        <v>96604.982590687403</v>
      </c>
    </row>
    <row r="909" spans="1:8" s="706" customFormat="1" ht="14.4" x14ac:dyDescent="0.3">
      <c r="C909" s="729">
        <v>2054</v>
      </c>
      <c r="D909" s="725">
        <v>40</v>
      </c>
      <c r="E909" s="766"/>
      <c r="F909" s="763"/>
      <c r="G909" s="769">
        <v>103769.57848809726</v>
      </c>
      <c r="H909" s="770">
        <v>99508.631182259574</v>
      </c>
    </row>
    <row r="910" spans="1:8" s="706" customFormat="1" ht="14.4" x14ac:dyDescent="0.3">
      <c r="C910" s="729">
        <v>2055</v>
      </c>
      <c r="D910" s="739">
        <v>41</v>
      </c>
      <c r="E910" s="771"/>
      <c r="F910" s="763"/>
      <c r="G910" s="772">
        <v>107171.28820307435</v>
      </c>
      <c r="H910" s="773">
        <v>102607.30831890825</v>
      </c>
    </row>
    <row r="911" spans="1:8" s="706" customFormat="1" ht="14.4" x14ac:dyDescent="0.3">
      <c r="C911" s="729">
        <v>2056</v>
      </c>
      <c r="D911" s="725">
        <v>42</v>
      </c>
      <c r="E911" s="766"/>
      <c r="F911" s="763"/>
      <c r="G911" s="769">
        <v>110797.82308014084</v>
      </c>
      <c r="H911" s="770">
        <v>105908.05852637276</v>
      </c>
    </row>
    <row r="912" spans="1:8" s="706" customFormat="1" ht="14.4" x14ac:dyDescent="0.3">
      <c r="C912" s="729">
        <v>2057</v>
      </c>
      <c r="D912" s="725">
        <v>43</v>
      </c>
      <c r="E912" s="766"/>
      <c r="F912" s="763"/>
      <c r="G912" s="769">
        <v>114657.83457408586</v>
      </c>
      <c r="H912" s="770">
        <v>109417.87166342691</v>
      </c>
    </row>
    <row r="913" spans="1:11" s="706" customFormat="1" ht="14.4" x14ac:dyDescent="0.3">
      <c r="C913" s="729">
        <v>2058</v>
      </c>
      <c r="D913" s="725">
        <v>44</v>
      </c>
      <c r="E913" s="766"/>
      <c r="F913" s="763"/>
      <c r="G913" s="769">
        <v>118759.97413969849</v>
      </c>
      <c r="H913" s="770">
        <v>113143.68507116244</v>
      </c>
    </row>
    <row r="914" spans="1:11" s="706" customFormat="1" ht="14.4" x14ac:dyDescent="0.3">
      <c r="C914" s="729">
        <v>2059</v>
      </c>
      <c r="D914" s="725">
        <v>45</v>
      </c>
      <c r="E914" s="766"/>
      <c r="F914" s="763"/>
      <c r="G914" s="769">
        <v>123112.89323176781</v>
      </c>
      <c r="H914" s="770">
        <v>117092.38398060798</v>
      </c>
    </row>
    <row r="915" spans="1:11" s="706" customFormat="1" ht="14.4" x14ac:dyDescent="0.3">
      <c r="C915" s="742">
        <v>2060</v>
      </c>
      <c r="D915" s="739">
        <v>46</v>
      </c>
      <c r="E915" s="771"/>
      <c r="F915" s="763"/>
      <c r="G915" s="772">
        <v>127725.24330508284</v>
      </c>
      <c r="H915" s="773">
        <v>121270.77915428787</v>
      </c>
    </row>
    <row r="916" spans="1:11" s="706" customFormat="1" ht="14.4" x14ac:dyDescent="0.3">
      <c r="D916" s="743"/>
    </row>
    <row r="917" spans="1:11" s="706" customFormat="1" ht="14.4" x14ac:dyDescent="0.3">
      <c r="D917" s="743"/>
    </row>
    <row r="918" spans="1:11" s="706" customFormat="1" ht="14.4" x14ac:dyDescent="0.3">
      <c r="A918" s="748" t="str">
        <f>HYPERLINK("#'Interp-FREIGHT'!a1","Back to top")</f>
        <v>Back to top</v>
      </c>
      <c r="D918" s="743"/>
    </row>
    <row r="919" spans="1:11" s="706" customFormat="1" ht="14.4" x14ac:dyDescent="0.3">
      <c r="D919" s="743"/>
    </row>
    <row r="920" spans="1:11" s="706" customFormat="1" ht="14.4" x14ac:dyDescent="0.3">
      <c r="D920" s="743"/>
    </row>
    <row r="921" spans="1:11" s="706" customFormat="1" ht="15.6" x14ac:dyDescent="0.3">
      <c r="A921" s="703">
        <f>1+A856</f>
        <v>11</v>
      </c>
      <c r="B921" s="704" t="s">
        <v>724</v>
      </c>
      <c r="C921" s="705"/>
      <c r="D921" s="705"/>
      <c r="E921" s="705"/>
      <c r="F921" s="705"/>
      <c r="G921" s="705"/>
      <c r="H921" s="705"/>
      <c r="I921" s="705"/>
      <c r="J921" s="705"/>
      <c r="K921" s="705"/>
    </row>
    <row r="922" spans="1:11" s="706" customFormat="1" ht="15.6" x14ac:dyDescent="0.3">
      <c r="A922" s="707" t="s">
        <v>74</v>
      </c>
      <c r="B922" s="708"/>
      <c r="C922" s="708"/>
      <c r="D922" s="709"/>
      <c r="E922" s="710"/>
      <c r="F922" s="918"/>
      <c r="G922" s="710"/>
      <c r="H922" s="711"/>
    </row>
    <row r="923" spans="1:11" s="706" customFormat="1" ht="16.2" thickBot="1" x14ac:dyDescent="0.35">
      <c r="A923" s="744" t="s">
        <v>75</v>
      </c>
      <c r="B923" s="713"/>
      <c r="C923" s="713"/>
      <c r="D923" s="714"/>
      <c r="E923" s="745" t="s">
        <v>78</v>
      </c>
      <c r="F923" s="919"/>
      <c r="G923" s="746" t="s">
        <v>725</v>
      </c>
      <c r="H923" s="711"/>
    </row>
    <row r="924" spans="1:11" s="706" customFormat="1" ht="66.599999999999994" thickBot="1" x14ac:dyDescent="0.35">
      <c r="A924" s="717"/>
      <c r="B924" s="717"/>
      <c r="C924" s="717"/>
      <c r="D924" s="718"/>
      <c r="E924" s="747" t="s">
        <v>704</v>
      </c>
      <c r="F924" s="747" t="s">
        <v>125</v>
      </c>
      <c r="G924" s="746" t="s">
        <v>81</v>
      </c>
      <c r="H924" s="778" t="s">
        <v>753</v>
      </c>
      <c r="I924" s="747" t="s">
        <v>83</v>
      </c>
      <c r="J924" s="905" t="s">
        <v>84</v>
      </c>
      <c r="K924" s="906"/>
    </row>
    <row r="925" spans="1:11" s="706" customFormat="1" ht="15.6" x14ac:dyDescent="0.3">
      <c r="A925" s="707" t="s">
        <v>85</v>
      </c>
      <c r="B925" s="717"/>
      <c r="C925" s="720">
        <v>2005</v>
      </c>
      <c r="D925" s="721">
        <v>-9</v>
      </c>
      <c r="E925" s="762"/>
      <c r="F925" s="763"/>
      <c r="G925" s="764">
        <v>31530.421803639601</v>
      </c>
      <c r="H925" s="765">
        <v>31530.421803639601</v>
      </c>
      <c r="I925" s="911" t="s">
        <v>86</v>
      </c>
      <c r="J925" s="907"/>
      <c r="K925" s="908"/>
    </row>
    <row r="926" spans="1:11" s="706" customFormat="1" ht="15.6" x14ac:dyDescent="0.3">
      <c r="A926" s="744" t="s">
        <v>87</v>
      </c>
      <c r="B926" s="717"/>
      <c r="C926" s="729">
        <v>2006</v>
      </c>
      <c r="D926" s="725">
        <v>-8</v>
      </c>
      <c r="E926" s="766"/>
      <c r="F926" s="763"/>
      <c r="G926" s="767">
        <v>34786.417194205293</v>
      </c>
      <c r="H926" s="768">
        <v>34786.417194205293</v>
      </c>
      <c r="I926" s="912"/>
      <c r="J926" s="907"/>
      <c r="K926" s="908"/>
    </row>
    <row r="927" spans="1:11" s="706" customFormat="1" ht="13.8" customHeight="1" x14ac:dyDescent="0.3">
      <c r="A927" s="717"/>
      <c r="B927" s="717"/>
      <c r="C927" s="729">
        <v>2007</v>
      </c>
      <c r="D927" s="725">
        <v>-7</v>
      </c>
      <c r="E927" s="766">
        <v>40759</v>
      </c>
      <c r="F927" s="763">
        <v>40759</v>
      </c>
      <c r="G927" s="767">
        <v>40759</v>
      </c>
      <c r="H927" s="768">
        <v>40759</v>
      </c>
      <c r="I927" s="912"/>
      <c r="J927" s="907"/>
      <c r="K927" s="908"/>
    </row>
    <row r="928" spans="1:11" s="706" customFormat="1" ht="15.6" x14ac:dyDescent="0.3">
      <c r="A928" s="726" t="s">
        <v>88</v>
      </c>
      <c r="B928" s="717"/>
      <c r="C928" s="729">
        <v>2008</v>
      </c>
      <c r="D928" s="725">
        <v>-6</v>
      </c>
      <c r="E928" s="766">
        <v>41926</v>
      </c>
      <c r="F928" s="763">
        <v>41926</v>
      </c>
      <c r="G928" s="767">
        <v>41926</v>
      </c>
      <c r="H928" s="768">
        <v>41926</v>
      </c>
      <c r="I928" s="912"/>
      <c r="J928" s="909"/>
      <c r="K928" s="910"/>
    </row>
    <row r="929" spans="1:9" s="706" customFormat="1" ht="14.4" x14ac:dyDescent="0.3">
      <c r="A929" s="914" t="s">
        <v>726</v>
      </c>
      <c r="B929" s="717"/>
      <c r="C929" s="729">
        <v>2009</v>
      </c>
      <c r="D929" s="725">
        <v>-5</v>
      </c>
      <c r="E929" s="766">
        <v>40099</v>
      </c>
      <c r="F929" s="763">
        <v>40099</v>
      </c>
      <c r="G929" s="767">
        <v>40099</v>
      </c>
      <c r="H929" s="768">
        <v>40099</v>
      </c>
      <c r="I929" s="912"/>
    </row>
    <row r="930" spans="1:9" s="706" customFormat="1" ht="14.4" x14ac:dyDescent="0.3">
      <c r="A930" s="915"/>
      <c r="B930" s="717"/>
      <c r="C930" s="729">
        <v>2010</v>
      </c>
      <c r="D930" s="725">
        <v>-4</v>
      </c>
      <c r="E930" s="766">
        <v>44369</v>
      </c>
      <c r="F930" s="763">
        <v>44369</v>
      </c>
      <c r="G930" s="767">
        <v>44369</v>
      </c>
      <c r="H930" s="768">
        <v>44369</v>
      </c>
      <c r="I930" s="912"/>
    </row>
    <row r="931" spans="1:9" s="706" customFormat="1" ht="14.4" x14ac:dyDescent="0.3">
      <c r="A931" s="915"/>
      <c r="B931" s="717"/>
      <c r="C931" s="729">
        <v>2011</v>
      </c>
      <c r="D931" s="725">
        <v>-3</v>
      </c>
      <c r="E931" s="766">
        <v>46617</v>
      </c>
      <c r="F931" s="763">
        <v>46617</v>
      </c>
      <c r="G931" s="767">
        <v>46617</v>
      </c>
      <c r="H931" s="768">
        <v>46617</v>
      </c>
      <c r="I931" s="913"/>
    </row>
    <row r="932" spans="1:9" s="706" customFormat="1" ht="14.4" x14ac:dyDescent="0.3">
      <c r="A932" s="916"/>
      <c r="B932" s="717"/>
      <c r="C932" s="729">
        <v>2012</v>
      </c>
      <c r="D932" s="725">
        <v>-2</v>
      </c>
      <c r="E932" s="766">
        <v>48864</v>
      </c>
      <c r="F932" s="763">
        <v>48864</v>
      </c>
      <c r="G932" s="769">
        <v>48864</v>
      </c>
      <c r="H932" s="770">
        <v>48864</v>
      </c>
      <c r="I932" s="732" t="s">
        <v>90</v>
      </c>
    </row>
    <row r="933" spans="1:9" s="706" customFormat="1" ht="14.4" x14ac:dyDescent="0.3">
      <c r="A933" s="717"/>
      <c r="B933" s="717"/>
      <c r="C933" s="729">
        <v>2013</v>
      </c>
      <c r="D933" s="725">
        <v>-1</v>
      </c>
      <c r="E933" s="766">
        <v>50490</v>
      </c>
      <c r="F933" s="763">
        <v>50490</v>
      </c>
      <c r="G933" s="769">
        <v>50490</v>
      </c>
      <c r="H933" s="770">
        <v>50490</v>
      </c>
      <c r="I933" s="717"/>
    </row>
    <row r="934" spans="1:9" s="706" customFormat="1" ht="15.6" x14ac:dyDescent="0.3">
      <c r="A934" s="733" t="s">
        <v>91</v>
      </c>
      <c r="B934" s="717"/>
      <c r="C934" s="729">
        <v>2014</v>
      </c>
      <c r="D934" s="725">
        <v>0</v>
      </c>
      <c r="E934" s="766">
        <v>52627</v>
      </c>
      <c r="F934" s="763">
        <v>52627</v>
      </c>
      <c r="G934" s="769">
        <v>52627</v>
      </c>
      <c r="H934" s="770">
        <v>52956.95832441566</v>
      </c>
    </row>
    <row r="935" spans="1:9" s="706" customFormat="1" ht="15.6" x14ac:dyDescent="0.3">
      <c r="A935" s="734">
        <v>2018</v>
      </c>
      <c r="B935" s="713"/>
      <c r="C935" s="729">
        <v>2015</v>
      </c>
      <c r="D935" s="725">
        <v>1</v>
      </c>
      <c r="E935" s="766">
        <v>53476</v>
      </c>
      <c r="F935" s="763">
        <v>53476</v>
      </c>
      <c r="G935" s="769">
        <v>53476</v>
      </c>
      <c r="H935" s="770">
        <v>53448.395829226465</v>
      </c>
    </row>
    <row r="936" spans="1:9" s="706" customFormat="1" ht="14.4" x14ac:dyDescent="0.3">
      <c r="B936" s="713"/>
      <c r="C936" s="729">
        <v>2016</v>
      </c>
      <c r="D936" s="725">
        <v>2</v>
      </c>
      <c r="E936" s="766">
        <v>55321</v>
      </c>
      <c r="F936" s="763">
        <v>55321</v>
      </c>
      <c r="G936" s="769">
        <v>55321</v>
      </c>
      <c r="H936" s="770">
        <v>55294.751914600864</v>
      </c>
    </row>
    <row r="937" spans="1:9" s="706" customFormat="1" ht="15.6" x14ac:dyDescent="0.3">
      <c r="A937" s="733" t="s">
        <v>92</v>
      </c>
      <c r="B937" s="713"/>
      <c r="C937" s="729">
        <v>2017</v>
      </c>
      <c r="D937" s="725">
        <v>3</v>
      </c>
      <c r="E937" s="766">
        <v>58097</v>
      </c>
      <c r="F937" s="763">
        <v>58097</v>
      </c>
      <c r="G937" s="769">
        <v>58097</v>
      </c>
      <c r="H937" s="770">
        <v>58073.881829463462</v>
      </c>
    </row>
    <row r="938" spans="1:9" s="706" customFormat="1" ht="15.6" x14ac:dyDescent="0.3">
      <c r="A938" s="734" t="s">
        <v>704</v>
      </c>
      <c r="B938" s="713"/>
      <c r="C938" s="729">
        <v>2018</v>
      </c>
      <c r="D938" s="725">
        <v>4</v>
      </c>
      <c r="E938" s="766">
        <v>60444</v>
      </c>
      <c r="F938" s="763">
        <v>60444</v>
      </c>
      <c r="G938" s="769">
        <v>60444</v>
      </c>
      <c r="H938" s="770">
        <v>60425.550045430871</v>
      </c>
    </row>
    <row r="939" spans="1:9" s="706" customFormat="1" ht="14.4" x14ac:dyDescent="0.3">
      <c r="B939" s="735"/>
      <c r="C939" s="729">
        <v>2019</v>
      </c>
      <c r="D939" s="725">
        <v>5</v>
      </c>
      <c r="E939" s="766"/>
      <c r="F939" s="763"/>
      <c r="G939" s="769">
        <v>58496.69153787283</v>
      </c>
      <c r="H939" s="770">
        <v>58483.720187867431</v>
      </c>
    </row>
    <row r="940" spans="1:9" s="706" customFormat="1" ht="15.6" x14ac:dyDescent="0.3">
      <c r="A940" s="733" t="s">
        <v>93</v>
      </c>
      <c r="B940" s="713"/>
      <c r="C940" s="729">
        <v>2020</v>
      </c>
      <c r="D940" s="725">
        <v>6</v>
      </c>
      <c r="E940" s="766"/>
      <c r="F940" s="763"/>
      <c r="G940" s="769">
        <v>59224.009528428345</v>
      </c>
      <c r="H940" s="770">
        <v>59218.973844458887</v>
      </c>
    </row>
    <row r="941" spans="1:9" s="706" customFormat="1" ht="15.6" x14ac:dyDescent="0.3">
      <c r="A941" s="733"/>
      <c r="B941" s="713"/>
      <c r="C941" s="729">
        <v>2021</v>
      </c>
      <c r="D941" s="725">
        <v>7</v>
      </c>
      <c r="E941" s="766"/>
      <c r="F941" s="763"/>
      <c r="G941" s="769">
        <v>59842.617461849732</v>
      </c>
      <c r="H941" s="770">
        <v>59800.797042068873</v>
      </c>
    </row>
    <row r="942" spans="1:9" s="706" customFormat="1" ht="15.6" x14ac:dyDescent="0.3">
      <c r="A942" s="736"/>
      <c r="B942" s="713"/>
      <c r="C942" s="729">
        <v>2022</v>
      </c>
      <c r="D942" s="725">
        <v>8</v>
      </c>
      <c r="E942" s="766"/>
      <c r="F942" s="763"/>
      <c r="G942" s="769">
        <v>60362.103305757308</v>
      </c>
      <c r="H942" s="770">
        <v>60278.515992521956</v>
      </c>
    </row>
    <row r="943" spans="1:9" s="706" customFormat="1" ht="15.6" x14ac:dyDescent="0.3">
      <c r="A943" s="734"/>
      <c r="B943" s="713"/>
      <c r="C943" s="729">
        <v>2023</v>
      </c>
      <c r="D943" s="725">
        <v>9</v>
      </c>
      <c r="E943" s="766"/>
      <c r="F943" s="763"/>
      <c r="G943" s="769">
        <v>60792.055027771377</v>
      </c>
      <c r="H943" s="770">
        <v>60662.062994665044</v>
      </c>
    </row>
    <row r="944" spans="1:9" s="706" customFormat="1" ht="14.4" x14ac:dyDescent="0.3">
      <c r="B944" s="713"/>
      <c r="C944" s="729">
        <v>2024</v>
      </c>
      <c r="D944" s="725">
        <v>10</v>
      </c>
      <c r="E944" s="766"/>
      <c r="F944" s="763"/>
      <c r="G944" s="769">
        <v>61142.060595512245</v>
      </c>
      <c r="H944" s="770">
        <v>60960.48989081911</v>
      </c>
    </row>
    <row r="945" spans="1:8" s="706" customFormat="1" ht="14.4" x14ac:dyDescent="0.3">
      <c r="B945" s="713"/>
      <c r="C945" s="729">
        <v>2025</v>
      </c>
      <c r="D945" s="725">
        <v>11</v>
      </c>
      <c r="E945" s="766"/>
      <c r="F945" s="763"/>
      <c r="G945" s="769">
        <v>61421.707976600228</v>
      </c>
      <c r="H945" s="770">
        <v>61183.121444445969</v>
      </c>
    </row>
    <row r="946" spans="1:8" s="706" customFormat="1" ht="14.4" x14ac:dyDescent="0.3">
      <c r="A946" s="917" t="s">
        <v>713</v>
      </c>
      <c r="B946" s="713"/>
      <c r="C946" s="729">
        <v>2026</v>
      </c>
      <c r="D946" s="725">
        <v>12</v>
      </c>
      <c r="E946" s="766"/>
      <c r="F946" s="763"/>
      <c r="G946" s="769">
        <v>61640.585138655631</v>
      </c>
      <c r="H946" s="770">
        <v>61340.118324860014</v>
      </c>
    </row>
    <row r="947" spans="1:8" s="706" customFormat="1" ht="14.4" x14ac:dyDescent="0.3">
      <c r="A947" s="917"/>
      <c r="B947" s="713"/>
      <c r="C947" s="729">
        <v>2027</v>
      </c>
      <c r="D947" s="725">
        <v>13</v>
      </c>
      <c r="E947" s="766"/>
      <c r="F947" s="763"/>
      <c r="G947" s="769">
        <v>61808.280049298774</v>
      </c>
      <c r="H947" s="770">
        <v>61442.077821686093</v>
      </c>
    </row>
    <row r="948" spans="1:8" s="706" customFormat="1" ht="14.4" x14ac:dyDescent="0.3">
      <c r="A948" s="917"/>
      <c r="B948" s="713"/>
      <c r="C948" s="729">
        <v>2028</v>
      </c>
      <c r="D948" s="725">
        <v>14</v>
      </c>
      <c r="E948" s="766"/>
      <c r="F948" s="763"/>
      <c r="G948" s="769">
        <v>61934.380676149944</v>
      </c>
      <c r="H948" s="770">
        <v>61499.113628976716</v>
      </c>
    </row>
    <row r="949" spans="1:8" s="706" customFormat="1" ht="14.4" x14ac:dyDescent="0.3">
      <c r="A949" s="917"/>
      <c r="B949" s="713"/>
      <c r="C949" s="729">
        <v>2029</v>
      </c>
      <c r="D949" s="725">
        <v>15</v>
      </c>
      <c r="E949" s="766"/>
      <c r="F949" s="763"/>
      <c r="G949" s="769">
        <v>62028.474986829475</v>
      </c>
      <c r="H949" s="770">
        <v>61521.332043924398</v>
      </c>
    </row>
    <row r="950" spans="1:8" s="706" customFormat="1" ht="14.4" x14ac:dyDescent="0.3">
      <c r="A950" s="917"/>
      <c r="B950" s="713"/>
      <c r="C950" s="729">
        <v>2030</v>
      </c>
      <c r="D950" s="725">
        <v>16</v>
      </c>
      <c r="E950" s="766"/>
      <c r="F950" s="763"/>
      <c r="G950" s="769">
        <v>62100.150948957657</v>
      </c>
      <c r="H950" s="770">
        <v>61518.700667371697</v>
      </c>
    </row>
    <row r="951" spans="1:8" s="706" customFormat="1" ht="14.4" x14ac:dyDescent="0.3">
      <c r="A951" s="917"/>
      <c r="B951" s="713"/>
      <c r="C951" s="729">
        <v>2031</v>
      </c>
      <c r="D951" s="725">
        <v>17</v>
      </c>
      <c r="E951" s="766"/>
      <c r="F951" s="763"/>
      <c r="G951" s="769">
        <v>62158.9965301548</v>
      </c>
      <c r="H951" s="770">
        <v>61501.024721574366</v>
      </c>
    </row>
    <row r="952" spans="1:8" s="706" customFormat="1" ht="14.4" x14ac:dyDescent="0.3">
      <c r="A952" s="917"/>
      <c r="B952" s="713"/>
      <c r="C952" s="729">
        <v>2032</v>
      </c>
      <c r="D952" s="725">
        <v>18</v>
      </c>
      <c r="E952" s="766"/>
      <c r="F952" s="763"/>
      <c r="G952" s="769">
        <v>62214.599698041224</v>
      </c>
      <c r="H952" s="770">
        <v>61478.197629335562</v>
      </c>
    </row>
    <row r="953" spans="1:8" s="706" customFormat="1" ht="14.4" x14ac:dyDescent="0.3">
      <c r="A953" s="917"/>
      <c r="B953" s="735"/>
      <c r="C953" s="729">
        <v>2033</v>
      </c>
      <c r="D953" s="725">
        <v>19</v>
      </c>
      <c r="E953" s="766"/>
      <c r="F953" s="763"/>
      <c r="G953" s="769">
        <v>62276.548420237232</v>
      </c>
      <c r="H953" s="770">
        <v>61460.48489199132</v>
      </c>
    </row>
    <row r="954" spans="1:8" s="706" customFormat="1" ht="14.4" x14ac:dyDescent="0.3">
      <c r="A954" s="735"/>
      <c r="B954" s="735"/>
      <c r="C954" s="729">
        <v>2034</v>
      </c>
      <c r="D954" s="725">
        <v>20</v>
      </c>
      <c r="E954" s="766"/>
      <c r="F954" s="763"/>
      <c r="G954" s="769">
        <v>62354.430664363135</v>
      </c>
      <c r="H954" s="770">
        <v>61458.229911557959</v>
      </c>
    </row>
    <row r="955" spans="1:8" s="706" customFormat="1" ht="14.4" x14ac:dyDescent="0.3">
      <c r="A955" s="735"/>
      <c r="B955" s="735"/>
      <c r="C955" s="729">
        <v>2035</v>
      </c>
      <c r="D955" s="725">
        <v>21</v>
      </c>
      <c r="E955" s="766"/>
      <c r="F955" s="763"/>
      <c r="G955" s="769">
        <v>62457.834398039238</v>
      </c>
      <c r="H955" s="770">
        <v>61481.448383920659</v>
      </c>
    </row>
    <row r="956" spans="1:8" s="706" customFormat="1" ht="14.4" x14ac:dyDescent="0.3">
      <c r="A956" s="735"/>
      <c r="B956" s="735"/>
      <c r="C956" s="729">
        <v>2036</v>
      </c>
      <c r="D956" s="725">
        <v>22</v>
      </c>
      <c r="E956" s="766"/>
      <c r="F956" s="763"/>
      <c r="G956" s="769">
        <v>62596.347588885852</v>
      </c>
      <c r="H956" s="770">
        <v>61539.804995949307</v>
      </c>
    </row>
    <row r="957" spans="1:8" s="706" customFormat="1" ht="14.4" x14ac:dyDescent="0.3">
      <c r="A957" s="735"/>
      <c r="B957" s="735"/>
      <c r="C957" s="729">
        <v>2037</v>
      </c>
      <c r="D957" s="725">
        <v>23</v>
      </c>
      <c r="E957" s="766"/>
      <c r="F957" s="763"/>
      <c r="G957" s="769">
        <v>62779.558204523288</v>
      </c>
      <c r="H957" s="770">
        <v>61642.453396589655</v>
      </c>
    </row>
    <row r="958" spans="1:8" s="706" customFormat="1" ht="14.4" x14ac:dyDescent="0.3">
      <c r="A958" s="735"/>
      <c r="B958" s="735"/>
      <c r="C958" s="729">
        <v>2038</v>
      </c>
      <c r="D958" s="725">
        <v>24</v>
      </c>
      <c r="E958" s="766"/>
      <c r="F958" s="763"/>
      <c r="G958" s="769">
        <v>63017.054212571849</v>
      </c>
      <c r="H958" s="770">
        <v>61798.203945977046</v>
      </c>
    </row>
    <row r="959" spans="1:8" s="706" customFormat="1" ht="14.4" x14ac:dyDescent="0.3">
      <c r="A959" s="735"/>
      <c r="B959" s="735"/>
      <c r="C959" s="729">
        <v>2039</v>
      </c>
      <c r="D959" s="725">
        <v>25</v>
      </c>
      <c r="E959" s="766"/>
      <c r="F959" s="763"/>
      <c r="G959" s="769">
        <v>63318.423580651855</v>
      </c>
      <c r="H959" s="770">
        <v>62015.577253456737</v>
      </c>
    </row>
    <row r="960" spans="1:8" s="706" customFormat="1" ht="14.4" x14ac:dyDescent="0.3">
      <c r="A960" s="735"/>
      <c r="B960" s="735"/>
      <c r="C960" s="729">
        <v>2040</v>
      </c>
      <c r="D960" s="725">
        <v>26</v>
      </c>
      <c r="E960" s="766">
        <v>62842</v>
      </c>
      <c r="F960" s="763">
        <v>62842</v>
      </c>
      <c r="G960" s="769">
        <v>62842</v>
      </c>
      <c r="H960" s="770">
        <v>61470.527585042895</v>
      </c>
    </row>
    <row r="961" spans="1:8" s="706" customFormat="1" ht="14.4" x14ac:dyDescent="0.3">
      <c r="A961" s="735"/>
      <c r="B961" s="735"/>
      <c r="C961" s="729">
        <v>2041</v>
      </c>
      <c r="D961" s="725">
        <v>27</v>
      </c>
      <c r="E961" s="766"/>
      <c r="F961" s="763"/>
      <c r="G961" s="769">
        <v>64151.134267387417</v>
      </c>
      <c r="H961" s="770">
        <v>62670.069776755634</v>
      </c>
    </row>
    <row r="962" spans="1:8" s="706" customFormat="1" ht="14.4" x14ac:dyDescent="0.3">
      <c r="A962" s="735"/>
      <c r="B962" s="735"/>
      <c r="C962" s="729">
        <v>2042</v>
      </c>
      <c r="D962" s="725">
        <v>28</v>
      </c>
      <c r="E962" s="766"/>
      <c r="F962" s="763"/>
      <c r="G962" s="769">
        <v>64701.651521283595</v>
      </c>
      <c r="H962" s="770">
        <v>63125.302927770092</v>
      </c>
    </row>
    <row r="963" spans="1:8" s="706" customFormat="1" ht="14.4" x14ac:dyDescent="0.3">
      <c r="A963" s="735"/>
      <c r="B963" s="735"/>
      <c r="C963" s="729">
        <v>2043</v>
      </c>
      <c r="D963" s="725">
        <v>29</v>
      </c>
      <c r="E963" s="766"/>
      <c r="F963" s="763"/>
      <c r="G963" s="769">
        <v>65354.394005692448</v>
      </c>
      <c r="H963" s="770">
        <v>63677.774553465795</v>
      </c>
    </row>
    <row r="964" spans="1:8" s="706" customFormat="1" ht="14.4" x14ac:dyDescent="0.3">
      <c r="A964" s="735"/>
      <c r="B964" s="735"/>
      <c r="C964" s="729">
        <v>2044</v>
      </c>
      <c r="D964" s="725">
        <v>30</v>
      </c>
      <c r="E964" s="766"/>
      <c r="F964" s="763"/>
      <c r="G964" s="769">
        <v>66118.949688234279</v>
      </c>
      <c r="H964" s="770">
        <v>64336.325065553021</v>
      </c>
    </row>
    <row r="965" spans="1:8" s="706" customFormat="1" ht="14.4" x14ac:dyDescent="0.3">
      <c r="A965" s="735"/>
      <c r="B965" s="735"/>
      <c r="C965" s="729">
        <v>2045</v>
      </c>
      <c r="D965" s="725">
        <v>31</v>
      </c>
      <c r="E965" s="766"/>
      <c r="F965" s="763"/>
      <c r="G965" s="769">
        <v>67004.906536529408</v>
      </c>
      <c r="H965" s="770">
        <v>65109.730603426971</v>
      </c>
    </row>
    <row r="966" spans="1:8" s="706" customFormat="1" ht="14.4" x14ac:dyDescent="0.3">
      <c r="A966" s="735"/>
      <c r="B966" s="735"/>
      <c r="C966" s="729">
        <v>2046</v>
      </c>
      <c r="D966" s="725">
        <v>32</v>
      </c>
      <c r="E966" s="766"/>
      <c r="F966" s="763"/>
      <c r="G966" s="769">
        <v>68021.852518198139</v>
      </c>
      <c r="H966" s="770">
        <v>66006.687524778783</v>
      </c>
    </row>
    <row r="967" spans="1:8" s="706" customFormat="1" ht="14.4" x14ac:dyDescent="0.3">
      <c r="A967" s="737"/>
      <c r="B967" s="738"/>
      <c r="C967" s="729">
        <v>2047</v>
      </c>
      <c r="D967" s="725">
        <v>33</v>
      </c>
      <c r="E967" s="766"/>
      <c r="F967" s="763"/>
      <c r="G967" s="769">
        <v>69179.375600860774</v>
      </c>
      <c r="H967" s="770">
        <v>67035.836443187858</v>
      </c>
    </row>
    <row r="968" spans="1:8" s="706" customFormat="1" ht="14.4" x14ac:dyDescent="0.3">
      <c r="B968" s="738"/>
      <c r="C968" s="729">
        <v>2048</v>
      </c>
      <c r="D968" s="725">
        <v>34</v>
      </c>
      <c r="E968" s="766"/>
      <c r="F968" s="763"/>
      <c r="G968" s="769">
        <v>70487.063752137634</v>
      </c>
      <c r="H968" s="770">
        <v>68205.785287165185</v>
      </c>
    </row>
    <row r="969" spans="1:8" s="706" customFormat="1" ht="14.4" x14ac:dyDescent="0.3">
      <c r="C969" s="729">
        <v>2049</v>
      </c>
      <c r="D969" s="725">
        <v>35</v>
      </c>
      <c r="E969" s="766"/>
      <c r="F969" s="763"/>
      <c r="G969" s="769">
        <v>71954.504939649021</v>
      </c>
      <c r="H969" s="770">
        <v>69525.090498614183</v>
      </c>
    </row>
    <row r="970" spans="1:8" s="706" customFormat="1" ht="14.4" x14ac:dyDescent="0.3">
      <c r="C970" s="729">
        <v>2050</v>
      </c>
      <c r="D970" s="739">
        <v>36</v>
      </c>
      <c r="E970" s="771">
        <v>73925</v>
      </c>
      <c r="F970" s="763">
        <v>73925</v>
      </c>
      <c r="G970" s="772">
        <v>73925</v>
      </c>
      <c r="H970" s="773">
        <v>71324.197906925867</v>
      </c>
    </row>
    <row r="971" spans="1:8" s="706" customFormat="1" ht="14.4" x14ac:dyDescent="0.3">
      <c r="C971" s="729">
        <v>2051</v>
      </c>
      <c r="D971" s="725">
        <v>37</v>
      </c>
      <c r="E971" s="766"/>
      <c r="F971" s="763"/>
      <c r="G971" s="769">
        <v>75406.99829385661</v>
      </c>
      <c r="H971" s="770">
        <v>72645.582986276815</v>
      </c>
    </row>
    <row r="972" spans="1:8" s="706" customFormat="1" ht="14.4" x14ac:dyDescent="0.3">
      <c r="C972" s="729">
        <v>2052</v>
      </c>
      <c r="D972" s="725">
        <v>38</v>
      </c>
      <c r="E972" s="766"/>
      <c r="F972" s="763"/>
      <c r="G972" s="769">
        <v>77411.226395793434</v>
      </c>
      <c r="H972" s="770">
        <v>74463.464240645582</v>
      </c>
    </row>
    <row r="973" spans="1:8" s="706" customFormat="1" ht="14.4" x14ac:dyDescent="0.3">
      <c r="C973" s="729">
        <v>2053</v>
      </c>
      <c r="D973" s="725">
        <v>39</v>
      </c>
      <c r="E973" s="766"/>
      <c r="F973" s="763"/>
      <c r="G973" s="769">
        <v>79613.55940444603</v>
      </c>
      <c r="H973" s="770">
        <v>76464.082478553086</v>
      </c>
    </row>
    <row r="974" spans="1:8" s="706" customFormat="1" ht="14.4" x14ac:dyDescent="0.3">
      <c r="C974" s="729">
        <v>2054</v>
      </c>
      <c r="D974" s="725">
        <v>40</v>
      </c>
      <c r="E974" s="766"/>
      <c r="F974" s="763"/>
      <c r="G974" s="769">
        <v>82023.585287434704</v>
      </c>
      <c r="H974" s="770">
        <v>78655.563755134353</v>
      </c>
    </row>
    <row r="975" spans="1:8" s="706" customFormat="1" ht="14.4" x14ac:dyDescent="0.3">
      <c r="C975" s="729">
        <v>2055</v>
      </c>
      <c r="D975" s="739">
        <v>41</v>
      </c>
      <c r="E975" s="771"/>
      <c r="F975" s="763"/>
      <c r="G975" s="772">
        <v>84650.892012379743</v>
      </c>
      <c r="H975" s="773">
        <v>81045.962233154278</v>
      </c>
    </row>
    <row r="976" spans="1:8" s="706" customFormat="1" ht="14.4" x14ac:dyDescent="0.3">
      <c r="C976" s="729">
        <v>2056</v>
      </c>
      <c r="D976" s="725">
        <v>42</v>
      </c>
      <c r="E976" s="766"/>
      <c r="F976" s="763"/>
      <c r="G976" s="769">
        <v>87505.067546901497</v>
      </c>
      <c r="H976" s="770">
        <v>83643.266243671635</v>
      </c>
    </row>
    <row r="977" spans="1:8" s="706" customFormat="1" ht="14.4" x14ac:dyDescent="0.3">
      <c r="C977" s="729">
        <v>2057</v>
      </c>
      <c r="D977" s="725">
        <v>43</v>
      </c>
      <c r="E977" s="766"/>
      <c r="F977" s="763"/>
      <c r="G977" s="769">
        <v>90595.699858620239</v>
      </c>
      <c r="H977" s="770">
        <v>86455.397463343237</v>
      </c>
    </row>
    <row r="978" spans="1:8" s="706" customFormat="1" ht="14.4" x14ac:dyDescent="0.3">
      <c r="C978" s="729">
        <v>2058</v>
      </c>
      <c r="D978" s="725">
        <v>44</v>
      </c>
      <c r="E978" s="766"/>
      <c r="F978" s="763"/>
      <c r="G978" s="769">
        <v>93932.376915156303</v>
      </c>
      <c r="H978" s="770">
        <v>89490.212074082519</v>
      </c>
    </row>
    <row r="979" spans="1:8" s="706" customFormat="1" ht="14.4" x14ac:dyDescent="0.3">
      <c r="C979" s="729">
        <v>2059</v>
      </c>
      <c r="D979" s="725">
        <v>45</v>
      </c>
      <c r="E979" s="766"/>
      <c r="F979" s="763"/>
      <c r="G979" s="769">
        <v>97524.686684129978</v>
      </c>
      <c r="H979" s="770">
        <v>92755.500752540145</v>
      </c>
    </row>
    <row r="980" spans="1:8" s="706" customFormat="1" ht="14.4" x14ac:dyDescent="0.3">
      <c r="C980" s="742">
        <v>2060</v>
      </c>
      <c r="D980" s="739">
        <v>46</v>
      </c>
      <c r="E980" s="771"/>
      <c r="F980" s="763"/>
      <c r="G980" s="772">
        <v>101382.21713316158</v>
      </c>
      <c r="H980" s="773">
        <v>96258.970787479644</v>
      </c>
    </row>
    <row r="981" spans="1:8" s="706" customFormat="1" ht="14.4" x14ac:dyDescent="0.3">
      <c r="D981" s="743"/>
    </row>
    <row r="982" spans="1:8" ht="15" customHeight="1" x14ac:dyDescent="0.3">
      <c r="A982" s="706"/>
      <c r="B982" s="706"/>
    </row>
    <row r="983" spans="1:8" ht="15" customHeight="1" x14ac:dyDescent="0.3">
      <c r="A983" s="748" t="str">
        <f>HYPERLINK("#'Interp-FREIGHT'!a1","Back to top")</f>
        <v>Back to top</v>
      </c>
      <c r="B983" s="706"/>
    </row>
  </sheetData>
  <mergeCells count="70">
    <mergeCell ref="A84:A87"/>
    <mergeCell ref="I145:I151"/>
    <mergeCell ref="A149:A152"/>
    <mergeCell ref="F12:F13"/>
    <mergeCell ref="J14:K18"/>
    <mergeCell ref="I15:I21"/>
    <mergeCell ref="A19:A22"/>
    <mergeCell ref="F77:F78"/>
    <mergeCell ref="F142:F143"/>
    <mergeCell ref="J144:K148"/>
    <mergeCell ref="A344:A347"/>
    <mergeCell ref="F402:F403"/>
    <mergeCell ref="J209:K213"/>
    <mergeCell ref="I210:I216"/>
    <mergeCell ref="A214:A217"/>
    <mergeCell ref="F272:F273"/>
    <mergeCell ref="J274:K278"/>
    <mergeCell ref="I275:I281"/>
    <mergeCell ref="A279:A282"/>
    <mergeCell ref="A409:A412"/>
    <mergeCell ref="F467:F468"/>
    <mergeCell ref="J469:K473"/>
    <mergeCell ref="I470:I476"/>
    <mergeCell ref="A474:A477"/>
    <mergeCell ref="A751:A758"/>
    <mergeCell ref="F532:F533"/>
    <mergeCell ref="J534:K538"/>
    <mergeCell ref="I535:I541"/>
    <mergeCell ref="A539:A542"/>
    <mergeCell ref="F597:F598"/>
    <mergeCell ref="A556:A563"/>
    <mergeCell ref="A686:A693"/>
    <mergeCell ref="F727:F728"/>
    <mergeCell ref="J729:K733"/>
    <mergeCell ref="I730:I736"/>
    <mergeCell ref="A734:A737"/>
    <mergeCell ref="A604:A607"/>
    <mergeCell ref="F662:F663"/>
    <mergeCell ref="J664:K668"/>
    <mergeCell ref="I665:I671"/>
    <mergeCell ref="A669:A672"/>
    <mergeCell ref="A621:A628"/>
    <mergeCell ref="P31:U32"/>
    <mergeCell ref="Q2:S3"/>
    <mergeCell ref="F792:F793"/>
    <mergeCell ref="J599:K603"/>
    <mergeCell ref="I600:I606"/>
    <mergeCell ref="J404:K408"/>
    <mergeCell ref="I405:I411"/>
    <mergeCell ref="F337:F338"/>
    <mergeCell ref="J339:K343"/>
    <mergeCell ref="I340:I346"/>
    <mergeCell ref="F207:F208"/>
    <mergeCell ref="A2:O4"/>
    <mergeCell ref="J79:K83"/>
    <mergeCell ref="I80:I86"/>
    <mergeCell ref="J794:K798"/>
    <mergeCell ref="I795:I801"/>
    <mergeCell ref="A799:A802"/>
    <mergeCell ref="A816:A823"/>
    <mergeCell ref="F857:F858"/>
    <mergeCell ref="J924:K928"/>
    <mergeCell ref="I925:I931"/>
    <mergeCell ref="A929:A932"/>
    <mergeCell ref="A946:A953"/>
    <mergeCell ref="J859:K863"/>
    <mergeCell ref="I860:I866"/>
    <mergeCell ref="A864:A867"/>
    <mergeCell ref="A881:A888"/>
    <mergeCell ref="F922:F923"/>
  </mergeCells>
  <hyperlinks>
    <hyperlink ref="Q2:S3" location="'Table of Contents'!A1" display="Back to Table of Contents" xr:uid="{7267D4B6-A319-4911-AA64-8DDFE3594518}"/>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35DFA-F8C5-43CF-8E6C-59EDE293C34A}">
  <sheetPr codeName="Sheet14">
    <tabColor theme="4" tint="0.39997558519241921"/>
  </sheetPr>
  <dimension ref="A1:AA90"/>
  <sheetViews>
    <sheetView workbookViewId="0">
      <selection activeCell="X8" sqref="X8"/>
    </sheetView>
  </sheetViews>
  <sheetFormatPr defaultColWidth="9.109375" defaultRowHeight="13.2" x14ac:dyDescent="0.25"/>
  <cols>
    <col min="1" max="1" width="23" style="448" customWidth="1"/>
    <col min="2" max="2" width="6.109375" style="448" bestFit="1" customWidth="1"/>
    <col min="3" max="6" width="6.109375" style="448" hidden="1" customWidth="1"/>
    <col min="7" max="7" width="8.6640625" style="448" bestFit="1" customWidth="1"/>
    <col min="8" max="10" width="6.109375" style="448" hidden="1" customWidth="1"/>
    <col min="11" max="11" width="9.109375" style="448" hidden="1" customWidth="1"/>
    <col min="12" max="12" width="9.33203125" style="448" bestFit="1" customWidth="1"/>
    <col min="13" max="13" width="11.77734375" style="448" customWidth="1"/>
    <col min="14" max="14" width="10.88671875" style="448" customWidth="1"/>
    <col min="15" max="20" width="10.88671875" style="448" bestFit="1" customWidth="1"/>
    <col min="21" max="21" width="9.109375" style="448"/>
    <col min="22" max="24" width="9.33203125" style="448" bestFit="1" customWidth="1"/>
    <col min="25" max="25" width="9.109375" style="448"/>
    <col min="26" max="26" width="15.44140625" style="448" bestFit="1" customWidth="1"/>
    <col min="27" max="27" width="16.5546875" style="448" bestFit="1" customWidth="1"/>
    <col min="28" max="16384" width="9.109375" style="448"/>
  </cols>
  <sheetData>
    <row r="1" spans="1:23" s="276" customFormat="1" ht="23.25" customHeight="1" thickBot="1" x14ac:dyDescent="0.3">
      <c r="A1" s="938" t="s">
        <v>486</v>
      </c>
      <c r="B1" s="938"/>
      <c r="C1" s="938"/>
      <c r="D1" s="938"/>
      <c r="E1" s="938"/>
      <c r="F1" s="938"/>
      <c r="G1" s="938"/>
      <c r="H1" s="938"/>
      <c r="I1" s="938"/>
      <c r="J1" s="938"/>
      <c r="K1" s="938"/>
      <c r="L1" s="938"/>
    </row>
    <row r="2" spans="1:23" s="276" customFormat="1" ht="30.75" customHeight="1" x14ac:dyDescent="0.25">
      <c r="A2" s="939"/>
      <c r="B2" s="939"/>
      <c r="C2" s="939"/>
      <c r="D2" s="939"/>
      <c r="E2" s="939"/>
      <c r="F2" s="939"/>
      <c r="G2" s="939"/>
      <c r="H2" s="939"/>
      <c r="I2" s="939"/>
      <c r="J2" s="939"/>
      <c r="K2" s="939"/>
      <c r="L2" s="939"/>
      <c r="M2" s="494" t="s">
        <v>487</v>
      </c>
      <c r="N2" s="614">
        <v>2018</v>
      </c>
      <c r="P2" s="815" t="s">
        <v>467</v>
      </c>
      <c r="Q2" s="816"/>
      <c r="R2" s="817"/>
    </row>
    <row r="3" spans="1:23" ht="13.8" thickBot="1" x14ac:dyDescent="0.3">
      <c r="P3" s="818"/>
      <c r="Q3" s="819"/>
      <c r="R3" s="820"/>
    </row>
    <row r="4" spans="1:23" ht="13.8" x14ac:dyDescent="0.25">
      <c r="A4" s="445" t="s">
        <v>478</v>
      </c>
      <c r="B4" s="446"/>
      <c r="C4" s="446"/>
      <c r="D4" s="446"/>
      <c r="E4" s="446"/>
      <c r="F4" s="446"/>
      <c r="G4" s="446"/>
      <c r="H4" s="446"/>
    </row>
    <row r="5" spans="1:23" ht="15" x14ac:dyDescent="0.25">
      <c r="A5" s="449" t="s">
        <v>27</v>
      </c>
      <c r="B5" s="450" t="s">
        <v>479</v>
      </c>
      <c r="C5" s="451"/>
      <c r="D5" s="451"/>
      <c r="E5" s="451"/>
      <c r="F5" s="452"/>
      <c r="G5" s="446"/>
      <c r="H5" s="446"/>
      <c r="I5" s="452"/>
      <c r="J5" s="452"/>
      <c r="K5" s="452"/>
      <c r="L5" s="452"/>
      <c r="M5" s="453" t="s">
        <v>480</v>
      </c>
      <c r="N5" s="470"/>
      <c r="O5" s="445"/>
      <c r="P5" s="445"/>
      <c r="Q5" s="445"/>
      <c r="R5" s="445"/>
      <c r="S5" s="445"/>
      <c r="T5" s="445"/>
    </row>
    <row r="6" spans="1:23" ht="13.8" x14ac:dyDescent="0.25">
      <c r="A6" s="454"/>
      <c r="B6" s="454">
        <v>2005</v>
      </c>
      <c r="C6" s="454">
        <v>2006</v>
      </c>
      <c r="D6" s="454">
        <v>2007</v>
      </c>
      <c r="E6" s="454">
        <v>2008</v>
      </c>
      <c r="F6" s="454">
        <v>2009</v>
      </c>
      <c r="G6" s="454">
        <v>2010</v>
      </c>
      <c r="H6" s="454">
        <v>2011</v>
      </c>
      <c r="I6" s="454">
        <v>2012</v>
      </c>
      <c r="J6" s="454">
        <v>2013</v>
      </c>
      <c r="K6" s="454">
        <v>2014</v>
      </c>
      <c r="L6" s="483">
        <v>2015</v>
      </c>
      <c r="M6" s="471">
        <f>$N$2</f>
        <v>2018</v>
      </c>
      <c r="N6" s="454">
        <v>2020</v>
      </c>
      <c r="O6" s="454">
        <v>2025</v>
      </c>
      <c r="P6" s="454">
        <v>2030</v>
      </c>
      <c r="Q6" s="454">
        <v>2035</v>
      </c>
      <c r="R6" s="454">
        <v>2040</v>
      </c>
      <c r="S6" s="454">
        <v>2045</v>
      </c>
      <c r="T6" s="454">
        <v>2050</v>
      </c>
    </row>
    <row r="7" spans="1:23" ht="13.8" x14ac:dyDescent="0.25">
      <c r="A7" s="455" t="s">
        <v>364</v>
      </c>
      <c r="B7" s="452"/>
      <c r="C7" s="452"/>
      <c r="D7" s="452"/>
      <c r="E7" s="452"/>
      <c r="F7" s="452"/>
      <c r="G7" s="469">
        <f>G41/G$48</f>
        <v>0.82725987597881145</v>
      </c>
      <c r="H7" s="457"/>
      <c r="I7" s="457"/>
      <c r="J7" s="457"/>
      <c r="K7" s="457"/>
      <c r="L7" s="484">
        <f>L41/L$48</f>
        <v>0.8025797510771111</v>
      </c>
      <c r="M7" s="485">
        <f>M41/M$48</f>
        <v>0.79585090758258192</v>
      </c>
      <c r="N7" s="472">
        <f>N41/N$48</f>
        <v>0.80253425596650552</v>
      </c>
      <c r="O7" s="469">
        <f t="shared" ref="L7:T14" si="0">O41/O$48</f>
        <v>0.80291460417865468</v>
      </c>
      <c r="P7" s="469">
        <f t="shared" si="0"/>
        <v>0.80099314113269893</v>
      </c>
      <c r="Q7" s="469">
        <f t="shared" si="0"/>
        <v>0.79492933412171507</v>
      </c>
      <c r="R7" s="469">
        <f t="shared" si="0"/>
        <v>0.78760786685686146</v>
      </c>
      <c r="S7" s="469">
        <f t="shared" si="0"/>
        <v>0.78009660638537559</v>
      </c>
      <c r="T7" s="469">
        <f t="shared" si="0"/>
        <v>0.77346738606843735</v>
      </c>
    </row>
    <row r="8" spans="1:23" ht="13.8" x14ac:dyDescent="0.25">
      <c r="A8" s="455" t="s">
        <v>365</v>
      </c>
      <c r="B8" s="452"/>
      <c r="C8" s="452"/>
      <c r="D8" s="452"/>
      <c r="E8" s="452"/>
      <c r="F8" s="452"/>
      <c r="G8" s="469">
        <f t="shared" ref="G8:G12" si="1">G42/G$48</f>
        <v>0.13938739079508622</v>
      </c>
      <c r="H8" s="457"/>
      <c r="I8" s="457"/>
      <c r="J8" s="457"/>
      <c r="K8" s="457"/>
      <c r="L8" s="484">
        <f t="shared" si="0"/>
        <v>0.14962071234990984</v>
      </c>
      <c r="M8" s="485">
        <f t="shared" ref="M8:N14" si="2">M42/M$48</f>
        <v>0.14874774931937998</v>
      </c>
      <c r="N8" s="472">
        <f t="shared" si="2"/>
        <v>0.1502114106947055</v>
      </c>
      <c r="O8" s="469">
        <f t="shared" si="0"/>
        <v>0.14248422388064366</v>
      </c>
      <c r="P8" s="469">
        <f t="shared" si="0"/>
        <v>0.1362783240210895</v>
      </c>
      <c r="Q8" s="469">
        <f t="shared" si="0"/>
        <v>0.13488288459154121</v>
      </c>
      <c r="R8" s="469">
        <f t="shared" si="0"/>
        <v>0.13545550396373976</v>
      </c>
      <c r="S8" s="469">
        <f t="shared" si="0"/>
        <v>0.13632315469943374</v>
      </c>
      <c r="T8" s="469">
        <f t="shared" si="0"/>
        <v>0.13668947450064942</v>
      </c>
      <c r="W8" s="448">
        <f t="array" ref="W8">MIN((M6:T6)&gt;N2)</f>
        <v>0</v>
      </c>
    </row>
    <row r="9" spans="1:23" ht="13.8" x14ac:dyDescent="0.25">
      <c r="A9" s="455" t="s">
        <v>366</v>
      </c>
      <c r="B9" s="452"/>
      <c r="C9" s="452"/>
      <c r="D9" s="452"/>
      <c r="E9" s="452"/>
      <c r="F9" s="452"/>
      <c r="G9" s="469">
        <f t="shared" si="1"/>
        <v>2.7713849345750628E-2</v>
      </c>
      <c r="H9" s="457"/>
      <c r="I9" s="457"/>
      <c r="J9" s="457"/>
      <c r="K9" s="457"/>
      <c r="L9" s="484">
        <f t="shared" si="0"/>
        <v>3.4668816883362361E-2</v>
      </c>
      <c r="M9" s="485">
        <f t="shared" si="2"/>
        <v>3.6599391149269987E-2</v>
      </c>
      <c r="N9" s="472">
        <f t="shared" si="2"/>
        <v>3.8155872074821857E-2</v>
      </c>
      <c r="O9" s="469">
        <f t="shared" si="0"/>
        <v>4.0689417408895777E-2</v>
      </c>
      <c r="P9" s="469">
        <f t="shared" si="0"/>
        <v>4.4098878850321745E-2</v>
      </c>
      <c r="Q9" s="469">
        <f t="shared" si="0"/>
        <v>4.8094014152998625E-2</v>
      </c>
      <c r="R9" s="469">
        <f t="shared" si="0"/>
        <v>5.2047335818221879E-2</v>
      </c>
      <c r="S9" s="469">
        <f t="shared" si="0"/>
        <v>5.5606311441822785E-2</v>
      </c>
      <c r="T9" s="469">
        <f t="shared" si="0"/>
        <v>5.8381929395476539E-2</v>
      </c>
    </row>
    <row r="10" spans="1:23" ht="13.8" x14ac:dyDescent="0.25">
      <c r="A10" s="455" t="s">
        <v>261</v>
      </c>
      <c r="B10" s="452"/>
      <c r="C10" s="452"/>
      <c r="D10" s="452"/>
      <c r="E10" s="452"/>
      <c r="F10" s="452"/>
      <c r="G10" s="469">
        <f t="shared" si="1"/>
        <v>5.6176769664007141E-3</v>
      </c>
      <c r="H10" s="452"/>
      <c r="I10" s="452"/>
      <c r="J10" s="452"/>
      <c r="K10" s="452"/>
      <c r="L10" s="484">
        <f t="shared" si="0"/>
        <v>1.1731079322793485E-2</v>
      </c>
      <c r="M10" s="485">
        <f t="shared" si="2"/>
        <v>1.3687707485334601E-2</v>
      </c>
      <c r="N10" s="472">
        <f t="shared" si="2"/>
        <v>2.1358169396588807E-3</v>
      </c>
      <c r="O10" s="469">
        <f t="shared" si="0"/>
        <v>2.4782943096636552E-3</v>
      </c>
      <c r="P10" s="469">
        <f t="shared" si="0"/>
        <v>3.5529086964181666E-3</v>
      </c>
      <c r="Q10" s="469">
        <f t="shared" si="0"/>
        <v>4.5346687811316467E-3</v>
      </c>
      <c r="R10" s="469">
        <f t="shared" si="0"/>
        <v>5.4984452462396721E-3</v>
      </c>
      <c r="S10" s="469">
        <f t="shared" si="0"/>
        <v>6.624878972784856E-3</v>
      </c>
      <c r="T10" s="469">
        <f t="shared" si="0"/>
        <v>7.9481935145543844E-3</v>
      </c>
    </row>
    <row r="11" spans="1:23" ht="13.8" x14ac:dyDescent="0.25">
      <c r="A11" s="455" t="s">
        <v>367</v>
      </c>
      <c r="B11" s="456"/>
      <c r="C11" s="456"/>
      <c r="D11" s="456"/>
      <c r="E11" s="456"/>
      <c r="F11" s="456"/>
      <c r="G11" s="469">
        <f t="shared" si="1"/>
        <v>1.0603456975523562E-5</v>
      </c>
      <c r="H11" s="458"/>
      <c r="I11" s="458"/>
      <c r="J11" s="458"/>
      <c r="K11" s="458"/>
      <c r="L11" s="484">
        <f t="shared" si="0"/>
        <v>6.3436299133873709E-4</v>
      </c>
      <c r="M11" s="485">
        <f t="shared" si="2"/>
        <v>2.331544946226863E-3</v>
      </c>
      <c r="N11" s="472">
        <f t="shared" si="2"/>
        <v>2.6021519794475877E-3</v>
      </c>
      <c r="O11" s="469">
        <f t="shared" si="0"/>
        <v>4.4777501209994543E-3</v>
      </c>
      <c r="P11" s="469">
        <f t="shared" si="0"/>
        <v>6.0443747206007578E-3</v>
      </c>
      <c r="Q11" s="469">
        <f t="shared" si="0"/>
        <v>7.1631499378597835E-3</v>
      </c>
      <c r="R11" s="469">
        <f t="shared" si="0"/>
        <v>7.9798245076520263E-3</v>
      </c>
      <c r="S11" s="469">
        <f t="shared" si="0"/>
        <v>8.8155939884819821E-3</v>
      </c>
      <c r="T11" s="469">
        <f t="shared" si="0"/>
        <v>9.7246233112632113E-3</v>
      </c>
    </row>
    <row r="12" spans="1:23" ht="13.8" x14ac:dyDescent="0.25">
      <c r="A12" s="455" t="s">
        <v>368</v>
      </c>
      <c r="B12" s="456"/>
      <c r="C12" s="456"/>
      <c r="D12" s="456"/>
      <c r="E12" s="456"/>
      <c r="F12" s="456"/>
      <c r="G12" s="469">
        <f t="shared" si="1"/>
        <v>1.0603456975523562E-5</v>
      </c>
      <c r="H12" s="458"/>
      <c r="I12" s="458"/>
      <c r="J12" s="458"/>
      <c r="K12" s="458"/>
      <c r="L12" s="484">
        <f t="shared" si="0"/>
        <v>6.3436299133873709E-4</v>
      </c>
      <c r="M12" s="485">
        <f t="shared" si="2"/>
        <v>2.331544946226863E-3</v>
      </c>
      <c r="N12" s="472">
        <f t="shared" si="2"/>
        <v>3.7248425634077813E-3</v>
      </c>
      <c r="O12" s="469">
        <f t="shared" si="0"/>
        <v>5.9064866730288391E-3</v>
      </c>
      <c r="P12" s="469">
        <f t="shared" si="0"/>
        <v>7.6430155876891278E-3</v>
      </c>
      <c r="Q12" s="469">
        <f t="shared" si="0"/>
        <v>8.7711036078707994E-3</v>
      </c>
      <c r="R12" s="469">
        <f t="shared" si="0"/>
        <v>9.6088430824095815E-3</v>
      </c>
      <c r="S12" s="469">
        <f t="shared" si="0"/>
        <v>1.0539760804510552E-2</v>
      </c>
      <c r="T12" s="469">
        <f t="shared" si="0"/>
        <v>1.1579943251605791E-2</v>
      </c>
    </row>
    <row r="13" spans="1:23" ht="13.8" x14ac:dyDescent="0.25">
      <c r="A13" s="455" t="s">
        <v>369</v>
      </c>
      <c r="B13" s="452"/>
      <c r="C13" s="452"/>
      <c r="D13" s="452"/>
      <c r="E13" s="452"/>
      <c r="F13" s="452"/>
      <c r="G13" s="452"/>
      <c r="H13" s="452"/>
      <c r="I13" s="452"/>
      <c r="J13" s="452"/>
      <c r="K13" s="452"/>
      <c r="L13" s="484">
        <f t="shared" si="0"/>
        <v>1.3091438414557989E-4</v>
      </c>
      <c r="M13" s="485">
        <f t="shared" si="2"/>
        <v>4.5115457097988544E-4</v>
      </c>
      <c r="N13" s="472">
        <f t="shared" si="2"/>
        <v>6.3564978145308601E-4</v>
      </c>
      <c r="O13" s="469">
        <f t="shared" si="0"/>
        <v>1.0492234281139568E-3</v>
      </c>
      <c r="P13" s="469">
        <f t="shared" si="0"/>
        <v>1.3893569911818486E-3</v>
      </c>
      <c r="Q13" s="469">
        <f t="shared" si="0"/>
        <v>1.6248448068827096E-3</v>
      </c>
      <c r="R13" s="469">
        <f t="shared" si="0"/>
        <v>1.8021805248755363E-3</v>
      </c>
      <c r="S13" s="469">
        <f t="shared" si="0"/>
        <v>1.9936937075906076E-3</v>
      </c>
      <c r="T13" s="469">
        <f t="shared" si="0"/>
        <v>2.2084499580133869E-3</v>
      </c>
    </row>
    <row r="14" spans="1:23" s="462" customFormat="1" ht="13.8" x14ac:dyDescent="0.25">
      <c r="A14" s="459" t="s">
        <v>353</v>
      </c>
      <c r="B14" s="460"/>
      <c r="C14" s="460"/>
      <c r="D14" s="460"/>
      <c r="E14" s="460"/>
      <c r="F14" s="460"/>
      <c r="G14" s="469">
        <f t="shared" ref="G14" si="3">G48/G$48</f>
        <v>1</v>
      </c>
      <c r="H14" s="461"/>
      <c r="I14" s="461"/>
      <c r="J14" s="461"/>
      <c r="K14" s="461"/>
      <c r="L14" s="484">
        <f t="shared" si="0"/>
        <v>1</v>
      </c>
      <c r="M14" s="485">
        <f t="shared" si="2"/>
        <v>1</v>
      </c>
      <c r="N14" s="472">
        <f t="shared" si="2"/>
        <v>1</v>
      </c>
      <c r="O14" s="469">
        <f t="shared" si="0"/>
        <v>1</v>
      </c>
      <c r="P14" s="469">
        <f t="shared" si="0"/>
        <v>1</v>
      </c>
      <c r="Q14" s="469">
        <f t="shared" si="0"/>
        <v>1</v>
      </c>
      <c r="R14" s="469">
        <f t="shared" si="0"/>
        <v>1</v>
      </c>
      <c r="S14" s="469">
        <f t="shared" si="0"/>
        <v>1</v>
      </c>
      <c r="T14" s="469">
        <f t="shared" si="0"/>
        <v>1</v>
      </c>
    </row>
    <row r="15" spans="1:23" x14ac:dyDescent="0.25">
      <c r="B15" s="463"/>
      <c r="C15" s="463"/>
      <c r="D15" s="463"/>
      <c r="E15" s="463"/>
      <c r="F15" s="463"/>
      <c r="G15" s="463"/>
      <c r="H15" s="463"/>
      <c r="I15" s="463"/>
      <c r="J15" s="463"/>
      <c r="K15" s="463"/>
      <c r="L15" s="463"/>
    </row>
    <row r="16" spans="1:23" ht="15" x14ac:dyDescent="0.25">
      <c r="A16" s="449" t="s">
        <v>27</v>
      </c>
      <c r="B16" s="450" t="s">
        <v>481</v>
      </c>
      <c r="C16" s="451"/>
      <c r="D16" s="451"/>
      <c r="E16" s="451"/>
      <c r="F16" s="452"/>
      <c r="G16" s="446"/>
      <c r="H16" s="446"/>
      <c r="I16" s="452"/>
      <c r="J16" s="452"/>
      <c r="K16" s="452"/>
      <c r="L16" s="452"/>
      <c r="M16" s="453" t="s">
        <v>480</v>
      </c>
      <c r="N16" s="470"/>
      <c r="O16" s="445"/>
      <c r="P16" s="445"/>
      <c r="Q16" s="445"/>
      <c r="R16" s="445"/>
      <c r="S16" s="445"/>
      <c r="T16" s="445"/>
    </row>
    <row r="17" spans="1:20" ht="13.8" x14ac:dyDescent="0.25">
      <c r="A17" s="454"/>
      <c r="B17" s="454">
        <v>2005</v>
      </c>
      <c r="C17" s="454">
        <v>2006</v>
      </c>
      <c r="D17" s="454">
        <v>2007</v>
      </c>
      <c r="E17" s="454">
        <v>2008</v>
      </c>
      <c r="F17" s="454">
        <v>2009</v>
      </c>
      <c r="G17" s="454">
        <v>2010</v>
      </c>
      <c r="H17" s="454">
        <v>2011</v>
      </c>
      <c r="I17" s="454">
        <v>2012</v>
      </c>
      <c r="J17" s="454">
        <v>2013</v>
      </c>
      <c r="K17" s="454">
        <v>2014</v>
      </c>
      <c r="L17" s="454">
        <v>2015</v>
      </c>
      <c r="M17" s="473">
        <f>$N$2</f>
        <v>2018</v>
      </c>
      <c r="N17" s="454">
        <v>2020</v>
      </c>
      <c r="O17" s="454">
        <v>2025</v>
      </c>
      <c r="P17" s="454">
        <v>2030</v>
      </c>
      <c r="Q17" s="454">
        <v>2035</v>
      </c>
      <c r="R17" s="454">
        <v>2040</v>
      </c>
      <c r="S17" s="454">
        <v>2045</v>
      </c>
      <c r="T17" s="454">
        <v>2050</v>
      </c>
    </row>
    <row r="18" spans="1:20" ht="13.8" x14ac:dyDescent="0.25">
      <c r="A18" s="455" t="s">
        <v>364</v>
      </c>
      <c r="B18" s="452"/>
      <c r="C18" s="452"/>
      <c r="D18" s="452"/>
      <c r="E18" s="452"/>
      <c r="F18" s="452"/>
      <c r="G18" s="469">
        <f>G52/G$59</f>
        <v>0.82725987592498196</v>
      </c>
      <c r="H18" s="492"/>
      <c r="I18" s="492"/>
      <c r="J18" s="492"/>
      <c r="K18" s="492"/>
      <c r="L18" s="469">
        <f>L52/L$59</f>
        <v>0.8025797510771111</v>
      </c>
      <c r="M18" s="485">
        <f>M52/M$59</f>
        <v>0.79516266667555713</v>
      </c>
      <c r="N18" s="472">
        <f>N52/N$59</f>
        <v>0.80365655447953877</v>
      </c>
      <c r="O18" s="469">
        <f t="shared" ref="O18:T18" si="4">O52/O$59</f>
        <v>0.8014274660991918</v>
      </c>
      <c r="P18" s="469">
        <f t="shared" si="4"/>
        <v>0.79002686766410224</v>
      </c>
      <c r="Q18" s="469">
        <f t="shared" si="4"/>
        <v>0.76687407236609872</v>
      </c>
      <c r="R18" s="469">
        <f t="shared" si="4"/>
        <v>0.73562019558010916</v>
      </c>
      <c r="S18" s="469">
        <f t="shared" si="4"/>
        <v>0.69875505212151856</v>
      </c>
      <c r="T18" s="469">
        <f t="shared" si="4"/>
        <v>0.65923125658944592</v>
      </c>
    </row>
    <row r="19" spans="1:20" ht="13.8" x14ac:dyDescent="0.25">
      <c r="A19" s="455" t="s">
        <v>365</v>
      </c>
      <c r="B19" s="452"/>
      <c r="C19" s="452"/>
      <c r="D19" s="452"/>
      <c r="E19" s="452"/>
      <c r="F19" s="452"/>
      <c r="G19" s="469">
        <f t="shared" ref="G19:G23" si="5">G53/G$59</f>
        <v>0.13938739078601634</v>
      </c>
      <c r="H19" s="492"/>
      <c r="I19" s="492"/>
      <c r="J19" s="492"/>
      <c r="K19" s="492"/>
      <c r="L19" s="469">
        <f t="shared" ref="L19:T25" si="6">L53/L$59</f>
        <v>0.14962071234990984</v>
      </c>
      <c r="M19" s="485">
        <f t="shared" ref="M19:N25" si="7">M53/M$59</f>
        <v>0.14959413788297193</v>
      </c>
      <c r="N19" s="472">
        <f t="shared" si="7"/>
        <v>0.15195930144116737</v>
      </c>
      <c r="O19" s="469">
        <f t="shared" si="6"/>
        <v>0.1446208322341784</v>
      </c>
      <c r="P19" s="469">
        <f t="shared" si="6"/>
        <v>0.13680480641440509</v>
      </c>
      <c r="Q19" s="469">
        <f t="shared" si="6"/>
        <v>0.13136114948267946</v>
      </c>
      <c r="R19" s="469">
        <f t="shared" si="6"/>
        <v>0.1252602457517227</v>
      </c>
      <c r="S19" s="469">
        <f t="shared" si="6"/>
        <v>0.11739641035406503</v>
      </c>
      <c r="T19" s="469">
        <f t="shared" si="6"/>
        <v>0.10720427219874805</v>
      </c>
    </row>
    <row r="20" spans="1:20" ht="13.8" x14ac:dyDescent="0.25">
      <c r="A20" s="455" t="s">
        <v>366</v>
      </c>
      <c r="B20" s="452"/>
      <c r="C20" s="452"/>
      <c r="D20" s="452"/>
      <c r="E20" s="452"/>
      <c r="F20" s="452"/>
      <c r="G20" s="469">
        <f t="shared" si="5"/>
        <v>2.7713849343947296E-2</v>
      </c>
      <c r="H20" s="492"/>
      <c r="I20" s="492"/>
      <c r="J20" s="492"/>
      <c r="K20" s="492"/>
      <c r="L20" s="469">
        <f t="shared" si="6"/>
        <v>3.4668816883362361E-2</v>
      </c>
      <c r="M20" s="485">
        <f t="shared" si="7"/>
        <v>3.6577496617896409E-2</v>
      </c>
      <c r="N20" s="472">
        <f t="shared" si="7"/>
        <v>3.8229252515156867E-2</v>
      </c>
      <c r="O20" s="469">
        <f t="shared" si="6"/>
        <v>4.0593599753803625E-2</v>
      </c>
      <c r="P20" s="469">
        <f t="shared" si="6"/>
        <v>4.342286043003634E-2</v>
      </c>
      <c r="Q20" s="469">
        <f t="shared" si="6"/>
        <v>4.6049171884220821E-2</v>
      </c>
      <c r="R20" s="469">
        <f t="shared" si="6"/>
        <v>4.7334690635388713E-2</v>
      </c>
      <c r="S20" s="469">
        <f t="shared" si="6"/>
        <v>4.6390871616609236E-2</v>
      </c>
      <c r="T20" s="469">
        <f t="shared" si="6"/>
        <v>4.2597918884163914E-2</v>
      </c>
    </row>
    <row r="21" spans="1:20" ht="13.8" x14ac:dyDescent="0.25">
      <c r="A21" s="455" t="s">
        <v>261</v>
      </c>
      <c r="B21" s="452"/>
      <c r="C21" s="452"/>
      <c r="D21" s="452"/>
      <c r="E21" s="452"/>
      <c r="F21" s="452"/>
      <c r="G21" s="469">
        <f t="shared" si="5"/>
        <v>5.6176769660351731E-3</v>
      </c>
      <c r="H21" s="464"/>
      <c r="I21" s="464"/>
      <c r="J21" s="464"/>
      <c r="K21" s="464"/>
      <c r="L21" s="469">
        <f t="shared" si="6"/>
        <v>1.1731079322793485E-2</v>
      </c>
      <c r="M21" s="485">
        <f t="shared" si="7"/>
        <v>1.3708408945488481E-2</v>
      </c>
      <c r="N21" s="472">
        <f t="shared" si="7"/>
        <v>2.0026450181120643E-3</v>
      </c>
      <c r="O21" s="469">
        <f t="shared" si="6"/>
        <v>5.5864953684201073E-3</v>
      </c>
      <c r="P21" s="469">
        <f t="shared" si="6"/>
        <v>1.6061027576390535E-2</v>
      </c>
      <c r="Q21" s="469">
        <f t="shared" si="6"/>
        <v>3.397011467425784E-2</v>
      </c>
      <c r="R21" s="469">
        <f t="shared" si="6"/>
        <v>5.9995450752464929E-2</v>
      </c>
      <c r="S21" s="469">
        <f t="shared" si="6"/>
        <v>9.3691563848474574E-2</v>
      </c>
      <c r="T21" s="469">
        <f t="shared" si="6"/>
        <v>0.13451644987006572</v>
      </c>
    </row>
    <row r="22" spans="1:20" ht="13.8" x14ac:dyDescent="0.25">
      <c r="A22" s="455" t="s">
        <v>367</v>
      </c>
      <c r="B22" s="456"/>
      <c r="C22" s="456"/>
      <c r="D22" s="456"/>
      <c r="E22" s="456"/>
      <c r="F22" s="456"/>
      <c r="G22" s="469">
        <f t="shared" si="5"/>
        <v>1.0603456974833599E-5</v>
      </c>
      <c r="H22" s="493"/>
      <c r="I22" s="493"/>
      <c r="J22" s="493"/>
      <c r="K22" s="493"/>
      <c r="L22" s="469">
        <f t="shared" si="6"/>
        <v>6.3436299133873709E-4</v>
      </c>
      <c r="M22" s="485">
        <f t="shared" si="7"/>
        <v>2.3350712039915769E-3</v>
      </c>
      <c r="N22" s="472">
        <f t="shared" si="7"/>
        <v>1.5491456190329005E-3</v>
      </c>
      <c r="O22" s="469">
        <f t="shared" si="6"/>
        <v>3.0627327729311946E-3</v>
      </c>
      <c r="P22" s="469">
        <f t="shared" si="6"/>
        <v>5.5651440357852482E-3</v>
      </c>
      <c r="Q22" s="469">
        <f t="shared" si="6"/>
        <v>9.0083314271267329E-3</v>
      </c>
      <c r="R22" s="469">
        <f t="shared" si="6"/>
        <v>1.3192910109850537E-2</v>
      </c>
      <c r="S22" s="469">
        <f t="shared" si="6"/>
        <v>1.816873374394783E-2</v>
      </c>
      <c r="T22" s="469">
        <f t="shared" si="6"/>
        <v>2.346753409585706E-2</v>
      </c>
    </row>
    <row r="23" spans="1:20" ht="13.8" x14ac:dyDescent="0.25">
      <c r="A23" s="455" t="s">
        <v>368</v>
      </c>
      <c r="B23" s="456"/>
      <c r="C23" s="456"/>
      <c r="D23" s="456"/>
      <c r="E23" s="456"/>
      <c r="F23" s="456"/>
      <c r="G23" s="469">
        <f t="shared" si="5"/>
        <v>1.0603456974833599E-5</v>
      </c>
      <c r="H23" s="493"/>
      <c r="I23" s="493"/>
      <c r="J23" s="493"/>
      <c r="K23" s="493"/>
      <c r="L23" s="469">
        <f t="shared" si="6"/>
        <v>6.3436299133873709E-4</v>
      </c>
      <c r="M23" s="485">
        <f t="shared" si="7"/>
        <v>2.3350712039915769E-3</v>
      </c>
      <c r="N23" s="472">
        <f t="shared" si="7"/>
        <v>2.2238171576611891E-3</v>
      </c>
      <c r="O23" s="469">
        <f t="shared" si="6"/>
        <v>3.9945204988361942E-3</v>
      </c>
      <c r="P23" s="469">
        <f t="shared" si="6"/>
        <v>6.8575693374803102E-3</v>
      </c>
      <c r="Q23" s="469">
        <f t="shared" si="6"/>
        <v>1.0726716881384346E-2</v>
      </c>
      <c r="R23" s="469">
        <f t="shared" si="6"/>
        <v>1.563789057694677E-2</v>
      </c>
      <c r="S23" s="469">
        <f t="shared" si="6"/>
        <v>2.1498132984554504E-2</v>
      </c>
      <c r="T23" s="469">
        <f t="shared" si="6"/>
        <v>2.7665661670777181E-2</v>
      </c>
    </row>
    <row r="24" spans="1:20" ht="13.8" x14ac:dyDescent="0.25">
      <c r="A24" s="455" t="s">
        <v>369</v>
      </c>
      <c r="B24" s="452"/>
      <c r="C24" s="452"/>
      <c r="D24" s="452"/>
      <c r="E24" s="452"/>
      <c r="F24" s="452"/>
      <c r="G24" s="452"/>
      <c r="H24" s="452"/>
      <c r="I24" s="452"/>
      <c r="J24" s="452"/>
      <c r="K24" s="452"/>
      <c r="L24" s="469">
        <f t="shared" si="6"/>
        <v>1.3091438414557989E-4</v>
      </c>
      <c r="M24" s="485">
        <f t="shared" si="7"/>
        <v>2.8714747010296385E-4</v>
      </c>
      <c r="N24" s="472">
        <f t="shared" si="7"/>
        <v>3.7928376933078116E-4</v>
      </c>
      <c r="O24" s="469">
        <f t="shared" si="6"/>
        <v>7.1435327263853017E-4</v>
      </c>
      <c r="P24" s="469">
        <f t="shared" si="6"/>
        <v>1.2617245418001053E-3</v>
      </c>
      <c r="Q24" s="469">
        <f t="shared" si="6"/>
        <v>2.0104432842320769E-3</v>
      </c>
      <c r="R24" s="469">
        <f t="shared" si="6"/>
        <v>2.958616593517289E-3</v>
      </c>
      <c r="S24" s="469">
        <f t="shared" si="6"/>
        <v>4.0992353308304703E-3</v>
      </c>
      <c r="T24" s="469">
        <f t="shared" si="6"/>
        <v>5.3169066909421218E-3</v>
      </c>
    </row>
    <row r="25" spans="1:20" ht="13.8" x14ac:dyDescent="0.25">
      <c r="A25" s="459" t="s">
        <v>353</v>
      </c>
      <c r="B25" s="460"/>
      <c r="C25" s="460"/>
      <c r="D25" s="460"/>
      <c r="E25" s="460"/>
      <c r="F25" s="460"/>
      <c r="G25" s="469">
        <f>G59/G$59</f>
        <v>1</v>
      </c>
      <c r="H25" s="469"/>
      <c r="I25" s="469"/>
      <c r="J25" s="469"/>
      <c r="K25" s="469"/>
      <c r="L25" s="469">
        <f t="shared" si="6"/>
        <v>1</v>
      </c>
      <c r="M25" s="485">
        <f t="shared" si="7"/>
        <v>1</v>
      </c>
      <c r="N25" s="472">
        <f t="shared" si="7"/>
        <v>1</v>
      </c>
      <c r="O25" s="469">
        <f t="shared" si="6"/>
        <v>1</v>
      </c>
      <c r="P25" s="469">
        <f t="shared" si="6"/>
        <v>1</v>
      </c>
      <c r="Q25" s="469">
        <f t="shared" si="6"/>
        <v>1</v>
      </c>
      <c r="R25" s="469">
        <f t="shared" si="6"/>
        <v>1</v>
      </c>
      <c r="S25" s="469">
        <f t="shared" si="6"/>
        <v>1</v>
      </c>
      <c r="T25" s="469">
        <f t="shared" si="6"/>
        <v>1</v>
      </c>
    </row>
    <row r="27" spans="1:20" ht="15" x14ac:dyDescent="0.25">
      <c r="A27" s="449" t="s">
        <v>27</v>
      </c>
      <c r="B27" s="450" t="s">
        <v>482</v>
      </c>
      <c r="C27" s="451"/>
      <c r="D27" s="451"/>
      <c r="E27" s="451"/>
      <c r="F27" s="452"/>
      <c r="G27" s="446"/>
      <c r="H27" s="446"/>
      <c r="I27" s="452"/>
      <c r="J27" s="452"/>
      <c r="K27" s="452"/>
      <c r="L27" s="452"/>
      <c r="M27" s="453" t="s">
        <v>480</v>
      </c>
      <c r="N27" s="470"/>
      <c r="O27" s="445"/>
      <c r="P27" s="445"/>
      <c r="Q27" s="445"/>
      <c r="R27" s="445"/>
      <c r="S27" s="445"/>
      <c r="T27" s="445"/>
    </row>
    <row r="28" spans="1:20" ht="13.8" x14ac:dyDescent="0.25">
      <c r="A28" s="454"/>
      <c r="B28" s="454">
        <v>2005</v>
      </c>
      <c r="C28" s="454">
        <v>2006</v>
      </c>
      <c r="D28" s="454">
        <v>2007</v>
      </c>
      <c r="E28" s="454">
        <v>2008</v>
      </c>
      <c r="F28" s="454">
        <v>2009</v>
      </c>
      <c r="G28" s="454">
        <v>2010</v>
      </c>
      <c r="H28" s="454">
        <v>2011</v>
      </c>
      <c r="I28" s="454">
        <v>2012</v>
      </c>
      <c r="J28" s="454">
        <v>2013</v>
      </c>
      <c r="K28" s="454">
        <v>2014</v>
      </c>
      <c r="L28" s="454">
        <v>2015</v>
      </c>
      <c r="M28" s="473">
        <f>$N$2</f>
        <v>2018</v>
      </c>
      <c r="N28" s="454">
        <v>2020</v>
      </c>
      <c r="O28" s="454">
        <v>2025</v>
      </c>
      <c r="P28" s="454">
        <v>2030</v>
      </c>
      <c r="Q28" s="454">
        <v>2035</v>
      </c>
      <c r="R28" s="454">
        <v>2040</v>
      </c>
      <c r="S28" s="454">
        <v>2045</v>
      </c>
      <c r="T28" s="454">
        <v>2050</v>
      </c>
    </row>
    <row r="29" spans="1:20" ht="13.8" x14ac:dyDescent="0.25">
      <c r="A29" s="455" t="s">
        <v>364</v>
      </c>
      <c r="B29" s="452"/>
      <c r="C29" s="452"/>
      <c r="D29" s="452"/>
      <c r="E29" s="452"/>
      <c r="F29" s="452"/>
      <c r="G29" s="469">
        <f>G63/G$70</f>
        <v>0.82725987592498196</v>
      </c>
      <c r="H29" s="492"/>
      <c r="I29" s="492"/>
      <c r="J29" s="492"/>
      <c r="K29" s="492"/>
      <c r="L29" s="469">
        <f>L63/L$70</f>
        <v>0.8025797510771111</v>
      </c>
      <c r="M29" s="485">
        <f>M63/M$70</f>
        <v>0.79489639707730098</v>
      </c>
      <c r="N29" s="472">
        <f>N63/N$70</f>
        <v>0.79049886039056949</v>
      </c>
      <c r="O29" s="469">
        <f t="shared" ref="O29:T29" si="8">O63/O$70</f>
        <v>0.75413180462926921</v>
      </c>
      <c r="P29" s="469">
        <f t="shared" si="8"/>
        <v>0.68680526133253517</v>
      </c>
      <c r="Q29" s="469">
        <f t="shared" si="8"/>
        <v>0.58893465166111258</v>
      </c>
      <c r="R29" s="469">
        <f t="shared" si="8"/>
        <v>0.475351897216238</v>
      </c>
      <c r="S29" s="469">
        <f t="shared" si="8"/>
        <v>0.35361361019881876</v>
      </c>
      <c r="T29" s="469">
        <f t="shared" si="8"/>
        <v>0.23885455448472367</v>
      </c>
    </row>
    <row r="30" spans="1:20" ht="13.8" x14ac:dyDescent="0.25">
      <c r="A30" s="455" t="s">
        <v>365</v>
      </c>
      <c r="B30" s="452"/>
      <c r="C30" s="452"/>
      <c r="D30" s="452"/>
      <c r="E30" s="452"/>
      <c r="F30" s="452"/>
      <c r="G30" s="469">
        <f t="shared" ref="G30:G36" si="9">G64/G$70</f>
        <v>0.13938739078601634</v>
      </c>
      <c r="H30" s="492"/>
      <c r="I30" s="492"/>
      <c r="J30" s="492"/>
      <c r="K30" s="492"/>
      <c r="L30" s="469">
        <f t="shared" ref="L30:T36" si="10">L64/L$70</f>
        <v>0.14962071234990984</v>
      </c>
      <c r="M30" s="485">
        <f t="shared" ref="M30:N36" si="11">M64/M$70</f>
        <v>0.14918439085333807</v>
      </c>
      <c r="N30" s="472">
        <f t="shared" si="11"/>
        <v>0.14893104553538467</v>
      </c>
      <c r="O30" s="469">
        <f t="shared" si="10"/>
        <v>0.13464722779626184</v>
      </c>
      <c r="P30" s="469">
        <f t="shared" si="10"/>
        <v>0.11619878347667754</v>
      </c>
      <c r="Q30" s="469">
        <f t="shared" si="10"/>
        <v>9.7789685267755069E-2</v>
      </c>
      <c r="R30" s="469">
        <f t="shared" si="10"/>
        <v>7.6640677763381376E-2</v>
      </c>
      <c r="S30" s="469">
        <f t="shared" si="10"/>
        <v>5.4048054593841467E-2</v>
      </c>
      <c r="T30" s="469">
        <f t="shared" si="10"/>
        <v>3.3209496022146748E-2</v>
      </c>
    </row>
    <row r="31" spans="1:20" ht="13.8" x14ac:dyDescent="0.25">
      <c r="A31" s="455" t="s">
        <v>366</v>
      </c>
      <c r="B31" s="452"/>
      <c r="C31" s="452"/>
      <c r="D31" s="452"/>
      <c r="E31" s="452"/>
      <c r="F31" s="452"/>
      <c r="G31" s="469">
        <f t="shared" si="9"/>
        <v>2.7713849343947296E-2</v>
      </c>
      <c r="H31" s="492"/>
      <c r="I31" s="492"/>
      <c r="J31" s="492"/>
      <c r="K31" s="492"/>
      <c r="L31" s="469">
        <f t="shared" si="10"/>
        <v>3.4668816883362361E-2</v>
      </c>
      <c r="M31" s="485">
        <f t="shared" si="11"/>
        <v>3.6810492617408735E-2</v>
      </c>
      <c r="N31" s="472">
        <f t="shared" si="11"/>
        <v>3.8027286015818285E-2</v>
      </c>
      <c r="O31" s="469">
        <f t="shared" si="10"/>
        <v>3.9574871775148554E-2</v>
      </c>
      <c r="P31" s="469">
        <f t="shared" si="10"/>
        <v>4.1154138726593459E-2</v>
      </c>
      <c r="Q31" s="469">
        <f t="shared" si="10"/>
        <v>4.2610891149133849E-2</v>
      </c>
      <c r="R31" s="469">
        <f t="shared" si="10"/>
        <v>4.0137025902342284E-2</v>
      </c>
      <c r="S31" s="469">
        <f t="shared" si="10"/>
        <v>3.1894118951961835E-2</v>
      </c>
      <c r="T31" s="469">
        <f t="shared" si="10"/>
        <v>2.0998677853603712E-2</v>
      </c>
    </row>
    <row r="32" spans="1:20" ht="13.8" x14ac:dyDescent="0.25">
      <c r="A32" s="455" t="s">
        <v>261</v>
      </c>
      <c r="B32" s="452"/>
      <c r="C32" s="452"/>
      <c r="D32" s="452"/>
      <c r="E32" s="452"/>
      <c r="F32" s="452"/>
      <c r="G32" s="469">
        <f t="shared" si="9"/>
        <v>5.6176769660351731E-3</v>
      </c>
      <c r="H32" s="464"/>
      <c r="I32" s="464"/>
      <c r="J32" s="464"/>
      <c r="K32" s="464"/>
      <c r="L32" s="469">
        <f t="shared" si="10"/>
        <v>1.1731079322793485E-2</v>
      </c>
      <c r="M32" s="485">
        <f t="shared" si="11"/>
        <v>1.3978474488265042E-2</v>
      </c>
      <c r="N32" s="472">
        <f t="shared" si="11"/>
        <v>8.5126793134414746E-3</v>
      </c>
      <c r="O32" s="469">
        <f t="shared" si="10"/>
        <v>2.9449252258990439E-2</v>
      </c>
      <c r="P32" s="469">
        <f t="shared" si="10"/>
        <v>6.4877985061146254E-2</v>
      </c>
      <c r="Q32" s="469">
        <f t="shared" si="10"/>
        <v>0.11122713256172995</v>
      </c>
      <c r="R32" s="469">
        <f t="shared" si="10"/>
        <v>0.16689936378108441</v>
      </c>
      <c r="S32" s="469">
        <f t="shared" si="10"/>
        <v>0.2257533140137172</v>
      </c>
      <c r="T32" s="469">
        <f t="shared" si="10"/>
        <v>0.27481786710963357</v>
      </c>
    </row>
    <row r="33" spans="1:24" ht="13.8" x14ac:dyDescent="0.25">
      <c r="A33" s="455" t="s">
        <v>367</v>
      </c>
      <c r="B33" s="456"/>
      <c r="C33" s="456"/>
      <c r="D33" s="456"/>
      <c r="E33" s="456"/>
      <c r="F33" s="456"/>
      <c r="G33" s="469">
        <f t="shared" si="9"/>
        <v>1.0603456974833599E-5</v>
      </c>
      <c r="H33" s="493"/>
      <c r="I33" s="493"/>
      <c r="J33" s="493"/>
      <c r="K33" s="493"/>
      <c r="L33" s="469">
        <f t="shared" si="10"/>
        <v>6.3436299133873709E-4</v>
      </c>
      <c r="M33" s="485">
        <f t="shared" si="11"/>
        <v>2.3810737907713833E-3</v>
      </c>
      <c r="N33" s="472">
        <f t="shared" si="11"/>
        <v>5.640299438280252E-3</v>
      </c>
      <c r="O33" s="469">
        <f t="shared" si="10"/>
        <v>1.7409214804574729E-2</v>
      </c>
      <c r="P33" s="469">
        <f t="shared" si="10"/>
        <v>3.7602727847653353E-2</v>
      </c>
      <c r="Q33" s="469">
        <f t="shared" si="10"/>
        <v>6.5811218269499983E-2</v>
      </c>
      <c r="R33" s="469">
        <f t="shared" si="10"/>
        <v>9.8523927774614911E-2</v>
      </c>
      <c r="S33" s="469">
        <f t="shared" si="10"/>
        <v>0.13476878614850279</v>
      </c>
      <c r="T33" s="469">
        <f t="shared" si="10"/>
        <v>0.16968827938897083</v>
      </c>
    </row>
    <row r="34" spans="1:24" ht="13.8" x14ac:dyDescent="0.25">
      <c r="A34" s="455" t="s">
        <v>368</v>
      </c>
      <c r="B34" s="456"/>
      <c r="C34" s="456"/>
      <c r="D34" s="456"/>
      <c r="E34" s="456"/>
      <c r="F34" s="456"/>
      <c r="G34" s="469">
        <f t="shared" si="9"/>
        <v>1.0603456974833599E-5</v>
      </c>
      <c r="H34" s="493"/>
      <c r="I34" s="493"/>
      <c r="J34" s="493"/>
      <c r="K34" s="493"/>
      <c r="L34" s="469">
        <f t="shared" si="10"/>
        <v>6.3436299133873709E-4</v>
      </c>
      <c r="M34" s="485">
        <f t="shared" si="11"/>
        <v>2.3810737907713833E-3</v>
      </c>
      <c r="N34" s="472">
        <f t="shared" si="11"/>
        <v>7.8868473910267654E-3</v>
      </c>
      <c r="O34" s="469">
        <f t="shared" si="10"/>
        <v>2.344265714239922E-2</v>
      </c>
      <c r="P34" s="469">
        <f t="shared" si="10"/>
        <v>4.9684607103171373E-2</v>
      </c>
      <c r="Q34" s="469">
        <f t="shared" si="10"/>
        <v>8.5563874108865665E-2</v>
      </c>
      <c r="R34" s="469">
        <f t="shared" si="10"/>
        <v>0.12745957553798837</v>
      </c>
      <c r="S34" s="469">
        <f t="shared" si="10"/>
        <v>0.17356476831581902</v>
      </c>
      <c r="T34" s="469">
        <f t="shared" si="10"/>
        <v>0.21615917609846425</v>
      </c>
    </row>
    <row r="35" spans="1:24" ht="13.8" x14ac:dyDescent="0.25">
      <c r="A35" s="455" t="s">
        <v>369</v>
      </c>
      <c r="B35" s="452"/>
      <c r="C35" s="452"/>
      <c r="D35" s="452"/>
      <c r="E35" s="452"/>
      <c r="F35" s="452"/>
      <c r="G35" s="456"/>
      <c r="H35" s="452"/>
      <c r="I35" s="452"/>
      <c r="J35" s="452"/>
      <c r="K35" s="452"/>
      <c r="L35" s="469">
        <f t="shared" si="10"/>
        <v>1.3091438414557989E-4</v>
      </c>
      <c r="M35" s="485">
        <f t="shared" si="11"/>
        <v>3.6809738214468309E-4</v>
      </c>
      <c r="N35" s="472">
        <f t="shared" si="11"/>
        <v>5.0298191547896586E-4</v>
      </c>
      <c r="O35" s="469">
        <f t="shared" si="10"/>
        <v>1.3449715933561183E-3</v>
      </c>
      <c r="P35" s="469">
        <f t="shared" si="10"/>
        <v>3.6764964522228777E-3</v>
      </c>
      <c r="Q35" s="469">
        <f t="shared" si="10"/>
        <v>8.0625469819028475E-3</v>
      </c>
      <c r="R35" s="469">
        <f t="shared" si="10"/>
        <v>1.4987532024350693E-2</v>
      </c>
      <c r="S35" s="469">
        <f t="shared" si="10"/>
        <v>2.6357347777338887E-2</v>
      </c>
      <c r="T35" s="469">
        <f t="shared" si="10"/>
        <v>4.6271949042457274E-2</v>
      </c>
    </row>
    <row r="36" spans="1:24" ht="13.8" x14ac:dyDescent="0.25">
      <c r="A36" s="459" t="s">
        <v>353</v>
      </c>
      <c r="B36" s="460"/>
      <c r="C36" s="460"/>
      <c r="D36" s="460"/>
      <c r="E36" s="460"/>
      <c r="F36" s="460"/>
      <c r="G36" s="469">
        <f t="shared" si="9"/>
        <v>1</v>
      </c>
      <c r="H36" s="469"/>
      <c r="I36" s="469"/>
      <c r="J36" s="469"/>
      <c r="K36" s="469"/>
      <c r="L36" s="469">
        <f t="shared" si="10"/>
        <v>1</v>
      </c>
      <c r="M36" s="485">
        <f t="shared" si="11"/>
        <v>1</v>
      </c>
      <c r="N36" s="472">
        <f t="shared" si="11"/>
        <v>1</v>
      </c>
      <c r="O36" s="469">
        <f t="shared" si="10"/>
        <v>1</v>
      </c>
      <c r="P36" s="469">
        <f t="shared" si="10"/>
        <v>1</v>
      </c>
      <c r="Q36" s="469">
        <f t="shared" si="10"/>
        <v>1</v>
      </c>
      <c r="R36" s="469">
        <f t="shared" si="10"/>
        <v>1</v>
      </c>
      <c r="S36" s="469">
        <f t="shared" si="10"/>
        <v>1</v>
      </c>
      <c r="T36" s="469">
        <f t="shared" si="10"/>
        <v>1</v>
      </c>
    </row>
    <row r="37" spans="1:24" ht="14.4" x14ac:dyDescent="0.3">
      <c r="A37" s="468" t="s">
        <v>485</v>
      </c>
      <c r="B37" s="467"/>
      <c r="C37" s="467"/>
      <c r="D37" s="467"/>
      <c r="E37" s="467"/>
      <c r="F37" s="467"/>
      <c r="G37" s="467"/>
      <c r="H37" s="467"/>
      <c r="I37" s="467"/>
      <c r="J37" s="467"/>
      <c r="K37" s="467"/>
      <c r="L37" s="467"/>
      <c r="M37" s="467"/>
      <c r="N37" s="467"/>
      <c r="O37" s="467"/>
      <c r="P37" s="467"/>
      <c r="Q37" s="467"/>
      <c r="R37" s="467"/>
      <c r="S37" s="467"/>
      <c r="T37" s="467"/>
    </row>
    <row r="38" spans="1:24" ht="13.8" x14ac:dyDescent="0.25">
      <c r="A38" s="445" t="s">
        <v>478</v>
      </c>
      <c r="B38" s="446"/>
      <c r="C38" s="447"/>
      <c r="D38" s="447"/>
      <c r="E38" s="447"/>
      <c r="G38" s="446"/>
      <c r="H38" s="446"/>
      <c r="M38" s="576" t="s">
        <v>554</v>
      </c>
      <c r="N38" s="576"/>
    </row>
    <row r="39" spans="1:24" ht="15" x14ac:dyDescent="0.25">
      <c r="A39" s="449" t="s">
        <v>483</v>
      </c>
      <c r="B39" s="450" t="s">
        <v>479</v>
      </c>
      <c r="C39" s="451"/>
      <c r="D39" s="451"/>
      <c r="E39" s="451"/>
      <c r="F39" s="452"/>
      <c r="G39" s="446"/>
      <c r="H39" s="446"/>
      <c r="I39" s="452"/>
      <c r="J39" s="452"/>
      <c r="K39" s="452"/>
      <c r="L39" s="452"/>
      <c r="M39" s="453" t="s">
        <v>480</v>
      </c>
      <c r="N39" s="470"/>
      <c r="O39" s="445"/>
      <c r="P39" s="445"/>
      <c r="Q39" s="445"/>
      <c r="R39" s="445"/>
      <c r="S39" s="445"/>
      <c r="T39" s="445"/>
    </row>
    <row r="40" spans="1:24" ht="13.8" x14ac:dyDescent="0.25">
      <c r="A40" s="454"/>
      <c r="B40" s="454">
        <v>2005</v>
      </c>
      <c r="C40" s="454">
        <v>2006</v>
      </c>
      <c r="D40" s="454">
        <v>2007</v>
      </c>
      <c r="E40" s="454">
        <v>2008</v>
      </c>
      <c r="F40" s="454">
        <v>2009</v>
      </c>
      <c r="G40" s="454">
        <v>2010</v>
      </c>
      <c r="H40" s="454">
        <v>2011</v>
      </c>
      <c r="I40" s="454">
        <v>2012</v>
      </c>
      <c r="J40" s="454">
        <v>2013</v>
      </c>
      <c r="K40" s="454">
        <v>2014</v>
      </c>
      <c r="L40" s="454">
        <v>2015</v>
      </c>
      <c r="M40" s="473">
        <f>$N$2</f>
        <v>2018</v>
      </c>
      <c r="N40" s="454">
        <v>2020</v>
      </c>
      <c r="O40" s="454">
        <v>2025</v>
      </c>
      <c r="P40" s="454">
        <v>2030</v>
      </c>
      <c r="Q40" s="454">
        <v>2035</v>
      </c>
      <c r="R40" s="454">
        <v>2040</v>
      </c>
      <c r="S40" s="454">
        <v>2045</v>
      </c>
      <c r="T40" s="454">
        <v>2050</v>
      </c>
      <c r="V40" s="454">
        <f>G40</f>
        <v>2010</v>
      </c>
      <c r="W40" s="454">
        <f>L40</f>
        <v>2015</v>
      </c>
      <c r="X40" s="454">
        <f>N40</f>
        <v>2020</v>
      </c>
    </row>
    <row r="41" spans="1:24" ht="13.8" x14ac:dyDescent="0.25">
      <c r="A41" s="455" t="s">
        <v>364</v>
      </c>
      <c r="B41" s="479"/>
      <c r="C41" s="479"/>
      <c r="D41" s="479"/>
      <c r="E41" s="479"/>
      <c r="F41" s="479"/>
      <c r="G41" s="475">
        <v>711.95271652166934</v>
      </c>
      <c r="H41" s="479"/>
      <c r="I41" s="479"/>
      <c r="J41" s="479"/>
      <c r="K41" s="474">
        <f>FORECAST($K$40,V41:W41,$V$40:$W$40)</f>
        <v>785.42082433355972</v>
      </c>
      <c r="L41" s="475">
        <v>803.78785128653476</v>
      </c>
      <c r="M41" s="486">
        <f>FORECAST($M$40,W41:X41,$W$40:$X$40)</f>
        <v>898.04422857088502</v>
      </c>
      <c r="N41" s="475">
        <v>960.88181342712005</v>
      </c>
      <c r="O41" s="475">
        <v>1183.2120307700325</v>
      </c>
      <c r="P41" s="475">
        <v>1431.4024906739874</v>
      </c>
      <c r="Q41" s="475">
        <v>1678.8142913170911</v>
      </c>
      <c r="R41" s="475">
        <v>1911.8066699141718</v>
      </c>
      <c r="S41" s="475">
        <v>2120.3305347761989</v>
      </c>
      <c r="T41" s="475">
        <v>2311.1447983574062</v>
      </c>
      <c r="V41" s="488">
        <f t="shared" ref="V41:V47" si="12">G41</f>
        <v>711.95271652166934</v>
      </c>
      <c r="W41" s="488">
        <f t="shared" ref="W41:W47" si="13">L41</f>
        <v>803.78785128653476</v>
      </c>
      <c r="X41" s="488">
        <f t="shared" ref="X41:X47" si="14">N41</f>
        <v>960.88181342712005</v>
      </c>
    </row>
    <row r="42" spans="1:24" ht="13.8" x14ac:dyDescent="0.25">
      <c r="A42" s="455" t="s">
        <v>365</v>
      </c>
      <c r="B42" s="479"/>
      <c r="C42" s="479"/>
      <c r="D42" s="479"/>
      <c r="E42" s="479"/>
      <c r="F42" s="479"/>
      <c r="G42" s="475">
        <v>119.9589565588588</v>
      </c>
      <c r="H42" s="479"/>
      <c r="I42" s="479"/>
      <c r="J42" s="479"/>
      <c r="K42" s="474">
        <f>FORECAST($K$40,V42:W42,$V$40:$W$40)</f>
        <v>143.8685369947234</v>
      </c>
      <c r="L42" s="475">
        <v>149.84593210368689</v>
      </c>
      <c r="M42" s="486">
        <f t="shared" ref="M42:M47" si="15">FORECAST($M$40,W42:X42,$W$40:$X$40)</f>
        <v>167.84809380306797</v>
      </c>
      <c r="N42" s="475">
        <v>179.84953493598718</v>
      </c>
      <c r="O42" s="475">
        <v>209.97133071575814</v>
      </c>
      <c r="P42" s="475">
        <v>243.53408588844269</v>
      </c>
      <c r="Q42" s="475">
        <v>284.85967819585022</v>
      </c>
      <c r="R42" s="475">
        <v>328.79907229459786</v>
      </c>
      <c r="S42" s="475">
        <v>370.53122028765131</v>
      </c>
      <c r="T42" s="475">
        <v>408.43243512588282</v>
      </c>
      <c r="V42" s="488">
        <f t="shared" si="12"/>
        <v>119.9589565588588</v>
      </c>
      <c r="W42" s="488">
        <f t="shared" si="13"/>
        <v>149.84593210368689</v>
      </c>
      <c r="X42" s="488">
        <f t="shared" si="14"/>
        <v>179.84953493598718</v>
      </c>
    </row>
    <row r="43" spans="1:24" ht="13.8" x14ac:dyDescent="0.25">
      <c r="A43" s="455" t="s">
        <v>366</v>
      </c>
      <c r="B43" s="479"/>
      <c r="C43" s="479"/>
      <c r="D43" s="479"/>
      <c r="E43" s="479"/>
      <c r="F43" s="479"/>
      <c r="G43" s="475">
        <v>23.85096980998123</v>
      </c>
      <c r="H43" s="479"/>
      <c r="I43" s="479"/>
      <c r="J43" s="479"/>
      <c r="K43" s="474">
        <f>FORECAST($K$40,V43:W43,$V$40:$W$40)</f>
        <v>32.546996246805065</v>
      </c>
      <c r="L43" s="475">
        <v>34.721002856010003</v>
      </c>
      <c r="M43" s="486">
        <f t="shared" si="15"/>
        <v>41.299031863452001</v>
      </c>
      <c r="N43" s="475">
        <v>45.684384535079843</v>
      </c>
      <c r="O43" s="475">
        <v>59.961804098056518</v>
      </c>
      <c r="P43" s="475">
        <v>78.806224149456824</v>
      </c>
      <c r="Q43" s="475">
        <v>101.56993184314663</v>
      </c>
      <c r="R43" s="475">
        <v>126.33754429807281</v>
      </c>
      <c r="S43" s="475">
        <v>151.13994742610933</v>
      </c>
      <c r="T43" s="475">
        <v>174.4470353511276</v>
      </c>
      <c r="V43" s="488">
        <f t="shared" si="12"/>
        <v>23.85096980998123</v>
      </c>
      <c r="W43" s="488">
        <f t="shared" si="13"/>
        <v>34.721002856010003</v>
      </c>
      <c r="X43" s="488">
        <f t="shared" si="14"/>
        <v>45.684384535079843</v>
      </c>
    </row>
    <row r="44" spans="1:24" ht="13.8" x14ac:dyDescent="0.25">
      <c r="A44" s="455" t="s">
        <v>261</v>
      </c>
      <c r="B44" s="572">
        <v>1.288163642</v>
      </c>
      <c r="C44" s="479"/>
      <c r="D44" s="479"/>
      <c r="E44" s="479"/>
      <c r="F44" s="479"/>
      <c r="G44" s="567">
        <v>4.8346601749999998</v>
      </c>
      <c r="H44" s="568"/>
      <c r="I44" s="568"/>
      <c r="J44" s="568"/>
      <c r="K44" s="568"/>
      <c r="L44" s="569">
        <v>11.748737779000001</v>
      </c>
      <c r="M44" s="570">
        <f>VLOOKUP($M$62,$Y$63:$AA$73,3,0)/10^6</f>
        <v>15.445313428</v>
      </c>
      <c r="N44" s="476">
        <v>2.557233711670297</v>
      </c>
      <c r="O44" s="476">
        <v>3.6521289159793131</v>
      </c>
      <c r="P44" s="476">
        <v>6.3491709179913007</v>
      </c>
      <c r="Q44" s="476">
        <v>9.5767842868252036</v>
      </c>
      <c r="R44" s="476">
        <v>13.346697942301409</v>
      </c>
      <c r="S44" s="476">
        <v>18.006658483338128</v>
      </c>
      <c r="T44" s="476">
        <v>23.749451403339567</v>
      </c>
      <c r="V44" s="489">
        <f t="shared" si="12"/>
        <v>4.8346601749999998</v>
      </c>
      <c r="W44" s="489">
        <f t="shared" si="13"/>
        <v>11.748737779000001</v>
      </c>
      <c r="X44" s="490">
        <f t="shared" si="14"/>
        <v>2.557233711670297</v>
      </c>
    </row>
    <row r="45" spans="1:24" ht="13.8" x14ac:dyDescent="0.25">
      <c r="A45" s="455" t="s">
        <v>367</v>
      </c>
      <c r="B45" s="477">
        <v>0</v>
      </c>
      <c r="C45" s="477">
        <v>0</v>
      </c>
      <c r="D45" s="477">
        <v>0</v>
      </c>
      <c r="E45" s="477">
        <v>0</v>
      </c>
      <c r="F45" s="477">
        <v>0</v>
      </c>
      <c r="G45" s="571">
        <v>9.1254999999999999E-3</v>
      </c>
      <c r="H45" s="571">
        <v>9.3245856972979085E-3</v>
      </c>
      <c r="I45" s="571">
        <v>6.996458569729791E-2</v>
      </c>
      <c r="J45" s="571">
        <v>0.1615685856972979</v>
      </c>
      <c r="K45" s="571">
        <v>0.29567978569729786</v>
      </c>
      <c r="L45" s="569">
        <v>0.63531787969925002</v>
      </c>
      <c r="M45" s="570">
        <f>VLOOKUP($M$62,$Y$63:$AA$73,2,0)/10^6/2</f>
        <v>2.6309330839022524</v>
      </c>
      <c r="N45" s="476">
        <v>3.1155810412271334</v>
      </c>
      <c r="O45" s="476">
        <v>6.5986193131563073</v>
      </c>
      <c r="P45" s="476">
        <v>10.801507010908928</v>
      </c>
      <c r="Q45" s="476">
        <v>15.127883662530495</v>
      </c>
      <c r="R45" s="476">
        <v>19.369895046066489</v>
      </c>
      <c r="S45" s="476">
        <v>23.961100411112184</v>
      </c>
      <c r="T45" s="476">
        <v>29.057479328317186</v>
      </c>
      <c r="V45" s="491">
        <f t="shared" si="12"/>
        <v>9.1254999999999999E-3</v>
      </c>
      <c r="W45" s="491">
        <f t="shared" si="13"/>
        <v>0.63531787969925002</v>
      </c>
      <c r="X45" s="491">
        <f t="shared" si="14"/>
        <v>3.1155810412271334</v>
      </c>
    </row>
    <row r="46" spans="1:24" ht="13.8" x14ac:dyDescent="0.25">
      <c r="A46" s="455" t="s">
        <v>368</v>
      </c>
      <c r="B46" s="478">
        <v>1.6659999999999999E-3</v>
      </c>
      <c r="C46" s="478">
        <v>1.784E-3</v>
      </c>
      <c r="D46" s="478">
        <v>1.792E-3</v>
      </c>
      <c r="E46" s="478">
        <v>4.0390303862372062E-3</v>
      </c>
      <c r="F46" s="478">
        <v>5.8943746357707789E-3</v>
      </c>
      <c r="G46" s="571">
        <v>9.1254999999999999E-3</v>
      </c>
      <c r="H46" s="571">
        <v>5.1325374635770776E-2</v>
      </c>
      <c r="I46" s="571">
        <v>0.10926237463577076</v>
      </c>
      <c r="J46" s="571">
        <v>0.22151837463577076</v>
      </c>
      <c r="K46" s="571">
        <v>0.41109070796910407</v>
      </c>
      <c r="L46" s="569">
        <v>0.63531787969925002</v>
      </c>
      <c r="M46" s="570">
        <f>VLOOKUP($M$62,$Y$63:$AA$73,2,0)/10^6/2</f>
        <v>2.6309330839022524</v>
      </c>
      <c r="N46" s="476">
        <v>4.4597890375998723</v>
      </c>
      <c r="O46" s="476">
        <v>8.70407146007717</v>
      </c>
      <c r="P46" s="476">
        <v>13.658333619445914</v>
      </c>
      <c r="Q46" s="476">
        <v>18.523727148382953</v>
      </c>
      <c r="R46" s="476">
        <v>23.324107170767846</v>
      </c>
      <c r="S46" s="476">
        <v>28.647447611124527</v>
      </c>
      <c r="T46" s="476">
        <v>34.601233475737857</v>
      </c>
      <c r="V46" s="491">
        <f t="shared" si="12"/>
        <v>9.1254999999999999E-3</v>
      </c>
      <c r="W46" s="491">
        <f t="shared" si="13"/>
        <v>0.63531787969925002</v>
      </c>
      <c r="X46" s="491">
        <f t="shared" si="14"/>
        <v>4.4597890375998723</v>
      </c>
    </row>
    <row r="47" spans="1:24" ht="13.8" x14ac:dyDescent="0.25">
      <c r="A47" s="455" t="s">
        <v>369</v>
      </c>
      <c r="B47" s="479"/>
      <c r="C47" s="479"/>
      <c r="D47" s="479"/>
      <c r="E47" s="479"/>
      <c r="F47" s="479"/>
      <c r="G47" s="479"/>
      <c r="H47" s="479"/>
      <c r="I47" s="479"/>
      <c r="J47" s="479"/>
      <c r="K47" s="474">
        <f>FORECAST($K$40,V47:W47,$V$40:$W$40)</f>
        <v>0.10488915664134169</v>
      </c>
      <c r="L47" s="476">
        <v>0.13111144580168393</v>
      </c>
      <c r="M47" s="486">
        <f t="shared" si="15"/>
        <v>0.50908625573165978</v>
      </c>
      <c r="N47" s="476">
        <v>0.76106946235163009</v>
      </c>
      <c r="O47" s="476">
        <v>1.5461840856415372</v>
      </c>
      <c r="P47" s="476">
        <v>2.4828290724196682</v>
      </c>
      <c r="Q47" s="476">
        <v>3.4315159422074926</v>
      </c>
      <c r="R47" s="476">
        <v>4.3745382605131322</v>
      </c>
      <c r="S47" s="476">
        <v>5.4189309511073711</v>
      </c>
      <c r="T47" s="476">
        <v>6.5989177111129784</v>
      </c>
      <c r="V47" s="464">
        <f t="shared" si="12"/>
        <v>0</v>
      </c>
      <c r="W47" s="489">
        <f t="shared" si="13"/>
        <v>0.13111144580168393</v>
      </c>
      <c r="X47" s="489">
        <f t="shared" si="14"/>
        <v>0.76106946235163009</v>
      </c>
    </row>
    <row r="48" spans="1:24" s="462" customFormat="1" ht="13.8" x14ac:dyDescent="0.25">
      <c r="A48" s="459" t="s">
        <v>353</v>
      </c>
      <c r="B48" s="480">
        <f>SUM(B41:B47)</f>
        <v>1.2898296419999999</v>
      </c>
      <c r="C48" s="480">
        <f t="shared" ref="C48:T48" si="16">SUM(C41:C47)</f>
        <v>1.784E-3</v>
      </c>
      <c r="D48" s="480">
        <f t="shared" si="16"/>
        <v>1.792E-3</v>
      </c>
      <c r="E48" s="480">
        <f t="shared" si="16"/>
        <v>4.0390303862372062E-3</v>
      </c>
      <c r="F48" s="480">
        <f t="shared" si="16"/>
        <v>5.8943746357707789E-3</v>
      </c>
      <c r="G48" s="480">
        <f t="shared" si="16"/>
        <v>860.61555406550929</v>
      </c>
      <c r="H48" s="480">
        <f t="shared" si="16"/>
        <v>6.0649960333068687E-2</v>
      </c>
      <c r="I48" s="480">
        <f t="shared" si="16"/>
        <v>0.17922696033306867</v>
      </c>
      <c r="J48" s="480">
        <f t="shared" si="16"/>
        <v>0.38308696033306866</v>
      </c>
      <c r="K48" s="480">
        <f t="shared" si="16"/>
        <v>962.64801722539596</v>
      </c>
      <c r="L48" s="480">
        <f t="shared" si="16"/>
        <v>1001.505271230432</v>
      </c>
      <c r="M48" s="487">
        <f>SUM(M41:M47)</f>
        <v>1128.407620088941</v>
      </c>
      <c r="N48" s="480">
        <f>SUM(N41:N47)</f>
        <v>1197.3094061510358</v>
      </c>
      <c r="O48" s="480">
        <f t="shared" si="16"/>
        <v>1473.6461693587014</v>
      </c>
      <c r="P48" s="480">
        <f t="shared" si="16"/>
        <v>1787.0346413326527</v>
      </c>
      <c r="Q48" s="480">
        <f t="shared" si="16"/>
        <v>2111.9038123960345</v>
      </c>
      <c r="R48" s="480">
        <f t="shared" si="16"/>
        <v>2427.3585249264916</v>
      </c>
      <c r="S48" s="480">
        <f t="shared" si="16"/>
        <v>2718.0358399466413</v>
      </c>
      <c r="T48" s="480">
        <f t="shared" si="16"/>
        <v>2988.031350752924</v>
      </c>
    </row>
    <row r="49" spans="1:27" x14ac:dyDescent="0.25">
      <c r="B49" s="463"/>
      <c r="C49" s="463"/>
      <c r="D49" s="463"/>
      <c r="E49" s="463"/>
      <c r="F49" s="463"/>
      <c r="G49" s="463"/>
      <c r="H49" s="463"/>
      <c r="I49" s="463"/>
      <c r="J49" s="463"/>
      <c r="K49" s="463"/>
      <c r="L49" s="463"/>
      <c r="M49" s="576" t="s">
        <v>554</v>
      </c>
      <c r="N49" s="576"/>
    </row>
    <row r="50" spans="1:27" ht="15" x14ac:dyDescent="0.25">
      <c r="A50" s="449" t="s">
        <v>483</v>
      </c>
      <c r="B50" s="450" t="s">
        <v>481</v>
      </c>
      <c r="C50" s="451"/>
      <c r="D50" s="451"/>
      <c r="E50" s="451"/>
      <c r="F50" s="452"/>
      <c r="G50" s="446"/>
      <c r="H50" s="446"/>
      <c r="I50" s="452"/>
      <c r="J50" s="452"/>
      <c r="K50" s="452"/>
      <c r="L50" s="452"/>
      <c r="M50" s="453" t="s">
        <v>480</v>
      </c>
      <c r="N50" s="470"/>
      <c r="O50" s="445"/>
      <c r="P50" s="445"/>
      <c r="Q50" s="445"/>
      <c r="R50" s="445"/>
      <c r="S50" s="445"/>
      <c r="T50" s="445"/>
    </row>
    <row r="51" spans="1:27" ht="13.8" x14ac:dyDescent="0.25">
      <c r="A51" s="454"/>
      <c r="B51" s="454">
        <v>2005</v>
      </c>
      <c r="C51" s="454">
        <v>2006</v>
      </c>
      <c r="D51" s="454">
        <v>2007</v>
      </c>
      <c r="E51" s="454">
        <v>2008</v>
      </c>
      <c r="F51" s="454">
        <v>2009</v>
      </c>
      <c r="G51" s="454">
        <v>2010</v>
      </c>
      <c r="H51" s="454">
        <v>2011</v>
      </c>
      <c r="I51" s="454">
        <v>2012</v>
      </c>
      <c r="J51" s="454">
        <v>2013</v>
      </c>
      <c r="K51" s="454">
        <v>2014</v>
      </c>
      <c r="L51" s="454">
        <v>2015</v>
      </c>
      <c r="M51" s="473">
        <f>$N$2</f>
        <v>2018</v>
      </c>
      <c r="N51" s="454">
        <v>2020</v>
      </c>
      <c r="O51" s="454">
        <v>2025</v>
      </c>
      <c r="P51" s="454">
        <v>2030</v>
      </c>
      <c r="Q51" s="454">
        <v>2035</v>
      </c>
      <c r="R51" s="454">
        <v>2040</v>
      </c>
      <c r="S51" s="454">
        <v>2045</v>
      </c>
      <c r="T51" s="454">
        <v>2050</v>
      </c>
      <c r="V51" s="454">
        <f>G51</f>
        <v>2010</v>
      </c>
      <c r="W51" s="454">
        <f>L51</f>
        <v>2015</v>
      </c>
      <c r="X51" s="454">
        <f>N51</f>
        <v>2020</v>
      </c>
    </row>
    <row r="52" spans="1:27" ht="13.8" x14ac:dyDescent="0.25">
      <c r="A52" s="455" t="s">
        <v>364</v>
      </c>
      <c r="B52" s="479"/>
      <c r="C52" s="475"/>
      <c r="D52" s="475"/>
      <c r="E52" s="475"/>
      <c r="F52" s="475"/>
      <c r="G52" s="475">
        <v>711.95271652166934</v>
      </c>
      <c r="H52" s="475"/>
      <c r="I52" s="475"/>
      <c r="J52" s="475"/>
      <c r="K52" s="475"/>
      <c r="L52" s="475">
        <v>803.78785128653476</v>
      </c>
      <c r="M52" s="486">
        <f>FORECAST($M$51,W52:X52,$W$51:$X$51)</f>
        <v>895.91262282047683</v>
      </c>
      <c r="N52" s="475">
        <v>957.3291371764451</v>
      </c>
      <c r="O52" s="475">
        <v>1165.1535140565643</v>
      </c>
      <c r="P52" s="475">
        <v>1375.5753936441029</v>
      </c>
      <c r="Q52" s="475">
        <v>1553.9605726070013</v>
      </c>
      <c r="R52" s="475">
        <v>1685.9863611855069</v>
      </c>
      <c r="S52" s="475">
        <v>1767.341375921269</v>
      </c>
      <c r="T52" s="475">
        <v>1807.8889256287457</v>
      </c>
      <c r="V52" s="488">
        <f t="shared" ref="V52:V58" si="17">G52</f>
        <v>711.95271652166934</v>
      </c>
      <c r="W52" s="488">
        <f t="shared" ref="W52:W58" si="18">L52</f>
        <v>803.78785128653476</v>
      </c>
      <c r="X52" s="488">
        <f t="shared" ref="X52:X58" si="19">N52</f>
        <v>957.3291371764451</v>
      </c>
    </row>
    <row r="53" spans="1:27" ht="13.8" x14ac:dyDescent="0.25">
      <c r="A53" s="455" t="s">
        <v>365</v>
      </c>
      <c r="B53" s="479"/>
      <c r="C53" s="475"/>
      <c r="D53" s="475"/>
      <c r="E53" s="475"/>
      <c r="F53" s="475"/>
      <c r="G53" s="475">
        <v>119.9589565588588</v>
      </c>
      <c r="H53" s="475"/>
      <c r="I53" s="475"/>
      <c r="J53" s="475"/>
      <c r="K53" s="475"/>
      <c r="L53" s="475">
        <v>149.84593210368689</v>
      </c>
      <c r="M53" s="486">
        <f t="shared" ref="M53:M58" si="20">FORECAST($M$51,W53:X53,$W$51:$X$51)</f>
        <v>168.54825062352393</v>
      </c>
      <c r="N53" s="475">
        <v>181.01646297008074</v>
      </c>
      <c r="O53" s="475">
        <v>210.25667076723585</v>
      </c>
      <c r="P53" s="475">
        <v>238.20117155295512</v>
      </c>
      <c r="Q53" s="475">
        <v>266.18457244042622</v>
      </c>
      <c r="R53" s="475">
        <v>287.08709631008355</v>
      </c>
      <c r="S53" s="475">
        <v>296.9274179462949</v>
      </c>
      <c r="T53" s="475">
        <v>293.99913088300173</v>
      </c>
      <c r="V53" s="488">
        <f t="shared" si="17"/>
        <v>119.9589565588588</v>
      </c>
      <c r="W53" s="488">
        <f t="shared" si="18"/>
        <v>149.84593210368689</v>
      </c>
      <c r="X53" s="488">
        <f t="shared" si="19"/>
        <v>181.01646297008074</v>
      </c>
    </row>
    <row r="54" spans="1:27" ht="13.8" x14ac:dyDescent="0.25">
      <c r="A54" s="455" t="s">
        <v>366</v>
      </c>
      <c r="B54" s="479"/>
      <c r="C54" s="475"/>
      <c r="D54" s="475"/>
      <c r="E54" s="475"/>
      <c r="F54" s="475"/>
      <c r="G54" s="475">
        <v>23.85096980998123</v>
      </c>
      <c r="H54" s="475"/>
      <c r="I54" s="475"/>
      <c r="J54" s="475"/>
      <c r="K54" s="475"/>
      <c r="L54" s="475">
        <v>34.721002856010003</v>
      </c>
      <c r="M54" s="486">
        <f t="shared" si="20"/>
        <v>41.211996368181644</v>
      </c>
      <c r="N54" s="475">
        <v>45.539325376294627</v>
      </c>
      <c r="O54" s="475">
        <v>59.016913447655647</v>
      </c>
      <c r="P54" s="475">
        <v>75.606818924791725</v>
      </c>
      <c r="Q54" s="475">
        <v>93.312057465310403</v>
      </c>
      <c r="R54" s="475">
        <v>108.48756369347103</v>
      </c>
      <c r="S54" s="475">
        <v>117.33511854283771</v>
      </c>
      <c r="T54" s="475">
        <v>116.82138101875992</v>
      </c>
      <c r="V54" s="488">
        <f t="shared" si="17"/>
        <v>23.85096980998123</v>
      </c>
      <c r="W54" s="488">
        <f t="shared" si="18"/>
        <v>34.721002856010003</v>
      </c>
      <c r="X54" s="488">
        <f t="shared" si="19"/>
        <v>45.539325376294627</v>
      </c>
    </row>
    <row r="55" spans="1:27" ht="13.8" x14ac:dyDescent="0.25">
      <c r="A55" s="455" t="s">
        <v>261</v>
      </c>
      <c r="B55" s="572">
        <v>1.288163642</v>
      </c>
      <c r="C55" s="568"/>
      <c r="D55" s="568"/>
      <c r="E55" s="568"/>
      <c r="F55" s="568"/>
      <c r="G55" s="567">
        <v>4.8346601749999998</v>
      </c>
      <c r="H55" s="568"/>
      <c r="I55" s="568"/>
      <c r="J55" s="568"/>
      <c r="K55" s="568"/>
      <c r="L55" s="569">
        <v>11.748737779000001</v>
      </c>
      <c r="M55" s="570">
        <f>VLOOKUP($M$62,$Y$63:$AA$73,3,0)/10^6</f>
        <v>15.445313428</v>
      </c>
      <c r="N55" s="475">
        <v>2.3855842605570894</v>
      </c>
      <c r="O55" s="476">
        <v>8.1219136916500219</v>
      </c>
      <c r="P55" s="476">
        <v>27.965067056574593</v>
      </c>
      <c r="Q55" s="476">
        <v>68.835576469371873</v>
      </c>
      <c r="R55" s="476">
        <v>137.50507708949544</v>
      </c>
      <c r="S55" s="476">
        <v>236.97142061647958</v>
      </c>
      <c r="T55" s="476">
        <v>368.90059080805963</v>
      </c>
      <c r="V55" s="489">
        <f t="shared" si="17"/>
        <v>4.8346601749999998</v>
      </c>
      <c r="W55" s="489">
        <f t="shared" si="18"/>
        <v>11.748737779000001</v>
      </c>
      <c r="X55" s="490">
        <f t="shared" si="19"/>
        <v>2.3855842605570894</v>
      </c>
    </row>
    <row r="56" spans="1:27" ht="13.8" x14ac:dyDescent="0.25">
      <c r="A56" s="455" t="s">
        <v>367</v>
      </c>
      <c r="B56" s="477">
        <v>0</v>
      </c>
      <c r="C56" s="477">
        <v>0</v>
      </c>
      <c r="D56" s="477">
        <v>0</v>
      </c>
      <c r="E56" s="477">
        <v>0</v>
      </c>
      <c r="F56" s="477">
        <v>0</v>
      </c>
      <c r="G56" s="571">
        <v>9.1254999999999999E-3</v>
      </c>
      <c r="H56" s="571">
        <v>9.3245856972979085E-3</v>
      </c>
      <c r="I56" s="571">
        <v>6.996458569729791E-2</v>
      </c>
      <c r="J56" s="571">
        <v>0.1615685856972979</v>
      </c>
      <c r="K56" s="571">
        <v>0.29567978569729786</v>
      </c>
      <c r="L56" s="569">
        <v>0.63531787969925002</v>
      </c>
      <c r="M56" s="570">
        <f>VLOOKUP($M$62,$Y$63:$AA$73,2,0)/10^6/2</f>
        <v>2.6309330839022524</v>
      </c>
      <c r="N56" s="475">
        <v>1.8453681868990408</v>
      </c>
      <c r="O56" s="476">
        <v>4.4527471342681819</v>
      </c>
      <c r="P56" s="476">
        <v>9.6898922189140499</v>
      </c>
      <c r="Q56" s="476">
        <v>18.254094599313436</v>
      </c>
      <c r="R56" s="476">
        <v>30.23716130035492</v>
      </c>
      <c r="S56" s="476">
        <v>45.953664014713596</v>
      </c>
      <c r="T56" s="476">
        <v>64.357832823660161</v>
      </c>
      <c r="V56" s="491">
        <f t="shared" si="17"/>
        <v>9.1254999999999999E-3</v>
      </c>
      <c r="W56" s="491">
        <f t="shared" si="18"/>
        <v>0.63531787969925002</v>
      </c>
      <c r="X56" s="491">
        <f t="shared" si="19"/>
        <v>1.8453681868990408</v>
      </c>
    </row>
    <row r="57" spans="1:27" ht="13.8" x14ac:dyDescent="0.25">
      <c r="A57" s="455" t="s">
        <v>368</v>
      </c>
      <c r="B57" s="478">
        <v>1.6659999999999999E-3</v>
      </c>
      <c r="C57" s="478">
        <v>1.784E-3</v>
      </c>
      <c r="D57" s="478">
        <v>1.792E-3</v>
      </c>
      <c r="E57" s="478">
        <v>4.0390303862372062E-3</v>
      </c>
      <c r="F57" s="478">
        <v>5.8943746357707789E-3</v>
      </c>
      <c r="G57" s="571">
        <v>9.1254999999999999E-3</v>
      </c>
      <c r="H57" s="571">
        <v>5.1325374635770776E-2</v>
      </c>
      <c r="I57" s="571">
        <v>0.10926237463577076</v>
      </c>
      <c r="J57" s="571">
        <v>0.22151837463577076</v>
      </c>
      <c r="K57" s="571">
        <v>0.41109070796910407</v>
      </c>
      <c r="L57" s="569">
        <v>0.63531787969925002</v>
      </c>
      <c r="M57" s="570">
        <f>VLOOKUP($M$62,$Y$63:$AA$73,2,0)/10^6/2</f>
        <v>2.6309330839022524</v>
      </c>
      <c r="N57" s="475">
        <v>2.6490482145830163</v>
      </c>
      <c r="O57" s="476">
        <v>5.8074246180301525</v>
      </c>
      <c r="P57" s="476">
        <v>11.94023143635275</v>
      </c>
      <c r="Q57" s="476">
        <v>21.736156831798098</v>
      </c>
      <c r="R57" s="476">
        <v>35.840873305078297</v>
      </c>
      <c r="S57" s="476">
        <v>54.374619279394423</v>
      </c>
      <c r="T57" s="476">
        <v>75.870861484255769</v>
      </c>
      <c r="V57" s="491">
        <f t="shared" si="17"/>
        <v>9.1254999999999999E-3</v>
      </c>
      <c r="W57" s="491">
        <f t="shared" si="18"/>
        <v>0.63531787969925002</v>
      </c>
      <c r="X57" s="491">
        <f t="shared" si="19"/>
        <v>2.6490482145830163</v>
      </c>
    </row>
    <row r="58" spans="1:27" ht="14.4" x14ac:dyDescent="0.3">
      <c r="A58" s="455" t="s">
        <v>369</v>
      </c>
      <c r="B58" s="479"/>
      <c r="C58" s="479"/>
      <c r="D58" s="479"/>
      <c r="E58" s="479"/>
      <c r="F58" s="479"/>
      <c r="G58" s="481">
        <v>5.6000000000000005E-8</v>
      </c>
      <c r="H58" s="479"/>
      <c r="I58" s="479"/>
      <c r="J58" s="479"/>
      <c r="K58" s="481"/>
      <c r="L58" s="476">
        <v>0.13111144580168393</v>
      </c>
      <c r="M58" s="486">
        <f t="shared" si="20"/>
        <v>0.32353008240662007</v>
      </c>
      <c r="N58" s="475">
        <v>0.45180917347661742</v>
      </c>
      <c r="O58" s="476">
        <v>1.0385608942800741</v>
      </c>
      <c r="P58" s="476">
        <v>2.196883807747958</v>
      </c>
      <c r="Q58" s="476">
        <v>4.0738756332183543</v>
      </c>
      <c r="R58" s="476">
        <v>6.7809275147939569</v>
      </c>
      <c r="S58" s="476">
        <v>10.368079898412081</v>
      </c>
      <c r="T58" s="476">
        <v>14.581190787107975</v>
      </c>
      <c r="V58" s="464">
        <f t="shared" si="17"/>
        <v>5.6000000000000005E-8</v>
      </c>
      <c r="W58" s="489">
        <f t="shared" si="18"/>
        <v>0.13111144580168393</v>
      </c>
      <c r="X58" s="489">
        <f t="shared" si="19"/>
        <v>0.45180917347661742</v>
      </c>
    </row>
    <row r="59" spans="1:27" ht="13.8" x14ac:dyDescent="0.25">
      <c r="A59" s="459" t="s">
        <v>353</v>
      </c>
      <c r="B59" s="480">
        <f>SUM(B52:B58)</f>
        <v>1.2898296419999999</v>
      </c>
      <c r="C59" s="480">
        <f t="shared" ref="C59:F59" si="21">SUM(C52:C58)</f>
        <v>1.784E-3</v>
      </c>
      <c r="D59" s="480">
        <f t="shared" si="21"/>
        <v>1.792E-3</v>
      </c>
      <c r="E59" s="480">
        <f t="shared" si="21"/>
        <v>4.0390303862372062E-3</v>
      </c>
      <c r="F59" s="480">
        <f t="shared" si="21"/>
        <v>5.8943746357707789E-3</v>
      </c>
      <c r="G59" s="480">
        <f>SUM(G52:G58)</f>
        <v>860.61555412150926</v>
      </c>
      <c r="H59" s="480">
        <f t="shared" ref="H59:J59" si="22">SUM(H52:H58)</f>
        <v>6.0649960333068687E-2</v>
      </c>
      <c r="I59" s="480">
        <f t="shared" si="22"/>
        <v>0.17922696033306867</v>
      </c>
      <c r="J59" s="480">
        <f t="shared" si="22"/>
        <v>0.38308696033306866</v>
      </c>
      <c r="K59" s="480">
        <f>SUM(K52:K58)</f>
        <v>0.70677049366640188</v>
      </c>
      <c r="L59" s="480">
        <f t="shared" ref="L59:T59" si="23">SUM(L52:L58)</f>
        <v>1001.505271230432</v>
      </c>
      <c r="M59" s="487">
        <f>SUM(M52:M58)</f>
        <v>1126.7035794903934</v>
      </c>
      <c r="N59" s="480">
        <f>SUM(N52:N58)</f>
        <v>1191.2167353583363</v>
      </c>
      <c r="O59" s="480">
        <f t="shared" si="23"/>
        <v>1453.8477446096845</v>
      </c>
      <c r="P59" s="480">
        <f t="shared" si="23"/>
        <v>1741.1754586414393</v>
      </c>
      <c r="Q59" s="480">
        <f t="shared" si="23"/>
        <v>2026.3569060464397</v>
      </c>
      <c r="R59" s="480">
        <f t="shared" si="23"/>
        <v>2291.9250603987839</v>
      </c>
      <c r="S59" s="480">
        <f t="shared" si="23"/>
        <v>2529.2716962194008</v>
      </c>
      <c r="T59" s="480">
        <f t="shared" si="23"/>
        <v>2742.4199134335909</v>
      </c>
    </row>
    <row r="60" spans="1:27" x14ac:dyDescent="0.25">
      <c r="M60" s="576" t="s">
        <v>554</v>
      </c>
      <c r="N60" s="576"/>
    </row>
    <row r="61" spans="1:27" ht="15" x14ac:dyDescent="0.25">
      <c r="A61" s="449" t="s">
        <v>483</v>
      </c>
      <c r="B61" s="450" t="s">
        <v>482</v>
      </c>
      <c r="C61" s="451"/>
      <c r="D61" s="451"/>
      <c r="E61" s="451"/>
      <c r="F61" s="452"/>
      <c r="G61" s="446"/>
      <c r="H61" s="446"/>
      <c r="I61" s="452"/>
      <c r="J61" s="452"/>
      <c r="K61" s="452"/>
      <c r="L61" s="452"/>
      <c r="M61" s="453" t="s">
        <v>480</v>
      </c>
      <c r="N61" s="470"/>
      <c r="O61" s="445"/>
      <c r="P61" s="445"/>
      <c r="Q61" s="445"/>
      <c r="R61" s="445"/>
      <c r="S61" s="445"/>
      <c r="T61" s="445"/>
      <c r="Z61" s="448" t="s">
        <v>598</v>
      </c>
    </row>
    <row r="62" spans="1:27" ht="13.8" x14ac:dyDescent="0.25">
      <c r="A62" s="454"/>
      <c r="B62" s="454">
        <v>2005</v>
      </c>
      <c r="C62" s="454">
        <v>2006</v>
      </c>
      <c r="D62" s="454">
        <v>2007</v>
      </c>
      <c r="E62" s="454">
        <v>2008</v>
      </c>
      <c r="F62" s="454">
        <v>2009</v>
      </c>
      <c r="G62" s="454">
        <v>2010</v>
      </c>
      <c r="H62" s="454">
        <v>2011</v>
      </c>
      <c r="I62" s="454">
        <v>2012</v>
      </c>
      <c r="J62" s="454">
        <v>2013</v>
      </c>
      <c r="K62" s="454">
        <v>2014</v>
      </c>
      <c r="L62" s="454">
        <v>2015</v>
      </c>
      <c r="M62" s="473">
        <f>$N$2</f>
        <v>2018</v>
      </c>
      <c r="N62" s="454">
        <v>2020</v>
      </c>
      <c r="O62" s="454">
        <v>2025</v>
      </c>
      <c r="P62" s="454">
        <v>2030</v>
      </c>
      <c r="Q62" s="454">
        <v>2035</v>
      </c>
      <c r="R62" s="454">
        <v>2040</v>
      </c>
      <c r="S62" s="454">
        <v>2045</v>
      </c>
      <c r="T62" s="454">
        <v>2050</v>
      </c>
      <c r="V62" s="454">
        <f>G62</f>
        <v>2010</v>
      </c>
      <c r="W62" s="454">
        <f>L62</f>
        <v>2015</v>
      </c>
      <c r="X62" s="454">
        <f>N62</f>
        <v>2020</v>
      </c>
      <c r="Z62" s="448" t="s">
        <v>596</v>
      </c>
      <c r="AA62" s="448" t="s">
        <v>597</v>
      </c>
    </row>
    <row r="63" spans="1:27" ht="13.8" x14ac:dyDescent="0.25">
      <c r="A63" s="455" t="s">
        <v>364</v>
      </c>
      <c r="B63" s="479"/>
      <c r="C63" s="475"/>
      <c r="D63" s="475"/>
      <c r="E63" s="475"/>
      <c r="F63" s="475"/>
      <c r="G63" s="475">
        <v>711.95271652166934</v>
      </c>
      <c r="H63" s="475"/>
      <c r="I63" s="475"/>
      <c r="J63" s="475"/>
      <c r="K63" s="475"/>
      <c r="L63" s="475">
        <v>803.78785128653476</v>
      </c>
      <c r="M63" s="486">
        <f>FORECAST($M$62,W63:X63,$W$62:$X$62)</f>
        <v>878.30928946887434</v>
      </c>
      <c r="N63" s="475">
        <v>927.9902482571058</v>
      </c>
      <c r="O63" s="475">
        <v>1052.611669116654</v>
      </c>
      <c r="P63" s="475">
        <v>1109.1700383831658</v>
      </c>
      <c r="Q63" s="475">
        <v>1069.5308324120158</v>
      </c>
      <c r="R63" s="475">
        <v>949.53245919896767</v>
      </c>
      <c r="S63" s="475">
        <v>762.66427717144359</v>
      </c>
      <c r="T63" s="475">
        <v>548.18340176598747</v>
      </c>
      <c r="V63" s="488">
        <f t="shared" ref="V63:V69" si="24">G63</f>
        <v>711.95271652166934</v>
      </c>
      <c r="W63" s="488">
        <f t="shared" ref="W63:W69" si="25">L63</f>
        <v>803.78785128653476</v>
      </c>
      <c r="X63" s="488">
        <f t="shared" ref="X63:X69" si="26">N63</f>
        <v>927.9902482571058</v>
      </c>
      <c r="Y63" s="454">
        <v>2008</v>
      </c>
      <c r="Z63" s="612">
        <v>1091</v>
      </c>
      <c r="AA63" s="612">
        <v>3279962.301</v>
      </c>
    </row>
    <row r="64" spans="1:27" ht="13.8" x14ac:dyDescent="0.25">
      <c r="A64" s="455" t="s">
        <v>365</v>
      </c>
      <c r="B64" s="479"/>
      <c r="C64" s="475"/>
      <c r="D64" s="475"/>
      <c r="E64" s="475"/>
      <c r="F64" s="475"/>
      <c r="G64" s="475">
        <v>119.9589565588588</v>
      </c>
      <c r="H64" s="475"/>
      <c r="I64" s="475"/>
      <c r="J64" s="475"/>
      <c r="K64" s="475"/>
      <c r="L64" s="475">
        <v>149.84593210368689</v>
      </c>
      <c r="M64" s="486">
        <f t="shared" ref="M64:M69" si="27">FORECAST($M$62,W64:X64,$W$62:$X$62)</f>
        <v>164.83913729137203</v>
      </c>
      <c r="N64" s="475">
        <v>174.83460741649506</v>
      </c>
      <c r="O64" s="475">
        <v>187.93961787916967</v>
      </c>
      <c r="P64" s="475">
        <v>187.65757396622629</v>
      </c>
      <c r="Q64" s="475">
        <v>177.59030342455421</v>
      </c>
      <c r="R64" s="475">
        <v>153.09250190755995</v>
      </c>
      <c r="S64" s="475">
        <v>116.56938336213543</v>
      </c>
      <c r="T64" s="475">
        <v>76.217489507903679</v>
      </c>
      <c r="V64" s="488">
        <f t="shared" si="24"/>
        <v>119.9589565588588</v>
      </c>
      <c r="W64" s="488">
        <f t="shared" si="25"/>
        <v>149.84593210368689</v>
      </c>
      <c r="X64" s="488">
        <f t="shared" si="26"/>
        <v>174.83460741649506</v>
      </c>
      <c r="Y64" s="454">
        <v>2009</v>
      </c>
      <c r="Z64" s="612">
        <v>4268</v>
      </c>
      <c r="AA64" s="612">
        <v>3999396.301</v>
      </c>
    </row>
    <row r="65" spans="1:27" ht="13.8" x14ac:dyDescent="0.25">
      <c r="A65" s="455" t="s">
        <v>366</v>
      </c>
      <c r="B65" s="479"/>
      <c r="C65" s="475"/>
      <c r="D65" s="475"/>
      <c r="E65" s="475"/>
      <c r="F65" s="475"/>
      <c r="G65" s="475">
        <v>23.85096980998123</v>
      </c>
      <c r="H65" s="475"/>
      <c r="I65" s="475"/>
      <c r="J65" s="475"/>
      <c r="K65" s="475"/>
      <c r="L65" s="475">
        <v>34.721002856010003</v>
      </c>
      <c r="M65" s="486">
        <f t="shared" si="27"/>
        <v>40.673221988011392</v>
      </c>
      <c r="N65" s="475">
        <v>44.641368076011673</v>
      </c>
      <c r="O65" s="475">
        <v>55.238317199465186</v>
      </c>
      <c r="P65" s="475">
        <v>66.462708137147786</v>
      </c>
      <c r="Q65" s="475">
        <v>77.383223676869207</v>
      </c>
      <c r="R65" s="475">
        <v>80.175148417776938</v>
      </c>
      <c r="S65" s="475">
        <v>68.788373736071961</v>
      </c>
      <c r="T65" s="475">
        <v>48.193038157506848</v>
      </c>
      <c r="V65" s="488">
        <f t="shared" si="24"/>
        <v>23.85096980998123</v>
      </c>
      <c r="W65" s="488">
        <f t="shared" si="25"/>
        <v>34.721002856010003</v>
      </c>
      <c r="X65" s="488">
        <f t="shared" si="26"/>
        <v>44.641368076011673</v>
      </c>
      <c r="Y65" s="454">
        <v>2010</v>
      </c>
      <c r="Z65" s="612">
        <v>18251</v>
      </c>
      <c r="AA65" s="612">
        <v>4834660.1749999998</v>
      </c>
    </row>
    <row r="66" spans="1:27" ht="13.8" x14ac:dyDescent="0.25">
      <c r="A66" s="455" t="s">
        <v>261</v>
      </c>
      <c r="B66" s="572">
        <v>1.288163642</v>
      </c>
      <c r="C66" s="475"/>
      <c r="D66" s="475"/>
      <c r="E66" s="475"/>
      <c r="F66" s="475"/>
      <c r="G66" s="567">
        <v>4.8346601749999998</v>
      </c>
      <c r="H66" s="568"/>
      <c r="I66" s="568"/>
      <c r="J66" s="568"/>
      <c r="K66" s="568"/>
      <c r="L66" s="569">
        <v>11.748737779000001</v>
      </c>
      <c r="M66" s="570">
        <f>VLOOKUP($M$62,$Y$63:$AA$73,3,0)/10^6</f>
        <v>15.445313428</v>
      </c>
      <c r="N66" s="475">
        <v>9.9932887765462546</v>
      </c>
      <c r="O66" s="476">
        <v>41.105051377341425</v>
      </c>
      <c r="P66" s="476">
        <v>104.77601327758661</v>
      </c>
      <c r="Q66" s="476">
        <v>201.99328964599903</v>
      </c>
      <c r="R66" s="476">
        <v>333.38746359879394</v>
      </c>
      <c r="S66" s="476">
        <v>486.89864610845996</v>
      </c>
      <c r="T66" s="476">
        <v>630.7210410252701</v>
      </c>
      <c r="V66" s="489">
        <f t="shared" si="24"/>
        <v>4.8346601749999998</v>
      </c>
      <c r="W66" s="489">
        <f t="shared" si="25"/>
        <v>11.748737779000001</v>
      </c>
      <c r="X66" s="490">
        <f t="shared" si="26"/>
        <v>9.9932887765462546</v>
      </c>
      <c r="Y66" s="454">
        <v>2011</v>
      </c>
      <c r="Z66" s="612">
        <v>69388</v>
      </c>
      <c r="AA66" s="612">
        <v>5644133.4699999997</v>
      </c>
    </row>
    <row r="67" spans="1:27" ht="13.8" x14ac:dyDescent="0.25">
      <c r="A67" s="455" t="s">
        <v>367</v>
      </c>
      <c r="B67" s="477">
        <v>0</v>
      </c>
      <c r="C67" s="477">
        <v>0</v>
      </c>
      <c r="D67" s="477">
        <v>0</v>
      </c>
      <c r="E67" s="477">
        <v>0</v>
      </c>
      <c r="F67" s="477">
        <v>0</v>
      </c>
      <c r="G67" s="571">
        <v>9.1254999999999999E-3</v>
      </c>
      <c r="H67" s="571">
        <v>9.3245856972979085E-3</v>
      </c>
      <c r="I67" s="571">
        <v>6.996458569729791E-2</v>
      </c>
      <c r="J67" s="571">
        <v>0.1615685856972979</v>
      </c>
      <c r="K67" s="571">
        <v>0.29567978569729786</v>
      </c>
      <c r="L67" s="569">
        <v>0.63531787969925002</v>
      </c>
      <c r="M67" s="570">
        <f>VLOOKUP($M$62,$Y$63:$AA$73,2,0)/10^6/2</f>
        <v>2.6309330839022524</v>
      </c>
      <c r="N67" s="475">
        <v>6.6213161564686143</v>
      </c>
      <c r="O67" s="476">
        <v>24.299654968752311</v>
      </c>
      <c r="P67" s="476">
        <v>60.727285357674987</v>
      </c>
      <c r="Q67" s="476">
        <v>119.51602246411824</v>
      </c>
      <c r="R67" s="476">
        <v>196.80507846424948</v>
      </c>
      <c r="S67" s="476">
        <v>290.66567549657083</v>
      </c>
      <c r="T67" s="476">
        <v>389.44326783273704</v>
      </c>
      <c r="V67" s="491">
        <f t="shared" si="24"/>
        <v>9.1254999999999999E-3</v>
      </c>
      <c r="W67" s="491">
        <f t="shared" si="25"/>
        <v>0.63531787969925002</v>
      </c>
      <c r="X67" s="491">
        <f t="shared" si="26"/>
        <v>6.6213161564686143</v>
      </c>
      <c r="Y67" s="454">
        <v>2012</v>
      </c>
      <c r="Z67" s="612">
        <v>187293</v>
      </c>
      <c r="AA67" s="612">
        <v>7086092.4699999997</v>
      </c>
    </row>
    <row r="68" spans="1:27" ht="13.8" x14ac:dyDescent="0.25">
      <c r="A68" s="455" t="s">
        <v>368</v>
      </c>
      <c r="B68" s="478">
        <v>1.6659999999999999E-3</v>
      </c>
      <c r="C68" s="478">
        <v>1.784E-3</v>
      </c>
      <c r="D68" s="478">
        <v>1.792E-3</v>
      </c>
      <c r="E68" s="478">
        <v>4.0390303862372062E-3</v>
      </c>
      <c r="F68" s="478">
        <v>5.8943746357707789E-3</v>
      </c>
      <c r="G68" s="571">
        <v>9.1254999999999999E-3</v>
      </c>
      <c r="H68" s="571">
        <v>5.1325374635770776E-2</v>
      </c>
      <c r="I68" s="571">
        <v>0.10926237463577076</v>
      </c>
      <c r="J68" s="571">
        <v>0.22151837463577076</v>
      </c>
      <c r="K68" s="571">
        <v>0.41109070796910407</v>
      </c>
      <c r="L68" s="569">
        <v>0.63531787969925002</v>
      </c>
      <c r="M68" s="570">
        <f>VLOOKUP($M$62,$Y$63:$AA$73,2,0)/10^6/2</f>
        <v>2.6309330839022524</v>
      </c>
      <c r="N68" s="475">
        <v>9.258605970347265</v>
      </c>
      <c r="O68" s="476">
        <v>32.721089750777729</v>
      </c>
      <c r="P68" s="476">
        <v>80.239160458316235</v>
      </c>
      <c r="Q68" s="476">
        <v>155.3877008967558</v>
      </c>
      <c r="R68" s="476">
        <v>254.60507240594308</v>
      </c>
      <c r="S68" s="476">
        <v>374.33980127514724</v>
      </c>
      <c r="T68" s="476">
        <v>496.09634922899403</v>
      </c>
      <c r="V68" s="491">
        <f t="shared" si="24"/>
        <v>9.1254999999999999E-3</v>
      </c>
      <c r="W68" s="491">
        <f t="shared" si="25"/>
        <v>0.63531787969925002</v>
      </c>
      <c r="X68" s="491">
        <f t="shared" si="26"/>
        <v>9.258605970347265</v>
      </c>
      <c r="Y68" s="454">
        <v>2013</v>
      </c>
      <c r="Z68" s="612">
        <v>387291</v>
      </c>
      <c r="AA68" s="612">
        <v>8608472.0700000003</v>
      </c>
    </row>
    <row r="69" spans="1:27" ht="14.4" x14ac:dyDescent="0.3">
      <c r="A69" s="455" t="s">
        <v>369</v>
      </c>
      <c r="B69" s="479"/>
      <c r="C69" s="479"/>
      <c r="D69" s="479"/>
      <c r="E69" s="479"/>
      <c r="F69" s="479"/>
      <c r="G69" s="481">
        <v>5.6000000000000005E-8</v>
      </c>
      <c r="H69" s="479"/>
      <c r="I69" s="479"/>
      <c r="J69" s="479"/>
      <c r="K69" s="481"/>
      <c r="L69" s="476">
        <v>0.13111144580168393</v>
      </c>
      <c r="M69" s="486">
        <f t="shared" si="27"/>
        <v>0.40672388421381811</v>
      </c>
      <c r="N69" s="475">
        <v>0.59046550982191459</v>
      </c>
      <c r="O69" s="476">
        <v>1.8773015341702008</v>
      </c>
      <c r="P69" s="476">
        <v>5.9374322542546993</v>
      </c>
      <c r="Q69" s="476">
        <v>14.64193448389161</v>
      </c>
      <c r="R69" s="476">
        <v>29.938132620792366</v>
      </c>
      <c r="S69" s="476">
        <v>56.846815311939785</v>
      </c>
      <c r="T69" s="476">
        <v>106.19648633938419</v>
      </c>
      <c r="V69" s="464">
        <f t="shared" si="24"/>
        <v>5.6000000000000005E-8</v>
      </c>
      <c r="W69" s="489">
        <f t="shared" si="25"/>
        <v>0.13111144580168393</v>
      </c>
      <c r="X69" s="489">
        <f t="shared" si="26"/>
        <v>0.59046550982191459</v>
      </c>
      <c r="Y69" s="454">
        <v>2014</v>
      </c>
      <c r="Z69" s="612">
        <v>699894.26065162884</v>
      </c>
      <c r="AA69" s="612">
        <v>10198526.07</v>
      </c>
    </row>
    <row r="70" spans="1:27" ht="13.8" x14ac:dyDescent="0.25">
      <c r="A70" s="459" t="s">
        <v>353</v>
      </c>
      <c r="B70" s="480">
        <f>SUM(B63:B69)</f>
        <v>1.2898296419999999</v>
      </c>
      <c r="C70" s="480">
        <f t="shared" ref="C70:F70" si="28">SUM(C63:C69)</f>
        <v>1.784E-3</v>
      </c>
      <c r="D70" s="480">
        <f t="shared" si="28"/>
        <v>1.792E-3</v>
      </c>
      <c r="E70" s="480">
        <f t="shared" si="28"/>
        <v>4.0390303862372062E-3</v>
      </c>
      <c r="F70" s="480">
        <f t="shared" si="28"/>
        <v>5.8943746357707789E-3</v>
      </c>
      <c r="G70" s="480">
        <f>SUM(G63:G69)</f>
        <v>860.61555412150926</v>
      </c>
      <c r="H70" s="480">
        <f t="shared" ref="H70:J70" si="29">SUM(H63:H69)</f>
        <v>6.0649960333068687E-2</v>
      </c>
      <c r="I70" s="480">
        <f t="shared" si="29"/>
        <v>0.17922696033306867</v>
      </c>
      <c r="J70" s="480">
        <f t="shared" si="29"/>
        <v>0.38308696033306866</v>
      </c>
      <c r="K70" s="480">
        <f>SUM(K63:K69)</f>
        <v>0.70677049366640188</v>
      </c>
      <c r="L70" s="480">
        <f t="shared" ref="L70:T70" si="30">SUM(L63:L69)</f>
        <v>1001.505271230432</v>
      </c>
      <c r="M70" s="487">
        <f>SUM(M63:M69)</f>
        <v>1104.9355522282758</v>
      </c>
      <c r="N70" s="480">
        <f>SUM(N63:N69)</f>
        <v>1173.9299001627967</v>
      </c>
      <c r="O70" s="480">
        <f t="shared" si="30"/>
        <v>1395.7927018263304</v>
      </c>
      <c r="P70" s="480">
        <f t="shared" si="30"/>
        <v>1614.9702118343723</v>
      </c>
      <c r="Q70" s="480">
        <f t="shared" si="30"/>
        <v>1816.0433070042041</v>
      </c>
      <c r="R70" s="480">
        <f t="shared" si="30"/>
        <v>1997.5358566140833</v>
      </c>
      <c r="S70" s="480">
        <f t="shared" si="30"/>
        <v>2156.7729724617689</v>
      </c>
      <c r="T70" s="480">
        <f t="shared" si="30"/>
        <v>2295.0510738577832</v>
      </c>
      <c r="Y70" s="454">
        <v>2015</v>
      </c>
      <c r="Z70" s="612">
        <v>1270635.7593984951</v>
      </c>
      <c r="AA70" s="612">
        <v>11748737.779000001</v>
      </c>
    </row>
    <row r="71" spans="1:27" ht="13.8" x14ac:dyDescent="0.25">
      <c r="Y71" s="454">
        <v>2016</v>
      </c>
      <c r="Z71" s="612">
        <v>2056453.6716791955</v>
      </c>
      <c r="AA71" s="612">
        <v>13469160.136000002</v>
      </c>
    </row>
    <row r="72" spans="1:27" ht="14.4" x14ac:dyDescent="0.3">
      <c r="A72" s="466" t="s">
        <v>484</v>
      </c>
      <c r="B72" s="467"/>
      <c r="C72" s="467"/>
      <c r="D72" s="467"/>
      <c r="E72" s="467"/>
      <c r="F72" s="467"/>
      <c r="G72" s="467"/>
      <c r="H72" s="467"/>
      <c r="I72" s="467"/>
      <c r="J72" s="467"/>
      <c r="K72" s="467"/>
      <c r="L72" s="467"/>
      <c r="M72" s="467"/>
      <c r="N72" s="467"/>
      <c r="O72" s="467"/>
      <c r="Y72" s="454">
        <v>2017</v>
      </c>
      <c r="Z72" s="612">
        <v>3248434.8338345825</v>
      </c>
      <c r="AA72" s="612">
        <v>15353447.581000002</v>
      </c>
    </row>
    <row r="73" spans="1:27" ht="14.4" x14ac:dyDescent="0.3">
      <c r="A73" s="468" t="s">
        <v>550</v>
      </c>
      <c r="B73" s="467"/>
      <c r="C73" s="467"/>
      <c r="D73" s="467"/>
      <c r="E73" s="467"/>
      <c r="F73" s="467"/>
      <c r="G73" s="467"/>
      <c r="H73" s="467"/>
      <c r="I73" s="467"/>
      <c r="J73" s="467"/>
      <c r="K73" s="467"/>
      <c r="L73" s="467"/>
      <c r="M73" s="467"/>
      <c r="N73" s="467"/>
      <c r="O73" s="467"/>
      <c r="P73" s="467"/>
      <c r="Q73" s="467"/>
      <c r="R73" s="467"/>
      <c r="S73" s="467"/>
      <c r="T73" s="467"/>
      <c r="Y73" s="454">
        <v>2018</v>
      </c>
      <c r="Z73" s="612">
        <v>5261866.1678045047</v>
      </c>
      <c r="AA73" s="612">
        <v>15445313.428000001</v>
      </c>
    </row>
    <row r="75" spans="1:27" ht="14.4" x14ac:dyDescent="0.3">
      <c r="A75" s="563" t="s">
        <v>551</v>
      </c>
    </row>
    <row r="76" spans="1:27" ht="14.4" x14ac:dyDescent="0.3">
      <c r="A76" s="465" t="s">
        <v>543</v>
      </c>
    </row>
    <row r="77" spans="1:27" ht="14.4" x14ac:dyDescent="0.3">
      <c r="A77" s="564" t="s">
        <v>536</v>
      </c>
      <c r="B77" s="565"/>
      <c r="C77" s="565"/>
      <c r="D77" s="565"/>
      <c r="E77" s="565"/>
      <c r="F77" s="114"/>
      <c r="G77" s="114"/>
      <c r="H77" s="467"/>
      <c r="I77" s="467"/>
      <c r="J77" s="467"/>
      <c r="K77" s="467"/>
      <c r="L77" s="467"/>
      <c r="M77" s="467"/>
      <c r="N77" s="467"/>
      <c r="O77" s="467"/>
      <c r="P77" s="467"/>
      <c r="Q77" s="467"/>
      <c r="R77" s="467"/>
      <c r="S77" s="467"/>
    </row>
    <row r="78" spans="1:27" ht="14.4" x14ac:dyDescent="0.3">
      <c r="A78" s="114" t="s">
        <v>537</v>
      </c>
      <c r="B78" s="565"/>
      <c r="C78" s="565"/>
      <c r="D78" s="565"/>
      <c r="E78" s="565"/>
      <c r="F78" s="114"/>
      <c r="G78" s="114"/>
      <c r="H78" s="467"/>
      <c r="I78" s="467"/>
      <c r="J78" s="467"/>
      <c r="K78" s="467"/>
      <c r="L78" s="467"/>
      <c r="M78" s="467"/>
      <c r="N78" s="467"/>
      <c r="O78" s="467"/>
      <c r="P78" s="467"/>
      <c r="Q78" s="467"/>
      <c r="R78" s="467"/>
      <c r="S78" s="467"/>
    </row>
    <row r="79" spans="1:27" ht="14.4" x14ac:dyDescent="0.3">
      <c r="A79" s="114" t="s">
        <v>538</v>
      </c>
      <c r="B79" s="565"/>
      <c r="C79" s="565"/>
      <c r="D79" s="565"/>
      <c r="E79" s="565"/>
      <c r="F79" s="565"/>
      <c r="G79" s="566"/>
      <c r="H79" s="467"/>
      <c r="I79" s="467"/>
      <c r="J79" s="467"/>
      <c r="K79" s="467"/>
      <c r="L79" s="467"/>
      <c r="M79" s="467"/>
      <c r="N79" s="467"/>
      <c r="O79" s="467"/>
      <c r="P79" s="467"/>
      <c r="Q79" s="467"/>
      <c r="R79" s="467"/>
      <c r="S79" s="467"/>
    </row>
    <row r="80" spans="1:27" ht="14.4" x14ac:dyDescent="0.3">
      <c r="A80" s="565" t="s">
        <v>539</v>
      </c>
      <c r="B80" s="565"/>
      <c r="C80" s="565"/>
      <c r="D80" s="565"/>
      <c r="E80" s="565"/>
      <c r="F80" s="565"/>
      <c r="G80" s="114"/>
      <c r="H80" s="467"/>
      <c r="I80" s="467"/>
      <c r="J80" s="467"/>
      <c r="K80" s="467"/>
      <c r="L80" s="467"/>
      <c r="M80" s="467"/>
      <c r="N80" s="467"/>
      <c r="O80" s="467"/>
      <c r="P80" s="467"/>
      <c r="Q80" s="467"/>
      <c r="R80" s="467"/>
      <c r="S80" s="467"/>
    </row>
    <row r="81" spans="1:19" ht="14.4" x14ac:dyDescent="0.3">
      <c r="A81" s="565" t="s">
        <v>540</v>
      </c>
      <c r="B81" s="565"/>
      <c r="C81" s="565"/>
      <c r="D81" s="565"/>
      <c r="E81" s="565"/>
      <c r="F81" s="565"/>
      <c r="G81" s="114"/>
      <c r="H81" s="467"/>
      <c r="I81" s="467"/>
      <c r="J81" s="467"/>
      <c r="K81" s="467"/>
      <c r="L81" s="467"/>
      <c r="M81" s="467"/>
      <c r="N81" s="467"/>
      <c r="O81" s="467"/>
      <c r="P81" s="467"/>
      <c r="Q81" s="467"/>
      <c r="R81" s="467"/>
      <c r="S81" s="467"/>
    </row>
    <row r="82" spans="1:19" ht="14.4" x14ac:dyDescent="0.3">
      <c r="A82" s="506" t="s">
        <v>541</v>
      </c>
      <c r="B82" s="114"/>
      <c r="C82" s="114"/>
      <c r="D82" s="114"/>
      <c r="E82" s="565"/>
      <c r="F82" s="565"/>
      <c r="G82" s="114"/>
      <c r="H82" s="467"/>
      <c r="I82" s="467"/>
      <c r="J82" s="467"/>
      <c r="K82" s="467"/>
      <c r="L82" s="467"/>
      <c r="M82" s="467"/>
      <c r="N82" s="467"/>
      <c r="O82" s="467"/>
      <c r="P82" s="467"/>
      <c r="Q82" s="467"/>
      <c r="R82" s="467"/>
      <c r="S82" s="467"/>
    </row>
    <row r="83" spans="1:19" ht="14.4" x14ac:dyDescent="0.3">
      <c r="A83" s="506" t="s">
        <v>542</v>
      </c>
      <c r="B83" s="114"/>
      <c r="C83" s="114"/>
      <c r="D83" s="114"/>
      <c r="E83" s="114"/>
      <c r="F83" s="565"/>
      <c r="G83" s="114"/>
      <c r="H83" s="467"/>
      <c r="I83" s="467"/>
      <c r="J83" s="467"/>
      <c r="K83" s="467"/>
      <c r="L83" s="467"/>
      <c r="M83" s="467"/>
      <c r="N83" s="467"/>
      <c r="O83" s="467"/>
      <c r="P83" s="467"/>
      <c r="Q83" s="467"/>
      <c r="R83" s="467"/>
      <c r="S83" s="467"/>
    </row>
    <row r="85" spans="1:19" x14ac:dyDescent="0.25">
      <c r="A85" s="448" t="s">
        <v>544</v>
      </c>
      <c r="B85" s="448" t="s">
        <v>552</v>
      </c>
    </row>
    <row r="86" spans="1:19" ht="14.4" x14ac:dyDescent="0.3">
      <c r="A86" s="114" t="s">
        <v>545</v>
      </c>
      <c r="B86" s="565"/>
      <c r="C86" s="565"/>
      <c r="D86" s="565"/>
      <c r="E86" s="467"/>
      <c r="F86" s="467"/>
      <c r="G86" s="467"/>
      <c r="H86" s="467"/>
      <c r="I86" s="467"/>
      <c r="J86" s="467"/>
      <c r="K86" s="467"/>
      <c r="L86" s="467"/>
      <c r="M86" s="467"/>
      <c r="N86" s="467"/>
      <c r="O86" s="467"/>
      <c r="P86" s="467"/>
      <c r="Q86" s="467"/>
      <c r="R86" s="467"/>
      <c r="S86" s="467"/>
    </row>
    <row r="87" spans="1:19" ht="14.4" x14ac:dyDescent="0.3">
      <c r="A87" s="114" t="s">
        <v>546</v>
      </c>
      <c r="B87" s="565"/>
      <c r="C87" s="565"/>
      <c r="D87" s="565"/>
      <c r="E87" s="467"/>
      <c r="F87" s="467"/>
      <c r="G87" s="467"/>
      <c r="H87" s="467"/>
      <c r="I87" s="467"/>
      <c r="J87" s="467"/>
      <c r="K87" s="467"/>
      <c r="L87" s="467"/>
      <c r="M87" s="467"/>
      <c r="N87" s="467"/>
      <c r="O87" s="467"/>
      <c r="P87" s="467"/>
      <c r="Q87" s="467"/>
      <c r="R87" s="467"/>
      <c r="S87" s="467"/>
    </row>
    <row r="88" spans="1:19" ht="14.4" x14ac:dyDescent="0.3">
      <c r="A88" s="114" t="s">
        <v>547</v>
      </c>
      <c r="B88" s="565"/>
      <c r="C88" s="565"/>
      <c r="D88" s="565"/>
      <c r="E88" s="467"/>
      <c r="F88" s="467"/>
      <c r="G88" s="467"/>
      <c r="H88" s="467"/>
      <c r="I88" s="467"/>
      <c r="J88" s="467"/>
      <c r="K88" s="467"/>
      <c r="L88" s="467"/>
      <c r="M88" s="467"/>
      <c r="N88" s="467"/>
      <c r="O88" s="467"/>
      <c r="P88" s="467"/>
      <c r="Q88" s="467"/>
      <c r="R88" s="467"/>
      <c r="S88" s="467"/>
    </row>
    <row r="89" spans="1:19" ht="14.4" x14ac:dyDescent="0.3">
      <c r="A89" s="114" t="s">
        <v>548</v>
      </c>
      <c r="B89" s="565"/>
      <c r="C89" s="565"/>
      <c r="D89" s="565"/>
      <c r="E89" s="467"/>
      <c r="F89" s="467"/>
      <c r="G89" s="467"/>
      <c r="H89" s="467"/>
      <c r="I89" s="467"/>
      <c r="J89" s="467"/>
      <c r="K89" s="467"/>
      <c r="L89" s="467"/>
      <c r="M89" s="467"/>
      <c r="N89" s="467"/>
      <c r="O89" s="467"/>
      <c r="P89" s="467"/>
      <c r="Q89" s="467"/>
      <c r="R89" s="467"/>
      <c r="S89" s="467"/>
    </row>
    <row r="90" spans="1:19" ht="14.4" x14ac:dyDescent="0.3">
      <c r="A90" s="114" t="s">
        <v>549</v>
      </c>
      <c r="B90" s="565"/>
      <c r="C90" s="565"/>
      <c r="D90" s="565"/>
      <c r="E90" s="467"/>
      <c r="F90" s="467"/>
      <c r="G90" s="467"/>
      <c r="H90" s="467"/>
      <c r="I90" s="467"/>
      <c r="J90" s="467"/>
      <c r="K90" s="467"/>
      <c r="L90" s="467"/>
      <c r="M90" s="467"/>
      <c r="N90" s="467"/>
      <c r="O90" s="467"/>
      <c r="P90" s="467"/>
      <c r="Q90" s="467"/>
      <c r="R90" s="467"/>
      <c r="S90" s="467"/>
    </row>
  </sheetData>
  <mergeCells count="3">
    <mergeCell ref="A1:L1"/>
    <mergeCell ref="A2:L2"/>
    <mergeCell ref="P2:R3"/>
  </mergeCells>
  <hyperlinks>
    <hyperlink ref="P2:R3" location="'Table of Contents'!A1" display="Back to Table of Contents" xr:uid="{2DFD90A7-8547-4358-B5A5-460A6FE85B64}"/>
    <hyperlink ref="A77" r:id="rId1" display="https://afdc.energy.gov/data/" xr:uid="{7B7730B1-884D-41B0-8DA5-E6C818E44D27}"/>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780F-939C-468A-A977-0AE7580A00CB}">
  <sheetPr codeName="Sheet15">
    <tabColor theme="4" tint="0.39997558519241921"/>
  </sheetPr>
  <dimension ref="A1:S93"/>
  <sheetViews>
    <sheetView zoomScaleNormal="100" workbookViewId="0">
      <selection activeCell="I5" sqref="I5"/>
    </sheetView>
  </sheetViews>
  <sheetFormatPr defaultColWidth="8.88671875" defaultRowHeight="13.2" x14ac:dyDescent="0.25"/>
  <cols>
    <col min="1" max="1" width="14" style="276" customWidth="1"/>
    <col min="2" max="2" width="16.88671875" style="276" customWidth="1"/>
    <col min="3" max="3" width="12.109375" style="276" customWidth="1"/>
    <col min="4" max="4" width="17.88671875" style="276" customWidth="1"/>
    <col min="5" max="5" width="13.6640625" style="276" customWidth="1"/>
    <col min="6" max="6" width="18.6640625" style="276" customWidth="1"/>
    <col min="7" max="7" width="12.44140625" style="276" bestFit="1" customWidth="1"/>
    <col min="8" max="8" width="12" style="276" customWidth="1"/>
    <col min="9" max="9" width="18.88671875" style="276" customWidth="1"/>
    <col min="10" max="10" width="16.44140625" style="276" bestFit="1" customWidth="1"/>
    <col min="11" max="11" width="11.44140625" style="276" customWidth="1"/>
    <col min="12" max="16384" width="8.88671875" style="276"/>
  </cols>
  <sheetData>
    <row r="1" spans="1:19" ht="23.25" customHeight="1" x14ac:dyDescent="0.25">
      <c r="A1" s="938" t="s">
        <v>308</v>
      </c>
      <c r="B1" s="938"/>
      <c r="C1" s="938"/>
      <c r="D1" s="938"/>
      <c r="E1" s="938"/>
      <c r="F1" s="938"/>
      <c r="G1" s="938"/>
      <c r="H1" s="938"/>
      <c r="I1" s="938"/>
      <c r="J1" s="938"/>
      <c r="K1" s="938"/>
      <c r="L1" s="938"/>
    </row>
    <row r="2" spans="1:19" ht="30.75" customHeight="1" thickBot="1" x14ac:dyDescent="0.3">
      <c r="A2" s="939" t="s">
        <v>309</v>
      </c>
      <c r="B2" s="939"/>
      <c r="C2" s="939"/>
      <c r="D2" s="939"/>
      <c r="E2" s="939"/>
      <c r="F2" s="939"/>
      <c r="G2" s="939"/>
      <c r="H2" s="939"/>
      <c r="I2" s="939"/>
      <c r="J2" s="939"/>
      <c r="K2" s="939"/>
      <c r="L2" s="939"/>
    </row>
    <row r="3" spans="1:19" ht="15.75" customHeight="1" thickBot="1" x14ac:dyDescent="0.3">
      <c r="A3" s="277">
        <v>1</v>
      </c>
      <c r="B3" s="278"/>
      <c r="C3" s="278"/>
      <c r="D3" s="278"/>
      <c r="E3" s="815" t="s">
        <v>467</v>
      </c>
      <c r="F3" s="816"/>
      <c r="G3" s="817"/>
      <c r="I3" s="276" t="s">
        <v>487</v>
      </c>
      <c r="J3" s="482">
        <v>2018</v>
      </c>
      <c r="K3" s="278"/>
      <c r="L3" s="278"/>
    </row>
    <row r="4" spans="1:19" ht="13.8" thickBot="1" x14ac:dyDescent="0.3">
      <c r="A4" s="946" t="s">
        <v>490</v>
      </c>
      <c r="B4" s="947"/>
      <c r="C4" s="947"/>
      <c r="D4" s="948"/>
      <c r="E4" s="818"/>
      <c r="F4" s="819"/>
      <c r="G4" s="820"/>
      <c r="L4" s="504"/>
    </row>
    <row r="5" spans="1:19" x14ac:dyDescent="0.25">
      <c r="A5" s="280" t="s">
        <v>310</v>
      </c>
      <c r="B5" s="281" t="str">
        <f>CONCATENATE("pkm in ",J3)</f>
        <v>pkm in 2018</v>
      </c>
      <c r="C5" s="281" t="s">
        <v>311</v>
      </c>
      <c r="D5" s="282"/>
      <c r="I5" s="520"/>
      <c r="J5" s="521">
        <v>2010</v>
      </c>
      <c r="K5" s="521">
        <v>2015</v>
      </c>
      <c r="L5" s="522">
        <f>J3</f>
        <v>2018</v>
      </c>
      <c r="M5" s="521">
        <v>2020</v>
      </c>
      <c r="N5" s="521">
        <v>2025</v>
      </c>
      <c r="O5" s="521">
        <v>2030</v>
      </c>
      <c r="P5" s="521">
        <v>2035</v>
      </c>
      <c r="Q5" s="521">
        <v>2040</v>
      </c>
      <c r="R5" s="521">
        <v>2045</v>
      </c>
      <c r="S5" s="523">
        <v>2050</v>
      </c>
    </row>
    <row r="6" spans="1:19" x14ac:dyDescent="0.25">
      <c r="A6" s="284" t="s">
        <v>313</v>
      </c>
      <c r="B6" s="503">
        <f>L6</f>
        <v>12460.416868177861</v>
      </c>
      <c r="C6" s="348">
        <f>B6/$B$17</f>
        <v>0.44203686176550988</v>
      </c>
      <c r="D6" s="282"/>
      <c r="E6" s="324" t="s">
        <v>314</v>
      </c>
      <c r="I6" s="284" t="s">
        <v>313</v>
      </c>
      <c r="J6" s="502">
        <v>10211.637723822219</v>
      </c>
      <c r="K6" s="502">
        <v>11421.372995630518</v>
      </c>
      <c r="L6" s="503">
        <f>$K6+($M6-$K6)*($L$5-$K$5)/($M$5-$K$5)</f>
        <v>12460.416868177861</v>
      </c>
      <c r="M6" s="502">
        <v>13153.112783209424</v>
      </c>
      <c r="N6" s="502">
        <v>15326.007264818409</v>
      </c>
      <c r="O6" s="502">
        <v>17726.883110908999</v>
      </c>
      <c r="P6" s="502">
        <v>20023.706485109968</v>
      </c>
      <c r="Q6" s="502">
        <v>22424.481760485978</v>
      </c>
      <c r="R6" s="502">
        <v>25077.701136012169</v>
      </c>
      <c r="S6" s="524">
        <v>28051.023792487063</v>
      </c>
    </row>
    <row r="7" spans="1:19" x14ac:dyDescent="0.25">
      <c r="A7" s="284" t="s">
        <v>315</v>
      </c>
      <c r="B7" s="503">
        <f t="shared" ref="B7:B16" si="0">L7</f>
        <v>2382.7192586187607</v>
      </c>
      <c r="C7" s="348">
        <f t="shared" ref="C7:C18" si="1">B7/$B$17</f>
        <v>8.4527649009715711E-2</v>
      </c>
      <c r="D7" s="282"/>
      <c r="E7" s="324">
        <v>1</v>
      </c>
      <c r="F7" s="324" t="s">
        <v>316</v>
      </c>
      <c r="G7" s="324"/>
      <c r="I7" s="284" t="s">
        <v>315</v>
      </c>
      <c r="J7" s="502">
        <v>1827.9588837296064</v>
      </c>
      <c r="K7" s="502">
        <v>2180.3252540911976</v>
      </c>
      <c r="L7" s="503">
        <f t="shared" ref="L7:L16" si="2">$K7+($M7-$K7)*($L$5-$K$5)/($M$5-$K$5)</f>
        <v>2382.7192586187607</v>
      </c>
      <c r="M7" s="502">
        <v>2517.6485949704697</v>
      </c>
      <c r="N7" s="502">
        <v>2845.5429734501531</v>
      </c>
      <c r="O7" s="502">
        <v>3139.6019514662758</v>
      </c>
      <c r="P7" s="502">
        <v>3433.8132841739775</v>
      </c>
      <c r="Q7" s="502">
        <v>3703.4396285920607</v>
      </c>
      <c r="R7" s="502">
        <v>3989.4341626860814</v>
      </c>
      <c r="S7" s="524">
        <v>4296.9123044277585</v>
      </c>
    </row>
    <row r="8" spans="1:19" x14ac:dyDescent="0.25">
      <c r="A8" s="284" t="s">
        <v>317</v>
      </c>
      <c r="B8" s="503">
        <f t="shared" si="0"/>
        <v>6621.2729061192695</v>
      </c>
      <c r="C8" s="348">
        <f t="shared" si="1"/>
        <v>0.2348915551765135</v>
      </c>
      <c r="D8" s="282"/>
      <c r="E8" s="324">
        <v>2</v>
      </c>
      <c r="F8" s="324" t="s">
        <v>489</v>
      </c>
      <c r="G8" s="324"/>
      <c r="I8" s="284" t="s">
        <v>317</v>
      </c>
      <c r="J8" s="502">
        <v>6083.316681378491</v>
      </c>
      <c r="K8" s="502">
        <v>6426.1389258959689</v>
      </c>
      <c r="L8" s="503">
        <f t="shared" si="2"/>
        <v>6621.2729061192695</v>
      </c>
      <c r="M8" s="502">
        <v>6751.3622262681365</v>
      </c>
      <c r="N8" s="502">
        <v>7053.6057495893101</v>
      </c>
      <c r="O8" s="502">
        <v>7321.4593042905526</v>
      </c>
      <c r="P8" s="502">
        <v>7584.4346334470174</v>
      </c>
      <c r="Q8" s="502">
        <v>7867.99610723349</v>
      </c>
      <c r="R8" s="502">
        <v>8180.4967124373388</v>
      </c>
      <c r="S8" s="524">
        <v>8538.3140008816117</v>
      </c>
    </row>
    <row r="9" spans="1:19" x14ac:dyDescent="0.25">
      <c r="A9" s="284" t="s">
        <v>319</v>
      </c>
      <c r="B9" s="503">
        <f t="shared" si="0"/>
        <v>97.678145250132786</v>
      </c>
      <c r="C9" s="348">
        <f t="shared" si="1"/>
        <v>3.4651602146404232E-3</v>
      </c>
      <c r="D9" s="282"/>
      <c r="E9" s="279"/>
      <c r="I9" s="284" t="s">
        <v>319</v>
      </c>
      <c r="J9" s="502">
        <v>44.72598176327773</v>
      </c>
      <c r="K9" s="502">
        <v>78.074347685581017</v>
      </c>
      <c r="L9" s="503">
        <f t="shared" si="2"/>
        <v>97.678145250132786</v>
      </c>
      <c r="M9" s="502">
        <v>110.74734362650062</v>
      </c>
      <c r="N9" s="502">
        <v>143.16341915777954</v>
      </c>
      <c r="O9" s="502">
        <v>177.25440783920027</v>
      </c>
      <c r="P9" s="502">
        <v>215.34694752653826</v>
      </c>
      <c r="Q9" s="502">
        <v>253.44946167765372</v>
      </c>
      <c r="R9" s="502">
        <v>291.56132236961622</v>
      </c>
      <c r="S9" s="524">
        <v>329.67982904811169</v>
      </c>
    </row>
    <row r="10" spans="1:19" x14ac:dyDescent="0.25">
      <c r="A10" s="284" t="s">
        <v>320</v>
      </c>
      <c r="B10" s="503">
        <f t="shared" si="0"/>
        <v>2380.9828395926916</v>
      </c>
      <c r="C10" s="348">
        <f t="shared" si="1"/>
        <v>8.4466049046800051E-2</v>
      </c>
      <c r="D10" s="282"/>
      <c r="E10" s="279"/>
      <c r="I10" s="284" t="s">
        <v>320</v>
      </c>
      <c r="J10" s="502">
        <v>2345.1559149556256</v>
      </c>
      <c r="K10" s="502">
        <v>2343.321727635212</v>
      </c>
      <c r="L10" s="503">
        <f t="shared" si="2"/>
        <v>2380.9828395926916</v>
      </c>
      <c r="M10" s="502">
        <v>2406.0902475643447</v>
      </c>
      <c r="N10" s="502">
        <v>2477.8720769889105</v>
      </c>
      <c r="O10" s="502">
        <v>2539.1406561773651</v>
      </c>
      <c r="P10" s="502">
        <v>2601.8315850452022</v>
      </c>
      <c r="Q10" s="502">
        <v>2636.0776036460265</v>
      </c>
      <c r="R10" s="502">
        <v>2626.8506945214749</v>
      </c>
      <c r="S10" s="524">
        <v>2615.4201818269812</v>
      </c>
    </row>
    <row r="11" spans="1:19" x14ac:dyDescent="0.25">
      <c r="A11" s="284" t="s">
        <v>321</v>
      </c>
      <c r="B11" s="503">
        <f t="shared" si="0"/>
        <v>378.48076304868709</v>
      </c>
      <c r="C11" s="348">
        <f t="shared" si="1"/>
        <v>1.3426713608910144E-2</v>
      </c>
      <c r="D11" s="282"/>
      <c r="E11" s="279"/>
      <c r="I11" s="284" t="s">
        <v>321</v>
      </c>
      <c r="J11" s="502">
        <v>338.11111037269245</v>
      </c>
      <c r="K11" s="502">
        <v>359.86251999657372</v>
      </c>
      <c r="L11" s="503">
        <f t="shared" si="2"/>
        <v>378.48076304868709</v>
      </c>
      <c r="M11" s="502">
        <v>390.8929250834293</v>
      </c>
      <c r="N11" s="502">
        <v>422.04517707988191</v>
      </c>
      <c r="O11" s="502">
        <v>453.26049706963227</v>
      </c>
      <c r="P11" s="502">
        <v>484.51160824676765</v>
      </c>
      <c r="Q11" s="502">
        <v>515.79267003766643</v>
      </c>
      <c r="R11" s="502">
        <v>547.09669677570764</v>
      </c>
      <c r="S11" s="524">
        <v>578.41061893970868</v>
      </c>
    </row>
    <row r="12" spans="1:19" x14ac:dyDescent="0.25">
      <c r="A12" s="284" t="s">
        <v>322</v>
      </c>
      <c r="B12" s="503">
        <f t="shared" si="0"/>
        <v>151.60775319833587</v>
      </c>
      <c r="C12" s="348">
        <f t="shared" si="1"/>
        <v>5.3783285223997805E-3</v>
      </c>
      <c r="D12" s="282"/>
      <c r="E12" s="279"/>
      <c r="I12" s="284" t="s">
        <v>322</v>
      </c>
      <c r="J12" s="502">
        <v>135.93617522268624</v>
      </c>
      <c r="K12" s="502">
        <v>144.13369586171854</v>
      </c>
      <c r="L12" s="503">
        <f t="shared" si="2"/>
        <v>151.60775319833587</v>
      </c>
      <c r="M12" s="502">
        <v>156.59045808941408</v>
      </c>
      <c r="N12" s="502">
        <v>169.05156455259404</v>
      </c>
      <c r="O12" s="502">
        <v>181.50685737952594</v>
      </c>
      <c r="P12" s="502">
        <v>193.95501179127274</v>
      </c>
      <c r="Q12" s="502">
        <v>206.40058380293098</v>
      </c>
      <c r="R12" s="502">
        <v>218.85046523399575</v>
      </c>
      <c r="S12" s="524">
        <v>231.30496803348842</v>
      </c>
    </row>
    <row r="13" spans="1:19" x14ac:dyDescent="0.25">
      <c r="A13" s="284" t="s">
        <v>323</v>
      </c>
      <c r="B13" s="503">
        <f t="shared" si="0"/>
        <v>734.48763812775576</v>
      </c>
      <c r="C13" s="348">
        <f t="shared" si="1"/>
        <v>2.6056159597093204E-2</v>
      </c>
      <c r="D13" s="282"/>
      <c r="E13" s="279"/>
      <c r="I13" s="284" t="s">
        <v>323</v>
      </c>
      <c r="J13" s="502">
        <v>670.11842319116658</v>
      </c>
      <c r="K13" s="502">
        <v>711.88813966540761</v>
      </c>
      <c r="L13" s="503">
        <f t="shared" si="2"/>
        <v>734.48763812775576</v>
      </c>
      <c r="M13" s="502">
        <v>749.55397043598782</v>
      </c>
      <c r="N13" s="502">
        <v>787.90759190202732</v>
      </c>
      <c r="O13" s="502">
        <v>826.61434552667561</v>
      </c>
      <c r="P13" s="502">
        <v>865.47030950302951</v>
      </c>
      <c r="Q13" s="502">
        <v>904.34925977705268</v>
      </c>
      <c r="R13" s="502">
        <v>943.10087720960269</v>
      </c>
      <c r="S13" s="524">
        <v>981.65689532458373</v>
      </c>
    </row>
    <row r="14" spans="1:19" x14ac:dyDescent="0.25">
      <c r="A14" s="284" t="s">
        <v>324</v>
      </c>
      <c r="B14" s="503">
        <f t="shared" si="0"/>
        <v>509.69875657606428</v>
      </c>
      <c r="C14" s="348">
        <f t="shared" si="1"/>
        <v>1.8081709559658848E-2</v>
      </c>
      <c r="D14" s="282"/>
      <c r="E14" s="279"/>
      <c r="I14" s="284" t="s">
        <v>324</v>
      </c>
      <c r="J14" s="502">
        <v>301.33684883239363</v>
      </c>
      <c r="K14" s="502">
        <v>459.35035383435735</v>
      </c>
      <c r="L14" s="503">
        <f t="shared" si="2"/>
        <v>509.69875657606428</v>
      </c>
      <c r="M14" s="502">
        <v>543.26435840386887</v>
      </c>
      <c r="N14" s="502">
        <v>631.3509723181046</v>
      </c>
      <c r="O14" s="502">
        <v>712.03157279033928</v>
      </c>
      <c r="P14" s="502">
        <v>772.19437988135837</v>
      </c>
      <c r="Q14" s="502">
        <v>808.38719179628504</v>
      </c>
      <c r="R14" s="502">
        <v>828.54398783326155</v>
      </c>
      <c r="S14" s="524">
        <v>837.18302614598042</v>
      </c>
    </row>
    <row r="15" spans="1:19" x14ac:dyDescent="0.25">
      <c r="A15" s="284" t="s">
        <v>325</v>
      </c>
      <c r="B15" s="503">
        <f t="shared" si="0"/>
        <v>898.03605872217804</v>
      </c>
      <c r="C15" s="348">
        <f t="shared" si="1"/>
        <v>3.1858086719683612E-2</v>
      </c>
      <c r="D15" s="282"/>
      <c r="E15" s="279"/>
      <c r="I15" s="284" t="s">
        <v>325</v>
      </c>
      <c r="J15" s="502">
        <v>775.71372505098145</v>
      </c>
      <c r="K15" s="502">
        <v>855.95270657292406</v>
      </c>
      <c r="L15" s="503">
        <f t="shared" si="2"/>
        <v>898.03605872217804</v>
      </c>
      <c r="M15" s="502">
        <v>926.09162682168062</v>
      </c>
      <c r="N15" s="502">
        <v>979.14040002590491</v>
      </c>
      <c r="O15" s="502">
        <v>1016.3688108695249</v>
      </c>
      <c r="P15" s="502">
        <v>1042.5449982930613</v>
      </c>
      <c r="Q15" s="502">
        <v>1061.7967392462219</v>
      </c>
      <c r="R15" s="502">
        <v>1080.1449549509921</v>
      </c>
      <c r="S15" s="524">
        <v>1096.6203722535361</v>
      </c>
    </row>
    <row r="16" spans="1:19" x14ac:dyDescent="0.25">
      <c r="A16" s="284" t="s">
        <v>326</v>
      </c>
      <c r="B16" s="503">
        <f t="shared" si="0"/>
        <v>1573.2565357163114</v>
      </c>
      <c r="C16" s="348">
        <f t="shared" si="1"/>
        <v>5.5811726779074679E-2</v>
      </c>
      <c r="D16" s="282"/>
      <c r="E16" s="279"/>
      <c r="I16" s="284" t="s">
        <v>326</v>
      </c>
      <c r="J16" s="502">
        <v>1439.5022088136921</v>
      </c>
      <c r="K16" s="502">
        <v>1523.1530416049213</v>
      </c>
      <c r="L16" s="503">
        <f t="shared" si="2"/>
        <v>1573.2565357163114</v>
      </c>
      <c r="M16" s="502">
        <v>1606.6588651239049</v>
      </c>
      <c r="N16" s="502">
        <v>1690.0696605296678</v>
      </c>
      <c r="O16" s="502">
        <v>1773.320998442726</v>
      </c>
      <c r="P16" s="502">
        <v>1856.389230330796</v>
      </c>
      <c r="Q16" s="502">
        <v>1939.2638158580776</v>
      </c>
      <c r="R16" s="502">
        <v>2021.9262748705296</v>
      </c>
      <c r="S16" s="524">
        <v>1943.8328965591027</v>
      </c>
    </row>
    <row r="17" spans="1:19" ht="13.8" thickBot="1" x14ac:dyDescent="0.3">
      <c r="A17" s="280" t="s">
        <v>327</v>
      </c>
      <c r="B17" s="503">
        <f>SUM(B6:B16)</f>
        <v>28188.637523148052</v>
      </c>
      <c r="C17" s="348">
        <f t="shared" si="1"/>
        <v>1</v>
      </c>
      <c r="D17" s="282"/>
      <c r="E17" s="279"/>
      <c r="I17" s="286" t="s">
        <v>327</v>
      </c>
      <c r="J17" s="501">
        <f>SUM(J6:J16)</f>
        <v>24173.513677132833</v>
      </c>
      <c r="K17" s="501">
        <f t="shared" ref="K17:S17" si="3">SUM(K6:K16)</f>
        <v>26503.573708474381</v>
      </c>
      <c r="L17" s="501">
        <f t="shared" si="3"/>
        <v>28188.637523148052</v>
      </c>
      <c r="M17" s="501">
        <f t="shared" si="3"/>
        <v>29312.013399597159</v>
      </c>
      <c r="N17" s="501">
        <f t="shared" si="3"/>
        <v>32525.756850412752</v>
      </c>
      <c r="O17" s="501">
        <f t="shared" si="3"/>
        <v>35867.442512760819</v>
      </c>
      <c r="P17" s="501">
        <f t="shared" si="3"/>
        <v>39074.198473348981</v>
      </c>
      <c r="Q17" s="501">
        <f t="shared" si="3"/>
        <v>42321.434822153431</v>
      </c>
      <c r="R17" s="501">
        <f t="shared" si="3"/>
        <v>45805.707284900767</v>
      </c>
      <c r="S17" s="525">
        <f t="shared" si="3"/>
        <v>49500.358885927926</v>
      </c>
    </row>
    <row r="18" spans="1:19" ht="13.8" thickBot="1" x14ac:dyDescent="0.3">
      <c r="A18" s="286" t="s">
        <v>328</v>
      </c>
      <c r="B18" s="501">
        <f>SUM(B6:B13)</f>
        <v>25207.6461721335</v>
      </c>
      <c r="C18" s="500">
        <f t="shared" si="1"/>
        <v>0.89424847694158294</v>
      </c>
      <c r="D18" s="287"/>
      <c r="E18" s="279"/>
      <c r="L18" s="504"/>
    </row>
    <row r="19" spans="1:19" s="504" customFormat="1" x14ac:dyDescent="0.25">
      <c r="A19" s="497"/>
      <c r="B19" s="497"/>
      <c r="C19" s="497"/>
      <c r="D19" s="497"/>
      <c r="E19" s="279"/>
      <c r="I19" s="499" t="s">
        <v>312</v>
      </c>
      <c r="J19" s="498" t="s">
        <v>491</v>
      </c>
      <c r="K19" s="499"/>
      <c r="L19" s="499"/>
      <c r="M19" s="499"/>
      <c r="N19" s="499"/>
      <c r="O19" s="499"/>
      <c r="P19" s="499"/>
      <c r="Q19" s="505"/>
      <c r="R19" s="276"/>
    </row>
    <row r="20" spans="1:19" ht="13.8" thickBot="1" x14ac:dyDescent="0.3">
      <c r="A20" s="288">
        <v>2</v>
      </c>
      <c r="E20" s="279"/>
    </row>
    <row r="21" spans="1:19" x14ac:dyDescent="0.25">
      <c r="A21" s="946" t="s">
        <v>329</v>
      </c>
      <c r="B21" s="947"/>
      <c r="C21" s="947"/>
      <c r="D21" s="947"/>
      <c r="E21" s="948"/>
      <c r="L21" s="504"/>
    </row>
    <row r="22" spans="1:19" ht="13.8" thickBot="1" x14ac:dyDescent="0.3">
      <c r="A22" s="280"/>
      <c r="B22" s="942" t="s">
        <v>224</v>
      </c>
      <c r="C22" s="942"/>
      <c r="D22" s="289"/>
      <c r="E22" s="290"/>
    </row>
    <row r="23" spans="1:19" x14ac:dyDescent="0.25">
      <c r="A23" s="280" t="s">
        <v>310</v>
      </c>
      <c r="B23" s="289" t="s">
        <v>330</v>
      </c>
      <c r="C23" s="289" t="s">
        <v>331</v>
      </c>
      <c r="D23" s="289" t="s">
        <v>332</v>
      </c>
      <c r="E23" s="290" t="s">
        <v>311</v>
      </c>
      <c r="F23" s="291" t="s">
        <v>330</v>
      </c>
      <c r="G23" s="292" t="s">
        <v>331</v>
      </c>
    </row>
    <row r="24" spans="1:19" ht="14.4" x14ac:dyDescent="0.3">
      <c r="A24" s="293" t="s">
        <v>333</v>
      </c>
      <c r="B24" s="375">
        <v>410.50531786753481</v>
      </c>
      <c r="C24" s="375">
        <v>4863.0172827694523</v>
      </c>
      <c r="D24" s="285">
        <f>SUM(B24:C24)</f>
        <v>5273.5226006369867</v>
      </c>
      <c r="E24" s="349">
        <f>D24/$D$31</f>
        <v>0.1978877672178122</v>
      </c>
      <c r="F24" s="350">
        <f>B24/B$31</f>
        <v>4.4035931188581269E-2</v>
      </c>
      <c r="G24" s="351">
        <f>C24/C$31</f>
        <v>0.28066116880223535</v>
      </c>
      <c r="H24" s="324" t="s">
        <v>314</v>
      </c>
    </row>
    <row r="25" spans="1:19" ht="14.4" x14ac:dyDescent="0.3">
      <c r="A25" s="293" t="s">
        <v>334</v>
      </c>
      <c r="B25" s="375">
        <v>11.057137894919114</v>
      </c>
      <c r="C25" s="375">
        <v>843.81691818952197</v>
      </c>
      <c r="D25" s="285">
        <f t="shared" ref="D25:D30" si="4">SUM(B25:C25)</f>
        <v>854.87405608444112</v>
      </c>
      <c r="E25" s="349">
        <f t="shared" ref="E25:E31" si="5">D25/$D$31</f>
        <v>3.207895955362948E-2</v>
      </c>
      <c r="F25" s="350">
        <f t="shared" ref="F25:G31" si="6">B25/B$31</f>
        <v>1.1861268107626146E-3</v>
      </c>
      <c r="G25" s="351">
        <f t="shared" si="6"/>
        <v>4.869952721601277E-2</v>
      </c>
      <c r="H25" s="324">
        <v>1</v>
      </c>
      <c r="I25" s="324" t="s">
        <v>335</v>
      </c>
      <c r="J25" s="324"/>
      <c r="K25" s="324"/>
      <c r="L25" s="324"/>
    </row>
    <row r="26" spans="1:19" ht="14.4" x14ac:dyDescent="0.3">
      <c r="A26" s="293" t="s">
        <v>336</v>
      </c>
      <c r="B26" s="375">
        <v>5045.7512480691603</v>
      </c>
      <c r="C26" s="375">
        <v>3813.6217989195602</v>
      </c>
      <c r="D26" s="285">
        <f t="shared" si="4"/>
        <v>8859.3730469887196</v>
      </c>
      <c r="E26" s="349">
        <f t="shared" si="5"/>
        <v>0.33244601075692742</v>
      </c>
      <c r="F26" s="350">
        <f t="shared" si="6"/>
        <v>0.54127034433783161</v>
      </c>
      <c r="G26" s="351">
        <f t="shared" si="6"/>
        <v>0.2200970075197633</v>
      </c>
      <c r="H26" s="324">
        <v>2</v>
      </c>
      <c r="I26" s="324" t="s">
        <v>318</v>
      </c>
      <c r="J26" s="324"/>
      <c r="K26" s="324"/>
      <c r="L26" s="324"/>
    </row>
    <row r="27" spans="1:19" ht="14.4" x14ac:dyDescent="0.3">
      <c r="A27" s="293" t="s">
        <v>337</v>
      </c>
      <c r="B27" s="375">
        <v>2361.4069143290699</v>
      </c>
      <c r="C27" s="375">
        <v>955.51475326917796</v>
      </c>
      <c r="D27" s="285">
        <f t="shared" si="4"/>
        <v>3316.921667598248</v>
      </c>
      <c r="E27" s="349">
        <f t="shared" si="5"/>
        <v>0.12446675069869161</v>
      </c>
      <c r="F27" s="350">
        <f t="shared" si="6"/>
        <v>0.25331402021249877</v>
      </c>
      <c r="G27" s="351">
        <f t="shared" si="6"/>
        <v>5.5145986918554157E-2</v>
      </c>
    </row>
    <row r="28" spans="1:19" ht="14.4" x14ac:dyDescent="0.3">
      <c r="A28" s="293" t="s">
        <v>338</v>
      </c>
      <c r="B28" s="375">
        <v>439.25213134084726</v>
      </c>
      <c r="C28" s="375">
        <v>2150.9994728385618</v>
      </c>
      <c r="D28" s="285">
        <f t="shared" si="4"/>
        <v>2590.2516041794092</v>
      </c>
      <c r="E28" s="349">
        <f t="shared" si="5"/>
        <v>9.7198617565705581E-2</v>
      </c>
      <c r="F28" s="350">
        <f t="shared" si="6"/>
        <v>4.7119673700317145E-2</v>
      </c>
      <c r="G28" s="351">
        <f t="shared" si="6"/>
        <v>0.12414145190865103</v>
      </c>
    </row>
    <row r="29" spans="1:19" ht="14.4" x14ac:dyDescent="0.3">
      <c r="A29" s="293" t="s">
        <v>339</v>
      </c>
      <c r="B29" s="375">
        <v>761.324469371644</v>
      </c>
      <c r="C29" s="375">
        <v>4422.747820521</v>
      </c>
      <c r="D29" s="285">
        <f t="shared" si="4"/>
        <v>5184.0722898926442</v>
      </c>
      <c r="E29" s="349">
        <f t="shared" si="5"/>
        <v>0.19453116412522298</v>
      </c>
      <c r="F29" s="350">
        <f t="shared" si="6"/>
        <v>8.1669178171891996E-2</v>
      </c>
      <c r="G29" s="351">
        <f t="shared" si="6"/>
        <v>0.25525172962536857</v>
      </c>
    </row>
    <row r="30" spans="1:19" ht="15" thickBot="1" x14ac:dyDescent="0.35">
      <c r="A30" s="293" t="s">
        <v>340</v>
      </c>
      <c r="B30" s="375">
        <v>292.75654012581333</v>
      </c>
      <c r="C30" s="375">
        <v>277.28626806580127</v>
      </c>
      <c r="D30" s="285">
        <f t="shared" si="4"/>
        <v>570.04280819161454</v>
      </c>
      <c r="E30" s="349">
        <f t="shared" si="5"/>
        <v>2.1390730082010947E-2</v>
      </c>
      <c r="F30" s="352">
        <f t="shared" si="6"/>
        <v>3.1404725578116577E-2</v>
      </c>
      <c r="G30" s="353">
        <f t="shared" si="6"/>
        <v>1.6003128009415137E-2</v>
      </c>
    </row>
    <row r="31" spans="1:19" ht="15" thickBot="1" x14ac:dyDescent="0.35">
      <c r="A31" s="294" t="s">
        <v>327</v>
      </c>
      <c r="B31" s="347">
        <f>SUM(B24:B30)</f>
        <v>9322.053758998989</v>
      </c>
      <c r="C31" s="347">
        <f>SUM(C24:C30)</f>
        <v>17327.004314573071</v>
      </c>
      <c r="D31" s="347">
        <f>SUM(D24:D30)</f>
        <v>26649.058073572058</v>
      </c>
      <c r="E31" s="354">
        <f t="shared" si="5"/>
        <v>1</v>
      </c>
      <c r="F31" s="355">
        <f t="shared" si="6"/>
        <v>1</v>
      </c>
      <c r="G31" s="356">
        <f t="shared" si="6"/>
        <v>1</v>
      </c>
    </row>
    <row r="32" spans="1:19" s="296" customFormat="1" x14ac:dyDescent="0.25">
      <c r="D32" s="295"/>
    </row>
    <row r="33" spans="1:15" x14ac:dyDescent="0.25">
      <c r="A33" s="324" t="s">
        <v>312</v>
      </c>
      <c r="B33" s="498" t="s">
        <v>492</v>
      </c>
      <c r="C33" s="324"/>
      <c r="D33" s="505"/>
      <c r="E33" s="505"/>
    </row>
    <row r="35" spans="1:15" ht="13.8" thickBot="1" x14ac:dyDescent="0.3">
      <c r="A35" s="288">
        <v>3</v>
      </c>
    </row>
    <row r="36" spans="1:15" x14ac:dyDescent="0.25">
      <c r="A36" s="949" t="s">
        <v>341</v>
      </c>
      <c r="B36" s="950"/>
      <c r="C36" s="950"/>
      <c r="D36" s="950"/>
      <c r="E36" s="950"/>
      <c r="F36" s="951"/>
    </row>
    <row r="37" spans="1:15" x14ac:dyDescent="0.25">
      <c r="A37" s="941" t="s">
        <v>342</v>
      </c>
      <c r="B37" s="942"/>
      <c r="C37" s="942"/>
      <c r="D37" s="300"/>
      <c r="E37" s="300"/>
      <c r="F37" s="301"/>
    </row>
    <row r="38" spans="1:15" x14ac:dyDescent="0.25">
      <c r="A38" s="280" t="s">
        <v>310</v>
      </c>
      <c r="B38" s="281" t="s">
        <v>224</v>
      </c>
      <c r="C38" s="281" t="s">
        <v>311</v>
      </c>
      <c r="D38" s="281" t="s">
        <v>343</v>
      </c>
      <c r="E38" s="281" t="s">
        <v>344</v>
      </c>
      <c r="F38" s="302" t="s">
        <v>345</v>
      </c>
    </row>
    <row r="39" spans="1:15" x14ac:dyDescent="0.25">
      <c r="A39" s="303" t="s">
        <v>346</v>
      </c>
      <c r="B39" s="377">
        <v>23113.3198650013</v>
      </c>
      <c r="C39" s="357">
        <f t="shared" ref="C39:C44" si="7">B39/$B$45</f>
        <v>0.41641068284483951</v>
      </c>
      <c r="D39" s="444">
        <v>0.54949430457840553</v>
      </c>
      <c r="E39" s="360">
        <f>B39*D39</f>
        <v>12700.637625717136</v>
      </c>
      <c r="F39" s="351">
        <f>E39/$E$45</f>
        <v>0.46278989165550632</v>
      </c>
      <c r="G39" s="324" t="s">
        <v>314</v>
      </c>
    </row>
    <row r="40" spans="1:15" x14ac:dyDescent="0.25">
      <c r="A40" s="303" t="s">
        <v>347</v>
      </c>
      <c r="B40" s="377">
        <v>18613.1703901398</v>
      </c>
      <c r="C40" s="357">
        <f t="shared" si="7"/>
        <v>0.33533577336944043</v>
      </c>
      <c r="D40" s="376">
        <v>0.53422962627817883</v>
      </c>
      <c r="E40" s="360">
        <f>B40*D40</f>
        <v>9943.7070613764499</v>
      </c>
      <c r="F40" s="351">
        <f>E40/$E$45</f>
        <v>0.36233197491363422</v>
      </c>
      <c r="G40" s="324">
        <v>1</v>
      </c>
      <c r="H40" s="324" t="s">
        <v>335</v>
      </c>
      <c r="I40" s="324"/>
      <c r="J40" s="324"/>
    </row>
    <row r="41" spans="1:15" x14ac:dyDescent="0.25">
      <c r="A41" s="303" t="s">
        <v>348</v>
      </c>
      <c r="B41" s="377">
        <v>3754.0023380490902</v>
      </c>
      <c r="C41" s="357">
        <f t="shared" si="7"/>
        <v>6.7632286755793469E-2</v>
      </c>
      <c r="D41" s="376">
        <v>1</v>
      </c>
      <c r="E41" s="360">
        <f t="shared" ref="E41:E42" si="8">B41*D41</f>
        <v>3754.0023380490902</v>
      </c>
      <c r="F41" s="351">
        <f>E41/$E$45</f>
        <v>0.13678953659636905</v>
      </c>
      <c r="G41" s="324">
        <v>2</v>
      </c>
      <c r="H41" s="324" t="s">
        <v>349</v>
      </c>
      <c r="I41" s="324"/>
      <c r="J41" s="324"/>
    </row>
    <row r="42" spans="1:15" x14ac:dyDescent="0.25">
      <c r="A42" s="303" t="s">
        <v>350</v>
      </c>
      <c r="B42" s="377">
        <v>575.57086909098416</v>
      </c>
      <c r="C42" s="357">
        <f t="shared" si="7"/>
        <v>1.0369512472619474E-2</v>
      </c>
      <c r="D42" s="376">
        <v>1</v>
      </c>
      <c r="E42" s="360">
        <f t="shared" si="8"/>
        <v>575.57086909098416</v>
      </c>
      <c r="F42" s="351">
        <f>E42/$E$45</f>
        <v>2.0972835222644325E-2</v>
      </c>
      <c r="G42" s="324">
        <v>3</v>
      </c>
      <c r="H42" s="324" t="s">
        <v>318</v>
      </c>
      <c r="I42" s="324"/>
      <c r="J42" s="324"/>
    </row>
    <row r="43" spans="1:15" x14ac:dyDescent="0.25">
      <c r="A43" s="303" t="s">
        <v>351</v>
      </c>
      <c r="B43" s="377">
        <v>3820.8121773429439</v>
      </c>
      <c r="C43" s="357">
        <f t="shared" si="7"/>
        <v>6.8835936035239215E-2</v>
      </c>
      <c r="D43" s="376">
        <v>0.12293688373920549</v>
      </c>
      <c r="E43" s="360">
        <f>B43*D43</f>
        <v>469.71874243535007</v>
      </c>
      <c r="F43" s="351">
        <f>E43/$E$45</f>
        <v>1.7115761611846005E-2</v>
      </c>
    </row>
    <row r="44" spans="1:15" x14ac:dyDescent="0.25">
      <c r="A44" s="303" t="s">
        <v>352</v>
      </c>
      <c r="B44" s="377">
        <v>5629.1928096660076</v>
      </c>
      <c r="C44" s="357">
        <f t="shared" si="7"/>
        <v>0.10141580852206801</v>
      </c>
      <c r="D44" s="376">
        <v>0</v>
      </c>
      <c r="E44" s="361"/>
      <c r="F44" s="362"/>
    </row>
    <row r="45" spans="1:15" ht="13.8" thickBot="1" x14ac:dyDescent="0.3">
      <c r="A45" s="304" t="s">
        <v>353</v>
      </c>
      <c r="B45" s="359">
        <f>SUM(B39:B44)</f>
        <v>55506.06844929012</v>
      </c>
      <c r="C45" s="358">
        <v>1</v>
      </c>
      <c r="D45" s="365"/>
      <c r="E45" s="363">
        <f>SUM(E39:E44)</f>
        <v>27443.636636669013</v>
      </c>
      <c r="F45" s="364"/>
    </row>
    <row r="47" spans="1:15" x14ac:dyDescent="0.25">
      <c r="A47" s="324" t="s">
        <v>312</v>
      </c>
      <c r="B47" s="498" t="s">
        <v>493</v>
      </c>
      <c r="C47" s="324"/>
      <c r="D47" s="324"/>
      <c r="K47" s="504"/>
      <c r="L47" s="504"/>
      <c r="M47" s="504"/>
      <c r="N47" s="504"/>
      <c r="O47" s="504"/>
    </row>
    <row r="48" spans="1:15" s="504" customFormat="1" x14ac:dyDescent="0.25"/>
    <row r="49" spans="1:15" ht="13.8" thickBot="1" x14ac:dyDescent="0.3">
      <c r="A49" s="288">
        <v>4</v>
      </c>
      <c r="K49" s="504"/>
      <c r="L49" s="504"/>
      <c r="M49" s="504"/>
      <c r="N49" s="504"/>
      <c r="O49" s="504"/>
    </row>
    <row r="50" spans="1:15" x14ac:dyDescent="0.25">
      <c r="A50" s="305" t="s">
        <v>354</v>
      </c>
      <c r="B50" s="306"/>
      <c r="C50" s="306"/>
      <c r="D50" s="306"/>
      <c r="E50" s="306"/>
      <c r="F50" s="307"/>
      <c r="K50" s="504"/>
      <c r="L50" s="504"/>
      <c r="M50" s="504"/>
      <c r="N50" s="504"/>
      <c r="O50" s="504"/>
    </row>
    <row r="51" spans="1:15" x14ac:dyDescent="0.25">
      <c r="B51" s="281" t="s">
        <v>355</v>
      </c>
      <c r="C51" s="281" t="s">
        <v>356</v>
      </c>
      <c r="D51" s="281"/>
      <c r="E51" s="281" t="s">
        <v>357</v>
      </c>
      <c r="F51" s="302"/>
      <c r="G51" s="324" t="s">
        <v>314</v>
      </c>
      <c r="K51" s="504"/>
      <c r="L51" s="504"/>
      <c r="M51" s="504"/>
      <c r="N51" s="504"/>
      <c r="O51" s="504"/>
    </row>
    <row r="52" spans="1:15" ht="14.4" x14ac:dyDescent="0.3">
      <c r="A52" s="280" t="s">
        <v>324</v>
      </c>
      <c r="B52" s="366">
        <v>202000000</v>
      </c>
      <c r="C52" s="366">
        <v>3276</v>
      </c>
      <c r="D52" s="367"/>
      <c r="E52" s="367">
        <f>B52*C52/10^9</f>
        <v>661.75199999999995</v>
      </c>
      <c r="F52" s="308"/>
      <c r="G52" s="324">
        <v>1</v>
      </c>
      <c r="H52" s="324" t="s">
        <v>358</v>
      </c>
      <c r="I52" s="324"/>
      <c r="J52" s="324"/>
      <c r="K52" s="324"/>
    </row>
    <row r="53" spans="1:15" ht="13.8" thickBot="1" x14ac:dyDescent="0.3">
      <c r="A53" s="309"/>
      <c r="B53" s="310"/>
      <c r="C53" s="310"/>
      <c r="D53" s="310"/>
      <c r="E53" s="310"/>
      <c r="F53" s="311"/>
      <c r="G53" s="324">
        <v>2</v>
      </c>
      <c r="H53" s="324" t="s">
        <v>359</v>
      </c>
      <c r="I53" s="324"/>
      <c r="J53" s="324"/>
      <c r="K53" s="324"/>
    </row>
    <row r="55" spans="1:15" x14ac:dyDescent="0.25">
      <c r="A55" s="324" t="s">
        <v>312</v>
      </c>
      <c r="B55" s="498" t="s">
        <v>495</v>
      </c>
      <c r="C55" s="499"/>
      <c r="D55" s="499"/>
      <c r="E55" s="499"/>
      <c r="F55" s="499"/>
      <c r="G55" s="499"/>
      <c r="H55" s="505"/>
      <c r="I55" s="505"/>
      <c r="J55" s="505"/>
    </row>
    <row r="56" spans="1:15" s="504" customFormat="1" x14ac:dyDescent="0.25">
      <c r="B56" s="496" t="s">
        <v>494</v>
      </c>
      <c r="C56" s="499"/>
      <c r="D56" s="499"/>
      <c r="E56" s="499"/>
      <c r="F56" s="499"/>
      <c r="G56" s="499"/>
      <c r="H56" s="505"/>
      <c r="I56" s="505"/>
      <c r="J56" s="505"/>
    </row>
    <row r="57" spans="1:15" s="504" customFormat="1" x14ac:dyDescent="0.25"/>
    <row r="58" spans="1:15" s="504" customFormat="1" ht="13.8" thickBot="1" x14ac:dyDescent="0.3"/>
    <row r="59" spans="1:15" ht="13.8" thickBot="1" x14ac:dyDescent="0.3">
      <c r="A59" s="943" t="s">
        <v>360</v>
      </c>
      <c r="B59" s="944"/>
      <c r="C59" s="944"/>
      <c r="D59" s="944"/>
      <c r="E59" s="944"/>
      <c r="F59" s="944"/>
      <c r="G59" s="945"/>
      <c r="J59" s="320" t="s">
        <v>361</v>
      </c>
      <c r="K59" s="320" t="str">
        <f>CONCATENATE("millions of cars in ",Carshare!$N$2)</f>
        <v>millions of cars in 2018</v>
      </c>
      <c r="L59" s="405"/>
    </row>
    <row r="60" spans="1:15" ht="14.4" x14ac:dyDescent="0.3">
      <c r="A60" s="510"/>
      <c r="B60" s="312">
        <v>1</v>
      </c>
      <c r="C60" s="312">
        <v>2</v>
      </c>
      <c r="D60" s="312">
        <v>3</v>
      </c>
      <c r="E60" s="312">
        <v>4</v>
      </c>
      <c r="F60" s="312" t="s">
        <v>362</v>
      </c>
      <c r="G60" s="511" t="s">
        <v>363</v>
      </c>
      <c r="J60" s="303" t="s">
        <v>364</v>
      </c>
      <c r="K60" s="360">
        <f>Carshare!M52</f>
        <v>895.91262282047683</v>
      </c>
      <c r="L60" s="415">
        <f>K60/SUM($K$60:$K$66)</f>
        <v>0.79516266667555713</v>
      </c>
    </row>
    <row r="61" spans="1:15" ht="14.4" x14ac:dyDescent="0.3">
      <c r="A61" s="284" t="s">
        <v>313</v>
      </c>
      <c r="B61" s="366">
        <f t="shared" ref="B61:B71" si="9">B6</f>
        <v>12460.416868177861</v>
      </c>
      <c r="C61" s="366">
        <f>SUM(B26:C27)</f>
        <v>12176.294714586966</v>
      </c>
      <c r="D61" s="366">
        <f>E39</f>
        <v>12700.637625717136</v>
      </c>
      <c r="E61" s="366"/>
      <c r="F61" s="367">
        <f>AVERAGE(B61:E61)</f>
        <v>12445.783069493986</v>
      </c>
      <c r="G61" s="512">
        <f t="shared" ref="G61:G72" si="10">F61/SUM($F$61:$F$71)</f>
        <v>0.42202736028581411</v>
      </c>
      <c r="J61" s="303" t="s">
        <v>365</v>
      </c>
      <c r="K61" s="360">
        <f>Carshare!M53</f>
        <v>168.54825062352393</v>
      </c>
      <c r="L61" s="415">
        <f t="shared" ref="L61:L66" si="11">K61/SUM($K$60:$K$66)</f>
        <v>0.14959413788297193</v>
      </c>
    </row>
    <row r="62" spans="1:15" ht="14.4" x14ac:dyDescent="0.3">
      <c r="A62" s="284" t="s">
        <v>315</v>
      </c>
      <c r="B62" s="366">
        <f t="shared" si="9"/>
        <v>2382.7192586187607</v>
      </c>
      <c r="C62" s="366">
        <f>SUM(B24:C25)</f>
        <v>6128.3966567214275</v>
      </c>
      <c r="D62" s="366">
        <f>SUM(E41:E42)</f>
        <v>4329.5732071400744</v>
      </c>
      <c r="E62" s="366"/>
      <c r="F62" s="367">
        <f t="shared" ref="F62:F71" si="12">AVERAGE(B62:E62)</f>
        <v>4280.2297074934204</v>
      </c>
      <c r="G62" s="512">
        <f t="shared" si="10"/>
        <v>0.14513944480504376</v>
      </c>
      <c r="J62" s="303" t="s">
        <v>366</v>
      </c>
      <c r="K62" s="360">
        <f>Carshare!M54</f>
        <v>41.211996368181644</v>
      </c>
      <c r="L62" s="415">
        <f t="shared" si="11"/>
        <v>3.6577496617896409E-2</v>
      </c>
    </row>
    <row r="63" spans="1:15" ht="14.4" x14ac:dyDescent="0.3">
      <c r="A63" s="284" t="s">
        <v>317</v>
      </c>
      <c r="B63" s="366">
        <f t="shared" si="9"/>
        <v>6621.2729061192695</v>
      </c>
      <c r="C63" s="366">
        <f>($B8/SUM($B$8:$B$9))*$D$29</f>
        <v>5108.7077631610318</v>
      </c>
      <c r="D63" s="366">
        <f>(B8/SUM($B$8:$B$10))*$E$40</f>
        <v>7235.2171939699447</v>
      </c>
      <c r="E63" s="366"/>
      <c r="F63" s="367">
        <f t="shared" si="12"/>
        <v>6321.7326210834153</v>
      </c>
      <c r="G63" s="512">
        <f t="shared" si="10"/>
        <v>0.21436530876453935</v>
      </c>
      <c r="J63" s="303" t="s">
        <v>261</v>
      </c>
      <c r="K63" s="360">
        <f>Carshare!M55</f>
        <v>15.445313428</v>
      </c>
      <c r="L63" s="415">
        <f t="shared" si="11"/>
        <v>1.3708408945488481E-2</v>
      </c>
    </row>
    <row r="64" spans="1:15" ht="14.4" x14ac:dyDescent="0.3">
      <c r="A64" s="284" t="s">
        <v>319</v>
      </c>
      <c r="B64" s="366">
        <f t="shared" si="9"/>
        <v>97.678145250132786</v>
      </c>
      <c r="C64" s="366">
        <f>($B9/SUM($B$8:$B$9))*$D$29</f>
        <v>75.364526731612045</v>
      </c>
      <c r="D64" s="366">
        <f>(B9/SUM($B$8:$B$10))*$E$40</f>
        <v>106.73515591476576</v>
      </c>
      <c r="E64" s="366"/>
      <c r="F64" s="367">
        <f t="shared" si="12"/>
        <v>93.259275965503534</v>
      </c>
      <c r="G64" s="512">
        <f t="shared" si="10"/>
        <v>3.1623535327687437E-3</v>
      </c>
      <c r="J64" s="303" t="s">
        <v>367</v>
      </c>
      <c r="K64" s="360">
        <f>Carshare!M56</f>
        <v>2.6309330839022524</v>
      </c>
      <c r="L64" s="415">
        <f t="shared" si="11"/>
        <v>2.3350712039915769E-3</v>
      </c>
    </row>
    <row r="65" spans="1:12" ht="14.4" x14ac:dyDescent="0.3">
      <c r="A65" s="284" t="s">
        <v>320</v>
      </c>
      <c r="B65" s="366">
        <f t="shared" si="9"/>
        <v>2380.9828395926916</v>
      </c>
      <c r="C65" s="366">
        <f>SUM(B28:C28)</f>
        <v>2590.2516041794092</v>
      </c>
      <c r="D65" s="366">
        <f>(B10/SUM($B$8:$B$10))*$E$40</f>
        <v>2601.7547114917411</v>
      </c>
      <c r="E65" s="366"/>
      <c r="F65" s="367">
        <f t="shared" si="12"/>
        <v>2524.3297184212806</v>
      </c>
      <c r="G65" s="512">
        <f t="shared" si="10"/>
        <v>8.5598166190733668E-2</v>
      </c>
      <c r="J65" s="303" t="s">
        <v>368</v>
      </c>
      <c r="K65" s="360">
        <f>Carshare!M57</f>
        <v>2.6309330839022524</v>
      </c>
      <c r="L65" s="415">
        <f t="shared" si="11"/>
        <v>2.3350712039915769E-3</v>
      </c>
    </row>
    <row r="66" spans="1:12" ht="15" thickBot="1" x14ac:dyDescent="0.35">
      <c r="A66" s="284" t="s">
        <v>321</v>
      </c>
      <c r="B66" s="366">
        <f t="shared" si="9"/>
        <v>378.48076304868709</v>
      </c>
      <c r="C66" s="366">
        <f>(B11/SUM($B$11:$B$13))*$D$30</f>
        <v>170.61071116072728</v>
      </c>
      <c r="D66" s="366">
        <f>(B11/SUM($B$11:$B$13))*$E$43</f>
        <v>140.58426409526697</v>
      </c>
      <c r="E66" s="366"/>
      <c r="F66" s="367">
        <f t="shared" si="12"/>
        <v>229.89191276822712</v>
      </c>
      <c r="G66" s="512">
        <f t="shared" si="10"/>
        <v>7.7954658662209957E-3</v>
      </c>
      <c r="J66" s="407" t="s">
        <v>369</v>
      </c>
      <c r="K66" s="495">
        <f>Carshare!M58</f>
        <v>0.32353008240662007</v>
      </c>
      <c r="L66" s="416">
        <f t="shared" si="11"/>
        <v>2.8714747010296385E-4</v>
      </c>
    </row>
    <row r="67" spans="1:12" ht="14.4" x14ac:dyDescent="0.3">
      <c r="A67" s="284" t="s">
        <v>322</v>
      </c>
      <c r="B67" s="366">
        <f t="shared" si="9"/>
        <v>151.60775319833587</v>
      </c>
      <c r="C67" s="366">
        <f>(B12/SUM($B$11:$B$13))*$D$30</f>
        <v>68.341403621934575</v>
      </c>
      <c r="D67" s="366">
        <f>(B12/SUM($B$11:$B$13))*$E$43</f>
        <v>56.313732414936915</v>
      </c>
      <c r="E67" s="366"/>
      <c r="F67" s="367">
        <f t="shared" si="12"/>
        <v>92.087629745069123</v>
      </c>
      <c r="G67" s="512">
        <f t="shared" si="10"/>
        <v>3.1226238702125341E-3</v>
      </c>
    </row>
    <row r="68" spans="1:12" ht="14.4" x14ac:dyDescent="0.3">
      <c r="A68" s="284" t="s">
        <v>323</v>
      </c>
      <c r="B68" s="366">
        <f t="shared" si="9"/>
        <v>734.48763812775576</v>
      </c>
      <c r="C68" s="366">
        <f>(B13/SUM($B$11:$B$13))*$D$30</f>
        <v>331.09069340895269</v>
      </c>
      <c r="D68" s="366">
        <f>(B13/SUM($B$11:$B$13))*$E$43</f>
        <v>272.82074592514613</v>
      </c>
      <c r="E68" s="366"/>
      <c r="F68" s="367">
        <f t="shared" si="12"/>
        <v>446.13302582061823</v>
      </c>
      <c r="G68" s="512">
        <f t="shared" si="10"/>
        <v>1.5128043142973845E-2</v>
      </c>
      <c r="J68" s="374" t="s">
        <v>312</v>
      </c>
      <c r="K68" s="509" t="s">
        <v>496</v>
      </c>
      <c r="L68" s="509"/>
    </row>
    <row r="69" spans="1:12" ht="14.4" x14ac:dyDescent="0.3">
      <c r="A69" s="284" t="s">
        <v>324</v>
      </c>
      <c r="B69" s="366">
        <f t="shared" si="9"/>
        <v>509.69875657606428</v>
      </c>
      <c r="C69" s="366"/>
      <c r="D69" s="366"/>
      <c r="E69" s="366">
        <f>E52</f>
        <v>661.75199999999995</v>
      </c>
      <c r="F69" s="367">
        <f t="shared" si="12"/>
        <v>585.72537828803206</v>
      </c>
      <c r="G69" s="512">
        <f t="shared" si="10"/>
        <v>1.9861517260187814E-2</v>
      </c>
    </row>
    <row r="70" spans="1:12" ht="14.4" x14ac:dyDescent="0.3">
      <c r="A70" s="284" t="s">
        <v>325</v>
      </c>
      <c r="B70" s="366">
        <f t="shared" si="9"/>
        <v>898.03605872217804</v>
      </c>
      <c r="C70" s="366"/>
      <c r="D70" s="366"/>
      <c r="E70" s="366"/>
      <c r="F70" s="367">
        <f t="shared" si="12"/>
        <v>898.03605872217804</v>
      </c>
      <c r="G70" s="512">
        <f t="shared" si="10"/>
        <v>3.0451742986984762E-2</v>
      </c>
    </row>
    <row r="71" spans="1:12" ht="15" thickBot="1" x14ac:dyDescent="0.35">
      <c r="A71" s="513" t="s">
        <v>326</v>
      </c>
      <c r="B71" s="369">
        <f t="shared" si="9"/>
        <v>1573.2565357163114</v>
      </c>
      <c r="C71" s="369"/>
      <c r="D71" s="369"/>
      <c r="E71" s="369"/>
      <c r="F71" s="370">
        <f t="shared" si="12"/>
        <v>1573.2565357163114</v>
      </c>
      <c r="G71" s="514">
        <f t="shared" si="10"/>
        <v>5.3347973294520422E-2</v>
      </c>
    </row>
    <row r="72" spans="1:12" ht="15" thickBot="1" x14ac:dyDescent="0.35">
      <c r="A72" s="313" t="s">
        <v>353</v>
      </c>
      <c r="B72" s="371"/>
      <c r="C72" s="371"/>
      <c r="D72" s="371"/>
      <c r="E72" s="371"/>
      <c r="F72" s="372">
        <f>SUM(F61:F71)</f>
        <v>29490.46493351804</v>
      </c>
      <c r="G72" s="378">
        <f t="shared" si="10"/>
        <v>1</v>
      </c>
    </row>
    <row r="74" spans="1:12" ht="13.8" thickBot="1" x14ac:dyDescent="0.3"/>
    <row r="75" spans="1:12" s="530" customFormat="1" ht="39.6" x14ac:dyDescent="0.25">
      <c r="A75" s="526" t="s">
        <v>370</v>
      </c>
      <c r="B75" s="527" t="str">
        <f>CONCATENATE("Modeshare - ",$J$3)</f>
        <v>Modeshare - 2018</v>
      </c>
      <c r="C75" s="528" t="s">
        <v>371</v>
      </c>
      <c r="D75" s="529" t="s">
        <v>372</v>
      </c>
      <c r="F75" s="526" t="s">
        <v>373</v>
      </c>
      <c r="G75" s="527" t="str">
        <f>CONCATENATE("Modeshare - ",$J$3)</f>
        <v>Modeshare - 2018</v>
      </c>
      <c r="H75" s="528" t="s">
        <v>371</v>
      </c>
      <c r="I75" s="530" t="s">
        <v>374</v>
      </c>
      <c r="J75" s="526" t="s">
        <v>373</v>
      </c>
      <c r="K75" s="527" t="str">
        <f>CONCATENATE("Modeshare - ",$J$3)</f>
        <v>Modeshare - 2018</v>
      </c>
      <c r="L75" s="528" t="s">
        <v>371</v>
      </c>
    </row>
    <row r="76" spans="1:12" ht="14.4" x14ac:dyDescent="0.3">
      <c r="A76" s="303" t="s">
        <v>364</v>
      </c>
      <c r="B76" s="314">
        <f t="shared" ref="B76:B82" si="13">$G$61*L60</f>
        <v>0.33558040121491406</v>
      </c>
      <c r="C76" s="380">
        <f t="shared" ref="C76:C82" si="14">L60*$F$61</f>
        <v>9896.4220544043383</v>
      </c>
      <c r="F76" s="303" t="s">
        <v>375</v>
      </c>
      <c r="G76" s="314">
        <f>SUM(B76:B77)</f>
        <v>0.39871322033989681</v>
      </c>
      <c r="H76" s="380">
        <f>SUM(C76:C77)</f>
        <v>11758.23824296378</v>
      </c>
      <c r="I76" s="276" t="s">
        <v>376</v>
      </c>
      <c r="J76" s="303" t="s">
        <v>375</v>
      </c>
      <c r="K76" s="314">
        <f>SUM(G76)</f>
        <v>0.39871322033989681</v>
      </c>
      <c r="L76" s="380">
        <f>SUM(H76)</f>
        <v>11758.23824296378</v>
      </c>
    </row>
    <row r="77" spans="1:12" ht="14.4" x14ac:dyDescent="0.3">
      <c r="A77" s="303" t="s">
        <v>365</v>
      </c>
      <c r="B77" s="314">
        <f t="shared" si="13"/>
        <v>6.3132819124982753E-2</v>
      </c>
      <c r="C77" s="380">
        <f t="shared" si="14"/>
        <v>1861.8161885594409</v>
      </c>
      <c r="F77" s="303" t="s">
        <v>377</v>
      </c>
      <c r="G77" s="314">
        <f>SUM(B79)</f>
        <v>5.785323640982944E-3</v>
      </c>
      <c r="H77" s="380">
        <f>SUM(C79)</f>
        <v>170.61188396346043</v>
      </c>
      <c r="I77" s="276" t="s">
        <v>378</v>
      </c>
      <c r="J77" s="303" t="s">
        <v>379</v>
      </c>
      <c r="K77" s="314">
        <f>SUM(G78:G79)</f>
        <v>1.7528816304934386E-2</v>
      </c>
      <c r="L77" s="380">
        <f>SUM(H78:H79)</f>
        <v>516.93294256674676</v>
      </c>
    </row>
    <row r="78" spans="1:12" ht="14.4" x14ac:dyDescent="0.3">
      <c r="A78" s="303" t="s">
        <v>366</v>
      </c>
      <c r="B78" s="314">
        <f t="shared" si="13"/>
        <v>1.5436704343514115E-2</v>
      </c>
      <c r="C78" s="380">
        <f t="shared" si="14"/>
        <v>455.23558813148867</v>
      </c>
      <c r="F78" s="303" t="s">
        <v>380</v>
      </c>
      <c r="G78" s="314">
        <f>SUM(B80:B81)</f>
        <v>1.9709278725999657E-3</v>
      </c>
      <c r="H78" s="380">
        <f>SUM(C80:C81)</f>
        <v>58.123579313402608</v>
      </c>
      <c r="I78" s="276" t="s">
        <v>260</v>
      </c>
      <c r="J78" s="303" t="s">
        <v>381</v>
      </c>
      <c r="K78" s="314">
        <f t="shared" ref="K78:L79" si="15">G80</f>
        <v>0.14513944480504376</v>
      </c>
      <c r="L78" s="380">
        <f t="shared" si="15"/>
        <v>4280.2297074934204</v>
      </c>
    </row>
    <row r="79" spans="1:12" ht="14.4" x14ac:dyDescent="0.3">
      <c r="A79" s="303" t="s">
        <v>261</v>
      </c>
      <c r="B79" s="314">
        <f t="shared" si="13"/>
        <v>5.785323640982944E-3</v>
      </c>
      <c r="C79" s="380">
        <f t="shared" si="14"/>
        <v>170.61188396346043</v>
      </c>
      <c r="F79" s="303" t="s">
        <v>382</v>
      </c>
      <c r="G79" s="314">
        <f>SUM(B78,B82)</f>
        <v>1.5557888432334419E-2</v>
      </c>
      <c r="H79" s="380">
        <f>SUM(C78,C82)</f>
        <v>458.80936325334415</v>
      </c>
      <c r="J79" s="303" t="s">
        <v>4</v>
      </c>
      <c r="K79" s="314">
        <f t="shared" si="15"/>
        <v>0.32917196136744914</v>
      </c>
      <c r="L79" s="380">
        <f t="shared" si="15"/>
        <v>9707.4341838041128</v>
      </c>
    </row>
    <row r="80" spans="1:12" ht="14.4" x14ac:dyDescent="0.3">
      <c r="A80" s="303" t="s">
        <v>367</v>
      </c>
      <c r="B80" s="314">
        <f t="shared" si="13"/>
        <v>9.8546393629998287E-4</v>
      </c>
      <c r="C80" s="380">
        <f t="shared" si="14"/>
        <v>29.061789656701304</v>
      </c>
      <c r="F80" s="303" t="s">
        <v>381</v>
      </c>
      <c r="G80" s="314">
        <f>B83</f>
        <v>0.14513944480504376</v>
      </c>
      <c r="H80" s="380">
        <f>C83</f>
        <v>4280.2297074934204</v>
      </c>
      <c r="J80" s="303" t="s">
        <v>383</v>
      </c>
      <c r="K80" s="314">
        <f>SUM(G82:G83)</f>
        <v>5.0313260247172573E-2</v>
      </c>
      <c r="L80" s="380">
        <f>SUM(H82:H83)</f>
        <v>1483.7614370102101</v>
      </c>
    </row>
    <row r="81" spans="1:15" ht="14.4" x14ac:dyDescent="0.3">
      <c r="A81" s="303" t="s">
        <v>368</v>
      </c>
      <c r="B81" s="314">
        <f t="shared" si="13"/>
        <v>9.8546393629998287E-4</v>
      </c>
      <c r="C81" s="380">
        <f t="shared" si="14"/>
        <v>29.061789656701304</v>
      </c>
      <c r="F81" s="303" t="s">
        <v>4</v>
      </c>
      <c r="G81" s="314">
        <f>SUM(B84:B89)</f>
        <v>0.32917196136744914</v>
      </c>
      <c r="H81" s="380">
        <f>SUM(C84:C89)</f>
        <v>9707.4341838041128</v>
      </c>
      <c r="I81" s="276" t="s">
        <v>4</v>
      </c>
      <c r="J81" s="315" t="s">
        <v>384</v>
      </c>
      <c r="K81" s="314">
        <f>G84</f>
        <v>5.3347973294520422E-2</v>
      </c>
      <c r="L81" s="380">
        <f>H84</f>
        <v>1573.2565357163114</v>
      </c>
    </row>
    <row r="82" spans="1:15" ht="15" thickBot="1" x14ac:dyDescent="0.35">
      <c r="A82" s="303" t="s">
        <v>369</v>
      </c>
      <c r="B82" s="314">
        <f t="shared" si="13"/>
        <v>1.2118408882030355E-4</v>
      </c>
      <c r="C82" s="380">
        <f t="shared" si="14"/>
        <v>3.5737751218554981</v>
      </c>
      <c r="F82" s="303" t="s">
        <v>385</v>
      </c>
      <c r="G82" s="314">
        <f t="shared" ref="G82:H84" si="16">B90</f>
        <v>1.9861517260187814E-2</v>
      </c>
      <c r="H82" s="380">
        <f t="shared" si="16"/>
        <v>585.72537828803206</v>
      </c>
      <c r="I82" s="276" t="s">
        <v>385</v>
      </c>
      <c r="J82" s="321" t="s">
        <v>353</v>
      </c>
      <c r="K82" s="322">
        <f>SUM(K73:K81)</f>
        <v>0.99421467635901706</v>
      </c>
      <c r="L82" s="381">
        <f>SUM(L73:L81)</f>
        <v>29319.853049554578</v>
      </c>
    </row>
    <row r="83" spans="1:15" ht="14.4" x14ac:dyDescent="0.3">
      <c r="A83" s="303" t="s">
        <v>315</v>
      </c>
      <c r="B83" s="314">
        <f t="shared" ref="B83:B92" si="17">G62</f>
        <v>0.14513944480504376</v>
      </c>
      <c r="C83" s="380">
        <f>F62</f>
        <v>4280.2297074934204</v>
      </c>
      <c r="F83" s="303" t="s">
        <v>386</v>
      </c>
      <c r="G83" s="314">
        <f t="shared" si="16"/>
        <v>3.0451742986984762E-2</v>
      </c>
      <c r="H83" s="380">
        <f t="shared" si="16"/>
        <v>898.03605872217804</v>
      </c>
      <c r="I83" s="276" t="s">
        <v>387</v>
      </c>
    </row>
    <row r="84" spans="1:15" ht="14.4" x14ac:dyDescent="0.3">
      <c r="A84" s="284" t="s">
        <v>317</v>
      </c>
      <c r="B84" s="314">
        <f t="shared" si="17"/>
        <v>0.21436530876453935</v>
      </c>
      <c r="C84" s="380">
        <f t="shared" ref="C84:C92" si="18">F63</f>
        <v>6321.7326210834153</v>
      </c>
      <c r="F84" s="303" t="s">
        <v>388</v>
      </c>
      <c r="G84" s="314">
        <f t="shared" si="16"/>
        <v>5.3347973294520422E-2</v>
      </c>
      <c r="H84" s="380">
        <f t="shared" si="16"/>
        <v>1573.2565357163114</v>
      </c>
      <c r="I84" s="276" t="s">
        <v>1</v>
      </c>
    </row>
    <row r="85" spans="1:15" ht="15" thickBot="1" x14ac:dyDescent="0.35">
      <c r="A85" s="284" t="s">
        <v>319</v>
      </c>
      <c r="B85" s="314">
        <f t="shared" si="17"/>
        <v>3.1623535327687437E-3</v>
      </c>
      <c r="C85" s="380">
        <f t="shared" si="18"/>
        <v>93.259275965503534</v>
      </c>
      <c r="F85" s="321" t="s">
        <v>353</v>
      </c>
      <c r="G85" s="322">
        <f>SUM(G76:G84)</f>
        <v>0.99999999999999989</v>
      </c>
      <c r="H85" s="381">
        <f>SUM(H76:H84)</f>
        <v>29490.464933518037</v>
      </c>
    </row>
    <row r="86" spans="1:15" ht="14.4" x14ac:dyDescent="0.3">
      <c r="A86" s="284" t="s">
        <v>320</v>
      </c>
      <c r="B86" s="314">
        <f t="shared" si="17"/>
        <v>8.5598166190733668E-2</v>
      </c>
      <c r="C86" s="380">
        <f t="shared" si="18"/>
        <v>2524.3297184212806</v>
      </c>
    </row>
    <row r="87" spans="1:15" ht="14.4" x14ac:dyDescent="0.3">
      <c r="A87" s="284" t="s">
        <v>321</v>
      </c>
      <c r="B87" s="314">
        <f t="shared" si="17"/>
        <v>7.7954658662209957E-3</v>
      </c>
      <c r="C87" s="380">
        <f t="shared" si="18"/>
        <v>229.89191276822712</v>
      </c>
    </row>
    <row r="88" spans="1:15" ht="14.4" x14ac:dyDescent="0.3">
      <c r="A88" s="284" t="s">
        <v>322</v>
      </c>
      <c r="B88" s="314">
        <f t="shared" si="17"/>
        <v>3.1226238702125341E-3</v>
      </c>
      <c r="C88" s="380">
        <f t="shared" si="18"/>
        <v>92.087629745069123</v>
      </c>
      <c r="F88" s="324" t="s">
        <v>312</v>
      </c>
      <c r="G88" s="940" t="s">
        <v>389</v>
      </c>
      <c r="H88" s="940"/>
      <c r="I88" s="940"/>
      <c r="J88" s="940"/>
      <c r="K88" s="940"/>
      <c r="L88" s="504"/>
      <c r="M88" s="504"/>
      <c r="N88" s="504"/>
      <c r="O88" s="504"/>
    </row>
    <row r="89" spans="1:15" ht="14.4" x14ac:dyDescent="0.3">
      <c r="A89" s="284" t="s">
        <v>323</v>
      </c>
      <c r="B89" s="314">
        <f t="shared" si="17"/>
        <v>1.5128043142973845E-2</v>
      </c>
      <c r="C89" s="380">
        <f t="shared" si="18"/>
        <v>446.13302582061823</v>
      </c>
      <c r="G89" s="940"/>
      <c r="H89" s="940"/>
      <c r="I89" s="940"/>
      <c r="J89" s="940"/>
      <c r="K89" s="940"/>
      <c r="L89" s="504"/>
      <c r="M89" s="504"/>
      <c r="N89" s="504"/>
      <c r="O89" s="504"/>
    </row>
    <row r="90" spans="1:15" ht="14.4" x14ac:dyDescent="0.3">
      <c r="A90" s="284" t="s">
        <v>385</v>
      </c>
      <c r="B90" s="314">
        <f t="shared" si="17"/>
        <v>1.9861517260187814E-2</v>
      </c>
      <c r="C90" s="380">
        <f t="shared" si="18"/>
        <v>585.72537828803206</v>
      </c>
      <c r="L90" s="504"/>
      <c r="M90" s="504"/>
      <c r="N90" s="504"/>
      <c r="O90" s="504"/>
    </row>
    <row r="91" spans="1:15" ht="14.4" x14ac:dyDescent="0.3">
      <c r="A91" s="284" t="s">
        <v>386</v>
      </c>
      <c r="B91" s="314">
        <f t="shared" si="17"/>
        <v>3.0451742986984762E-2</v>
      </c>
      <c r="C91" s="380">
        <f t="shared" si="18"/>
        <v>898.03605872217804</v>
      </c>
      <c r="L91" s="504"/>
      <c r="M91" s="504"/>
      <c r="N91" s="504"/>
      <c r="O91" s="504"/>
    </row>
    <row r="92" spans="1:15" ht="14.4" x14ac:dyDescent="0.3">
      <c r="A92" s="284" t="s">
        <v>388</v>
      </c>
      <c r="B92" s="314">
        <f t="shared" si="17"/>
        <v>5.3347973294520422E-2</v>
      </c>
      <c r="C92" s="380">
        <f t="shared" si="18"/>
        <v>1573.2565357163114</v>
      </c>
    </row>
    <row r="93" spans="1:15" ht="15" thickBot="1" x14ac:dyDescent="0.35">
      <c r="A93" s="321" t="s">
        <v>353</v>
      </c>
      <c r="B93" s="417">
        <f>SUM(B76:B92)</f>
        <v>1</v>
      </c>
      <c r="C93" s="381">
        <f>SUM(C76:C92)</f>
        <v>29490.46493351804</v>
      </c>
    </row>
  </sheetData>
  <mergeCells count="10">
    <mergeCell ref="G88:K89"/>
    <mergeCell ref="A37:C37"/>
    <mergeCell ref="A59:G59"/>
    <mergeCell ref="E3:G4"/>
    <mergeCell ref="A1:L1"/>
    <mergeCell ref="A2:L2"/>
    <mergeCell ref="A4:D4"/>
    <mergeCell ref="A21:E21"/>
    <mergeCell ref="B22:C22"/>
    <mergeCell ref="A36:F36"/>
  </mergeCells>
  <conditionalFormatting sqref="C39:C45">
    <cfRule type="containsErrors" dxfId="8" priority="2">
      <formula>ISERROR(C39)</formula>
    </cfRule>
  </conditionalFormatting>
  <conditionalFormatting sqref="B39:B44">
    <cfRule type="containsErrors" dxfId="7" priority="1">
      <formula>ISERROR(B39)</formula>
    </cfRule>
  </conditionalFormatting>
  <hyperlinks>
    <hyperlink ref="J19" r:id="rId1" display="ICCT - UC Davis, A global high shift scenario" xr:uid="{57ECA46E-03E0-4F78-A0D4-2BB4B27F7A39}"/>
    <hyperlink ref="B47" r:id="rId2" display="ICCT roadmap model 2012" xr:uid="{52220D00-7743-4617-9B9A-8888B862A07D}"/>
    <hyperlink ref="B33" r:id="rId3" display="ETP 2016, figure 5.1" xr:uid="{A916E667-D815-4920-95CB-4D5578F02B13}"/>
    <hyperlink ref="B55" r:id="rId4" display="http://www.bike-eu.com/home/nieuws/2016/4/china-bans-e-bike-use-in-major-cities-10126136" xr:uid="{9919EB79-167F-4954-B234-267E99BC1CA2}"/>
    <hyperlink ref="B56" r:id="rId5" display="https://www.theguardian.com/local-government-network/2013/nov/20/lessons-electric-bikes-china" xr:uid="{FF5928DD-07C5-4F98-A667-3F930C102245}"/>
    <hyperlink ref="E3:G4" location="'Table of Contents'!A1" display="Back to Table of Contents" xr:uid="{2EB1C251-137C-44E6-B1C5-AB9B07BBF4C5}"/>
    <hyperlink ref="K68:L68" location="Carshare!A1" display="Carshare Tab" xr:uid="{7467C58E-C322-48F8-A150-AF30AF052740}"/>
  </hyperlinks>
  <pageMargins left="0.7" right="0.7" top="0.75" bottom="0.75" header="0.3" footer="0.3"/>
  <pageSetup paperSize="9" orientation="portrait" r:id="rId6"/>
  <drawing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716D2-D20F-457B-AE11-D57715BF57AB}">
  <sheetPr codeName="Sheet16">
    <tabColor theme="4" tint="0.39997558519241921"/>
  </sheetPr>
  <dimension ref="A1:W63"/>
  <sheetViews>
    <sheetView topLeftCell="A36" zoomScaleNormal="100" workbookViewId="0">
      <selection activeCell="G58" sqref="G58"/>
    </sheetView>
  </sheetViews>
  <sheetFormatPr defaultColWidth="8.88671875" defaultRowHeight="13.2" x14ac:dyDescent="0.25"/>
  <cols>
    <col min="1" max="1" width="14" style="276" customWidth="1"/>
    <col min="2" max="2" width="11.88671875" style="276" customWidth="1"/>
    <col min="3" max="3" width="13.109375" style="276" customWidth="1"/>
    <col min="4" max="4" width="17.88671875" style="276" customWidth="1"/>
    <col min="5" max="5" width="13.6640625" style="276" customWidth="1"/>
    <col min="6" max="6" width="18.6640625" style="276" customWidth="1"/>
    <col min="7" max="7" width="12.44140625" style="276" bestFit="1" customWidth="1"/>
    <col min="8" max="8" width="10.44140625" style="276" customWidth="1"/>
    <col min="9" max="9" width="17.77734375" style="276" bestFit="1" customWidth="1"/>
    <col min="10" max="10" width="16.44140625" style="276" bestFit="1" customWidth="1"/>
    <col min="11" max="11" width="9.44140625" style="276" bestFit="1" customWidth="1"/>
    <col min="12" max="16384" width="8.88671875" style="276"/>
  </cols>
  <sheetData>
    <row r="1" spans="1:12" ht="23.25" customHeight="1" x14ac:dyDescent="0.25">
      <c r="A1" s="938" t="s">
        <v>390</v>
      </c>
      <c r="B1" s="938"/>
      <c r="C1" s="938"/>
      <c r="D1" s="938"/>
      <c r="E1" s="938"/>
      <c r="F1" s="938"/>
      <c r="G1" s="938"/>
      <c r="H1" s="938"/>
      <c r="I1" s="938"/>
      <c r="J1" s="938"/>
      <c r="K1" s="938"/>
      <c r="L1" s="938"/>
    </row>
    <row r="2" spans="1:12" ht="30.75" customHeight="1" thickBot="1" x14ac:dyDescent="0.3">
      <c r="A2" s="939" t="s">
        <v>503</v>
      </c>
      <c r="B2" s="939"/>
      <c r="C2" s="939"/>
      <c r="D2" s="939"/>
      <c r="E2" s="939"/>
      <c r="F2" s="939"/>
      <c r="G2" s="939"/>
      <c r="H2" s="939"/>
      <c r="I2" s="939"/>
      <c r="J2" s="939"/>
      <c r="K2" s="939"/>
      <c r="L2" s="939"/>
    </row>
    <row r="3" spans="1:12" ht="15.75" customHeight="1" x14ac:dyDescent="0.25">
      <c r="A3" s="277">
        <v>1</v>
      </c>
      <c r="B3" s="278"/>
      <c r="C3" s="278"/>
      <c r="D3" s="278"/>
      <c r="E3" s="278"/>
      <c r="F3" s="278"/>
      <c r="G3" s="278"/>
      <c r="H3" s="278"/>
      <c r="I3" s="278"/>
      <c r="J3" s="815" t="s">
        <v>467</v>
      </c>
      <c r="K3" s="816"/>
      <c r="L3" s="817"/>
    </row>
    <row r="4" spans="1:12" ht="13.8" thickBot="1" x14ac:dyDescent="0.3">
      <c r="A4" s="288"/>
      <c r="J4" s="818"/>
      <c r="K4" s="819"/>
      <c r="L4" s="820"/>
    </row>
    <row r="5" spans="1:12" x14ac:dyDescent="0.25">
      <c r="A5" s="946" t="s">
        <v>391</v>
      </c>
      <c r="B5" s="947"/>
      <c r="C5" s="947"/>
      <c r="D5" s="947"/>
      <c r="E5" s="948"/>
    </row>
    <row r="6" spans="1:12" ht="13.8" thickBot="1" x14ac:dyDescent="0.3">
      <c r="A6" s="280"/>
      <c r="B6" s="942" t="s">
        <v>505</v>
      </c>
      <c r="C6" s="942"/>
      <c r="D6" s="289"/>
      <c r="E6" s="290"/>
      <c r="J6" s="494" t="s">
        <v>487</v>
      </c>
      <c r="K6" s="482">
        <v>2018</v>
      </c>
    </row>
    <row r="7" spans="1:12" x14ac:dyDescent="0.25">
      <c r="A7" s="280" t="s">
        <v>310</v>
      </c>
      <c r="B7" s="289" t="s">
        <v>330</v>
      </c>
      <c r="C7" s="289" t="s">
        <v>331</v>
      </c>
      <c r="D7" s="289" t="s">
        <v>332</v>
      </c>
      <c r="E7" s="316" t="s">
        <v>311</v>
      </c>
      <c r="F7" s="291" t="s">
        <v>330</v>
      </c>
      <c r="G7" s="292" t="s">
        <v>331</v>
      </c>
    </row>
    <row r="8" spans="1:12" ht="14.4" x14ac:dyDescent="0.3">
      <c r="A8" s="293" t="s">
        <v>333</v>
      </c>
      <c r="B8" s="375">
        <v>0</v>
      </c>
      <c r="C8" s="375">
        <v>0</v>
      </c>
      <c r="D8" s="285">
        <f>SUM(B8:C8)</f>
        <v>0</v>
      </c>
      <c r="E8" s="384">
        <f t="shared" ref="E8:E16" si="0">D8/$D$16</f>
        <v>0</v>
      </c>
      <c r="F8" s="350">
        <f>B8/B$16</f>
        <v>0</v>
      </c>
      <c r="G8" s="351">
        <f>C8/C$16</f>
        <v>0</v>
      </c>
      <c r="K8" s="276" t="s">
        <v>504</v>
      </c>
    </row>
    <row r="9" spans="1:12" ht="14.4" x14ac:dyDescent="0.3">
      <c r="A9" s="293" t="s">
        <v>334</v>
      </c>
      <c r="B9" s="375">
        <v>0</v>
      </c>
      <c r="C9" s="375">
        <v>0</v>
      </c>
      <c r="D9" s="285">
        <f t="shared" ref="D9:D15" si="1">SUM(B9:C9)</f>
        <v>0</v>
      </c>
      <c r="E9" s="384">
        <f t="shared" si="0"/>
        <v>0</v>
      </c>
      <c r="F9" s="350">
        <f t="shared" ref="F9:G16" si="2">B9/B$16</f>
        <v>0</v>
      </c>
      <c r="G9" s="351">
        <f t="shared" si="2"/>
        <v>0</v>
      </c>
      <c r="J9" s="504">
        <v>2012</v>
      </c>
      <c r="K9" s="285">
        <f>'Nonurban Pass Adoption'!B8</f>
        <v>23943.64423576602</v>
      </c>
    </row>
    <row r="10" spans="1:12" ht="14.4" x14ac:dyDescent="0.3">
      <c r="A10" s="293" t="s">
        <v>336</v>
      </c>
      <c r="B10" s="375">
        <v>2738.6629984880315</v>
      </c>
      <c r="C10" s="375">
        <v>4988.4141774837908</v>
      </c>
      <c r="D10" s="285">
        <f t="shared" si="1"/>
        <v>7727.0771759718227</v>
      </c>
      <c r="E10" s="384">
        <f t="shared" si="0"/>
        <v>0.28560834332440599</v>
      </c>
      <c r="F10" s="350">
        <f t="shared" si="2"/>
        <v>0.30586849564066176</v>
      </c>
      <c r="G10" s="351">
        <f t="shared" si="2"/>
        <v>0.27558662516858168</v>
      </c>
      <c r="J10" s="504">
        <v>2013</v>
      </c>
      <c r="K10" s="285">
        <f>'Nonurban Pass Adoption'!B9</f>
        <v>24762.810564240011</v>
      </c>
    </row>
    <row r="11" spans="1:12" ht="14.4" x14ac:dyDescent="0.3">
      <c r="A11" s="293" t="s">
        <v>337</v>
      </c>
      <c r="B11" s="375">
        <v>1203.4245588639008</v>
      </c>
      <c r="C11" s="375">
        <v>1093.288060493167</v>
      </c>
      <c r="D11" s="285">
        <f t="shared" si="1"/>
        <v>2296.7126193570675</v>
      </c>
      <c r="E11" s="384">
        <f t="shared" si="0"/>
        <v>8.4891126537031111E-2</v>
      </c>
      <c r="F11" s="350">
        <f t="shared" si="2"/>
        <v>0.13440487553231056</v>
      </c>
      <c r="G11" s="351">
        <f t="shared" si="2"/>
        <v>6.0399067961993631E-2</v>
      </c>
      <c r="J11" s="276">
        <v>2014</v>
      </c>
      <c r="K11" s="285">
        <f>'Nonurban Pass Adoption'!B10</f>
        <v>25792.286681443104</v>
      </c>
    </row>
    <row r="12" spans="1:12" ht="14.4" x14ac:dyDescent="0.3">
      <c r="A12" s="293" t="s">
        <v>338</v>
      </c>
      <c r="B12" s="375">
        <v>110.95198332677414</v>
      </c>
      <c r="C12" s="375">
        <v>1402.2899186968898</v>
      </c>
      <c r="D12" s="285">
        <f t="shared" si="1"/>
        <v>1513.2419020236639</v>
      </c>
      <c r="E12" s="384">
        <f t="shared" si="0"/>
        <v>5.593247004572531E-2</v>
      </c>
      <c r="F12" s="350">
        <f t="shared" si="2"/>
        <v>1.2391709475479117E-2</v>
      </c>
      <c r="G12" s="351">
        <f t="shared" si="2"/>
        <v>7.7469979927875854E-2</v>
      </c>
      <c r="J12" s="276">
        <v>2015</v>
      </c>
      <c r="K12" s="285">
        <f>'Nonurban Pass Adoption'!B11</f>
        <v>26650.135894561492</v>
      </c>
    </row>
    <row r="13" spans="1:12" ht="14.4" x14ac:dyDescent="0.3">
      <c r="A13" s="293" t="s">
        <v>339</v>
      </c>
      <c r="B13" s="375">
        <v>486.49315299170752</v>
      </c>
      <c r="C13" s="375">
        <v>4769.6237823698702</v>
      </c>
      <c r="D13" s="285">
        <f t="shared" si="1"/>
        <v>5256.1169353615778</v>
      </c>
      <c r="E13" s="384">
        <f t="shared" si="0"/>
        <v>0.19427667357795886</v>
      </c>
      <c r="F13" s="350">
        <f t="shared" si="2"/>
        <v>5.4334150980681964E-2</v>
      </c>
      <c r="G13" s="351">
        <f t="shared" si="2"/>
        <v>0.26349947593368001</v>
      </c>
      <c r="J13" s="504">
        <v>2016</v>
      </c>
      <c r="K13" s="285">
        <f>'Nonurban Pass Adoption'!B12</f>
        <v>27523.033303576412</v>
      </c>
    </row>
    <row r="14" spans="1:12" ht="14.4" x14ac:dyDescent="0.3">
      <c r="A14" s="293" t="s">
        <v>340</v>
      </c>
      <c r="B14" s="375">
        <v>834.95621298379797</v>
      </c>
      <c r="C14" s="375">
        <v>3231.8747212962603</v>
      </c>
      <c r="D14" s="285">
        <f t="shared" si="1"/>
        <v>4066.8309342800585</v>
      </c>
      <c r="E14" s="384">
        <f t="shared" si="0"/>
        <v>0.1503182664374115</v>
      </c>
      <c r="F14" s="350">
        <f t="shared" si="2"/>
        <v>9.325236472401785E-2</v>
      </c>
      <c r="G14" s="351">
        <f t="shared" si="2"/>
        <v>0.17854600995840844</v>
      </c>
      <c r="J14" s="504">
        <v>2017</v>
      </c>
      <c r="K14" s="285">
        <f>'Nonurban Pass Adoption'!B13</f>
        <v>28411.259149408132</v>
      </c>
    </row>
    <row r="15" spans="1:12" ht="15" thickBot="1" x14ac:dyDescent="0.35">
      <c r="A15" s="293" t="s">
        <v>392</v>
      </c>
      <c r="B15" s="375">
        <v>3579.2380626818126</v>
      </c>
      <c r="C15" s="375">
        <v>2615.5843625581097</v>
      </c>
      <c r="D15" s="285">
        <f t="shared" si="1"/>
        <v>6194.8224252399223</v>
      </c>
      <c r="E15" s="384">
        <f t="shared" si="0"/>
        <v>0.22897312007746728</v>
      </c>
      <c r="F15" s="352">
        <f t="shared" si="2"/>
        <v>0.39974840364684872</v>
      </c>
      <c r="G15" s="353">
        <f t="shared" si="2"/>
        <v>0.14449884104946048</v>
      </c>
      <c r="J15" s="504">
        <v>2018</v>
      </c>
      <c r="K15" s="285">
        <f>'Nonurban Pass Adoption'!B14</f>
        <v>29314.817849269726</v>
      </c>
    </row>
    <row r="16" spans="1:12" s="296" customFormat="1" ht="15" thickBot="1" x14ac:dyDescent="0.35">
      <c r="A16" s="294" t="s">
        <v>327</v>
      </c>
      <c r="B16" s="347">
        <f>SUM(B8:B15)</f>
        <v>8953.7269693360249</v>
      </c>
      <c r="C16" s="347">
        <f>SUM(C8:C15)</f>
        <v>18101.075022898087</v>
      </c>
      <c r="D16" s="347">
        <f>SUM(D8:D15)</f>
        <v>27054.801992234112</v>
      </c>
      <c r="E16" s="385">
        <f t="shared" si="0"/>
        <v>1</v>
      </c>
      <c r="F16" s="355">
        <f t="shared" si="2"/>
        <v>1</v>
      </c>
      <c r="G16" s="356">
        <f t="shared" si="2"/>
        <v>1</v>
      </c>
      <c r="H16" s="276"/>
      <c r="J16" s="504">
        <v>2019</v>
      </c>
      <c r="K16" s="285">
        <f>'Nonurban Pass Adoption'!B15</f>
        <v>30233.500371254417</v>
      </c>
    </row>
    <row r="17" spans="1:16" ht="14.4" x14ac:dyDescent="0.3">
      <c r="A17" s="297"/>
      <c r="B17" s="298"/>
      <c r="C17" s="299"/>
      <c r="J17" s="504">
        <v>2020</v>
      </c>
      <c r="K17" s="285">
        <f>'Nonurban Pass Adoption'!B16</f>
        <v>31169.676322327818</v>
      </c>
    </row>
    <row r="18" spans="1:16" x14ac:dyDescent="0.25">
      <c r="A18" s="324" t="s">
        <v>312</v>
      </c>
      <c r="B18" s="498" t="s">
        <v>500</v>
      </c>
      <c r="C18" s="324"/>
      <c r="D18" s="505"/>
      <c r="E18" s="505"/>
      <c r="F18" s="505"/>
      <c r="G18" s="505"/>
      <c r="H18" s="505"/>
      <c r="I18" s="504"/>
    </row>
    <row r="19" spans="1:16" s="504" customFormat="1" x14ac:dyDescent="0.25"/>
    <row r="20" spans="1:16" ht="13.8" thickBot="1" x14ac:dyDescent="0.3">
      <c r="A20" s="288">
        <v>2</v>
      </c>
    </row>
    <row r="21" spans="1:16" x14ac:dyDescent="0.25">
      <c r="A21" s="949" t="s">
        <v>341</v>
      </c>
      <c r="B21" s="950"/>
      <c r="C21" s="950"/>
      <c r="D21" s="950"/>
      <c r="E21" s="950"/>
      <c r="F21" s="951"/>
      <c r="P21" s="504"/>
    </row>
    <row r="22" spans="1:16" x14ac:dyDescent="0.25">
      <c r="A22" s="941" t="s">
        <v>342</v>
      </c>
      <c r="B22" s="942"/>
      <c r="C22" s="942"/>
      <c r="D22" s="300"/>
      <c r="E22" s="300"/>
      <c r="F22" s="301"/>
      <c r="O22" s="504"/>
      <c r="P22" s="504"/>
    </row>
    <row r="23" spans="1:16" x14ac:dyDescent="0.25">
      <c r="A23" s="280" t="s">
        <v>310</v>
      </c>
      <c r="B23" s="281" t="s">
        <v>224</v>
      </c>
      <c r="C23" s="281" t="s">
        <v>311</v>
      </c>
      <c r="D23" s="281" t="s">
        <v>343</v>
      </c>
      <c r="E23" s="281" t="s">
        <v>393</v>
      </c>
      <c r="F23" s="302" t="s">
        <v>394</v>
      </c>
      <c r="O23" s="504"/>
      <c r="P23" s="504"/>
    </row>
    <row r="24" spans="1:16" x14ac:dyDescent="0.25">
      <c r="A24" s="303" t="s">
        <v>346</v>
      </c>
      <c r="B24" s="386">
        <v>23113.3198650013</v>
      </c>
      <c r="C24" s="357">
        <f t="shared" ref="C24:C29" si="3">B24/$B$30</f>
        <v>0.41641068284483951</v>
      </c>
      <c r="D24" s="444">
        <v>0.54949430457840553</v>
      </c>
      <c r="E24" s="360">
        <f>B24*(1-D24)</f>
        <v>10412.682239284164</v>
      </c>
      <c r="F24" s="351">
        <f>E24/$E$30</f>
        <v>0.371054166253726</v>
      </c>
      <c r="G24" s="324" t="s">
        <v>314</v>
      </c>
      <c r="O24" s="504"/>
      <c r="P24" s="504"/>
    </row>
    <row r="25" spans="1:16" x14ac:dyDescent="0.25">
      <c r="A25" s="303" t="s">
        <v>347</v>
      </c>
      <c r="B25" s="386">
        <v>18613.1703901398</v>
      </c>
      <c r="C25" s="357">
        <f t="shared" si="3"/>
        <v>0.33533577336944043</v>
      </c>
      <c r="D25" s="376">
        <v>0.53422962627817883</v>
      </c>
      <c r="E25" s="360">
        <f t="shared" ref="E25:E29" si="4">B25*(1-D25)</f>
        <v>8669.4633287633496</v>
      </c>
      <c r="F25" s="351">
        <f>E25/$E$30</f>
        <v>0.30893485591880343</v>
      </c>
      <c r="G25" s="324">
        <v>1</v>
      </c>
      <c r="H25" s="955" t="s">
        <v>349</v>
      </c>
      <c r="I25" s="955"/>
      <c r="J25" s="955"/>
      <c r="K25" s="955"/>
      <c r="L25" s="955"/>
      <c r="O25" s="504"/>
      <c r="P25" s="504"/>
    </row>
    <row r="26" spans="1:16" x14ac:dyDescent="0.25">
      <c r="A26" s="303" t="s">
        <v>348</v>
      </c>
      <c r="B26" s="386">
        <v>3754.0023380490902</v>
      </c>
      <c r="C26" s="357">
        <f t="shared" si="3"/>
        <v>6.7632286755793469E-2</v>
      </c>
      <c r="D26" s="376">
        <v>1</v>
      </c>
      <c r="E26" s="360">
        <f t="shared" si="4"/>
        <v>0</v>
      </c>
      <c r="F26" s="351">
        <f>E26/$E$30</f>
        <v>0</v>
      </c>
      <c r="H26" s="955"/>
      <c r="I26" s="955"/>
      <c r="J26" s="955"/>
      <c r="K26" s="955"/>
      <c r="L26" s="955"/>
      <c r="O26" s="504"/>
      <c r="P26" s="504"/>
    </row>
    <row r="27" spans="1:16" x14ac:dyDescent="0.25">
      <c r="A27" s="303" t="s">
        <v>350</v>
      </c>
      <c r="B27" s="386">
        <v>575.57086909098416</v>
      </c>
      <c r="C27" s="357">
        <f t="shared" si="3"/>
        <v>1.0369512472619474E-2</v>
      </c>
      <c r="D27" s="376">
        <v>1</v>
      </c>
      <c r="E27" s="360">
        <f t="shared" si="4"/>
        <v>0</v>
      </c>
      <c r="F27" s="351">
        <f>E27/$E$30</f>
        <v>0</v>
      </c>
      <c r="H27" s="955"/>
      <c r="I27" s="955"/>
      <c r="J27" s="955"/>
      <c r="K27" s="955"/>
      <c r="L27" s="955"/>
      <c r="O27" s="504"/>
      <c r="P27" s="504"/>
    </row>
    <row r="28" spans="1:16" x14ac:dyDescent="0.25">
      <c r="A28" s="303" t="s">
        <v>351</v>
      </c>
      <c r="B28" s="386">
        <v>3820.8121773429439</v>
      </c>
      <c r="C28" s="357">
        <f t="shared" si="3"/>
        <v>6.8835936035239215E-2</v>
      </c>
      <c r="D28" s="376">
        <v>0.12293688373920549</v>
      </c>
      <c r="E28" s="360">
        <f t="shared" si="4"/>
        <v>3351.0934349075937</v>
      </c>
      <c r="F28" s="351">
        <f>E28/$E$30</f>
        <v>0.11941564641594729</v>
      </c>
      <c r="O28" s="504"/>
      <c r="P28" s="504"/>
    </row>
    <row r="29" spans="1:16" x14ac:dyDescent="0.25">
      <c r="A29" s="303" t="s">
        <v>352</v>
      </c>
      <c r="B29" s="386">
        <v>5629.1928096660076</v>
      </c>
      <c r="C29" s="357">
        <f t="shared" si="3"/>
        <v>0.10141580852206801</v>
      </c>
      <c r="D29" s="376">
        <v>0</v>
      </c>
      <c r="E29" s="360">
        <f t="shared" si="4"/>
        <v>5629.1928096660076</v>
      </c>
      <c r="F29" s="362"/>
    </row>
    <row r="30" spans="1:16" ht="13.8" thickBot="1" x14ac:dyDescent="0.3">
      <c r="A30" s="304" t="s">
        <v>353</v>
      </c>
      <c r="B30" s="359">
        <f>SUM(B24:B29)</f>
        <v>55506.06844929012</v>
      </c>
      <c r="C30" s="358">
        <v>1</v>
      </c>
      <c r="D30" s="365"/>
      <c r="E30" s="363">
        <f>SUM(E24:E29)</f>
        <v>28062.431812621115</v>
      </c>
      <c r="F30" s="364"/>
    </row>
    <row r="32" spans="1:16" s="504" customFormat="1" x14ac:dyDescent="0.25">
      <c r="A32" s="324" t="s">
        <v>312</v>
      </c>
      <c r="B32" s="498" t="s">
        <v>499</v>
      </c>
      <c r="C32" s="499"/>
      <c r="D32" s="499"/>
      <c r="E32" s="499"/>
      <c r="F32" s="516"/>
    </row>
    <row r="33" spans="1:23" ht="15" x14ac:dyDescent="0.25">
      <c r="I33" s="276" t="s">
        <v>501</v>
      </c>
      <c r="J33" s="517">
        <v>2012</v>
      </c>
      <c r="K33" s="517">
        <v>2013</v>
      </c>
      <c r="L33" s="517">
        <v>2014</v>
      </c>
      <c r="M33" s="517">
        <v>2015</v>
      </c>
      <c r="N33" s="517">
        <v>2016</v>
      </c>
      <c r="O33" s="517">
        <v>2017</v>
      </c>
      <c r="P33" s="361">
        <f>K6</f>
        <v>2018</v>
      </c>
      <c r="S33" s="283"/>
      <c r="T33" s="283"/>
      <c r="U33" s="283"/>
      <c r="V33" s="283"/>
      <c r="W33" s="283"/>
    </row>
    <row r="34" spans="1:23" ht="13.8" thickBot="1" x14ac:dyDescent="0.3">
      <c r="A34" s="288">
        <v>3</v>
      </c>
      <c r="I34" s="276" t="s">
        <v>502</v>
      </c>
      <c r="J34" s="482">
        <v>363</v>
      </c>
      <c r="K34" s="482">
        <v>440.1</v>
      </c>
      <c r="L34" s="482">
        <v>512.4</v>
      </c>
      <c r="M34" s="482">
        <v>631.4</v>
      </c>
      <c r="N34" s="482">
        <v>718.7</v>
      </c>
      <c r="O34" s="482">
        <v>844.8</v>
      </c>
      <c r="P34" s="361">
        <f>IFERROR(HLOOKUP($P$33,$J$33:$O$34,2,0),FORECAST(P$33,$J34:$O34,$J$33:$O$33))</f>
        <v>921.4466666666558</v>
      </c>
    </row>
    <row r="35" spans="1:23" ht="26.4" x14ac:dyDescent="0.25">
      <c r="A35" s="320" t="s">
        <v>395</v>
      </c>
      <c r="B35" s="518" t="str">
        <f>CONCATENATE("billion pkm -",P33)</f>
        <v>billion pkm -2018</v>
      </c>
      <c r="C35" s="324" t="s">
        <v>314</v>
      </c>
      <c r="G35" s="504"/>
      <c r="H35" s="504"/>
    </row>
    <row r="36" spans="1:23" ht="13.2" customHeight="1" x14ac:dyDescent="0.25">
      <c r="A36" s="303" t="s">
        <v>396</v>
      </c>
      <c r="B36" s="406">
        <f>P34</f>
        <v>921.4466666666558</v>
      </c>
      <c r="C36" s="324">
        <v>1</v>
      </c>
      <c r="D36" s="953" t="s">
        <v>599</v>
      </c>
      <c r="E36" s="953"/>
      <c r="F36" s="953"/>
      <c r="G36" s="953"/>
      <c r="H36" s="504"/>
      <c r="I36" s="324" t="s">
        <v>312</v>
      </c>
      <c r="J36" s="954" t="s">
        <v>507</v>
      </c>
      <c r="K36" s="954"/>
      <c r="L36" s="954"/>
      <c r="M36" s="954"/>
      <c r="N36" s="954"/>
    </row>
    <row r="37" spans="1:23" ht="13.8" thickBot="1" x14ac:dyDescent="0.3">
      <c r="A37" s="407" t="s">
        <v>397</v>
      </c>
      <c r="B37" s="408" t="s">
        <v>398</v>
      </c>
      <c r="C37" s="504"/>
      <c r="D37" s="504"/>
      <c r="E37" s="504"/>
      <c r="F37" s="504"/>
      <c r="G37" s="504"/>
      <c r="H37" s="504"/>
      <c r="J37" s="954"/>
      <c r="K37" s="954"/>
      <c r="L37" s="954"/>
      <c r="M37" s="954"/>
      <c r="N37" s="954"/>
    </row>
    <row r="38" spans="1:23" x14ac:dyDescent="0.25">
      <c r="C38" s="504"/>
      <c r="D38" s="504"/>
      <c r="E38" s="504"/>
      <c r="F38" s="504"/>
      <c r="G38" s="504"/>
      <c r="H38" s="504"/>
    </row>
    <row r="39" spans="1:23" s="504" customFormat="1" ht="13.8" thickBot="1" x14ac:dyDescent="0.3">
      <c r="J39" s="303" t="s">
        <v>361</v>
      </c>
      <c r="K39" s="303" t="str">
        <f>CONCATENATE("millions of cars in ",Carshare!$N$2)</f>
        <v>millions of cars in 2018</v>
      </c>
      <c r="L39" s="303"/>
    </row>
    <row r="40" spans="1:23" ht="14.4" x14ac:dyDescent="0.3">
      <c r="A40" s="949" t="str">
        <f>CONCATENATE("Summary from Sources Above- Scaled to ",K6)</f>
        <v>Summary from Sources Above- Scaled to 2018</v>
      </c>
      <c r="B40" s="950"/>
      <c r="C40" s="950"/>
      <c r="D40" s="950"/>
      <c r="E40" s="951"/>
      <c r="J40" s="303" t="s">
        <v>364</v>
      </c>
      <c r="K40" s="360">
        <f>'Modeshare URBAN'!K60</f>
        <v>895.91262282047683</v>
      </c>
      <c r="L40" s="368">
        <f t="shared" ref="L40:L46" si="5">K40/SUM($K$40:$K$46)</f>
        <v>0.79516266667555713</v>
      </c>
    </row>
    <row r="41" spans="1:23" ht="14.4" x14ac:dyDescent="0.3">
      <c r="A41" s="284"/>
      <c r="B41" s="289" t="s">
        <v>399</v>
      </c>
      <c r="C41" s="289" t="s">
        <v>400</v>
      </c>
      <c r="D41" s="289" t="s">
        <v>362</v>
      </c>
      <c r="E41" s="290" t="s">
        <v>363</v>
      </c>
      <c r="J41" s="303" t="s">
        <v>365</v>
      </c>
      <c r="K41" s="360">
        <f>'Modeshare URBAN'!K61</f>
        <v>168.54825062352393</v>
      </c>
      <c r="L41" s="368">
        <f t="shared" si="5"/>
        <v>0.14959413788297193</v>
      </c>
    </row>
    <row r="42" spans="1:23" ht="14.4" x14ac:dyDescent="0.3">
      <c r="A42" s="284" t="s">
        <v>313</v>
      </c>
      <c r="B42" s="366">
        <f>SUM(D10:D11)/$K$12*VLOOKUP($K$6,$J$9:$K$17,2,0)</f>
        <v>11026.044038649736</v>
      </c>
      <c r="C42" s="366">
        <f>E24/$K$9*VLOOKUP($K$6,$J$9:$K$17,2,0)</f>
        <v>12748.513975620206</v>
      </c>
      <c r="D42" s="367">
        <f>AVERAGE(B42:C42)</f>
        <v>11887.27900713497</v>
      </c>
      <c r="E42" s="512">
        <f>D42/SUM($D$42:$D$46)</f>
        <v>0.37079670558782363</v>
      </c>
      <c r="J42" s="303" t="s">
        <v>366</v>
      </c>
      <c r="K42" s="360">
        <f>'Modeshare URBAN'!K62</f>
        <v>41.211996368181644</v>
      </c>
      <c r="L42" s="368">
        <f t="shared" si="5"/>
        <v>3.6577496617896409E-2</v>
      </c>
    </row>
    <row r="43" spans="1:23" ht="14.4" x14ac:dyDescent="0.3">
      <c r="A43" s="284" t="s">
        <v>401</v>
      </c>
      <c r="B43" s="366">
        <f>SUM(D12:D13)/$K$12*VLOOKUP($K$6,$J$9:$K$17,2,0)</f>
        <v>7446.2104831063516</v>
      </c>
      <c r="C43" s="366">
        <f>E25/$K$9*VLOOKUP($K$6,$J$9:$K$17,2,0)</f>
        <v>10614.246345758505</v>
      </c>
      <c r="D43" s="367">
        <f t="shared" ref="D43:D46" si="6">AVERAGE(B43:C43)</f>
        <v>9030.2284144324294</v>
      </c>
      <c r="E43" s="512">
        <f t="shared" ref="E43:E46" si="7">D43/SUM($D$42:$D$46)</f>
        <v>0.28167749278597232</v>
      </c>
      <c r="J43" s="303" t="s">
        <v>261</v>
      </c>
      <c r="K43" s="360">
        <f>'Modeshare URBAN'!K63</f>
        <v>15.445313428</v>
      </c>
      <c r="L43" s="368">
        <f t="shared" si="5"/>
        <v>1.3708408945488481E-2</v>
      </c>
    </row>
    <row r="44" spans="1:23" ht="14.4" x14ac:dyDescent="0.3">
      <c r="A44" s="284" t="s">
        <v>396</v>
      </c>
      <c r="B44" s="366">
        <f>B36</f>
        <v>921.4466666666558</v>
      </c>
      <c r="C44" s="366">
        <f>B36</f>
        <v>921.4466666666558</v>
      </c>
      <c r="D44" s="367">
        <f t="shared" si="6"/>
        <v>921.4466666666558</v>
      </c>
      <c r="E44" s="512">
        <f t="shared" si="7"/>
        <v>2.8742438717035329E-2</v>
      </c>
      <c r="J44" s="303" t="s">
        <v>367</v>
      </c>
      <c r="K44" s="360">
        <f>'Modeshare URBAN'!K64</f>
        <v>2.6309330839022524</v>
      </c>
      <c r="L44" s="368">
        <f t="shared" si="5"/>
        <v>2.3350712039915769E-3</v>
      </c>
    </row>
    <row r="45" spans="1:23" ht="14.4" x14ac:dyDescent="0.3">
      <c r="A45" s="402" t="s">
        <v>402</v>
      </c>
      <c r="B45" s="366">
        <f>D14/$K$12*VLOOKUP($K$6,$J$9:$K$17,2,0)-B44</f>
        <v>3552.016753327548</v>
      </c>
      <c r="C45" s="366">
        <f>E28/$K$9*VLOOKUP($K$6,$J$9:$K$17,2,0)-C44</f>
        <v>3181.3829892074418</v>
      </c>
      <c r="D45" s="367">
        <f t="shared" si="6"/>
        <v>3366.6998712674949</v>
      </c>
      <c r="E45" s="512">
        <f t="shared" si="7"/>
        <v>0.10501656604675022</v>
      </c>
      <c r="J45" s="303" t="s">
        <v>368</v>
      </c>
      <c r="K45" s="360">
        <f>'Modeshare URBAN'!K65</f>
        <v>2.6309330839022524</v>
      </c>
      <c r="L45" s="368">
        <f t="shared" si="5"/>
        <v>2.3350712039915769E-3</v>
      </c>
    </row>
    <row r="46" spans="1:23" ht="15" thickBot="1" x14ac:dyDescent="0.35">
      <c r="A46" s="321" t="s">
        <v>392</v>
      </c>
      <c r="B46" s="403">
        <f>D15/$K$12*VLOOKUP($K$6,$J$9:$K$17,2,0)</f>
        <v>6814.2275792874616</v>
      </c>
      <c r="C46" s="403">
        <f>E29/$K$9*VLOOKUP($K$6,$J$9:$K$17,2,0)</f>
        <v>6891.9651590579397</v>
      </c>
      <c r="D46" s="404">
        <f t="shared" si="6"/>
        <v>6853.0963691727011</v>
      </c>
      <c r="E46" s="519">
        <f t="shared" si="7"/>
        <v>0.21376679686241851</v>
      </c>
      <c r="J46" s="303" t="s">
        <v>369</v>
      </c>
      <c r="K46" s="360">
        <f>'Modeshare URBAN'!K66</f>
        <v>0.32353008240662007</v>
      </c>
      <c r="L46" s="368">
        <f t="shared" si="5"/>
        <v>2.8714747010296385E-4</v>
      </c>
    </row>
    <row r="48" spans="1:23" ht="14.4" x14ac:dyDescent="0.3">
      <c r="J48" s="374" t="s">
        <v>312</v>
      </c>
      <c r="K48" s="509" t="s">
        <v>496</v>
      </c>
      <c r="L48" s="509"/>
    </row>
    <row r="49" spans="1:15" ht="13.8" thickBot="1" x14ac:dyDescent="0.3"/>
    <row r="50" spans="1:15" s="530" customFormat="1" ht="40.200000000000003" thickBot="1" x14ac:dyDescent="0.3">
      <c r="A50" s="526" t="s">
        <v>370</v>
      </c>
      <c r="B50" s="527" t="str">
        <f>CONCATENATE("Modeshares - ",$K$6)</f>
        <v>Modeshares - 2018</v>
      </c>
      <c r="C50" s="528" t="s">
        <v>403</v>
      </c>
      <c r="F50" s="526" t="s">
        <v>404</v>
      </c>
      <c r="G50" s="527" t="str">
        <f>CONCATENATE("Modeshares - ",$K$6)</f>
        <v>Modeshares - 2018</v>
      </c>
      <c r="H50" s="528" t="s">
        <v>403</v>
      </c>
      <c r="I50" s="530" t="s">
        <v>374</v>
      </c>
      <c r="J50" s="526" t="s">
        <v>404</v>
      </c>
      <c r="K50" s="528" t="str">
        <f>CONCATENATE("Modeshares - ",$K$6)</f>
        <v>Modeshares - 2018</v>
      </c>
    </row>
    <row r="51" spans="1:15" ht="14.4" x14ac:dyDescent="0.3">
      <c r="A51" s="303" t="s">
        <v>364</v>
      </c>
      <c r="B51" s="382">
        <f t="shared" ref="B51:B57" si="8">$E$42*L40</f>
        <v>0.29484369720972531</v>
      </c>
      <c r="C51" s="380">
        <f t="shared" ref="C51:C57" si="9">$D$42*L40</f>
        <v>9452.3204748298122</v>
      </c>
      <c r="F51" s="303" t="s">
        <v>375</v>
      </c>
      <c r="G51" s="382">
        <f>SUM(B51:B52)</f>
        <v>0.35031271071198194</v>
      </c>
      <c r="H51" s="380">
        <f>SUM(C51:C52)</f>
        <v>11230.587729676519</v>
      </c>
      <c r="I51" s="276" t="s">
        <v>376</v>
      </c>
      <c r="J51" s="320" t="s">
        <v>402</v>
      </c>
      <c r="K51" s="531">
        <f>G57</f>
        <v>0.10501656604675022</v>
      </c>
    </row>
    <row r="52" spans="1:15" ht="14.4" x14ac:dyDescent="0.3">
      <c r="A52" s="303" t="s">
        <v>365</v>
      </c>
      <c r="B52" s="382">
        <f t="shared" si="8"/>
        <v>5.5469013502256637E-2</v>
      </c>
      <c r="C52" s="380">
        <f t="shared" si="9"/>
        <v>1778.2672548467065</v>
      </c>
      <c r="F52" s="303" t="s">
        <v>377</v>
      </c>
      <c r="G52" s="382">
        <f>B54</f>
        <v>5.0830328758377803E-3</v>
      </c>
      <c r="H52" s="380">
        <f>C54</f>
        <v>162.95568187892644</v>
      </c>
      <c r="I52" s="276" t="s">
        <v>378</v>
      </c>
      <c r="J52" s="303" t="s">
        <v>392</v>
      </c>
      <c r="K52" s="532">
        <f>G58</f>
        <v>0.21376679686241851</v>
      </c>
    </row>
    <row r="53" spans="1:15" ht="14.4" x14ac:dyDescent="0.3">
      <c r="A53" s="303" t="s">
        <v>366</v>
      </c>
      <c r="B53" s="382">
        <f t="shared" si="8"/>
        <v>1.3562815244565748E-2</v>
      </c>
      <c r="C53" s="380">
        <f t="shared" si="9"/>
        <v>434.80690767947033</v>
      </c>
      <c r="F53" s="303" t="s">
        <v>380</v>
      </c>
      <c r="G53" s="382">
        <f>SUM(B55:B56)</f>
        <v>1.7316734195061392E-3</v>
      </c>
      <c r="H53" s="380">
        <f>SUM(C55:C56)</f>
        <v>55.515285806748899</v>
      </c>
      <c r="I53" s="276" t="s">
        <v>260</v>
      </c>
      <c r="J53" s="303" t="s">
        <v>405</v>
      </c>
      <c r="K53" s="532">
        <f>SUM(G51:G54)</f>
        <v>0.37079670558782368</v>
      </c>
    </row>
    <row r="54" spans="1:15" ht="14.4" x14ac:dyDescent="0.3">
      <c r="A54" s="303" t="s">
        <v>261</v>
      </c>
      <c r="B54" s="382">
        <f t="shared" si="8"/>
        <v>5.0830328758377803E-3</v>
      </c>
      <c r="C54" s="380">
        <f t="shared" si="9"/>
        <v>162.95568187892644</v>
      </c>
      <c r="F54" s="303" t="s">
        <v>382</v>
      </c>
      <c r="G54" s="382">
        <f>SUM(B53,B57)</f>
        <v>1.3669288580497806E-2</v>
      </c>
      <c r="H54" s="380">
        <f>SUM(C53,C57)</f>
        <v>438.22030977277723</v>
      </c>
      <c r="J54" s="303" t="s">
        <v>401</v>
      </c>
      <c r="K54" s="532">
        <f>G55</f>
        <v>0.28167749278597232</v>
      </c>
    </row>
    <row r="55" spans="1:15" ht="14.4" x14ac:dyDescent="0.3">
      <c r="A55" s="303" t="s">
        <v>367</v>
      </c>
      <c r="B55" s="382">
        <f t="shared" si="8"/>
        <v>8.6583670975306961E-4</v>
      </c>
      <c r="C55" s="380">
        <f t="shared" si="9"/>
        <v>27.75764290337445</v>
      </c>
      <c r="F55" s="303" t="s">
        <v>406</v>
      </c>
      <c r="G55" s="382">
        <f t="shared" ref="G55:H58" si="10">B58</f>
        <v>0.28167749278597232</v>
      </c>
      <c r="H55" s="380">
        <f t="shared" si="10"/>
        <v>9030.2284144324294</v>
      </c>
      <c r="J55" s="303" t="s">
        <v>396</v>
      </c>
      <c r="K55" s="532">
        <f>G56</f>
        <v>2.8742438717035329E-2</v>
      </c>
    </row>
    <row r="56" spans="1:15" ht="15" thickBot="1" x14ac:dyDescent="0.35">
      <c r="A56" s="303" t="s">
        <v>368</v>
      </c>
      <c r="B56" s="382">
        <f t="shared" si="8"/>
        <v>8.6583670975306961E-4</v>
      </c>
      <c r="C56" s="380">
        <f t="shared" si="9"/>
        <v>27.75764290337445</v>
      </c>
      <c r="F56" s="303" t="s">
        <v>396</v>
      </c>
      <c r="G56" s="382">
        <f t="shared" si="10"/>
        <v>2.8742438717035329E-2</v>
      </c>
      <c r="H56" s="380">
        <f t="shared" si="10"/>
        <v>921.4466666666558</v>
      </c>
      <c r="I56" s="276" t="s">
        <v>396</v>
      </c>
      <c r="J56" s="321" t="s">
        <v>353</v>
      </c>
      <c r="K56" s="533">
        <f>SUM(K51:K55)</f>
        <v>1</v>
      </c>
    </row>
    <row r="57" spans="1:15" ht="14.4" x14ac:dyDescent="0.3">
      <c r="A57" s="303" t="s">
        <v>369</v>
      </c>
      <c r="B57" s="382">
        <f t="shared" si="8"/>
        <v>1.0647333593205707E-4</v>
      </c>
      <c r="C57" s="380">
        <f t="shared" si="9"/>
        <v>3.4134020933068787</v>
      </c>
      <c r="F57" s="303" t="s">
        <v>402</v>
      </c>
      <c r="G57" s="382">
        <f t="shared" si="10"/>
        <v>0.10501656604675022</v>
      </c>
      <c r="H57" s="380">
        <f t="shared" si="10"/>
        <v>3366.6998712674949</v>
      </c>
    </row>
    <row r="58" spans="1:15" ht="14.4" x14ac:dyDescent="0.3">
      <c r="A58" s="284" t="s">
        <v>401</v>
      </c>
      <c r="B58" s="382">
        <f>E43</f>
        <v>0.28167749278597232</v>
      </c>
      <c r="C58" s="380">
        <f>D43</f>
        <v>9030.2284144324294</v>
      </c>
      <c r="F58" s="303" t="s">
        <v>392</v>
      </c>
      <c r="G58" s="382">
        <f t="shared" si="10"/>
        <v>0.21376679686241851</v>
      </c>
      <c r="H58" s="380">
        <f t="shared" si="10"/>
        <v>6853.0963691727011</v>
      </c>
      <c r="I58" s="276" t="s">
        <v>407</v>
      </c>
    </row>
    <row r="59" spans="1:15" ht="15" thickBot="1" x14ac:dyDescent="0.35">
      <c r="A59" s="284" t="s">
        <v>396</v>
      </c>
      <c r="B59" s="382">
        <f>E44</f>
        <v>2.8742438717035329E-2</v>
      </c>
      <c r="C59" s="380">
        <f>D44</f>
        <v>921.4466666666558</v>
      </c>
      <c r="F59" s="321" t="s">
        <v>353</v>
      </c>
      <c r="G59" s="383">
        <f>SUM(G51:G58)</f>
        <v>1</v>
      </c>
      <c r="H59" s="381">
        <f>SUM(H51:H58)</f>
        <v>32058.750328674254</v>
      </c>
    </row>
    <row r="60" spans="1:15" ht="14.4" x14ac:dyDescent="0.3">
      <c r="A60" s="284" t="s">
        <v>402</v>
      </c>
      <c r="B60" s="382">
        <f>E45</f>
        <v>0.10501656604675022</v>
      </c>
      <c r="C60" s="380">
        <f>D45</f>
        <v>3366.6998712674949</v>
      </c>
    </row>
    <row r="61" spans="1:15" ht="14.4" x14ac:dyDescent="0.3">
      <c r="A61" s="284" t="s">
        <v>392</v>
      </c>
      <c r="B61" s="382">
        <f>E46</f>
        <v>0.21376679686241851</v>
      </c>
      <c r="C61" s="380">
        <f>D46</f>
        <v>6853.0963691727011</v>
      </c>
    </row>
    <row r="62" spans="1:15" ht="15" thickBot="1" x14ac:dyDescent="0.35">
      <c r="A62" s="321" t="s">
        <v>353</v>
      </c>
      <c r="B62" s="383">
        <f>SUM(B51:B61)</f>
        <v>1</v>
      </c>
      <c r="C62" s="381">
        <f>SUM(C51:C61)</f>
        <v>32058.750328674254</v>
      </c>
      <c r="F62" s="324" t="s">
        <v>312</v>
      </c>
      <c r="G62" s="952" t="s">
        <v>506</v>
      </c>
      <c r="H62" s="952"/>
      <c r="I62" s="952"/>
      <c r="J62" s="952"/>
      <c r="K62" s="952"/>
      <c r="L62" s="952"/>
      <c r="M62" s="952"/>
      <c r="N62" s="952"/>
      <c r="O62" s="952"/>
    </row>
    <row r="63" spans="1:15" x14ac:dyDescent="0.25">
      <c r="F63" s="324"/>
      <c r="G63" s="952"/>
      <c r="H63" s="952"/>
      <c r="I63" s="952"/>
      <c r="J63" s="952"/>
      <c r="K63" s="952"/>
      <c r="L63" s="952"/>
      <c r="M63" s="952"/>
      <c r="N63" s="952"/>
      <c r="O63" s="952"/>
    </row>
  </sheetData>
  <mergeCells count="12">
    <mergeCell ref="G62:O63"/>
    <mergeCell ref="D36:G36"/>
    <mergeCell ref="J36:N37"/>
    <mergeCell ref="A40:E40"/>
    <mergeCell ref="J3:L4"/>
    <mergeCell ref="A22:C22"/>
    <mergeCell ref="H25:L27"/>
    <mergeCell ref="A1:L1"/>
    <mergeCell ref="A2:L2"/>
    <mergeCell ref="A5:E5"/>
    <mergeCell ref="B6:C6"/>
    <mergeCell ref="A21:F21"/>
  </mergeCells>
  <conditionalFormatting sqref="C24:C30">
    <cfRule type="containsErrors" dxfId="6" priority="2">
      <formula>ISERROR(C24)</formula>
    </cfRule>
  </conditionalFormatting>
  <conditionalFormatting sqref="B24:B29">
    <cfRule type="containsErrors" dxfId="5" priority="1">
      <formula>ISERROR(B24)</formula>
    </cfRule>
  </conditionalFormatting>
  <hyperlinks>
    <hyperlink ref="B32" r:id="rId1" display="ICCT roadmap model 2012" xr:uid="{42507995-F6DE-4079-8D16-74CBD43C025F}"/>
    <hyperlink ref="J3:L4" location="'Table of Contents'!A1" display="Back to Table of Contents" xr:uid="{8CA9B521-DFAD-415E-9E69-CE088A9BBAF7}"/>
    <hyperlink ref="K48:L48" location="Carshare!A1" display="Carshare Tab" xr:uid="{57C97D64-2126-406B-A6B8-5C2D7F3A7A1F}"/>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5F45A-6453-4693-AFEC-4300B2C65D0C}">
  <sheetPr codeName="Sheet17">
    <tabColor theme="4" tint="0.39997558519241921"/>
  </sheetPr>
  <dimension ref="A1:N65"/>
  <sheetViews>
    <sheetView zoomScaleNormal="100" workbookViewId="0">
      <selection activeCell="D9" sqref="D9"/>
    </sheetView>
  </sheetViews>
  <sheetFormatPr defaultColWidth="8.88671875" defaultRowHeight="13.2" x14ac:dyDescent="0.25"/>
  <cols>
    <col min="1" max="1" width="28.88671875" style="276" customWidth="1"/>
    <col min="2" max="2" width="11.88671875" style="276" customWidth="1"/>
    <col min="3" max="3" width="15" style="276" customWidth="1"/>
    <col min="4" max="4" width="17.88671875" style="276" customWidth="1"/>
    <col min="5" max="5" width="18" style="276" customWidth="1"/>
    <col min="6" max="6" width="18.6640625" style="276" customWidth="1"/>
    <col min="7" max="7" width="12.44140625" style="276" bestFit="1" customWidth="1"/>
    <col min="8" max="8" width="17.77734375" style="276" bestFit="1" customWidth="1"/>
    <col min="9" max="9" width="11.88671875" style="276" bestFit="1" customWidth="1"/>
    <col min="10" max="10" width="16.44140625" style="276" bestFit="1" customWidth="1"/>
    <col min="11" max="11" width="9.77734375" style="276" customWidth="1"/>
    <col min="12" max="12" width="8.88671875" style="276"/>
    <col min="13" max="13" width="4.6640625" style="276" bestFit="1" customWidth="1"/>
    <col min="14" max="16384" width="8.88671875" style="276"/>
  </cols>
  <sheetData>
    <row r="1" spans="1:12" ht="23.25" customHeight="1" x14ac:dyDescent="0.25">
      <c r="A1" s="938" t="s">
        <v>390</v>
      </c>
      <c r="B1" s="938"/>
      <c r="C1" s="938"/>
      <c r="D1" s="938"/>
      <c r="E1" s="938"/>
      <c r="F1" s="938"/>
      <c r="G1" s="938"/>
      <c r="H1" s="938"/>
      <c r="I1" s="938"/>
      <c r="J1" s="938"/>
      <c r="K1" s="938"/>
      <c r="L1" s="938"/>
    </row>
    <row r="2" spans="1:12" ht="30.75" customHeight="1" thickBot="1" x14ac:dyDescent="0.3">
      <c r="A2" s="939" t="s">
        <v>309</v>
      </c>
      <c r="B2" s="939"/>
      <c r="C2" s="939"/>
      <c r="D2" s="939"/>
      <c r="E2" s="939"/>
      <c r="F2" s="939"/>
      <c r="G2" s="939"/>
      <c r="H2" s="939"/>
      <c r="I2" s="939"/>
      <c r="J2" s="939"/>
      <c r="K2" s="939"/>
      <c r="L2" s="939"/>
    </row>
    <row r="3" spans="1:12" ht="15.75" customHeight="1" x14ac:dyDescent="0.25">
      <c r="A3" s="277"/>
      <c r="B3" s="278"/>
      <c r="C3" s="278"/>
      <c r="D3" s="278"/>
      <c r="E3" s="278"/>
      <c r="F3" s="278"/>
      <c r="G3" s="278"/>
      <c r="H3" s="278"/>
      <c r="I3" s="278"/>
      <c r="J3" s="815" t="s">
        <v>467</v>
      </c>
      <c r="K3" s="816"/>
      <c r="L3" s="817"/>
    </row>
    <row r="4" spans="1:12" ht="15" thickBot="1" x14ac:dyDescent="0.35">
      <c r="A4" s="288"/>
      <c r="F4" s="573" t="s">
        <v>487</v>
      </c>
      <c r="G4" s="482">
        <v>2018</v>
      </c>
      <c r="J4" s="818"/>
      <c r="K4" s="819"/>
      <c r="L4" s="820"/>
    </row>
    <row r="5" spans="1:12" x14ac:dyDescent="0.25">
      <c r="A5" s="300" t="s">
        <v>13</v>
      </c>
      <c r="B5" s="300" t="s">
        <v>408</v>
      </c>
    </row>
    <row r="7" spans="1:12" x14ac:dyDescent="0.25">
      <c r="A7" s="300"/>
      <c r="B7" s="289" t="s">
        <v>409</v>
      </c>
      <c r="C7" s="289" t="s">
        <v>363</v>
      </c>
    </row>
    <row r="8" spans="1:12" ht="14.4" x14ac:dyDescent="0.3">
      <c r="A8" s="300" t="s">
        <v>313</v>
      </c>
      <c r="B8" s="367">
        <f>'Modeshare URBAN'!F61</f>
        <v>12445.783069493986</v>
      </c>
      <c r="C8" s="388">
        <f>B8/SUM($B$8:$B$18)</f>
        <v>0.42202736028581411</v>
      </c>
      <c r="D8" s="324" t="s">
        <v>312</v>
      </c>
      <c r="E8" s="324"/>
      <c r="F8" s="324"/>
    </row>
    <row r="9" spans="1:12" ht="14.4" x14ac:dyDescent="0.3">
      <c r="A9" s="300" t="s">
        <v>315</v>
      </c>
      <c r="B9" s="367">
        <f>'Modeshare URBAN'!F62</f>
        <v>4280.2297074934204</v>
      </c>
      <c r="C9" s="388">
        <f t="shared" ref="C9:C18" si="0">B9/SUM($B$8:$B$18)</f>
        <v>0.14513944480504376</v>
      </c>
      <c r="D9" s="509" t="s">
        <v>410</v>
      </c>
      <c r="E9" s="509"/>
      <c r="F9" s="509"/>
    </row>
    <row r="10" spans="1:12" ht="14.4" x14ac:dyDescent="0.3">
      <c r="A10" s="300" t="s">
        <v>317</v>
      </c>
      <c r="B10" s="367">
        <f>'Modeshare URBAN'!F63</f>
        <v>6321.7326210834153</v>
      </c>
      <c r="C10" s="388">
        <f t="shared" si="0"/>
        <v>0.21436530876453935</v>
      </c>
    </row>
    <row r="11" spans="1:12" ht="14.4" x14ac:dyDescent="0.3">
      <c r="A11" s="300" t="s">
        <v>319</v>
      </c>
      <c r="B11" s="367">
        <f>'Modeshare URBAN'!F64</f>
        <v>93.259275965503534</v>
      </c>
      <c r="C11" s="388">
        <f t="shared" si="0"/>
        <v>3.1623535327687437E-3</v>
      </c>
    </row>
    <row r="12" spans="1:12" ht="14.4" x14ac:dyDescent="0.3">
      <c r="A12" s="300" t="s">
        <v>320</v>
      </c>
      <c r="B12" s="367">
        <f>'Modeshare URBAN'!F65</f>
        <v>2524.3297184212806</v>
      </c>
      <c r="C12" s="388">
        <f t="shared" si="0"/>
        <v>8.5598166190733668E-2</v>
      </c>
    </row>
    <row r="13" spans="1:12" ht="14.4" x14ac:dyDescent="0.3">
      <c r="A13" s="300" t="s">
        <v>321</v>
      </c>
      <c r="B13" s="367">
        <f>'Modeshare URBAN'!F66</f>
        <v>229.89191276822712</v>
      </c>
      <c r="C13" s="388">
        <f t="shared" si="0"/>
        <v>7.7954658662209957E-3</v>
      </c>
    </row>
    <row r="14" spans="1:12" ht="14.4" x14ac:dyDescent="0.3">
      <c r="A14" s="300" t="s">
        <v>322</v>
      </c>
      <c r="B14" s="367">
        <f>'Modeshare URBAN'!F67</f>
        <v>92.087629745069123</v>
      </c>
      <c r="C14" s="388">
        <f t="shared" si="0"/>
        <v>3.1226238702125341E-3</v>
      </c>
      <c r="J14" s="504"/>
      <c r="K14" s="504"/>
      <c r="L14" s="504"/>
    </row>
    <row r="15" spans="1:12" ht="14.4" x14ac:dyDescent="0.3">
      <c r="A15" s="300" t="s">
        <v>323</v>
      </c>
      <c r="B15" s="367">
        <f>'Modeshare URBAN'!F68</f>
        <v>446.13302582061823</v>
      </c>
      <c r="C15" s="388">
        <f t="shared" si="0"/>
        <v>1.5128043142973845E-2</v>
      </c>
      <c r="J15" s="504"/>
      <c r="K15" s="504"/>
      <c r="L15" s="504"/>
    </row>
    <row r="16" spans="1:12" ht="14.4" x14ac:dyDescent="0.3">
      <c r="A16" s="300" t="s">
        <v>324</v>
      </c>
      <c r="B16" s="367">
        <f>'Modeshare URBAN'!F69</f>
        <v>585.72537828803206</v>
      </c>
      <c r="C16" s="388">
        <f t="shared" si="0"/>
        <v>1.9861517260187814E-2</v>
      </c>
      <c r="J16" s="504"/>
      <c r="K16" s="504"/>
      <c r="L16" s="504"/>
    </row>
    <row r="17" spans="1:14" ht="14.4" x14ac:dyDescent="0.3">
      <c r="A17" s="300" t="s">
        <v>325</v>
      </c>
      <c r="B17" s="367">
        <f>'Modeshare URBAN'!F70</f>
        <v>898.03605872217804</v>
      </c>
      <c r="C17" s="388">
        <f t="shared" si="0"/>
        <v>3.0451742986984762E-2</v>
      </c>
      <c r="J17" s="504"/>
      <c r="K17" s="504"/>
      <c r="L17" s="504"/>
    </row>
    <row r="18" spans="1:14" ht="14.4" x14ac:dyDescent="0.3">
      <c r="A18" s="300" t="s">
        <v>326</v>
      </c>
      <c r="B18" s="367">
        <f>'Modeshare URBAN'!F71</f>
        <v>1573.2565357163114</v>
      </c>
      <c r="C18" s="388">
        <f t="shared" si="0"/>
        <v>5.3347973294520422E-2</v>
      </c>
      <c r="J18" s="504"/>
      <c r="K18" s="504"/>
      <c r="L18" s="504"/>
    </row>
    <row r="19" spans="1:14" x14ac:dyDescent="0.25">
      <c r="J19" s="504"/>
      <c r="K19" s="504"/>
      <c r="L19" s="504"/>
    </row>
    <row r="20" spans="1:14" x14ac:dyDescent="0.25">
      <c r="J20" s="504"/>
      <c r="K20" s="504"/>
      <c r="L20" s="504"/>
    </row>
    <row r="21" spans="1:14" x14ac:dyDescent="0.25">
      <c r="A21" s="300" t="s">
        <v>411</v>
      </c>
      <c r="B21" s="300" t="s">
        <v>408</v>
      </c>
      <c r="J21" s="504"/>
      <c r="K21" s="504"/>
      <c r="L21" s="504"/>
    </row>
    <row r="22" spans="1:14" x14ac:dyDescent="0.25">
      <c r="J22" s="504"/>
      <c r="K22" s="504"/>
      <c r="L22" s="504"/>
    </row>
    <row r="23" spans="1:14" x14ac:dyDescent="0.25">
      <c r="A23" s="300"/>
      <c r="B23" s="289" t="s">
        <v>362</v>
      </c>
      <c r="C23" s="289" t="s">
        <v>363</v>
      </c>
      <c r="J23" s="504"/>
      <c r="K23" s="504"/>
      <c r="L23" s="504"/>
    </row>
    <row r="24" spans="1:14" ht="14.4" x14ac:dyDescent="0.3">
      <c r="A24" s="300" t="s">
        <v>313</v>
      </c>
      <c r="B24" s="367">
        <f>'Modeshare NONURBAN'!D42</f>
        <v>11887.27900713497</v>
      </c>
      <c r="C24" s="388">
        <f>B24/SUM($B$24:$B$28)</f>
        <v>0.37079670558782363</v>
      </c>
      <c r="D24" s="324" t="s">
        <v>312</v>
      </c>
      <c r="E24" s="324"/>
      <c r="F24" s="324"/>
      <c r="J24" s="504"/>
      <c r="K24" s="504"/>
      <c r="L24" s="504"/>
    </row>
    <row r="25" spans="1:14" ht="14.4" x14ac:dyDescent="0.3">
      <c r="A25" s="300" t="s">
        <v>401</v>
      </c>
      <c r="B25" s="367">
        <f>'Modeshare NONURBAN'!D43</f>
        <v>9030.2284144324294</v>
      </c>
      <c r="C25" s="388">
        <f t="shared" ref="C25:C28" si="1">B25/SUM($B$24:$B$28)</f>
        <v>0.28167749278597232</v>
      </c>
      <c r="D25" s="509" t="s">
        <v>412</v>
      </c>
      <c r="E25" s="509"/>
      <c r="F25" s="509"/>
    </row>
    <row r="26" spans="1:14" ht="14.4" x14ac:dyDescent="0.3">
      <c r="A26" s="300" t="s">
        <v>396</v>
      </c>
      <c r="B26" s="367">
        <f>'Modeshare NONURBAN'!D44</f>
        <v>921.4466666666558</v>
      </c>
      <c r="C26" s="388">
        <f t="shared" si="1"/>
        <v>2.8742438717035329E-2</v>
      </c>
    </row>
    <row r="27" spans="1:14" ht="14.4" x14ac:dyDescent="0.3">
      <c r="A27" s="317" t="s">
        <v>402</v>
      </c>
      <c r="B27" s="367">
        <f>'Modeshare NONURBAN'!D45</f>
        <v>3366.6998712674949</v>
      </c>
      <c r="C27" s="388">
        <f t="shared" si="1"/>
        <v>0.10501656604675022</v>
      </c>
    </row>
    <row r="28" spans="1:14" ht="14.4" x14ac:dyDescent="0.3">
      <c r="A28" s="300" t="s">
        <v>392</v>
      </c>
      <c r="B28" s="367">
        <f>'Modeshare NONURBAN'!D46</f>
        <v>6853.0963691727011</v>
      </c>
      <c r="C28" s="388">
        <f t="shared" si="1"/>
        <v>0.21376679686241851</v>
      </c>
    </row>
    <row r="30" spans="1:14" ht="13.8" thickBot="1" x14ac:dyDescent="0.3"/>
    <row r="31" spans="1:14" x14ac:dyDescent="0.25">
      <c r="A31" s="300" t="s">
        <v>413</v>
      </c>
      <c r="B31" s="300" t="s">
        <v>408</v>
      </c>
      <c r="C31" s="300"/>
      <c r="E31" s="303" t="s">
        <v>414</v>
      </c>
      <c r="F31" s="303"/>
      <c r="J31" s="320" t="s">
        <v>361</v>
      </c>
      <c r="K31" s="320" t="str">
        <f>CONCATENATE("millions of cars in ",Carshare!$N$2)</f>
        <v>millions of cars in 2018</v>
      </c>
      <c r="L31" s="405"/>
    </row>
    <row r="32" spans="1:14" ht="15" thickBot="1" x14ac:dyDescent="0.35">
      <c r="J32" s="303" t="s">
        <v>364</v>
      </c>
      <c r="K32" s="360">
        <f>'Modeshare URBAN'!K60</f>
        <v>895.91262282047683</v>
      </c>
      <c r="L32" s="415">
        <f t="shared" ref="L32:L38" si="2">K32/SUM($K$32:$K$38)</f>
        <v>0.79516266667555713</v>
      </c>
      <c r="M32" s="415">
        <f>L32/SUM($L$32:$L$33)</f>
        <v>0.84165857587776249</v>
      </c>
      <c r="N32" s="276" t="s">
        <v>666</v>
      </c>
    </row>
    <row r="33" spans="1:14" ht="14.4" x14ac:dyDescent="0.3">
      <c r="A33" s="409"/>
      <c r="B33" s="318" t="s">
        <v>363</v>
      </c>
      <c r="C33" s="319" t="s">
        <v>327</v>
      </c>
      <c r="E33" s="409"/>
      <c r="F33" s="320" t="s">
        <v>363</v>
      </c>
      <c r="G33" s="405" t="s">
        <v>415</v>
      </c>
      <c r="H33" s="276" t="s">
        <v>374</v>
      </c>
      <c r="J33" s="303" t="s">
        <v>365</v>
      </c>
      <c r="K33" s="360">
        <f>'Modeshare URBAN'!K61</f>
        <v>168.54825062352393</v>
      </c>
      <c r="L33" s="415">
        <f t="shared" si="2"/>
        <v>0.14959413788297193</v>
      </c>
      <c r="M33" s="415">
        <f>L33/SUM($L$32:$L$33)</f>
        <v>0.15834142412223753</v>
      </c>
      <c r="N33" s="504" t="s">
        <v>666</v>
      </c>
    </row>
    <row r="34" spans="1:14" ht="14.4" x14ac:dyDescent="0.3">
      <c r="A34" s="303" t="s">
        <v>416</v>
      </c>
      <c r="B34" s="323">
        <f t="shared" ref="B34:B54" si="3">C34/SUM($C$34:$C$54)</f>
        <v>0.31436213194288221</v>
      </c>
      <c r="C34" s="410">
        <f t="shared" ref="C34:C40" si="4">SUM($B$8,$B$24)*L32</f>
        <v>19348.74252923415</v>
      </c>
      <c r="E34" s="303" t="s">
        <v>375</v>
      </c>
      <c r="F34" s="323">
        <f>SUM(B34:B35)</f>
        <v>0.37350315312243465</v>
      </c>
      <c r="G34" s="410">
        <f>SUM(C34:C35)</f>
        <v>22988.825972640298</v>
      </c>
      <c r="H34" s="276" t="s">
        <v>376</v>
      </c>
      <c r="J34" s="303" t="s">
        <v>366</v>
      </c>
      <c r="K34" s="360">
        <f>'Modeshare URBAN'!K62</f>
        <v>41.211996368181644</v>
      </c>
      <c r="L34" s="415">
        <f t="shared" si="2"/>
        <v>3.6577496617896409E-2</v>
      </c>
    </row>
    <row r="35" spans="1:14" ht="14.4" x14ac:dyDescent="0.3">
      <c r="A35" s="303" t="s">
        <v>417</v>
      </c>
      <c r="B35" s="323">
        <f t="shared" si="3"/>
        <v>5.9141021179552458E-2</v>
      </c>
      <c r="C35" s="410">
        <f t="shared" si="4"/>
        <v>3640.0834434061476</v>
      </c>
      <c r="E35" s="303" t="s">
        <v>377</v>
      </c>
      <c r="F35" s="323">
        <f>B37</f>
        <v>5.4195258935703572E-3</v>
      </c>
      <c r="G35" s="410">
        <f>C37</f>
        <v>333.5675658423869</v>
      </c>
      <c r="H35" s="276" t="s">
        <v>378</v>
      </c>
      <c r="J35" s="303" t="s">
        <v>261</v>
      </c>
      <c r="K35" s="360">
        <f>'Modeshare URBAN'!K63</f>
        <v>15.445313428</v>
      </c>
      <c r="L35" s="415">
        <f>K35/SUM($K$32:$K$38)</f>
        <v>1.3708408945488481E-2</v>
      </c>
    </row>
    <row r="36" spans="1:14" ht="14.4" x14ac:dyDescent="0.3">
      <c r="A36" s="303" t="s">
        <v>418</v>
      </c>
      <c r="B36" s="323">
        <f t="shared" si="3"/>
        <v>1.4460663584734339E-2</v>
      </c>
      <c r="C36" s="410">
        <f t="shared" si="4"/>
        <v>890.04249581095905</v>
      </c>
      <c r="E36" s="303" t="s">
        <v>380</v>
      </c>
      <c r="F36" s="323">
        <f>SUM(B38:B39)</f>
        <v>1.8463089193918E-3</v>
      </c>
      <c r="G36" s="651">
        <f>SUM(C38:C39)</f>
        <v>113.63886512015152</v>
      </c>
      <c r="H36" s="276" t="s">
        <v>260</v>
      </c>
      <c r="J36" s="303" t="s">
        <v>367</v>
      </c>
      <c r="K36" s="360">
        <f>'Modeshare URBAN'!K64</f>
        <v>2.6309330839022524</v>
      </c>
      <c r="L36" s="415">
        <f t="shared" si="2"/>
        <v>2.3350712039915769E-3</v>
      </c>
    </row>
    <row r="37" spans="1:14" ht="14.4" x14ac:dyDescent="0.3">
      <c r="A37" s="303" t="s">
        <v>419</v>
      </c>
      <c r="B37" s="323">
        <f t="shared" si="3"/>
        <v>5.4195258935703572E-3</v>
      </c>
      <c r="C37" s="410">
        <f>SUM($B$8,$B$24)*L35</f>
        <v>333.5675658423869</v>
      </c>
      <c r="E37" s="303" t="s">
        <v>382</v>
      </c>
      <c r="F37" s="323">
        <f>SUM(B36,B40)</f>
        <v>1.4574185376773408E-2</v>
      </c>
      <c r="G37" s="410">
        <f>SUM(C36,C40)</f>
        <v>897.02967302612149</v>
      </c>
      <c r="J37" s="303" t="s">
        <v>368</v>
      </c>
      <c r="K37" s="360">
        <f>'Modeshare URBAN'!K65</f>
        <v>2.6309330839022524</v>
      </c>
      <c r="L37" s="415">
        <f t="shared" si="2"/>
        <v>2.3350712039915769E-3</v>
      </c>
    </row>
    <row r="38" spans="1:14" ht="15" thickBot="1" x14ac:dyDescent="0.35">
      <c r="A38" s="303" t="s">
        <v>420</v>
      </c>
      <c r="B38" s="323">
        <f t="shared" si="3"/>
        <v>9.2315445969589998E-4</v>
      </c>
      <c r="C38" s="410">
        <f t="shared" si="4"/>
        <v>56.819432560075761</v>
      </c>
      <c r="E38" s="303" t="s">
        <v>381</v>
      </c>
      <c r="F38" s="323">
        <f>B41</f>
        <v>6.9541580493921076E-2</v>
      </c>
      <c r="G38" s="410">
        <f>C41</f>
        <v>4280.2297074934204</v>
      </c>
      <c r="J38" s="407" t="s">
        <v>369</v>
      </c>
      <c r="K38" s="495">
        <f>'Modeshare URBAN'!K66</f>
        <v>0.32353008240662007</v>
      </c>
      <c r="L38" s="416">
        <f t="shared" si="2"/>
        <v>2.8714747010296385E-4</v>
      </c>
    </row>
    <row r="39" spans="1:14" ht="14.4" x14ac:dyDescent="0.3">
      <c r="A39" s="303" t="s">
        <v>421</v>
      </c>
      <c r="B39" s="323">
        <f t="shared" si="3"/>
        <v>9.2315445969589998E-4</v>
      </c>
      <c r="C39" s="410">
        <f t="shared" si="4"/>
        <v>56.819432560075761</v>
      </c>
      <c r="E39" s="303" t="s">
        <v>223</v>
      </c>
      <c r="F39" s="323">
        <f>SUM(B42:B44,B46:B48)</f>
        <v>0.15771824453734476</v>
      </c>
      <c r="G39" s="410">
        <f>SUM(C42:C44,C46:C48)</f>
        <v>9707.4341838041128</v>
      </c>
      <c r="H39" s="276" t="s">
        <v>4</v>
      </c>
    </row>
    <row r="40" spans="1:14" ht="14.4" x14ac:dyDescent="0.3">
      <c r="A40" s="303" t="s">
        <v>422</v>
      </c>
      <c r="B40" s="323">
        <f t="shared" si="3"/>
        <v>1.1352179203906725E-4</v>
      </c>
      <c r="C40" s="410">
        <f t="shared" si="4"/>
        <v>6.9871772151623768</v>
      </c>
      <c r="E40" s="303" t="s">
        <v>406</v>
      </c>
      <c r="F40" s="323">
        <f>B45</f>
        <v>0.14671557347993369</v>
      </c>
      <c r="G40" s="410">
        <f>C45</f>
        <v>9030.2284144324294</v>
      </c>
      <c r="J40" s="374" t="s">
        <v>312</v>
      </c>
      <c r="K40" s="509" t="s">
        <v>496</v>
      </c>
      <c r="L40" s="509"/>
    </row>
    <row r="41" spans="1:14" ht="15" thickBot="1" x14ac:dyDescent="0.35">
      <c r="A41" s="284" t="s">
        <v>315</v>
      </c>
      <c r="B41" s="323">
        <f t="shared" si="3"/>
        <v>6.9541580493921076E-2</v>
      </c>
      <c r="C41" s="410">
        <f>B9</f>
        <v>4280.2297074934204</v>
      </c>
      <c r="E41" s="303" t="s">
        <v>396</v>
      </c>
      <c r="F41" s="323">
        <f t="shared" ref="F41:G46" si="5">B49</f>
        <v>1.4970892199703982E-2</v>
      </c>
      <c r="G41" s="410">
        <f t="shared" si="5"/>
        <v>921.4466666666558</v>
      </c>
      <c r="H41" s="276" t="s">
        <v>396</v>
      </c>
    </row>
    <row r="42" spans="1:14" ht="14.4" x14ac:dyDescent="0.3">
      <c r="A42" s="284" t="s">
        <v>317</v>
      </c>
      <c r="B42" s="323">
        <f t="shared" si="3"/>
        <v>0.10271020668831587</v>
      </c>
      <c r="C42" s="410">
        <f>B10</f>
        <v>6321.7326210834153</v>
      </c>
      <c r="E42" s="303" t="s">
        <v>423</v>
      </c>
      <c r="F42" s="323">
        <f t="shared" si="5"/>
        <v>5.469931431173828E-2</v>
      </c>
      <c r="G42" s="410">
        <f t="shared" si="5"/>
        <v>3366.6998712674949</v>
      </c>
      <c r="I42" s="409"/>
      <c r="J42" s="320" t="s">
        <v>363</v>
      </c>
      <c r="K42" s="405" t="s">
        <v>415</v>
      </c>
    </row>
    <row r="43" spans="1:14" ht="14.4" x14ac:dyDescent="0.3">
      <c r="A43" s="284" t="s">
        <v>319</v>
      </c>
      <c r="B43" s="323">
        <f t="shared" si="3"/>
        <v>1.5151984565234533E-3</v>
      </c>
      <c r="C43" s="410">
        <f>B11</f>
        <v>93.259275965503534</v>
      </c>
      <c r="E43" s="303" t="s">
        <v>392</v>
      </c>
      <c r="F43" s="323">
        <f t="shared" si="5"/>
        <v>0.11134335896858037</v>
      </c>
      <c r="G43" s="410">
        <f t="shared" si="5"/>
        <v>6853.0963691727011</v>
      </c>
      <c r="H43" s="276" t="s">
        <v>407</v>
      </c>
      <c r="I43" s="303" t="s">
        <v>375</v>
      </c>
      <c r="J43" s="323">
        <f>F34</f>
        <v>0.37350315312243465</v>
      </c>
      <c r="K43" s="410">
        <f>G34</f>
        <v>22988.825972640298</v>
      </c>
    </row>
    <row r="44" spans="1:14" ht="14.4" x14ac:dyDescent="0.3">
      <c r="A44" s="284" t="s">
        <v>320</v>
      </c>
      <c r="B44" s="323">
        <f t="shared" si="3"/>
        <v>4.1013190950817784E-2</v>
      </c>
      <c r="C44" s="410">
        <f>B12</f>
        <v>2524.3297184212806</v>
      </c>
      <c r="E44" s="303" t="s">
        <v>385</v>
      </c>
      <c r="F44" s="323">
        <f t="shared" si="5"/>
        <v>9.5163744296805752E-3</v>
      </c>
      <c r="G44" s="410">
        <f t="shared" si="5"/>
        <v>585.72537828803206</v>
      </c>
      <c r="H44" s="276" t="s">
        <v>424</v>
      </c>
      <c r="I44" s="303" t="s">
        <v>377</v>
      </c>
      <c r="J44" s="323">
        <f t="shared" ref="J44:K46" si="6">F35</f>
        <v>5.4195258935703572E-3</v>
      </c>
      <c r="K44" s="410">
        <f t="shared" si="6"/>
        <v>333.5675658423869</v>
      </c>
    </row>
    <row r="45" spans="1:14" ht="14.4" x14ac:dyDescent="0.3">
      <c r="A45" s="284" t="s">
        <v>406</v>
      </c>
      <c r="B45" s="323">
        <f t="shared" si="3"/>
        <v>0.14671557347993369</v>
      </c>
      <c r="C45" s="410">
        <f>B25</f>
        <v>9030.2284144324294</v>
      </c>
      <c r="E45" s="303" t="s">
        <v>386</v>
      </c>
      <c r="F45" s="323">
        <f t="shared" si="5"/>
        <v>1.4590536287045285E-2</v>
      </c>
      <c r="G45" s="410">
        <f t="shared" si="5"/>
        <v>898.03605872217804</v>
      </c>
      <c r="H45" s="276" t="s">
        <v>387</v>
      </c>
      <c r="I45" s="303" t="s">
        <v>380</v>
      </c>
      <c r="J45" s="323">
        <f t="shared" si="6"/>
        <v>1.8463089193918E-3</v>
      </c>
      <c r="K45" s="410">
        <f t="shared" si="6"/>
        <v>113.63886512015152</v>
      </c>
    </row>
    <row r="46" spans="1:14" ht="14.4" x14ac:dyDescent="0.3">
      <c r="A46" s="284" t="s">
        <v>321</v>
      </c>
      <c r="B46" s="323">
        <f t="shared" si="3"/>
        <v>3.7350908827824222E-3</v>
      </c>
      <c r="C46" s="410">
        <f>B13</f>
        <v>229.89191276822712</v>
      </c>
      <c r="E46" s="303" t="s">
        <v>388</v>
      </c>
      <c r="F46" s="323">
        <f t="shared" si="5"/>
        <v>2.5560951979881903E-2</v>
      </c>
      <c r="G46" s="410">
        <f t="shared" si="5"/>
        <v>1573.2565357163114</v>
      </c>
      <c r="H46" s="276" t="s">
        <v>1</v>
      </c>
      <c r="I46" s="303" t="s">
        <v>382</v>
      </c>
      <c r="J46" s="323">
        <f t="shared" si="6"/>
        <v>1.4574185376773408E-2</v>
      </c>
      <c r="K46" s="410">
        <f t="shared" si="6"/>
        <v>897.02967302612149</v>
      </c>
    </row>
    <row r="47" spans="1:14" ht="15" thickBot="1" x14ac:dyDescent="0.35">
      <c r="A47" s="284" t="s">
        <v>322</v>
      </c>
      <c r="B47" s="323">
        <f t="shared" si="3"/>
        <v>1.4961625319313472E-3</v>
      </c>
      <c r="C47" s="410">
        <f>B14</f>
        <v>92.087629745069123</v>
      </c>
      <c r="E47" s="407" t="s">
        <v>327</v>
      </c>
      <c r="F47" s="411">
        <f>SUM(F34:F46)</f>
        <v>1</v>
      </c>
      <c r="G47" s="412">
        <f>SUM(G34:G46)</f>
        <v>61549.215262192294</v>
      </c>
      <c r="I47" s="303" t="s">
        <v>381</v>
      </c>
      <c r="J47" s="323">
        <f>F38</f>
        <v>6.9541580493921076E-2</v>
      </c>
      <c r="K47" s="410">
        <f>G38</f>
        <v>4280.2297074934204</v>
      </c>
    </row>
    <row r="48" spans="1:14" ht="14.4" x14ac:dyDescent="0.3">
      <c r="A48" s="284" t="s">
        <v>323</v>
      </c>
      <c r="B48" s="323">
        <f t="shared" si="3"/>
        <v>7.248395026973861E-3</v>
      </c>
      <c r="C48" s="410">
        <f>B15</f>
        <v>446.13302582061823</v>
      </c>
      <c r="I48" s="303" t="s">
        <v>223</v>
      </c>
      <c r="J48" s="323">
        <f t="shared" ref="J48:K48" si="7">F39</f>
        <v>0.15771824453734476</v>
      </c>
      <c r="K48" s="410">
        <f t="shared" si="7"/>
        <v>9707.4341838041128</v>
      </c>
    </row>
    <row r="49" spans="1:13" ht="14.4" x14ac:dyDescent="0.3">
      <c r="A49" s="284" t="s">
        <v>396</v>
      </c>
      <c r="B49" s="323">
        <f t="shared" si="3"/>
        <v>1.4970892199703982E-2</v>
      </c>
      <c r="C49" s="410">
        <f>B26</f>
        <v>921.4466666666558</v>
      </c>
      <c r="I49" s="303" t="s">
        <v>425</v>
      </c>
      <c r="J49" s="323">
        <f>SUM(F40:F43)</f>
        <v>0.32772913895995631</v>
      </c>
      <c r="K49" s="410">
        <f>SUM(G40:G43)</f>
        <v>20171.47132153928</v>
      </c>
    </row>
    <row r="50" spans="1:13" ht="15" thickBot="1" x14ac:dyDescent="0.35">
      <c r="A50" s="284" t="s">
        <v>426</v>
      </c>
      <c r="B50" s="323">
        <f t="shared" si="3"/>
        <v>5.469931431173828E-2</v>
      </c>
      <c r="C50" s="410">
        <f>B27</f>
        <v>3366.6998712674949</v>
      </c>
      <c r="I50" s="315" t="s">
        <v>427</v>
      </c>
      <c r="J50" s="323">
        <f>SUM(F44:F46)</f>
        <v>4.9667862696607765E-2</v>
      </c>
      <c r="K50" s="410">
        <f>SUM(G44:G46)</f>
        <v>3057.0179727265213</v>
      </c>
    </row>
    <row r="51" spans="1:13" ht="15" thickBot="1" x14ac:dyDescent="0.35">
      <c r="A51" s="284" t="s">
        <v>392</v>
      </c>
      <c r="B51" s="323">
        <f t="shared" si="3"/>
        <v>0.11134335896858037</v>
      </c>
      <c r="C51" s="410">
        <f>B28</f>
        <v>6853.0963691727011</v>
      </c>
      <c r="E51" s="413" t="s">
        <v>428</v>
      </c>
      <c r="F51" s="414">
        <f>SUM(B8)/SUM(B8,B24)</f>
        <v>0.51147623880217352</v>
      </c>
      <c r="I51" s="407" t="s">
        <v>327</v>
      </c>
      <c r="J51" s="411">
        <f>SUM(J43:J50)</f>
        <v>1.0000000000000002</v>
      </c>
      <c r="K51" s="412">
        <f>SUM(K43:K50)</f>
        <v>61549.215262192287</v>
      </c>
    </row>
    <row r="52" spans="1:13" ht="14.4" x14ac:dyDescent="0.3">
      <c r="A52" s="284" t="s">
        <v>385</v>
      </c>
      <c r="B52" s="323">
        <f t="shared" si="3"/>
        <v>9.5163744296805752E-3</v>
      </c>
      <c r="C52" s="410">
        <f>B16</f>
        <v>585.72537828803206</v>
      </c>
    </row>
    <row r="53" spans="1:13" ht="14.4" x14ac:dyDescent="0.3">
      <c r="A53" s="284" t="s">
        <v>429</v>
      </c>
      <c r="B53" s="323">
        <f t="shared" si="3"/>
        <v>1.4590536287045285E-2</v>
      </c>
      <c r="C53" s="410">
        <f>B17</f>
        <v>898.03605872217804</v>
      </c>
    </row>
    <row r="54" spans="1:13" ht="14.4" x14ac:dyDescent="0.3">
      <c r="A54" s="284" t="s">
        <v>388</v>
      </c>
      <c r="B54" s="323">
        <f t="shared" si="3"/>
        <v>2.5560951979881903E-2</v>
      </c>
      <c r="C54" s="410">
        <f>B18</f>
        <v>1573.2565357163114</v>
      </c>
    </row>
    <row r="55" spans="1:13" ht="15" thickBot="1" x14ac:dyDescent="0.35">
      <c r="A55" s="407" t="s">
        <v>327</v>
      </c>
      <c r="B55" s="411">
        <f>SUM(B34:B54)</f>
        <v>1</v>
      </c>
      <c r="C55" s="412">
        <f>SUM(C34:C54)</f>
        <v>61549.215262192287</v>
      </c>
    </row>
    <row r="56" spans="1:13" ht="13.8" x14ac:dyDescent="0.25">
      <c r="D56" s="324" t="s">
        <v>312</v>
      </c>
      <c r="E56" s="373" t="s">
        <v>553</v>
      </c>
      <c r="F56" s="324"/>
      <c r="G56" s="324"/>
      <c r="H56" s="324"/>
      <c r="I56" s="324"/>
      <c r="J56" s="324"/>
      <c r="K56" s="324"/>
      <c r="L56" s="324"/>
      <c r="M56" s="324"/>
    </row>
    <row r="59" spans="1:13" x14ac:dyDescent="0.25">
      <c r="G59" s="613"/>
      <c r="H59" s="613"/>
    </row>
    <row r="60" spans="1:13" x14ac:dyDescent="0.25">
      <c r="G60" s="613"/>
      <c r="H60" s="613"/>
    </row>
    <row r="61" spans="1:13" x14ac:dyDescent="0.25">
      <c r="G61" s="613"/>
      <c r="H61" s="613"/>
    </row>
    <row r="62" spans="1:13" x14ac:dyDescent="0.25">
      <c r="F62" s="504"/>
      <c r="G62" s="613"/>
      <c r="H62" s="613"/>
    </row>
    <row r="63" spans="1:13" x14ac:dyDescent="0.25">
      <c r="F63" s="504"/>
      <c r="G63" s="613"/>
      <c r="H63" s="613"/>
    </row>
    <row r="64" spans="1:13" x14ac:dyDescent="0.25">
      <c r="F64" s="504"/>
      <c r="G64" s="613"/>
      <c r="H64" s="613"/>
    </row>
    <row r="65" spans="6:8" x14ac:dyDescent="0.25">
      <c r="F65" s="504"/>
      <c r="G65" s="613"/>
      <c r="H65" s="613"/>
    </row>
  </sheetData>
  <mergeCells count="3">
    <mergeCell ref="A1:L1"/>
    <mergeCell ref="A2:L2"/>
    <mergeCell ref="J3:L4"/>
  </mergeCells>
  <hyperlinks>
    <hyperlink ref="D9:E9" location="'Current Adoption URBAN'!A1" display="Current Adoption URBAN tab" xr:uid="{8A08EDBD-FE64-4AC9-A781-26A191F9A284}"/>
    <hyperlink ref="D25:F25" location="'Modeshare NONURBAN'!A1" display="Current Adoption NONURBAN tab" xr:uid="{8D3CC595-C12B-4C1B-9EF0-F2B45D844A10}"/>
    <hyperlink ref="J3:L4" location="'Table of Contents'!A1" display="Back to Table of Contents" xr:uid="{9FC0F1A4-B504-428F-9F3F-C6562A4DA4E5}"/>
    <hyperlink ref="D9:F9" location="'Modeshare URBAN'!A1" display="Current Adoption URBAN tab" xr:uid="{4F53F60C-F24D-40BA-B481-74A850941CBB}"/>
    <hyperlink ref="K40:L40" location="Carshare!A1" display="Carshare Tab" xr:uid="{2305EE8B-5E0D-4E77-BE5A-521F50C38463}"/>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7DF85-DDFE-46A4-AECF-10BA2988B570}">
  <sheetPr codeName="Sheet18">
    <tabColor theme="4" tint="0.39997558519241921"/>
  </sheetPr>
  <dimension ref="A1:AB61"/>
  <sheetViews>
    <sheetView workbookViewId="0">
      <selection activeCell="D25" sqref="D25"/>
    </sheetView>
  </sheetViews>
  <sheetFormatPr defaultColWidth="8.88671875" defaultRowHeight="13.2" x14ac:dyDescent="0.25"/>
  <cols>
    <col min="1" max="1" width="32" style="276" customWidth="1"/>
    <col min="2" max="2" width="11.6640625" style="276" customWidth="1"/>
    <col min="3" max="3" width="17.33203125" style="276" customWidth="1"/>
    <col min="4" max="4" width="10.5546875" style="276" customWidth="1"/>
    <col min="5" max="5" width="11.33203125" style="276" customWidth="1"/>
    <col min="6" max="11" width="8.88671875" style="276"/>
    <col min="12" max="12" width="16.5546875" style="276" customWidth="1"/>
    <col min="13" max="13" width="10.5546875" style="276" customWidth="1"/>
    <col min="14" max="14" width="10.21875" style="276" bestFit="1" customWidth="1"/>
    <col min="15" max="16384" width="8.88671875" style="276"/>
  </cols>
  <sheetData>
    <row r="1" spans="1:22" x14ac:dyDescent="0.25">
      <c r="A1" s="938" t="s">
        <v>449</v>
      </c>
      <c r="B1" s="938"/>
      <c r="C1" s="938"/>
      <c r="D1" s="938"/>
      <c r="E1" s="938"/>
      <c r="F1" s="938"/>
      <c r="G1" s="938"/>
      <c r="H1" s="938"/>
      <c r="I1" s="938"/>
      <c r="J1" s="938"/>
      <c r="K1" s="938"/>
    </row>
    <row r="2" spans="1:22" ht="13.8" thickBot="1" x14ac:dyDescent="0.3">
      <c r="A2" s="939"/>
      <c r="B2" s="939"/>
      <c r="C2" s="939"/>
      <c r="D2" s="939"/>
      <c r="E2" s="939"/>
      <c r="F2" s="939"/>
      <c r="G2" s="939"/>
      <c r="H2" s="939"/>
      <c r="I2" s="939"/>
      <c r="J2" s="939"/>
      <c r="K2" s="939"/>
    </row>
    <row r="3" spans="1:22" x14ac:dyDescent="0.25">
      <c r="B3" s="278"/>
      <c r="C3" s="278"/>
      <c r="D3" s="278"/>
      <c r="E3" s="504" t="s">
        <v>487</v>
      </c>
      <c r="F3" s="482">
        <v>2018</v>
      </c>
      <c r="G3" s="278"/>
      <c r="H3" s="278"/>
      <c r="I3" s="815" t="s">
        <v>467</v>
      </c>
      <c r="J3" s="816"/>
      <c r="K3" s="817"/>
    </row>
    <row r="4" spans="1:22" ht="13.8" thickBot="1" x14ac:dyDescent="0.3">
      <c r="A4" s="277">
        <v>1</v>
      </c>
      <c r="I4" s="818"/>
      <c r="J4" s="819"/>
      <c r="K4" s="820"/>
    </row>
    <row r="5" spans="1:22" x14ac:dyDescent="0.25">
      <c r="A5" s="949" t="str">
        <f>CONCATENATE("ETP'17  for - ",F3)</f>
        <v>ETP'17  for - 2018</v>
      </c>
      <c r="B5" s="950"/>
      <c r="C5" s="951"/>
    </row>
    <row r="6" spans="1:22" ht="13.8" thickBot="1" x14ac:dyDescent="0.3">
      <c r="A6" s="280"/>
      <c r="B6" s="942" t="s">
        <v>124</v>
      </c>
      <c r="C6" s="956"/>
      <c r="L6" s="538" t="s">
        <v>512</v>
      </c>
      <c r="M6" s="277"/>
      <c r="N6" s="277"/>
    </row>
    <row r="7" spans="1:22" ht="13.8" thickBot="1" x14ac:dyDescent="0.3">
      <c r="A7" s="286" t="s">
        <v>310</v>
      </c>
      <c r="B7" s="325" t="s">
        <v>430</v>
      </c>
      <c r="C7" s="326" t="s">
        <v>311</v>
      </c>
      <c r="L7" s="520"/>
      <c r="M7" s="521">
        <v>2014</v>
      </c>
      <c r="N7" s="522">
        <f>$F$3</f>
        <v>2018</v>
      </c>
      <c r="O7" s="521">
        <v>2025</v>
      </c>
      <c r="P7" s="521">
        <v>2030</v>
      </c>
      <c r="Q7" s="521">
        <v>2035</v>
      </c>
      <c r="R7" s="521">
        <v>2040</v>
      </c>
      <c r="S7" s="521">
        <v>2045</v>
      </c>
      <c r="T7" s="521">
        <v>2050</v>
      </c>
      <c r="U7" s="521">
        <v>2055</v>
      </c>
      <c r="V7" s="523">
        <v>2060</v>
      </c>
    </row>
    <row r="8" spans="1:22" ht="15.6" x14ac:dyDescent="0.3">
      <c r="A8" s="327" t="s">
        <v>431</v>
      </c>
      <c r="B8" s="539">
        <f>N8</f>
        <v>1374.911667065352</v>
      </c>
      <c r="C8" s="389">
        <f>B8/$B$11</f>
        <v>3.0654792833949115E-2</v>
      </c>
      <c r="D8" s="505" t="s">
        <v>314</v>
      </c>
      <c r="E8" s="504"/>
      <c r="F8" s="504"/>
      <c r="G8" s="504"/>
      <c r="J8" s="283"/>
      <c r="L8" s="284" t="s">
        <v>513</v>
      </c>
      <c r="M8" s="502">
        <v>1265.6120278382025</v>
      </c>
      <c r="N8" s="503">
        <f>$M8+($O8-$M8)*($N$7-$M$7)/($O$7-$M$7)</f>
        <v>1374.911667065352</v>
      </c>
      <c r="O8" s="502">
        <v>1566.1860357128635</v>
      </c>
      <c r="P8" s="502">
        <v>1798.7633870869884</v>
      </c>
      <c r="Q8" s="502">
        <v>2018.9520002260731</v>
      </c>
      <c r="R8" s="502">
        <v>2208.3619221858335</v>
      </c>
      <c r="S8" s="502">
        <v>2400.1687619614818</v>
      </c>
      <c r="T8" s="502">
        <v>2585.8998106319605</v>
      </c>
      <c r="U8" s="502">
        <v>2767.7970370057128</v>
      </c>
      <c r="V8" s="524">
        <v>2930.6771706117661</v>
      </c>
    </row>
    <row r="9" spans="1:22" ht="14.4" x14ac:dyDescent="0.3">
      <c r="A9" s="293" t="s">
        <v>136</v>
      </c>
      <c r="B9" s="539">
        <f t="shared" ref="B9:B10" si="0">N9</f>
        <v>31458.484613998815</v>
      </c>
      <c r="C9" s="390">
        <f>B9/$B$11</f>
        <v>0.70139293440607042</v>
      </c>
      <c r="D9" s="505">
        <v>1</v>
      </c>
      <c r="E9" s="955" t="s">
        <v>529</v>
      </c>
      <c r="F9" s="955"/>
      <c r="G9" s="955"/>
      <c r="L9" s="284" t="s">
        <v>514</v>
      </c>
      <c r="M9" s="502">
        <v>26523.082299982521</v>
      </c>
      <c r="N9" s="503">
        <f>$M9+($O9-$M9)*($N$7-$M$7)/($O$7-$M$7)</f>
        <v>31458.484613998815</v>
      </c>
      <c r="O9" s="502">
        <v>40095.438663527326</v>
      </c>
      <c r="P9" s="502">
        <v>48646.290578098982</v>
      </c>
      <c r="Q9" s="502">
        <v>57251.050562008131</v>
      </c>
      <c r="R9" s="502">
        <v>65660.783470130002</v>
      </c>
      <c r="S9" s="502">
        <v>73859.315174631192</v>
      </c>
      <c r="T9" s="502">
        <v>82167.112083181564</v>
      </c>
      <c r="U9" s="502">
        <v>90738.28273930584</v>
      </c>
      <c r="V9" s="524">
        <v>99450.900439903955</v>
      </c>
    </row>
    <row r="10" spans="1:22" ht="15" thickBot="1" x14ac:dyDescent="0.35">
      <c r="A10" s="293" t="s">
        <v>340</v>
      </c>
      <c r="B10" s="539">
        <f t="shared" si="0"/>
        <v>12018.045857624345</v>
      </c>
      <c r="C10" s="390">
        <f>B10/$B$11</f>
        <v>0.26795227275998046</v>
      </c>
      <c r="D10" s="505"/>
      <c r="E10" s="955"/>
      <c r="F10" s="955"/>
      <c r="G10" s="955"/>
      <c r="L10" s="321" t="s">
        <v>340</v>
      </c>
      <c r="M10" s="541">
        <v>10827.457520456626</v>
      </c>
      <c r="N10" s="501">
        <f>$M10+($O10-$M10)*($N$7-$M$7)/($O$7-$M$7)</f>
        <v>12018.045857624345</v>
      </c>
      <c r="O10" s="541">
        <v>14101.575447667856</v>
      </c>
      <c r="P10" s="541">
        <v>16066.044443145329</v>
      </c>
      <c r="Q10" s="541">
        <v>18014.527723893829</v>
      </c>
      <c r="R10" s="541">
        <v>19832.267250859386</v>
      </c>
      <c r="S10" s="541">
        <v>21520.534222940118</v>
      </c>
      <c r="T10" s="541">
        <v>23041.971264407875</v>
      </c>
      <c r="U10" s="541">
        <v>24412.529742577281</v>
      </c>
      <c r="V10" s="542">
        <v>25651.606351911432</v>
      </c>
    </row>
    <row r="11" spans="1:22" ht="15" thickBot="1" x14ac:dyDescent="0.35">
      <c r="A11" s="294" t="s">
        <v>516</v>
      </c>
      <c r="B11" s="540">
        <f>SUM(B8:B10)</f>
        <v>44851.442138688515</v>
      </c>
      <c r="C11" s="391">
        <f>B11/$B$11</f>
        <v>1</v>
      </c>
      <c r="D11" s="504"/>
      <c r="E11" s="504"/>
      <c r="F11" s="504"/>
      <c r="G11" s="504"/>
      <c r="L11" s="504"/>
      <c r="M11" s="504"/>
      <c r="N11" s="504"/>
      <c r="O11" s="504"/>
      <c r="P11" s="504"/>
      <c r="Q11" s="504"/>
      <c r="R11" s="504"/>
      <c r="S11" s="504"/>
      <c r="T11" s="504"/>
      <c r="U11" s="504"/>
    </row>
    <row r="12" spans="1:22" ht="14.4" x14ac:dyDescent="0.3">
      <c r="A12" s="297"/>
      <c r="B12" s="298"/>
      <c r="J12" s="296"/>
      <c r="K12" s="296"/>
      <c r="L12" s="505" t="s">
        <v>312</v>
      </c>
      <c r="M12" s="498" t="s">
        <v>515</v>
      </c>
      <c r="N12" s="505"/>
      <c r="O12" s="505"/>
      <c r="P12" s="505"/>
      <c r="Q12" s="505"/>
      <c r="R12" s="505"/>
      <c r="S12" s="505"/>
      <c r="T12" s="505"/>
    </row>
    <row r="14" spans="1:22" s="504" customFormat="1" x14ac:dyDescent="0.25"/>
    <row r="15" spans="1:22" s="504" customFormat="1" ht="14.4" x14ac:dyDescent="0.3">
      <c r="A15" s="297"/>
      <c r="B15" s="298"/>
    </row>
    <row r="16" spans="1:22" ht="15" thickBot="1" x14ac:dyDescent="0.35">
      <c r="A16" s="277">
        <v>2</v>
      </c>
      <c r="B16" s="298"/>
      <c r="Q16" s="504"/>
    </row>
    <row r="17" spans="1:28" ht="14.4" thickBot="1" x14ac:dyDescent="0.35">
      <c r="A17" s="328" t="str">
        <f>CONCATENATE("ICCT (2017), and ICCT (2012)- ",$F$3)</f>
        <v>ICCT (2017), and ICCT (2012)- 2018</v>
      </c>
      <c r="B17" s="329"/>
      <c r="C17" s="957" t="s">
        <v>433</v>
      </c>
      <c r="D17" s="330"/>
      <c r="E17" s="959" t="s">
        <v>434</v>
      </c>
      <c r="F17" s="331"/>
      <c r="G17" s="504"/>
      <c r="H17" s="504"/>
      <c r="I17" s="504"/>
      <c r="J17" s="504"/>
      <c r="L17" s="545" t="s">
        <v>517</v>
      </c>
      <c r="M17" s="504"/>
      <c r="N17" s="504"/>
      <c r="O17" s="504"/>
      <c r="P17" s="79"/>
      <c r="Q17" s="79"/>
      <c r="R17" s="79"/>
      <c r="S17" s="79"/>
      <c r="T17" s="79"/>
      <c r="U17" s="79"/>
      <c r="V17" s="79"/>
      <c r="W17" s="79"/>
      <c r="X17" s="79"/>
    </row>
    <row r="18" spans="1:28" x14ac:dyDescent="0.25">
      <c r="A18" s="332" t="s">
        <v>435</v>
      </c>
      <c r="B18" s="333" t="s">
        <v>436</v>
      </c>
      <c r="C18" s="958"/>
      <c r="D18" s="289" t="s">
        <v>311</v>
      </c>
      <c r="E18" s="960"/>
      <c r="F18" s="334"/>
      <c r="G18" s="504"/>
      <c r="H18" s="504"/>
      <c r="I18" s="504"/>
      <c r="J18" s="504"/>
      <c r="L18" s="520" t="s">
        <v>518</v>
      </c>
      <c r="M18" s="521">
        <v>2015</v>
      </c>
      <c r="N18" s="522">
        <f>$F$3</f>
        <v>2018</v>
      </c>
      <c r="O18" s="523">
        <v>2020</v>
      </c>
      <c r="S18" s="504"/>
      <c r="T18" s="504"/>
      <c r="U18" s="504"/>
      <c r="V18" s="504"/>
      <c r="W18" s="504"/>
      <c r="X18" s="504"/>
    </row>
    <row r="19" spans="1:28" x14ac:dyDescent="0.25">
      <c r="A19" s="335" t="s">
        <v>437</v>
      </c>
      <c r="B19" s="549">
        <f>SUM(C20:C22)</f>
        <v>13992.337164750934</v>
      </c>
      <c r="C19" s="336"/>
      <c r="D19" s="395">
        <f>B19/$B$24</f>
        <v>0.54171319813291585</v>
      </c>
      <c r="E19" s="336"/>
      <c r="F19" s="334"/>
      <c r="G19" s="505" t="s">
        <v>314</v>
      </c>
      <c r="H19" s="504"/>
      <c r="I19" s="504"/>
      <c r="J19" s="504"/>
      <c r="L19" s="284" t="s">
        <v>519</v>
      </c>
      <c r="M19" s="548">
        <v>804.59770114942501</v>
      </c>
      <c r="N19" s="503">
        <f>$M19+($O19-$M19)*($N$18-$M$18)/($O$18-$M$18)</f>
        <v>1034.4827586206879</v>
      </c>
      <c r="O19" s="550">
        <v>1187.7394636015299</v>
      </c>
      <c r="R19" s="504"/>
      <c r="S19" s="504"/>
      <c r="T19" s="504"/>
      <c r="U19" s="504"/>
      <c r="V19" s="504"/>
      <c r="W19" s="79"/>
      <c r="X19" s="79"/>
    </row>
    <row r="20" spans="1:28" x14ac:dyDescent="0.25">
      <c r="A20" s="337" t="s">
        <v>438</v>
      </c>
      <c r="B20" s="336"/>
      <c r="C20" s="549">
        <f>N19</f>
        <v>1034.4827586206879</v>
      </c>
      <c r="D20" s="395"/>
      <c r="E20" s="395">
        <f>C20/$B$19</f>
        <v>7.3932092004381167E-2</v>
      </c>
      <c r="F20" s="334"/>
      <c r="G20" s="505">
        <v>1</v>
      </c>
      <c r="H20" s="955" t="s">
        <v>529</v>
      </c>
      <c r="I20" s="955"/>
      <c r="J20" s="955"/>
      <c r="L20" s="284" t="s">
        <v>520</v>
      </c>
      <c r="M20" s="548">
        <v>2298.8505747126451</v>
      </c>
      <c r="N20" s="503">
        <f>$M20+($O20-$M20)*($N$18-$M$18)/($O$18-$M$18)</f>
        <v>2528.7356321839084</v>
      </c>
      <c r="O20" s="550">
        <v>2681.9923371647506</v>
      </c>
      <c r="R20" s="504"/>
      <c r="S20" s="504"/>
      <c r="T20" s="504"/>
      <c r="U20" s="504"/>
      <c r="V20" s="504"/>
      <c r="W20" s="504"/>
      <c r="X20" s="504"/>
    </row>
    <row r="21" spans="1:28" x14ac:dyDescent="0.25">
      <c r="A21" s="337" t="s">
        <v>439</v>
      </c>
      <c r="B21" s="336"/>
      <c r="C21" s="549">
        <f>N20</f>
        <v>2528.7356321839084</v>
      </c>
      <c r="D21" s="395"/>
      <c r="E21" s="395">
        <f t="shared" ref="E21:E22" si="1">C21/$B$19</f>
        <v>0.18072289156626539</v>
      </c>
      <c r="F21" s="334"/>
      <c r="G21" s="505"/>
      <c r="H21" s="955"/>
      <c r="I21" s="955"/>
      <c r="J21" s="955"/>
      <c r="L21" s="284" t="s">
        <v>521</v>
      </c>
      <c r="M21" s="548">
        <v>9463.6015325670051</v>
      </c>
      <c r="N21" s="503">
        <f>$M21+($O21-$M21)*($N$18-$M$18)/($O$18-$M$18)</f>
        <v>10429.118773946337</v>
      </c>
      <c r="O21" s="550">
        <v>11072.796934865892</v>
      </c>
      <c r="R21" s="504"/>
      <c r="S21" s="504"/>
      <c r="T21" s="504"/>
      <c r="U21" s="504"/>
      <c r="V21" s="504"/>
      <c r="W21" s="79"/>
      <c r="X21" s="79"/>
    </row>
    <row r="22" spans="1:28" x14ac:dyDescent="0.25">
      <c r="A22" s="337" t="s">
        <v>440</v>
      </c>
      <c r="B22" s="336"/>
      <c r="C22" s="549">
        <f>N21</f>
        <v>10429.118773946337</v>
      </c>
      <c r="D22" s="395"/>
      <c r="E22" s="395">
        <f t="shared" si="1"/>
        <v>0.74534501642935336</v>
      </c>
      <c r="F22" s="334"/>
      <c r="G22" s="504"/>
      <c r="L22" s="284" t="s">
        <v>522</v>
      </c>
      <c r="M22" s="548">
        <v>11140.467631550742</v>
      </c>
      <c r="N22" s="503">
        <f>$M22+($O22-$M22)*($N$18-$M$18)/($O$18-$M$18)</f>
        <v>11837.451020172975</v>
      </c>
      <c r="O22" s="550">
        <v>12302.106612587799</v>
      </c>
      <c r="S22" s="504"/>
      <c r="T22" s="504"/>
      <c r="U22" s="504"/>
      <c r="V22" s="504"/>
      <c r="W22" s="504"/>
      <c r="X22" s="504"/>
      <c r="AB22" s="504"/>
    </row>
    <row r="23" spans="1:28" ht="13.8" thickBot="1" x14ac:dyDescent="0.3">
      <c r="A23" s="335" t="s">
        <v>441</v>
      </c>
      <c r="B23" s="549">
        <f>N22</f>
        <v>11837.451020172975</v>
      </c>
      <c r="C23" s="336"/>
      <c r="D23" s="395">
        <f t="shared" ref="D23:D24" si="2">B23/$B$24</f>
        <v>0.45828680186708415</v>
      </c>
      <c r="E23" s="336"/>
      <c r="F23" s="334"/>
      <c r="L23" s="551" t="s">
        <v>327</v>
      </c>
      <c r="M23" s="546">
        <f>SUM(M19:M22)</f>
        <v>23707.51743997982</v>
      </c>
      <c r="N23" s="546">
        <f>SUM(N19:N22)</f>
        <v>25829.788184923909</v>
      </c>
      <c r="O23" s="547">
        <f>SUM(O19:O22)</f>
        <v>27244.63534821997</v>
      </c>
      <c r="S23" s="504"/>
      <c r="T23" s="504"/>
      <c r="U23" s="504"/>
      <c r="V23" s="504"/>
      <c r="W23" s="79"/>
      <c r="X23" s="79"/>
    </row>
    <row r="24" spans="1:28" ht="13.8" thickBot="1" x14ac:dyDescent="0.3">
      <c r="A24" s="338" t="s">
        <v>442</v>
      </c>
      <c r="B24" s="392">
        <f>SUM(B19,B23)</f>
        <v>25829.788184923909</v>
      </c>
      <c r="C24" s="393"/>
      <c r="D24" s="394">
        <f t="shared" si="2"/>
        <v>1</v>
      </c>
      <c r="E24" s="393"/>
      <c r="F24" s="339"/>
      <c r="M24" s="504"/>
      <c r="N24" s="504"/>
      <c r="O24" s="504"/>
      <c r="Q24" s="504"/>
      <c r="S24" s="504"/>
      <c r="T24" s="504"/>
      <c r="U24" s="504"/>
      <c r="V24" s="504"/>
      <c r="W24" s="504"/>
      <c r="X24" s="504"/>
    </row>
    <row r="25" spans="1:28" ht="14.4" x14ac:dyDescent="0.3">
      <c r="B25" s="298"/>
      <c r="L25" s="505" t="s">
        <v>312</v>
      </c>
      <c r="M25" s="498" t="s">
        <v>534</v>
      </c>
      <c r="N25" s="505"/>
      <c r="O25" s="505"/>
      <c r="P25" s="505"/>
      <c r="Q25" s="505"/>
      <c r="R25" s="505"/>
      <c r="S25" s="505"/>
      <c r="T25" s="505"/>
      <c r="U25" s="505"/>
      <c r="V25" s="505"/>
      <c r="W25" s="505"/>
      <c r="X25" s="505"/>
    </row>
    <row r="26" spans="1:28" ht="15" thickBot="1" x14ac:dyDescent="0.35">
      <c r="A26" s="277">
        <v>3</v>
      </c>
      <c r="B26" s="298"/>
      <c r="M26" s="498" t="s">
        <v>535</v>
      </c>
      <c r="N26" s="505"/>
      <c r="O26" s="505"/>
      <c r="P26" s="505"/>
      <c r="Q26" s="505"/>
      <c r="R26" s="505"/>
      <c r="S26" s="505"/>
      <c r="T26" s="505"/>
      <c r="U26" s="505"/>
      <c r="V26" s="505"/>
      <c r="W26" s="505"/>
      <c r="X26" s="505"/>
    </row>
    <row r="27" spans="1:28" x14ac:dyDescent="0.25">
      <c r="A27" s="340" t="s">
        <v>511</v>
      </c>
      <c r="B27" s="341" t="s">
        <v>436</v>
      </c>
      <c r="I27" s="504"/>
      <c r="J27" s="504"/>
      <c r="K27" s="504"/>
    </row>
    <row r="28" spans="1:28" ht="13.8" thickBot="1" x14ac:dyDescent="0.3">
      <c r="A28" s="321" t="s">
        <v>443</v>
      </c>
      <c r="B28" s="543">
        <f>223.73*1.045</f>
        <v>233.79784999999998</v>
      </c>
      <c r="I28" s="504"/>
      <c r="J28" s="504"/>
      <c r="K28" s="504"/>
    </row>
    <row r="29" spans="1:28" x14ac:dyDescent="0.25">
      <c r="I29" s="504"/>
      <c r="J29" s="504"/>
      <c r="K29" s="504"/>
    </row>
    <row r="30" spans="1:28" ht="14.4" x14ac:dyDescent="0.3">
      <c r="A30" s="499" t="s">
        <v>312</v>
      </c>
      <c r="B30" s="537" t="s">
        <v>510</v>
      </c>
      <c r="C30" s="499"/>
      <c r="D30" s="499"/>
      <c r="E30" s="499"/>
      <c r="F30" s="499"/>
      <c r="G30" s="499"/>
      <c r="H30" s="499"/>
      <c r="I30" s="499"/>
      <c r="J30" s="499"/>
      <c r="K30" s="499"/>
      <c r="L30" s="499"/>
      <c r="M30" s="499"/>
      <c r="N30" s="499"/>
      <c r="O30" s="499"/>
    </row>
    <row r="32" spans="1:28" ht="13.8" thickBot="1" x14ac:dyDescent="0.3">
      <c r="A32" s="277">
        <v>4</v>
      </c>
    </row>
    <row r="33" spans="1:20" x14ac:dyDescent="0.25">
      <c r="A33" s="342" t="s">
        <v>508</v>
      </c>
      <c r="B33" s="343" t="s">
        <v>444</v>
      </c>
      <c r="C33" s="344" t="s">
        <v>445</v>
      </c>
      <c r="D33" s="504"/>
      <c r="E33" s="504"/>
      <c r="F33" s="504"/>
      <c r="G33" s="504"/>
      <c r="H33" s="504"/>
      <c r="I33" s="504"/>
      <c r="J33" s="504"/>
      <c r="K33" s="504"/>
      <c r="L33" s="504"/>
      <c r="M33" s="504"/>
      <c r="N33" s="504"/>
      <c r="O33" s="504"/>
      <c r="P33" s="504"/>
      <c r="Q33" s="504"/>
      <c r="R33" s="504"/>
    </row>
    <row r="34" spans="1:20" ht="15" thickBot="1" x14ac:dyDescent="0.35">
      <c r="A34" s="345" t="s">
        <v>446</v>
      </c>
      <c r="B34" s="544">
        <f>SUM(1111,1796,13809,4497,9535,11967,17729)</f>
        <v>60444</v>
      </c>
      <c r="C34" s="396">
        <f>B34*1.852</f>
        <v>111942.288</v>
      </c>
      <c r="D34" s="504"/>
      <c r="E34" s="504"/>
      <c r="F34" s="504"/>
      <c r="G34" s="504"/>
      <c r="H34" s="504"/>
      <c r="I34" s="504"/>
      <c r="J34" s="504"/>
      <c r="K34" s="504"/>
      <c r="L34" s="504"/>
      <c r="M34" s="504"/>
      <c r="N34" s="504"/>
      <c r="O34" s="504"/>
      <c r="P34" s="504"/>
      <c r="Q34" s="504"/>
      <c r="R34" s="504"/>
    </row>
    <row r="36" spans="1:20" ht="13.8" x14ac:dyDescent="0.3">
      <c r="A36" s="499" t="s">
        <v>312</v>
      </c>
      <c r="B36" s="536" t="s">
        <v>509</v>
      </c>
      <c r="C36" s="536"/>
      <c r="D36" s="536"/>
      <c r="E36" s="536"/>
      <c r="F36" s="536"/>
      <c r="G36" s="536"/>
      <c r="H36" s="536"/>
      <c r="I36" s="536"/>
      <c r="J36" s="536"/>
      <c r="K36" s="536"/>
    </row>
    <row r="38" spans="1:20" s="504" customFormat="1" ht="13.8" thickBot="1" x14ac:dyDescent="0.3">
      <c r="A38" s="277">
        <v>5</v>
      </c>
    </row>
    <row r="39" spans="1:20" s="504" customFormat="1" x14ac:dyDescent="0.25">
      <c r="A39" s="949" t="str">
        <f>CONCATENATE("ITF Transport Outlook  for - ",F3)</f>
        <v>ITF Transport Outlook  for - 2018</v>
      </c>
      <c r="B39" s="950"/>
      <c r="C39" s="951"/>
      <c r="L39" s="520"/>
      <c r="M39" s="521" t="s">
        <v>524</v>
      </c>
      <c r="N39" s="521" t="s">
        <v>525</v>
      </c>
      <c r="O39" s="521" t="s">
        <v>340</v>
      </c>
      <c r="P39" s="521" t="s">
        <v>526</v>
      </c>
      <c r="Q39" s="523" t="s">
        <v>392</v>
      </c>
    </row>
    <row r="40" spans="1:20" s="504" customFormat="1" x14ac:dyDescent="0.25">
      <c r="A40" s="280"/>
      <c r="B40" s="942" t="s">
        <v>124</v>
      </c>
      <c r="C40" s="956"/>
      <c r="L40" s="284">
        <v>2015</v>
      </c>
      <c r="M40" s="502">
        <v>75698</v>
      </c>
      <c r="N40" s="502">
        <v>19551</v>
      </c>
      <c r="O40" s="502">
        <v>10127</v>
      </c>
      <c r="P40" s="502">
        <v>2164</v>
      </c>
      <c r="Q40" s="524">
        <v>228</v>
      </c>
    </row>
    <row r="41" spans="1:20" s="504" customFormat="1" ht="13.8" thickBot="1" x14ac:dyDescent="0.3">
      <c r="A41" s="286" t="s">
        <v>518</v>
      </c>
      <c r="B41" s="325" t="s">
        <v>430</v>
      </c>
      <c r="C41" s="326" t="s">
        <v>311</v>
      </c>
      <c r="L41" s="552">
        <f>$F$3</f>
        <v>2018</v>
      </c>
      <c r="M41" s="503">
        <f>M$40+($L41-$L$40)*(M$42-M$40)/($L$42-$L$40)</f>
        <v>84043.4</v>
      </c>
      <c r="N41" s="503">
        <f>N$40+($L41-$L$40)*(N$42-N$40)/($L$42-$L$40)</f>
        <v>22172</v>
      </c>
      <c r="O41" s="503">
        <f>O$40+($L41-$L$40)*(O$42-O$40)/($L$42-$L$40)</f>
        <v>11141</v>
      </c>
      <c r="P41" s="503">
        <f>P$40+($L41-$L$40)*(P$42-P$40)/($L$42-$L$40)</f>
        <v>2442.8000000000002</v>
      </c>
      <c r="Q41" s="560">
        <f>Q$40+($L41-$L$40)*(Q$42-Q$40)/($L$42-$L$40)</f>
        <v>284.60000000000002</v>
      </c>
    </row>
    <row r="42" spans="1:20" s="504" customFormat="1" ht="14.4" x14ac:dyDescent="0.3">
      <c r="A42" s="556" t="str">
        <f>N39</f>
        <v>Road</v>
      </c>
      <c r="B42" s="539">
        <f>N41</f>
        <v>22172</v>
      </c>
      <c r="C42" s="554">
        <f>B42/$B$47</f>
        <v>0.1846377279866227</v>
      </c>
      <c r="D42" s="505" t="s">
        <v>314</v>
      </c>
      <c r="L42" s="284">
        <v>2030</v>
      </c>
      <c r="M42" s="502">
        <v>117425</v>
      </c>
      <c r="N42" s="502">
        <v>32656</v>
      </c>
      <c r="O42" s="502">
        <v>15197</v>
      </c>
      <c r="P42" s="502">
        <v>3558</v>
      </c>
      <c r="Q42" s="524">
        <v>511</v>
      </c>
    </row>
    <row r="43" spans="1:20" s="504" customFormat="1" ht="15" thickBot="1" x14ac:dyDescent="0.35">
      <c r="A43" s="557" t="str">
        <f>O39</f>
        <v>Rail</v>
      </c>
      <c r="B43" s="539">
        <f>O41</f>
        <v>11141</v>
      </c>
      <c r="C43" s="554">
        <f t="shared" ref="C43:C47" si="3">B43/$B$47</f>
        <v>9.2776877480559419E-2</v>
      </c>
      <c r="D43" s="505">
        <v>1</v>
      </c>
      <c r="E43" s="505" t="s">
        <v>529</v>
      </c>
      <c r="F43" s="505"/>
      <c r="G43" s="505"/>
      <c r="H43" s="505"/>
      <c r="I43" s="505"/>
      <c r="L43" s="321">
        <v>2050</v>
      </c>
      <c r="M43" s="541">
        <v>260778</v>
      </c>
      <c r="N43" s="541">
        <v>58096</v>
      </c>
      <c r="O43" s="541">
        <v>23654</v>
      </c>
      <c r="P43" s="541">
        <v>7889</v>
      </c>
      <c r="Q43" s="542">
        <v>1055</v>
      </c>
    </row>
    <row r="44" spans="1:20" s="504" customFormat="1" ht="14.4" x14ac:dyDescent="0.3">
      <c r="A44" s="557" t="str">
        <f>P39</f>
        <v>Inland waterways</v>
      </c>
      <c r="B44" s="539">
        <f>P41</f>
        <v>2442.8000000000002</v>
      </c>
      <c r="C44" s="554">
        <f t="shared" si="3"/>
        <v>2.034246084817436E-2</v>
      </c>
    </row>
    <row r="45" spans="1:20" s="504" customFormat="1" x14ac:dyDescent="0.25">
      <c r="A45" s="335" t="str">
        <f>Q39</f>
        <v>Air</v>
      </c>
      <c r="B45" s="553">
        <f>Q41</f>
        <v>284.60000000000002</v>
      </c>
      <c r="C45" s="554">
        <f t="shared" si="3"/>
        <v>2.3700116085600227E-3</v>
      </c>
      <c r="L45" s="505" t="s">
        <v>527</v>
      </c>
      <c r="M45" s="505"/>
      <c r="N45" s="505"/>
      <c r="O45" s="505"/>
      <c r="P45" s="505"/>
      <c r="Q45" s="505"/>
      <c r="R45" s="505"/>
    </row>
    <row r="46" spans="1:20" ht="13.8" thickBot="1" x14ac:dyDescent="0.3">
      <c r="A46" s="338" t="str">
        <f>M39</f>
        <v>Sea</v>
      </c>
      <c r="B46" s="540">
        <f>M41</f>
        <v>84043.4</v>
      </c>
      <c r="C46" s="559">
        <f t="shared" si="3"/>
        <v>0.69987292207608354</v>
      </c>
      <c r="M46" s="504"/>
      <c r="N46" s="504"/>
      <c r="O46" s="504"/>
      <c r="P46" s="504"/>
      <c r="Q46" s="504"/>
      <c r="R46" s="504"/>
      <c r="S46" s="504"/>
      <c r="T46" s="504"/>
    </row>
    <row r="47" spans="1:20" s="504" customFormat="1" ht="13.8" thickBot="1" x14ac:dyDescent="0.3">
      <c r="A47" s="558" t="s">
        <v>353</v>
      </c>
      <c r="B47" s="540">
        <f>SUM(B42:B46)</f>
        <v>120083.79999999999</v>
      </c>
      <c r="C47" s="555">
        <f t="shared" si="3"/>
        <v>1</v>
      </c>
    </row>
    <row r="48" spans="1:20" ht="13.8" thickBot="1" x14ac:dyDescent="0.3">
      <c r="M48" s="504"/>
      <c r="N48" s="504"/>
      <c r="O48" s="504"/>
      <c r="P48" s="504"/>
      <c r="Q48" s="504"/>
      <c r="R48" s="504"/>
      <c r="S48" s="504"/>
      <c r="T48" s="504"/>
    </row>
    <row r="49" spans="1:17" ht="34.799999999999997" customHeight="1" x14ac:dyDescent="0.25">
      <c r="A49" s="949" t="s">
        <v>360</v>
      </c>
      <c r="B49" s="950"/>
      <c r="C49" s="950"/>
      <c r="D49" s="950"/>
      <c r="E49" s="950"/>
      <c r="F49" s="951"/>
      <c r="L49" s="526" t="s">
        <v>531</v>
      </c>
      <c r="M49" s="527" t="str">
        <f>CONCATENATE("Modeshare - ",$F$3)</f>
        <v>Modeshare - 2018</v>
      </c>
      <c r="N49" s="528" t="s">
        <v>532</v>
      </c>
    </row>
    <row r="50" spans="1:17" ht="14.4" x14ac:dyDescent="0.3">
      <c r="A50" s="284"/>
      <c r="B50" s="507" t="s">
        <v>523</v>
      </c>
      <c r="C50" s="507" t="s">
        <v>447</v>
      </c>
      <c r="D50" s="507">
        <v>5</v>
      </c>
      <c r="E50" s="507" t="s">
        <v>362</v>
      </c>
      <c r="F50" s="508" t="s">
        <v>363</v>
      </c>
      <c r="L50" s="303" t="s">
        <v>533</v>
      </c>
      <c r="M50" s="382">
        <f>N50/$N$55</f>
        <v>0.16971522464048891</v>
      </c>
      <c r="N50" s="380">
        <f>SUM(E51:E52)</f>
        <v>23915.852259981937</v>
      </c>
    </row>
    <row r="51" spans="1:17" ht="14.4" x14ac:dyDescent="0.3">
      <c r="A51" s="327" t="s">
        <v>448</v>
      </c>
      <c r="B51" s="379">
        <f>B8</f>
        <v>1374.911667065352</v>
      </c>
      <c r="C51" s="379"/>
      <c r="D51" s="379"/>
      <c r="E51" s="387">
        <f>AVERAGE(B51:D51)</f>
        <v>1374.911667065352</v>
      </c>
      <c r="F51" s="397">
        <f>E51/SUM($E$51:$E$56)</f>
        <v>9.7568524801131835E-3</v>
      </c>
      <c r="L51" s="303" t="s">
        <v>340</v>
      </c>
      <c r="M51" s="382">
        <f t="shared" ref="M51:M55" si="4">N51/$N$55</f>
        <v>8.2782447177430232E-2</v>
      </c>
      <c r="N51" s="380">
        <f>E53</f>
        <v>11665.498959265773</v>
      </c>
    </row>
    <row r="52" spans="1:17" ht="14.4" x14ac:dyDescent="0.3">
      <c r="A52" s="293" t="s">
        <v>136</v>
      </c>
      <c r="B52" s="379">
        <f>B9</f>
        <v>31458.484613998815</v>
      </c>
      <c r="C52" s="379">
        <f>B19</f>
        <v>13992.337164750934</v>
      </c>
      <c r="D52" s="379">
        <f>B42</f>
        <v>22172</v>
      </c>
      <c r="E52" s="387">
        <f t="shared" ref="E52:E56" si="5">AVERAGE(B52:D52)</f>
        <v>22540.940592916584</v>
      </c>
      <c r="F52" s="397">
        <f>E52/SUM($E$51:$E$56)</f>
        <v>0.15995837216037567</v>
      </c>
      <c r="L52" s="303" t="s">
        <v>392</v>
      </c>
      <c r="M52" s="382">
        <f t="shared" si="4"/>
        <v>1.7792809668857161E-3</v>
      </c>
      <c r="N52" s="380">
        <f>E56</f>
        <v>250.7319</v>
      </c>
    </row>
    <row r="53" spans="1:17" ht="14.4" x14ac:dyDescent="0.3">
      <c r="A53" s="293" t="s">
        <v>340</v>
      </c>
      <c r="B53" s="379">
        <f>B10</f>
        <v>12018.045857624345</v>
      </c>
      <c r="C53" s="379">
        <f>B23</f>
        <v>11837.451020172975</v>
      </c>
      <c r="D53" s="379">
        <f>B43</f>
        <v>11141</v>
      </c>
      <c r="E53" s="387">
        <f t="shared" si="5"/>
        <v>11665.498959265773</v>
      </c>
      <c r="F53" s="397">
        <f>E53/SUM($E$51:$E$56)</f>
        <v>8.2782447177430218E-2</v>
      </c>
      <c r="L53" s="303" t="s">
        <v>432</v>
      </c>
      <c r="M53" s="382">
        <f t="shared" si="4"/>
        <v>0.72838808686149303</v>
      </c>
      <c r="N53" s="380">
        <f>E55</f>
        <v>102642.65866666667</v>
      </c>
    </row>
    <row r="54" spans="1:17" s="504" customFormat="1" ht="14.4" x14ac:dyDescent="0.3">
      <c r="A54" s="293" t="s">
        <v>528</v>
      </c>
      <c r="B54" s="379"/>
      <c r="C54" s="379"/>
      <c r="D54" s="379">
        <f>B44</f>
        <v>2442.8000000000002</v>
      </c>
      <c r="E54" s="387">
        <f t="shared" si="5"/>
        <v>2442.8000000000002</v>
      </c>
      <c r="F54" s="397">
        <f t="shared" ref="F54:F55" si="6">E54/SUM($E$51:$E$56)</f>
        <v>1.7334960353702206E-2</v>
      </c>
      <c r="L54" s="303" t="s">
        <v>528</v>
      </c>
      <c r="M54" s="382">
        <f t="shared" si="4"/>
        <v>1.733496035370221E-2</v>
      </c>
      <c r="N54" s="380">
        <f>E54</f>
        <v>2442.8000000000002</v>
      </c>
    </row>
    <row r="55" spans="1:17" ht="15" thickBot="1" x14ac:dyDescent="0.35">
      <c r="A55" s="293" t="s">
        <v>432</v>
      </c>
      <c r="B55" s="379">
        <f>$C$34</f>
        <v>111942.288</v>
      </c>
      <c r="C55" s="379">
        <f>$C$34</f>
        <v>111942.288</v>
      </c>
      <c r="D55" s="379">
        <f>B46</f>
        <v>84043.4</v>
      </c>
      <c r="E55" s="387">
        <f t="shared" si="5"/>
        <v>102642.65866666667</v>
      </c>
      <c r="F55" s="397">
        <f t="shared" si="6"/>
        <v>0.72838808686149292</v>
      </c>
      <c r="L55" s="321" t="s">
        <v>353</v>
      </c>
      <c r="M55" s="562">
        <f t="shared" si="4"/>
        <v>1</v>
      </c>
      <c r="N55" s="561">
        <f>SUM(N50:N54)</f>
        <v>140917.54178591436</v>
      </c>
    </row>
    <row r="56" spans="1:17" ht="14.4" x14ac:dyDescent="0.3">
      <c r="A56" s="346" t="s">
        <v>392</v>
      </c>
      <c r="B56" s="379">
        <f>B28</f>
        <v>233.79784999999998</v>
      </c>
      <c r="C56" s="379">
        <f>B28</f>
        <v>233.79784999999998</v>
      </c>
      <c r="D56" s="379">
        <f>B45</f>
        <v>284.60000000000002</v>
      </c>
      <c r="E56" s="387">
        <f t="shared" si="5"/>
        <v>250.7319</v>
      </c>
      <c r="F56" s="398">
        <f>E56/SUM($E$51:$E$56)</f>
        <v>1.7792809668857156E-3</v>
      </c>
    </row>
    <row r="57" spans="1:17" ht="13.8" thickBot="1" x14ac:dyDescent="0.3">
      <c r="A57" s="401" t="s">
        <v>353</v>
      </c>
      <c r="B57" s="399">
        <f>SUM(B51:B56)</f>
        <v>157027.52798868853</v>
      </c>
      <c r="C57" s="399">
        <f t="shared" ref="C57:F57" si="7">SUM(C51:C56)</f>
        <v>138005.87403492391</v>
      </c>
      <c r="D57" s="399">
        <f t="shared" si="7"/>
        <v>120083.8</v>
      </c>
      <c r="E57" s="399">
        <f t="shared" si="7"/>
        <v>140917.54178591439</v>
      </c>
      <c r="F57" s="400">
        <f t="shared" si="7"/>
        <v>0.99999999999999989</v>
      </c>
    </row>
    <row r="58" spans="1:17" x14ac:dyDescent="0.25">
      <c r="D58" s="504"/>
    </row>
    <row r="60" spans="1:17" x14ac:dyDescent="0.25">
      <c r="D60" s="324" t="s">
        <v>312</v>
      </c>
      <c r="E60" s="955" t="s">
        <v>530</v>
      </c>
      <c r="F60" s="955"/>
      <c r="G60" s="955"/>
      <c r="H60" s="955"/>
      <c r="I60" s="955"/>
      <c r="J60" s="955"/>
      <c r="K60" s="955"/>
      <c r="L60" s="955"/>
      <c r="M60" s="955"/>
      <c r="N60" s="955"/>
      <c r="O60" s="955"/>
      <c r="P60" s="955"/>
      <c r="Q60" s="955"/>
    </row>
    <row r="61" spans="1:17" x14ac:dyDescent="0.25">
      <c r="E61" s="955"/>
      <c r="F61" s="955"/>
      <c r="G61" s="955"/>
      <c r="H61" s="955"/>
      <c r="I61" s="955"/>
      <c r="J61" s="955"/>
      <c r="K61" s="955"/>
      <c r="L61" s="955"/>
      <c r="M61" s="955"/>
      <c r="N61" s="955"/>
      <c r="O61" s="955"/>
      <c r="P61" s="955"/>
      <c r="Q61" s="955"/>
    </row>
  </sheetData>
  <mergeCells count="13">
    <mergeCell ref="E60:Q61"/>
    <mergeCell ref="E9:G10"/>
    <mergeCell ref="I3:K4"/>
    <mergeCell ref="A1:K1"/>
    <mergeCell ref="A2:K2"/>
    <mergeCell ref="A5:C5"/>
    <mergeCell ref="B6:C6"/>
    <mergeCell ref="C17:C18"/>
    <mergeCell ref="E17:E18"/>
    <mergeCell ref="A39:C39"/>
    <mergeCell ref="B40:C40"/>
    <mergeCell ref="A49:F49"/>
    <mergeCell ref="H20:J21"/>
  </mergeCells>
  <conditionalFormatting sqref="B19 B23 C20:C22">
    <cfRule type="containsErrors" dxfId="4" priority="5">
      <formula>ISERROR(B19)</formula>
    </cfRule>
  </conditionalFormatting>
  <conditionalFormatting sqref="A18:B18">
    <cfRule type="containsErrors" dxfId="3" priority="4">
      <formula>ISERROR(A18)</formula>
    </cfRule>
  </conditionalFormatting>
  <conditionalFormatting sqref="B28">
    <cfRule type="containsErrors" dxfId="2" priority="3">
      <formula>ISERROR(B28)</formula>
    </cfRule>
  </conditionalFormatting>
  <conditionalFormatting sqref="B34">
    <cfRule type="containsErrors" dxfId="1" priority="2">
      <formula>ISERROR(B34)</formula>
    </cfRule>
  </conditionalFormatting>
  <conditionalFormatting sqref="B45">
    <cfRule type="containsErrors" dxfId="0" priority="1">
      <formula>ISERROR(B45)</formula>
    </cfRule>
  </conditionalFormatting>
  <hyperlinks>
    <hyperlink ref="B30" r:id="rId1" display="ICAO (2015) Annual Report" xr:uid="{DE180FF9-1539-4097-A9B8-8F7F4A60AEA8}"/>
    <hyperlink ref="B36:F36" r:id="rId2" display="IMO (2014) 3rd IMO greenhouse Gases Study 2014" xr:uid="{34FC08D4-351A-4A0B-AF39-4432D90A65B2}"/>
    <hyperlink ref="I3:K4" location="'Table of Contents'!A1" display="Back to Table of Contents" xr:uid="{AD6BCA33-530C-41CA-8230-13B26E312037}"/>
    <hyperlink ref="B36:K36" r:id="rId3" display="UNCTAD (2018)  Review of Maritime Freight, https://unctad.org/en/PublicationsLibrary/rmt2018_en.pdf" xr:uid="{E4BEA713-8389-49FD-8756-95CFA3C2082F}"/>
    <hyperlink ref="M12" r:id="rId4" display="ETP 2016, figure 5.1" xr:uid="{A8C26254-B202-441A-8C9E-FA7EA748D4AC}"/>
    <hyperlink ref="M25" r:id="rId5" display="ICCT roadmap model 2012" xr:uid="{FA3D456C-C6D2-45F3-8421-2DE3749CA7A3}"/>
    <hyperlink ref="M26" r:id="rId6" display="ICCT roadmap model 2012" xr:uid="{882F034F-AFC8-4526-B435-8327B2A5D85A}"/>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Table of Contents</vt:lpstr>
      <vt:lpstr>Assumptions</vt:lpstr>
      <vt:lpstr>Private Car Analysis &amp; Split</vt:lpstr>
      <vt:lpstr>Private Car Variable Adjust</vt:lpstr>
      <vt:lpstr>Urban Pass Adoption</vt:lpstr>
      <vt:lpstr>Nonurban Pass Adoption</vt:lpstr>
      <vt:lpstr>Global Pass-Km ModeShare</vt:lpstr>
      <vt:lpstr>Grid Impacts</vt:lpstr>
      <vt:lpstr>Emssions Redux</vt:lpstr>
      <vt:lpstr>Financials&amp;Adoptions</vt:lpstr>
      <vt:lpstr>TAM Method Plots</vt:lpstr>
      <vt:lpstr>Passenger TAM Data</vt:lpstr>
      <vt:lpstr>Interp-URBAN</vt:lpstr>
      <vt:lpstr>Interp-NONURBAN</vt:lpstr>
      <vt:lpstr>Freight Adoption</vt:lpstr>
      <vt:lpstr>Freight TAM Data</vt:lpstr>
      <vt:lpstr>Interp-FREIGHT</vt:lpstr>
      <vt:lpstr>Carshare</vt:lpstr>
      <vt:lpstr>Modeshare URBAN</vt:lpstr>
      <vt:lpstr>Modeshare NONURBAN</vt:lpstr>
      <vt:lpstr>Modeshare URBAN+NONURBAN</vt:lpstr>
      <vt:lpstr>Modeshare 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Furness</cp:lastModifiedBy>
  <dcterms:created xsi:type="dcterms:W3CDTF">2021-10-07T13:03:30Z</dcterms:created>
  <dcterms:modified xsi:type="dcterms:W3CDTF">2021-10-15T03:18:11Z</dcterms:modified>
</cp:coreProperties>
</file>